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embeddings/oleObject7.bin" ContentType="application/vnd.openxmlformats-officedocument.oleObject"/>
  <Override PartName="/xl/comments2.xml" ContentType="application/vnd.openxmlformats-officedocument.spreadsheetml.comments+xml"/>
  <Override PartName="/xl/drawings/drawing5.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comments3.xml" ContentType="application/vnd.openxmlformats-officedocument.spreadsheetml.comments+xml"/>
  <Override PartName="/xl/drawings/drawing6.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drawings/drawing7.xml" ContentType="application/vnd.openxmlformats-officedocument.drawing+xml"/>
  <Override PartName="/xl/embeddings/oleObject12.bin" ContentType="application/vnd.openxmlformats-officedocument.oleObject"/>
  <Override PartName="/xl/drawings/drawing8.xml" ContentType="application/vnd.openxmlformats-officedocument.drawing+xml"/>
  <Override PartName="/xl/embeddings/oleObject13.bin" ContentType="application/vnd.openxmlformats-officedocument.oleObject"/>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drawings/drawing12.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comments5.xml" ContentType="application/vnd.openxmlformats-officedocument.spreadsheetml.comments+xml"/>
  <Override PartName="/xl/drawings/drawing13.xml" ContentType="application/vnd.openxmlformats-officedocument.drawing+xml"/>
  <Override PartName="/xl/embeddings/oleObject18.bin" ContentType="application/vnd.openxmlformats-officedocument.oleObject"/>
  <Override PartName="/xl/drawings/drawing14.xml" ContentType="application/vnd.openxmlformats-officedocument.drawing+xml"/>
  <Override PartName="/xl/embeddings/oleObject19.bin" ContentType="application/vnd.openxmlformats-officedocument.oleObject"/>
  <Override PartName="/xl/drawings/drawing15.xml" ContentType="application/vnd.openxmlformats-officedocument.drawing+xml"/>
  <Override PartName="/xl/embeddings/oleObject20.bin" ContentType="application/vnd.openxmlformats-officedocument.oleObject"/>
  <Override PartName="/xl/drawings/drawing16.xml" ContentType="application/vnd.openxmlformats-officedocument.drawing+xml"/>
  <Override PartName="/xl/embeddings/oleObject21.bin" ContentType="application/vnd.openxmlformats-officedocument.oleObject"/>
  <Override PartName="/xl/drawings/drawing17.xml" ContentType="application/vnd.openxmlformats-officedocument.drawing+xml"/>
  <Override PartName="/xl/embeddings/oleObject22.bin" ContentType="application/vnd.openxmlformats-officedocument.oleObject"/>
  <Override PartName="/xl/drawings/drawing18.xml" ContentType="application/vnd.openxmlformats-officedocument.drawing+xml"/>
  <Override PartName="/xl/embeddings/oleObject2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6825" windowWidth="19440" windowHeight="1200" tabRatio="814"/>
  </bookViews>
  <sheets>
    <sheet name="Revision History" sheetId="130" r:id="rId1"/>
    <sheet name="Impedance" sheetId="129" r:id="rId2"/>
    <sheet name="PCIeX16" sheetId="116" r:id="rId3"/>
    <sheet name="DDI " sheetId="96" r:id="rId4"/>
    <sheet name="eDP" sheetId="107" r:id="rId5"/>
    <sheet name="LVDS" sheetId="117" r:id="rId6"/>
    <sheet name="VGA" sheetId="118" r:id="rId7"/>
    <sheet name="SATA" sheetId="119" r:id="rId8"/>
    <sheet name="PCIe" sheetId="120" r:id="rId9"/>
    <sheet name="USB" sheetId="121" r:id="rId10"/>
    <sheet name="LAN" sheetId="122" r:id="rId11"/>
    <sheet name="HD_Audio" sheetId="123" r:id="rId12"/>
    <sheet name="LPC" sheetId="125" r:id="rId13"/>
    <sheet name="SPI" sheetId="126" r:id="rId14"/>
    <sheet name="SMB" sheetId="127" r:id="rId15"/>
    <sheet name="SD Card" sheetId="109" r:id="rId16"/>
    <sheet name="DDR2 Clocks - 2L" sheetId="9" state="hidden" r:id="rId17"/>
    <sheet name="DDR2 Clocks - 4L" sheetId="16" state="hidden" r:id="rId18"/>
    <sheet name="DDR2 Command - 4L" sheetId="22" state="hidden" r:id="rId19"/>
    <sheet name="DDR2 Command - 8LTB" sheetId="23" state="hidden" r:id="rId20"/>
    <sheet name="DDR2 Command - 8LSS" sheetId="27" state="hidden" r:id="rId21"/>
    <sheet name="DDR2 Control - 4L" sheetId="24" state="hidden" r:id="rId22"/>
    <sheet name="DDR2 Strobes - 2x16_1R SODIMM" sheetId="45" state="hidden" r:id="rId23"/>
    <sheet name="DDR2 Data - 2x16_1R SODIMM" sheetId="46" state="hidden" r:id="rId24"/>
    <sheet name="DDR2 Command - 8LTB RS" sheetId="17" state="hidden" r:id="rId25"/>
    <sheet name="DDR2 Control - 4L RS" sheetId="10" state="hidden" r:id="rId26"/>
    <sheet name="DDR2 Control - 8LTB" sheetId="38" state="hidden" r:id="rId27"/>
    <sheet name="DDR2 Control - 8LSS" sheetId="28" state="hidden" r:id="rId28"/>
    <sheet name="DDR2 Strobes - 1x16" sheetId="12" state="hidden" r:id="rId29"/>
    <sheet name="DDR2 Strobes - 2x16" sheetId="18" state="hidden" r:id="rId30"/>
    <sheet name="DDR2 Strobes - 1x8" sheetId="25" state="hidden" r:id="rId31"/>
    <sheet name="DDR2 Data - 1x16" sheetId="13" state="hidden" r:id="rId32"/>
    <sheet name="DDR2 Data - 2x16" sheetId="19" state="hidden" r:id="rId33"/>
    <sheet name="DDR2 Data - 1x8" sheetId="29" state="hidden" r:id="rId34"/>
    <sheet name="DDR2Specs" sheetId="14" state="hidden" r:id="rId35"/>
  </sheets>
  <externalReferences>
    <externalReference r:id="rId36"/>
    <externalReference r:id="rId37"/>
    <externalReference r:id="rId38"/>
  </externalReferences>
  <definedNames>
    <definedName name="_xlnm._FilterDatabase" localSheetId="26" hidden="1">'DDR2 Control - 8LTB'!$A$11:$C$11</definedName>
    <definedName name="_M_DATA_A0_2" localSheetId="26">[1]Sheet1!$E$281</definedName>
    <definedName name="_M_DATA_A0_2">[2]Sheet1!$E$281</definedName>
    <definedName name="_M_DATA_A1_2" localSheetId="26">[1]Sheet1!$E$282</definedName>
    <definedName name="_M_DATA_A1_2">[2]Sheet1!$E$282</definedName>
    <definedName name="_M_DATA_A10_2" localSheetId="26">[1]Sheet1!$E$283</definedName>
    <definedName name="_M_DATA_A10_2">[2]Sheet1!$E$283</definedName>
    <definedName name="_M_DATA_A11_2" localSheetId="26">[1]Sheet1!$E$284</definedName>
    <definedName name="_M_DATA_A11_2">[2]Sheet1!$E$284</definedName>
    <definedName name="_M_DATA_A12_2" localSheetId="26">[1]Sheet1!$E$285</definedName>
    <definedName name="_M_DATA_A12_2">[2]Sheet1!$E$285</definedName>
    <definedName name="_M_DATA_A13_2" localSheetId="26">[1]Sheet1!$E$286</definedName>
    <definedName name="_M_DATA_A13_2">[2]Sheet1!$E$286</definedName>
    <definedName name="_M_DATA_A14_2" localSheetId="26">[1]Sheet1!$E$287</definedName>
    <definedName name="_M_DATA_A14_2">[2]Sheet1!$E$287</definedName>
    <definedName name="_M_DATA_A15_2" localSheetId="26">[1]Sheet1!$E$288</definedName>
    <definedName name="_M_DATA_A15_2">[2]Sheet1!$E$288</definedName>
    <definedName name="_M_DATA_A16_2" localSheetId="26">[1]Sheet1!$E$289</definedName>
    <definedName name="_M_DATA_A16_2">[2]Sheet1!$E$289</definedName>
    <definedName name="_M_DATA_A17_2" localSheetId="26">[1]Sheet1!$E$290</definedName>
    <definedName name="_M_DATA_A17_2">[2]Sheet1!$E$290</definedName>
    <definedName name="_M_DATA_A18_2" localSheetId="26">[1]Sheet1!$E$291</definedName>
    <definedName name="_M_DATA_A18_2">[2]Sheet1!$E$291</definedName>
    <definedName name="_M_DATA_A19_2" localSheetId="26">[1]Sheet1!$E$292</definedName>
    <definedName name="_M_DATA_A19_2">[2]Sheet1!$E$292</definedName>
    <definedName name="_M_DATA_A2_2" localSheetId="26">[1]Sheet1!$E$293</definedName>
    <definedName name="_M_DATA_A2_2">[2]Sheet1!$E$293</definedName>
    <definedName name="_M_DATA_A20_2" localSheetId="26">[1]Sheet1!$E$294</definedName>
    <definedName name="_M_DATA_A20_2">[2]Sheet1!$E$294</definedName>
    <definedName name="_M_DATA_A21_2" localSheetId="26">[1]Sheet1!$E$295</definedName>
    <definedName name="_M_DATA_A21_2">[2]Sheet1!$E$295</definedName>
    <definedName name="_M_DATA_A22_2" localSheetId="26">[1]Sheet1!$E$296</definedName>
    <definedName name="_M_DATA_A22_2">[2]Sheet1!$E$296</definedName>
    <definedName name="_M_DATA_A23_2" localSheetId="26">[1]Sheet1!$E$297</definedName>
    <definedName name="_M_DATA_A23_2">[2]Sheet1!$E$297</definedName>
    <definedName name="_M_DATA_A24_2" localSheetId="26">[1]Sheet1!$E$298</definedName>
    <definedName name="_M_DATA_A24_2">[2]Sheet1!$E$298</definedName>
    <definedName name="_M_DATA_A25_2" localSheetId="26">[1]Sheet1!$E$299</definedName>
    <definedName name="_M_DATA_A25_2">[2]Sheet1!$E$299</definedName>
    <definedName name="_M_DATA_A26_2" localSheetId="26">[1]Sheet1!$E$300</definedName>
    <definedName name="_M_DATA_A26_2">[2]Sheet1!$E$300</definedName>
    <definedName name="_M_DATA_A27_2" localSheetId="26">[1]Sheet1!$E$301</definedName>
    <definedName name="_M_DATA_A27_2">[2]Sheet1!$E$301</definedName>
    <definedName name="_M_DATA_A28_2" localSheetId="26">[1]Sheet1!$E$302</definedName>
    <definedName name="_M_DATA_A28_2">[2]Sheet1!$E$302</definedName>
    <definedName name="_M_DATA_A29_2" localSheetId="26">[1]Sheet1!$E$303</definedName>
    <definedName name="_M_DATA_A29_2">[2]Sheet1!$E$303</definedName>
    <definedName name="_M_DATA_A3_2" localSheetId="26">[1]Sheet1!$E$304</definedName>
    <definedName name="_M_DATA_A3_2">[2]Sheet1!$E$304</definedName>
    <definedName name="_M_DATA_A30_2" localSheetId="26">[1]Sheet1!$E$305</definedName>
    <definedName name="_M_DATA_A30_2">[2]Sheet1!$E$305</definedName>
    <definedName name="_M_DATA_A31_2" localSheetId="26">[1]Sheet1!$E$306</definedName>
    <definedName name="_M_DATA_A31_2">[2]Sheet1!$E$306</definedName>
    <definedName name="_M_DATA_A32_2" localSheetId="26">[1]Sheet1!$E$307</definedName>
    <definedName name="_M_DATA_A32_2">[2]Sheet1!$E$307</definedName>
    <definedName name="_M_DATA_A33_2" localSheetId="26">[1]Sheet1!$E$308</definedName>
    <definedName name="_M_DATA_A33_2">[2]Sheet1!$E$308</definedName>
    <definedName name="_M_DATA_A34_2" localSheetId="26">[1]Sheet1!$E$309</definedName>
    <definedName name="_M_DATA_A34_2">[2]Sheet1!$E$309</definedName>
    <definedName name="_M_DATA_A35_2" localSheetId="26">[1]Sheet1!$E$310</definedName>
    <definedName name="_M_DATA_A35_2">[2]Sheet1!$E$310</definedName>
    <definedName name="_M_DATA_A36_2" localSheetId="26">[1]Sheet1!$E$311</definedName>
    <definedName name="_M_DATA_A36_2">[2]Sheet1!$E$311</definedName>
    <definedName name="_M_DATA_A37_2" localSheetId="26">[1]Sheet1!$E$312</definedName>
    <definedName name="_M_DATA_A37_2">[2]Sheet1!$E$312</definedName>
    <definedName name="_M_DATA_A38_2" localSheetId="26">[1]Sheet1!$E$313</definedName>
    <definedName name="_M_DATA_A38_2">[2]Sheet1!$E$313</definedName>
    <definedName name="_M_DATA_A39_2" localSheetId="26">[1]Sheet1!$E$314</definedName>
    <definedName name="_M_DATA_A39_2">[2]Sheet1!$E$314</definedName>
    <definedName name="_M_DATA_A4_2" localSheetId="26">[1]Sheet1!$E$315</definedName>
    <definedName name="_M_DATA_A4_2">[2]Sheet1!$E$315</definedName>
    <definedName name="_M_DATA_A40_2" localSheetId="26">[1]Sheet1!$E$316</definedName>
    <definedName name="_M_DATA_A40_2">[2]Sheet1!$E$316</definedName>
    <definedName name="_M_DATA_A41_2" localSheetId="26">[1]Sheet1!$E$317</definedName>
    <definedName name="_M_DATA_A41_2">[2]Sheet1!$E$317</definedName>
    <definedName name="_M_DATA_A42_2" localSheetId="26">[1]Sheet1!$E$318</definedName>
    <definedName name="_M_DATA_A42_2">[2]Sheet1!$E$318</definedName>
    <definedName name="_M_DATA_A43_2" localSheetId="26">[1]Sheet1!$E$319</definedName>
    <definedName name="_M_DATA_A43_2">[2]Sheet1!$E$319</definedName>
    <definedName name="_M_DATA_A44_2" localSheetId="26">[1]Sheet1!$E$320</definedName>
    <definedName name="_M_DATA_A44_2">[2]Sheet1!$E$320</definedName>
    <definedName name="_M_DATA_A45_2" localSheetId="26">[1]Sheet1!$E$321</definedName>
    <definedName name="_M_DATA_A45_2">[2]Sheet1!$E$321</definedName>
    <definedName name="_M_DATA_A46_2" localSheetId="26">[1]Sheet1!$E$322</definedName>
    <definedName name="_M_DATA_A46_2">[2]Sheet1!$E$322</definedName>
    <definedName name="_M_DATA_A47_2" localSheetId="26">[1]Sheet1!$E$323</definedName>
    <definedName name="_M_DATA_A47_2">[2]Sheet1!$E$323</definedName>
    <definedName name="_M_DATA_A48_2" localSheetId="26">[1]Sheet1!$E$324</definedName>
    <definedName name="_M_DATA_A48_2">[2]Sheet1!$E$324</definedName>
    <definedName name="_M_DATA_A49_2" localSheetId="26">[1]Sheet1!$E$325</definedName>
    <definedName name="_M_DATA_A49_2">[2]Sheet1!$E$325</definedName>
    <definedName name="_M_DATA_A5_2" localSheetId="26">[1]Sheet1!$E$326</definedName>
    <definedName name="_M_DATA_A5_2">[2]Sheet1!$E$326</definedName>
    <definedName name="_M_DATA_A50_2" localSheetId="26">[1]Sheet1!$E$327</definedName>
    <definedName name="_M_DATA_A50_2">[2]Sheet1!$E$327</definedName>
    <definedName name="_M_DATA_A51_2" localSheetId="26">[1]Sheet1!$E$328</definedName>
    <definedName name="_M_DATA_A51_2">[2]Sheet1!$E$328</definedName>
    <definedName name="_M_DATA_A52_2" localSheetId="26">[1]Sheet1!$E$329</definedName>
    <definedName name="_M_DATA_A52_2">[2]Sheet1!$E$329</definedName>
    <definedName name="_M_DATA_A53_2" localSheetId="26">[1]Sheet1!$E$330</definedName>
    <definedName name="_M_DATA_A53_2">[2]Sheet1!$E$330</definedName>
    <definedName name="_M_DATA_A54_2" localSheetId="26">[1]Sheet1!$E$331</definedName>
    <definedName name="_M_DATA_A54_2">[2]Sheet1!$E$331</definedName>
    <definedName name="_M_DATA_A55_2" localSheetId="26">[1]Sheet1!$E$332</definedName>
    <definedName name="_M_DATA_A55_2">[2]Sheet1!$E$332</definedName>
    <definedName name="_M_DATA_A56_2" localSheetId="26">[1]Sheet1!$E$333</definedName>
    <definedName name="_M_DATA_A56_2">[2]Sheet1!$E$333</definedName>
    <definedName name="_M_DATA_A57_2" localSheetId="26">[1]Sheet1!$E$334</definedName>
    <definedName name="_M_DATA_A57_2">[2]Sheet1!$E$334</definedName>
    <definedName name="_M_DATA_A58_2" localSheetId="26">[1]Sheet1!$E$335</definedName>
    <definedName name="_M_DATA_A58_2">[2]Sheet1!$E$335</definedName>
    <definedName name="_M_DATA_A59_2" localSheetId="26">[1]Sheet1!$E$336</definedName>
    <definedName name="_M_DATA_A59_2">[2]Sheet1!$E$336</definedName>
    <definedName name="_M_DATA_A6_2" localSheetId="26">[1]Sheet1!$E$337</definedName>
    <definedName name="_M_DATA_A6_2">[2]Sheet1!$E$337</definedName>
    <definedName name="_M_DATA_A60_2" localSheetId="26">[1]Sheet1!$E$338</definedName>
    <definedName name="_M_DATA_A60_2">[2]Sheet1!$E$338</definedName>
    <definedName name="_M_DATA_A61_2" localSheetId="26">[1]Sheet1!$E$339</definedName>
    <definedName name="_M_DATA_A61_2">[2]Sheet1!$E$339</definedName>
    <definedName name="_M_DATA_A62_2" localSheetId="26">[1]Sheet1!$E$340</definedName>
    <definedName name="_M_DATA_A62_2">[2]Sheet1!$E$340</definedName>
    <definedName name="_M_DATA_A63_2" localSheetId="26">[1]Sheet1!$E$341</definedName>
    <definedName name="_M_DATA_A63_2">[2]Sheet1!$E$341</definedName>
    <definedName name="_M_DATA_A7_2" localSheetId="26">[1]Sheet1!$E$342</definedName>
    <definedName name="_M_DATA_A7_2">[2]Sheet1!$E$342</definedName>
    <definedName name="_M_DATA_A8_2" localSheetId="26">[1]Sheet1!$E$343</definedName>
    <definedName name="_M_DATA_A8_2">[2]Sheet1!$E$343</definedName>
    <definedName name="_M_DATA_A9_2" localSheetId="26">[1]Sheet1!$E$344</definedName>
    <definedName name="_M_DATA_A9_2">[2]Sheet1!$E$344</definedName>
    <definedName name="_M_DQM_A0_2" localSheetId="26">[1]Sheet1!$E$346</definedName>
    <definedName name="_M_DQM_A0_2">[2]Sheet1!$E$346</definedName>
    <definedName name="_M_DQM_A1_2" localSheetId="26">[1]Sheet1!$E$347</definedName>
    <definedName name="_M_DQM_A1_2">[2]Sheet1!$E$347</definedName>
    <definedName name="_M_DQM_A2_2" localSheetId="26">[1]Sheet1!$E$348</definedName>
    <definedName name="_M_DQM_A2_2">[2]Sheet1!$E$348</definedName>
    <definedName name="_M_DQM_A3_2" localSheetId="26">[1]Sheet1!$E$349</definedName>
    <definedName name="_M_DQM_A3_2">[2]Sheet1!$E$349</definedName>
    <definedName name="_M_DQM_A4_2" localSheetId="26">[1]Sheet1!$E$350</definedName>
    <definedName name="_M_DQM_A4_2">[2]Sheet1!$E$350</definedName>
    <definedName name="_M_DQM_A5_2" localSheetId="26">[1]Sheet1!$E$351</definedName>
    <definedName name="_M_DQM_A5_2">[2]Sheet1!$E$351</definedName>
    <definedName name="_M_DQM_A6_2" localSheetId="26">[1]Sheet1!$E$352</definedName>
    <definedName name="_M_DQM_A6_2">[2]Sheet1!$E$352</definedName>
    <definedName name="_M_DQM_A7_2" localSheetId="26">[1]Sheet1!$E$353</definedName>
    <definedName name="_M_DQM_A7_2">[2]Sheet1!$E$353</definedName>
    <definedName name="_M_DQS_A_0_2" localSheetId="26">[1]Sheet1!$E$355</definedName>
    <definedName name="_M_DQS_A_0_2">[2]Sheet1!$E$355</definedName>
    <definedName name="_M_DQS_A_1_2" localSheetId="26">[1]Sheet1!$E$356</definedName>
    <definedName name="_M_DQS_A_1_2">[2]Sheet1!$E$356</definedName>
    <definedName name="_M_DQS_A_2_2" localSheetId="26">[1]Sheet1!$E$357</definedName>
    <definedName name="_M_DQS_A_2_2">[2]Sheet1!$E$357</definedName>
    <definedName name="_M_DQS_A_3_2" localSheetId="26">[1]Sheet1!$E$358</definedName>
    <definedName name="_M_DQS_A_3_2">[2]Sheet1!$E$358</definedName>
    <definedName name="_M_DQS_A_4_2" localSheetId="26">[1]Sheet1!$E$359</definedName>
    <definedName name="_M_DQS_A_4_2">[2]Sheet1!$E$359</definedName>
    <definedName name="_M_DQS_A_5_2" localSheetId="26">[1]Sheet1!$E$360</definedName>
    <definedName name="_M_DQS_A_5_2">[2]Sheet1!$E$360</definedName>
    <definedName name="_M_DQS_A_6_2" localSheetId="26">[1]Sheet1!$E$361</definedName>
    <definedName name="_M_DQS_A_6_2">[2]Sheet1!$E$361</definedName>
    <definedName name="_M_DQS_A_7_2" localSheetId="26">[1]Sheet1!$E$362</definedName>
    <definedName name="_M_DQS_A_7_2">[2]Sheet1!$E$362</definedName>
    <definedName name="_M_DQS_A0_2" localSheetId="26">[1]Sheet1!$E$363</definedName>
    <definedName name="_M_DQS_A0_2">[2]Sheet1!$E$363</definedName>
    <definedName name="_M_DQS_A1_2" localSheetId="26">[1]Sheet1!$E$364</definedName>
    <definedName name="_M_DQS_A1_2">[2]Sheet1!$E$364</definedName>
    <definedName name="_M_DQS_A2_2" localSheetId="26">[1]Sheet1!$E$365</definedName>
    <definedName name="_M_DQS_A2_2">[2]Sheet1!$E$365</definedName>
    <definedName name="_M_DQS_A3_2" localSheetId="26">[1]Sheet1!$E$366</definedName>
    <definedName name="_M_DQS_A3_2">[2]Sheet1!$E$366</definedName>
    <definedName name="_M_DQS_A4_2" localSheetId="26">[1]Sheet1!$E$367</definedName>
    <definedName name="_M_DQS_A4_2">[2]Sheet1!$E$367</definedName>
    <definedName name="_M_DQS_A5_2" localSheetId="26">[1]Sheet1!$E$368</definedName>
    <definedName name="_M_DQS_A5_2">[2]Sheet1!$E$368</definedName>
    <definedName name="_M_DQS_A6_2" localSheetId="26">[1]Sheet1!$E$369</definedName>
    <definedName name="_M_DQS_A6_2">[2]Sheet1!$E$369</definedName>
    <definedName name="_M_DQS_A7_2" localSheetId="26">[1]Sheet1!$E$370</definedName>
    <definedName name="_M_DQS_A7_2">[2]Sheet1!$E$370</definedName>
    <definedName name="AAA">#REF!</definedName>
    <definedName name="aaaaa">#REF!</definedName>
    <definedName name="COMPLACEMENT">#REF!</definedName>
    <definedName name="CompPlacement" localSheetId="3">#REF!</definedName>
    <definedName name="CompPlacement" localSheetId="4">#REF!</definedName>
    <definedName name="CompPlacement" localSheetId="11">#REF!</definedName>
    <definedName name="CompPlacement" localSheetId="1">#REF!</definedName>
    <definedName name="CompPlacement" localSheetId="10">#REF!</definedName>
    <definedName name="CompPlacement" localSheetId="12">#REF!</definedName>
    <definedName name="CompPlacement" localSheetId="5">#REF!</definedName>
    <definedName name="CompPlacement" localSheetId="8">#REF!</definedName>
    <definedName name="CompPlacement" localSheetId="2">#REF!</definedName>
    <definedName name="CompPlacement" localSheetId="0">#REF!</definedName>
    <definedName name="CompPlacement" localSheetId="7">#REF!</definedName>
    <definedName name="CompPlacement" localSheetId="15">#REF!</definedName>
    <definedName name="CompPlacement" localSheetId="14">#REF!</definedName>
    <definedName name="CompPlacement" localSheetId="13">#REF!</definedName>
    <definedName name="CompPlacement" localSheetId="9">#REF!</definedName>
    <definedName name="CompPlacement" localSheetId="6">#REF!</definedName>
    <definedName name="CompPlacement">#REF!</definedName>
    <definedName name="CompType" localSheetId="3">#REF!</definedName>
    <definedName name="CompType" localSheetId="4">#REF!</definedName>
    <definedName name="CompType" localSheetId="11">#REF!</definedName>
    <definedName name="CompType" localSheetId="1">#REF!</definedName>
    <definedName name="CompType" localSheetId="10">#REF!</definedName>
    <definedName name="CompType" localSheetId="12">#REF!</definedName>
    <definedName name="CompType" localSheetId="5">#REF!</definedName>
    <definedName name="CompType" localSheetId="8">#REF!</definedName>
    <definedName name="CompType" localSheetId="2">#REF!</definedName>
    <definedName name="CompType" localSheetId="0">#REF!</definedName>
    <definedName name="CompType" localSheetId="7">#REF!</definedName>
    <definedName name="CompType" localSheetId="15">#REF!</definedName>
    <definedName name="CompType" localSheetId="14">#REF!</definedName>
    <definedName name="CompType" localSheetId="13">#REF!</definedName>
    <definedName name="CompType" localSheetId="9">#REF!</definedName>
    <definedName name="CompType" localSheetId="6">#REF!</definedName>
    <definedName name="CompType">#REF!</definedName>
    <definedName name="COMPTYPE2">#REF!</definedName>
    <definedName name="CtlMDU1Clk">'DDR2 Control - 4L'!$T$18</definedName>
    <definedName name="CtlMDU1Clkn">'DDR2 Control - 4L'!$U$18</definedName>
    <definedName name="CtlMDU2Clk">'DDR2 Control - 4L'!$T$30</definedName>
    <definedName name="CtlMDU2Clkn">'DDR2 Control - 4L'!$U$30</definedName>
    <definedName name="CtlMDU3Clk">'DDR2 Control - 4L'!$T$42</definedName>
    <definedName name="CtlMDU3Clkn">'DDR2 Control - 4L'!$U$42</definedName>
    <definedName name="CtlMDU4Clk">'DDR2 Control - 4L'!$T$54</definedName>
    <definedName name="CtlMDU4Clkn">'DDR2 Control - 4L'!$U$54</definedName>
    <definedName name="CtlPassFail">'DDR2 Control - 4L'!$F$1</definedName>
    <definedName name="CtlSODIMMClk">'DDR2 Control - 4L'!$Q$5</definedName>
    <definedName name="CtlSODIMMClkn">'DDR2 Control - 4L'!$R$5</definedName>
    <definedName name="MeasureUnits" localSheetId="3">#REF!</definedName>
    <definedName name="MeasureUnits" localSheetId="26">[3]DDR2Instructions!$D$42</definedName>
    <definedName name="MeasureUnits" localSheetId="4">#REF!</definedName>
    <definedName name="MeasureUnits" localSheetId="11">#REF!</definedName>
    <definedName name="MeasureUnits" localSheetId="1">#REF!</definedName>
    <definedName name="MeasureUnits" localSheetId="10">#REF!</definedName>
    <definedName name="MeasureUnits" localSheetId="12">#REF!</definedName>
    <definedName name="MeasureUnits" localSheetId="5">#REF!</definedName>
    <definedName name="MeasureUnits" localSheetId="8">#REF!</definedName>
    <definedName name="MeasureUnits" localSheetId="2">#REF!</definedName>
    <definedName name="MeasureUnits" localSheetId="0">#REF!</definedName>
    <definedName name="MeasureUnits" localSheetId="7">#REF!</definedName>
    <definedName name="MeasureUnits" localSheetId="15">#REF!</definedName>
    <definedName name="MeasureUnits" localSheetId="14">#REF!</definedName>
    <definedName name="MeasureUnits" localSheetId="13">#REF!</definedName>
    <definedName name="MeasureUnits" localSheetId="9">#REF!</definedName>
    <definedName name="MeasureUnits" localSheetId="6">#REF!</definedName>
    <definedName name="MeasureUnits">#REF!</definedName>
    <definedName name="MEASUREUNITS2">#REF!</definedName>
    <definedName name="SDR">#REF!</definedName>
    <definedName name="SDRAM">#REF!</definedName>
    <definedName name="SDRAMArray" localSheetId="3">#REF!</definedName>
    <definedName name="SDRAMArray" localSheetId="4">#REF!</definedName>
    <definedName name="SDRAMArray" localSheetId="11">#REF!</definedName>
    <definedName name="SDRAMArray" localSheetId="1">#REF!</definedName>
    <definedName name="SDRAMArray" localSheetId="10">#REF!</definedName>
    <definedName name="SDRAMArray" localSheetId="12">#REF!</definedName>
    <definedName name="SDRAMArray" localSheetId="5">#REF!</definedName>
    <definedName name="SDRAMArray" localSheetId="8">#REF!</definedName>
    <definedName name="SDRAMArray" localSheetId="2">#REF!</definedName>
    <definedName name="SDRAMArray" localSheetId="0">#REF!</definedName>
    <definedName name="SDRAMArray" localSheetId="7">#REF!</definedName>
    <definedName name="SDRAMArray" localSheetId="15">#REF!</definedName>
    <definedName name="SDRAMArray" localSheetId="14">#REF!</definedName>
    <definedName name="SDRAMArray" localSheetId="13">#REF!</definedName>
    <definedName name="SDRAMArray" localSheetId="9">#REF!</definedName>
    <definedName name="SDRAMArray" localSheetId="6">#REF!</definedName>
    <definedName name="SDRAMArray">#REF!</definedName>
    <definedName name="SDRAMArrayStart" localSheetId="3">#REF!</definedName>
    <definedName name="SDRAMArrayStart" localSheetId="4">#REF!</definedName>
    <definedName name="SDRAMArrayStart" localSheetId="11">#REF!</definedName>
    <definedName name="SDRAMArrayStart" localSheetId="1">#REF!</definedName>
    <definedName name="SDRAMArrayStart" localSheetId="10">#REF!</definedName>
    <definedName name="SDRAMArrayStart" localSheetId="12">#REF!</definedName>
    <definedName name="SDRAMArrayStart" localSheetId="5">#REF!</definedName>
    <definedName name="SDRAMArrayStart" localSheetId="8">#REF!</definedName>
    <definedName name="SDRAMArrayStart" localSheetId="2">#REF!</definedName>
    <definedName name="SDRAMArrayStart" localSheetId="0">#REF!</definedName>
    <definedName name="SDRAMArrayStart" localSheetId="7">#REF!</definedName>
    <definedName name="SDRAMArrayStart" localSheetId="15">#REF!</definedName>
    <definedName name="SDRAMArrayStart" localSheetId="14">#REF!</definedName>
    <definedName name="SDRAMArrayStart" localSheetId="13">#REF!</definedName>
    <definedName name="SDRAMArrayStart" localSheetId="9">#REF!</definedName>
    <definedName name="SDRAMArrayStart" localSheetId="6">#REF!</definedName>
    <definedName name="SDRAMArrayStart">#REF!</definedName>
    <definedName name="SDRAMDQSLen">'DDR2 Strobes - 1x8'!$Z$7</definedName>
    <definedName name="SODIMMS">#REF!</definedName>
    <definedName name="SODIMMSupport" localSheetId="3">#REF!</definedName>
    <definedName name="SODIMMSupport" localSheetId="4">#REF!</definedName>
    <definedName name="SODIMMSupport" localSheetId="11">#REF!</definedName>
    <definedName name="SODIMMSupport" localSheetId="1">#REF!</definedName>
    <definedName name="SODIMMSupport" localSheetId="10">#REF!</definedName>
    <definedName name="SODIMMSupport" localSheetId="12">#REF!</definedName>
    <definedName name="SODIMMSupport" localSheetId="5">#REF!</definedName>
    <definedName name="SODIMMSupport" localSheetId="8">#REF!</definedName>
    <definedName name="SODIMMSupport" localSheetId="2">#REF!</definedName>
    <definedName name="SODIMMSupport" localSheetId="0">#REF!</definedName>
    <definedName name="SODIMMSupport" localSheetId="7">#REF!</definedName>
    <definedName name="SODIMMSupport" localSheetId="15">#REF!</definedName>
    <definedName name="SODIMMSupport" localSheetId="14">#REF!</definedName>
    <definedName name="SODIMMSupport" localSheetId="13">#REF!</definedName>
    <definedName name="SODIMMSupport" localSheetId="9">#REF!</definedName>
    <definedName name="SODIMMSupport" localSheetId="6">#REF!</definedName>
    <definedName name="SODIMMSupport">#REF!</definedName>
    <definedName name="StrbTitle">'DDR2 Strobes - 1x8'!$A$3</definedName>
  </definedNames>
  <calcPr calcId="145621"/>
</workbook>
</file>

<file path=xl/calcChain.xml><?xml version="1.0" encoding="utf-8"?>
<calcChain xmlns="http://schemas.openxmlformats.org/spreadsheetml/2006/main">
  <c r="E10" i="109" l="1"/>
  <c r="E9" i="109"/>
  <c r="E8" i="109"/>
  <c r="E7" i="109"/>
  <c r="E6" i="109"/>
  <c r="E5" i="109"/>
  <c r="E4" i="109"/>
  <c r="E3" i="109"/>
  <c r="G4" i="127" l="1"/>
  <c r="E4" i="127"/>
  <c r="E3" i="127"/>
  <c r="G6" i="126" l="1"/>
  <c r="E6" i="126"/>
  <c r="G5" i="126"/>
  <c r="E5" i="126"/>
  <c r="G4" i="126"/>
  <c r="E4" i="126"/>
  <c r="E3" i="126"/>
  <c r="G11" i="125" l="1"/>
  <c r="E11" i="125"/>
  <c r="G10" i="125"/>
  <c r="E10" i="125"/>
  <c r="G9" i="125"/>
  <c r="E9" i="125"/>
  <c r="G8" i="125"/>
  <c r="E8" i="125"/>
  <c r="G7" i="125"/>
  <c r="E7" i="125"/>
  <c r="G6" i="125"/>
  <c r="E6" i="125"/>
  <c r="G5" i="125"/>
  <c r="E5" i="125"/>
  <c r="G4" i="125"/>
  <c r="E4" i="125"/>
  <c r="E3" i="125"/>
  <c r="G9" i="123" l="1"/>
  <c r="E9" i="123"/>
  <c r="G8" i="123"/>
  <c r="E8" i="123"/>
  <c r="G7" i="123"/>
  <c r="E7" i="123"/>
  <c r="G6" i="123"/>
  <c r="E6" i="123"/>
  <c r="G5" i="123"/>
  <c r="E5" i="123"/>
  <c r="G4" i="123"/>
  <c r="E4" i="123"/>
  <c r="E3" i="123"/>
  <c r="G10" i="122"/>
  <c r="E10" i="122"/>
  <c r="G9" i="122"/>
  <c r="E9" i="122"/>
  <c r="G8" i="122"/>
  <c r="E8" i="122"/>
  <c r="G7" i="122"/>
  <c r="E7" i="122"/>
  <c r="G6" i="122"/>
  <c r="E6" i="122"/>
  <c r="G5" i="122"/>
  <c r="E5" i="122"/>
  <c r="G4" i="122"/>
  <c r="E4" i="122"/>
  <c r="E3" i="122"/>
  <c r="G38" i="121"/>
  <c r="E38" i="121"/>
  <c r="E37" i="121"/>
  <c r="G36" i="121"/>
  <c r="E36" i="121"/>
  <c r="E35" i="121"/>
  <c r="G34" i="121"/>
  <c r="E34" i="121"/>
  <c r="E33" i="121"/>
  <c r="G32" i="121"/>
  <c r="E32" i="121"/>
  <c r="E31" i="121"/>
  <c r="G30" i="121"/>
  <c r="E30" i="121"/>
  <c r="E29" i="121"/>
  <c r="G28" i="121"/>
  <c r="E28" i="121"/>
  <c r="E27" i="121"/>
  <c r="G26" i="121"/>
  <c r="E26" i="121"/>
  <c r="E25" i="121"/>
  <c r="G24" i="121"/>
  <c r="E24" i="121"/>
  <c r="E23" i="121"/>
  <c r="G19" i="121"/>
  <c r="E19" i="121"/>
  <c r="E18" i="121"/>
  <c r="G17" i="121"/>
  <c r="E17" i="121"/>
  <c r="E16" i="121"/>
  <c r="G15" i="121"/>
  <c r="E15" i="121"/>
  <c r="E14" i="121"/>
  <c r="G13" i="121"/>
  <c r="E13" i="121"/>
  <c r="E12" i="121"/>
  <c r="G11" i="121"/>
  <c r="E11" i="121"/>
  <c r="E10" i="121"/>
  <c r="G9" i="121"/>
  <c r="E9" i="121"/>
  <c r="E8" i="121"/>
  <c r="G7" i="121"/>
  <c r="E7" i="121"/>
  <c r="E6" i="121"/>
  <c r="G5" i="121"/>
  <c r="E5" i="121"/>
  <c r="E4" i="121"/>
  <c r="G34" i="120"/>
  <c r="E34" i="120"/>
  <c r="E33" i="120"/>
  <c r="G32" i="120"/>
  <c r="E32" i="120"/>
  <c r="E31" i="120"/>
  <c r="G30" i="120"/>
  <c r="E30" i="120"/>
  <c r="E29" i="120"/>
  <c r="G28" i="120"/>
  <c r="E28" i="120"/>
  <c r="E27" i="120"/>
  <c r="G26" i="120"/>
  <c r="E26" i="120"/>
  <c r="E25" i="120"/>
  <c r="G24" i="120"/>
  <c r="E24" i="120"/>
  <c r="E23" i="120"/>
  <c r="G22" i="120"/>
  <c r="E22" i="120"/>
  <c r="E21" i="120"/>
  <c r="G20" i="120"/>
  <c r="E20" i="120"/>
  <c r="E19" i="120"/>
  <c r="G18" i="120"/>
  <c r="E18" i="120"/>
  <c r="E17" i="120"/>
  <c r="G16" i="120"/>
  <c r="E16" i="120"/>
  <c r="E15" i="120"/>
  <c r="G14" i="120"/>
  <c r="E14" i="120"/>
  <c r="E13" i="120"/>
  <c r="G12" i="120"/>
  <c r="E12" i="120"/>
  <c r="E11" i="120"/>
  <c r="G10" i="120"/>
  <c r="E10" i="120"/>
  <c r="E9" i="120"/>
  <c r="G8" i="120"/>
  <c r="E8" i="120"/>
  <c r="E7" i="120"/>
  <c r="G6" i="120"/>
  <c r="E6" i="120"/>
  <c r="E5" i="120"/>
  <c r="G4" i="120"/>
  <c r="E4" i="120"/>
  <c r="E3" i="120"/>
  <c r="G18" i="119"/>
  <c r="E18" i="119"/>
  <c r="E17" i="119"/>
  <c r="G16" i="119"/>
  <c r="E16" i="119"/>
  <c r="E15" i="119"/>
  <c r="G14" i="119"/>
  <c r="E14" i="119"/>
  <c r="E13" i="119"/>
  <c r="G12" i="119"/>
  <c r="E12" i="119"/>
  <c r="E11" i="119"/>
  <c r="G10" i="119"/>
  <c r="E10" i="119"/>
  <c r="E9" i="119"/>
  <c r="G8" i="119"/>
  <c r="E8" i="119"/>
  <c r="E7" i="119"/>
  <c r="G6" i="119"/>
  <c r="E6" i="119"/>
  <c r="E5" i="119"/>
  <c r="G4" i="119"/>
  <c r="E4" i="119"/>
  <c r="E3" i="119"/>
  <c r="G9" i="118"/>
  <c r="E9" i="118"/>
  <c r="E8" i="118"/>
  <c r="G7" i="118"/>
  <c r="E7" i="118"/>
  <c r="E6" i="118"/>
  <c r="G5" i="118"/>
  <c r="E5" i="118"/>
  <c r="G4" i="118"/>
  <c r="E4" i="118"/>
  <c r="E3" i="118"/>
  <c r="G24" i="117"/>
  <c r="E24" i="117"/>
  <c r="E23" i="117"/>
  <c r="G22" i="117"/>
  <c r="E22" i="117"/>
  <c r="G21" i="117"/>
  <c r="E21" i="117"/>
  <c r="G20" i="117"/>
  <c r="E20" i="117"/>
  <c r="G19" i="117"/>
  <c r="E19" i="117"/>
  <c r="G18" i="117"/>
  <c r="E18" i="117"/>
  <c r="G17" i="117"/>
  <c r="E17" i="117"/>
  <c r="G16" i="117"/>
  <c r="E16" i="117"/>
  <c r="G15" i="117"/>
  <c r="E15" i="117"/>
  <c r="G14" i="117"/>
  <c r="E14" i="117"/>
  <c r="G13" i="117"/>
  <c r="E13" i="117"/>
  <c r="G12" i="117"/>
  <c r="E12" i="117"/>
  <c r="G11" i="117"/>
  <c r="E11" i="117"/>
  <c r="G10" i="117"/>
  <c r="E10" i="117"/>
  <c r="G9" i="117"/>
  <c r="E9" i="117"/>
  <c r="G8" i="117"/>
  <c r="E8" i="117"/>
  <c r="G7" i="117"/>
  <c r="E7" i="117"/>
  <c r="G6" i="117"/>
  <c r="E6" i="117"/>
  <c r="G5" i="117"/>
  <c r="E5" i="117"/>
  <c r="G4" i="117"/>
  <c r="E4" i="117"/>
  <c r="E3" i="117"/>
  <c r="E12" i="107"/>
  <c r="E11" i="107"/>
  <c r="E10" i="107"/>
  <c r="E9" i="107"/>
  <c r="E8" i="107"/>
  <c r="E7" i="107"/>
  <c r="E6" i="107"/>
  <c r="E5" i="107"/>
  <c r="E4" i="107"/>
  <c r="E3" i="107"/>
  <c r="G48" i="96"/>
  <c r="G46" i="96"/>
  <c r="G44" i="96"/>
  <c r="G43" i="96"/>
  <c r="G42" i="96"/>
  <c r="G41" i="96"/>
  <c r="G40" i="96"/>
  <c r="G39" i="96"/>
  <c r="G38" i="96"/>
  <c r="G34" i="96"/>
  <c r="G32" i="96"/>
  <c r="G30" i="96"/>
  <c r="G29" i="96"/>
  <c r="G28" i="96"/>
  <c r="G27" i="96"/>
  <c r="G26" i="96"/>
  <c r="G25" i="96"/>
  <c r="G24" i="96"/>
  <c r="G20" i="96"/>
  <c r="G18" i="96"/>
  <c r="G12" i="96"/>
  <c r="G11" i="96"/>
  <c r="G10" i="96"/>
  <c r="G9" i="96"/>
  <c r="G7" i="96"/>
  <c r="G8" i="96"/>
  <c r="G6" i="96"/>
  <c r="G5" i="96"/>
  <c r="G4" i="96"/>
  <c r="E48" i="96"/>
  <c r="E47" i="96"/>
  <c r="E46" i="96"/>
  <c r="E45" i="96"/>
  <c r="E34" i="96"/>
  <c r="E33" i="96"/>
  <c r="E32" i="96"/>
  <c r="E31" i="96"/>
  <c r="E20" i="96"/>
  <c r="E19" i="96"/>
  <c r="E18" i="96"/>
  <c r="E17" i="96"/>
  <c r="E44" i="96"/>
  <c r="E43" i="96"/>
  <c r="E42" i="96"/>
  <c r="E41" i="96"/>
  <c r="E40" i="96"/>
  <c r="E39" i="96"/>
  <c r="E38" i="96"/>
  <c r="E37" i="96"/>
  <c r="E30" i="96"/>
  <c r="E29" i="96"/>
  <c r="E28" i="96"/>
  <c r="E27" i="96"/>
  <c r="E26" i="96"/>
  <c r="E25" i="96"/>
  <c r="E24" i="96"/>
  <c r="E23" i="96"/>
  <c r="E10" i="96"/>
  <c r="E9" i="96"/>
  <c r="E8" i="96"/>
  <c r="E7" i="96"/>
  <c r="E6" i="96"/>
  <c r="E5" i="96"/>
  <c r="E4" i="96"/>
  <c r="E3" i="96"/>
  <c r="G66" i="116" l="1"/>
  <c r="E66" i="116"/>
  <c r="G65" i="116"/>
  <c r="E65" i="116"/>
  <c r="G64" i="116"/>
  <c r="E64" i="116"/>
  <c r="G63" i="116"/>
  <c r="E63" i="116"/>
  <c r="G62" i="116"/>
  <c r="E62" i="116"/>
  <c r="G61" i="116"/>
  <c r="E61" i="116"/>
  <c r="G60" i="116"/>
  <c r="E60" i="116"/>
  <c r="G59" i="116"/>
  <c r="E59" i="116"/>
  <c r="G58" i="116"/>
  <c r="E58" i="116"/>
  <c r="G57" i="116"/>
  <c r="E57" i="116"/>
  <c r="G56" i="116"/>
  <c r="E56" i="116"/>
  <c r="G55" i="116"/>
  <c r="E55" i="116"/>
  <c r="G54" i="116"/>
  <c r="E54" i="116"/>
  <c r="G53" i="116"/>
  <c r="E53" i="116"/>
  <c r="G52" i="116"/>
  <c r="E52" i="116"/>
  <c r="G51" i="116"/>
  <c r="E51" i="116"/>
  <c r="G50" i="116"/>
  <c r="E50" i="116"/>
  <c r="G49" i="116"/>
  <c r="E49" i="116"/>
  <c r="G48" i="116"/>
  <c r="E48" i="116"/>
  <c r="G47" i="116"/>
  <c r="E47" i="116"/>
  <c r="G46" i="116"/>
  <c r="E46" i="116"/>
  <c r="G45" i="116"/>
  <c r="E45" i="116"/>
  <c r="G44" i="116"/>
  <c r="E44" i="116"/>
  <c r="G43" i="116"/>
  <c r="E43" i="116"/>
  <c r="G42" i="116"/>
  <c r="E42" i="116"/>
  <c r="G41" i="116"/>
  <c r="E41" i="116"/>
  <c r="G40" i="116"/>
  <c r="E40" i="116"/>
  <c r="G39" i="116"/>
  <c r="E39" i="116"/>
  <c r="G38" i="116"/>
  <c r="E38" i="116"/>
  <c r="G37" i="116"/>
  <c r="E37" i="116"/>
  <c r="G36" i="116"/>
  <c r="E36" i="116"/>
  <c r="E35" i="116"/>
  <c r="G34" i="116"/>
  <c r="E34" i="116"/>
  <c r="G33" i="116"/>
  <c r="E33" i="116"/>
  <c r="G32" i="116"/>
  <c r="E32" i="116"/>
  <c r="G31" i="116"/>
  <c r="E31" i="116"/>
  <c r="G30" i="116"/>
  <c r="E30" i="116"/>
  <c r="G29" i="116"/>
  <c r="E29" i="116"/>
  <c r="G28" i="116"/>
  <c r="E28" i="116"/>
  <c r="G27" i="116"/>
  <c r="E27" i="116"/>
  <c r="G26" i="116"/>
  <c r="E26" i="116"/>
  <c r="G25" i="116"/>
  <c r="E25" i="116"/>
  <c r="G24" i="116"/>
  <c r="E24" i="116"/>
  <c r="G23" i="116"/>
  <c r="E23" i="116"/>
  <c r="G22" i="116"/>
  <c r="E22" i="116"/>
  <c r="G21" i="116"/>
  <c r="E21" i="116"/>
  <c r="G20" i="116"/>
  <c r="E20" i="116"/>
  <c r="G19" i="116"/>
  <c r="E19" i="116"/>
  <c r="G18" i="116"/>
  <c r="E18" i="116"/>
  <c r="G17" i="116"/>
  <c r="E17" i="116"/>
  <c r="G16" i="116"/>
  <c r="E16" i="116"/>
  <c r="G15" i="116"/>
  <c r="E15" i="116"/>
  <c r="G14" i="116"/>
  <c r="E14" i="116"/>
  <c r="G13" i="116"/>
  <c r="E13" i="116"/>
  <c r="G12" i="116"/>
  <c r="E12" i="116"/>
  <c r="G11" i="116"/>
  <c r="E11" i="116"/>
  <c r="G10" i="116"/>
  <c r="E10" i="116"/>
  <c r="G9" i="116"/>
  <c r="E9" i="116"/>
  <c r="G8" i="116"/>
  <c r="E8" i="116"/>
  <c r="G7" i="116"/>
  <c r="E7" i="116"/>
  <c r="G6" i="116"/>
  <c r="E6" i="116"/>
  <c r="G5" i="116"/>
  <c r="E5" i="116"/>
  <c r="G4" i="116"/>
  <c r="E4" i="116"/>
  <c r="E3" i="116"/>
  <c r="G7" i="109" l="1"/>
  <c r="G10" i="109"/>
  <c r="G9" i="109"/>
  <c r="G8" i="109"/>
  <c r="G6" i="109"/>
  <c r="G5" i="109"/>
  <c r="G4" i="109"/>
  <c r="G9" i="107"/>
  <c r="G7" i="107"/>
  <c r="G6" i="107"/>
  <c r="G5" i="107"/>
  <c r="G4" i="107"/>
  <c r="G8" i="107"/>
  <c r="G10" i="107"/>
  <c r="G12" i="107"/>
  <c r="B2" i="9"/>
  <c r="P10" i="9"/>
  <c r="P11" i="9"/>
  <c r="P12" i="9"/>
  <c r="P13" i="9"/>
  <c r="AP13" i="9" s="1"/>
  <c r="P5" i="9"/>
  <c r="P6" i="9"/>
  <c r="Q5" i="9"/>
  <c r="Q6" i="9"/>
  <c r="AN6" i="9" s="1"/>
  <c r="P7" i="9"/>
  <c r="P8" i="9"/>
  <c r="Q7" i="9"/>
  <c r="Q8" i="9"/>
  <c r="AN8" i="9" s="1"/>
  <c r="T13" i="9"/>
  <c r="T12" i="9"/>
  <c r="W5" i="9"/>
  <c r="T5" i="9"/>
  <c r="W6" i="9"/>
  <c r="T6" i="9"/>
  <c r="W7" i="9"/>
  <c r="T7" i="9"/>
  <c r="W8" i="9"/>
  <c r="T8" i="9"/>
  <c r="T10" i="9"/>
  <c r="T11" i="9"/>
  <c r="N22" i="16"/>
  <c r="N23" i="16"/>
  <c r="B2" i="16"/>
  <c r="N24" i="16"/>
  <c r="N25" i="16"/>
  <c r="N5" i="16"/>
  <c r="N6" i="16"/>
  <c r="D9" i="16"/>
  <c r="E9" i="16"/>
  <c r="F9" i="16"/>
  <c r="D10" i="16"/>
  <c r="E10" i="16"/>
  <c r="F10" i="16"/>
  <c r="N13" i="16"/>
  <c r="N14" i="16"/>
  <c r="D17" i="16"/>
  <c r="E17" i="16"/>
  <c r="F17" i="16"/>
  <c r="D18" i="16"/>
  <c r="E18" i="16"/>
  <c r="F18" i="16"/>
  <c r="D7" i="16"/>
  <c r="E7" i="16"/>
  <c r="F7" i="16"/>
  <c r="H7" i="16"/>
  <c r="D8" i="16"/>
  <c r="E8" i="16"/>
  <c r="F8" i="16"/>
  <c r="H8" i="16"/>
  <c r="D11" i="16"/>
  <c r="E11" i="16"/>
  <c r="F11" i="16"/>
  <c r="H11" i="16"/>
  <c r="D12" i="16"/>
  <c r="E12" i="16"/>
  <c r="F12" i="16"/>
  <c r="H12" i="16"/>
  <c r="D15" i="16"/>
  <c r="E15" i="16"/>
  <c r="F15" i="16"/>
  <c r="H15" i="16"/>
  <c r="D16" i="16"/>
  <c r="E16" i="16"/>
  <c r="F16" i="16"/>
  <c r="H16" i="16"/>
  <c r="D19" i="16"/>
  <c r="E19" i="16"/>
  <c r="F19" i="16"/>
  <c r="H19" i="16"/>
  <c r="D20" i="16"/>
  <c r="E20" i="16"/>
  <c r="F20" i="16"/>
  <c r="H20" i="16"/>
  <c r="L20" i="16"/>
  <c r="K20" i="16"/>
  <c r="G20" i="16"/>
  <c r="L19" i="16"/>
  <c r="K19" i="16"/>
  <c r="G19" i="16"/>
  <c r="G18" i="16"/>
  <c r="G17" i="16"/>
  <c r="L16" i="16"/>
  <c r="K16" i="16"/>
  <c r="G16" i="16"/>
  <c r="L15" i="16"/>
  <c r="K15" i="16"/>
  <c r="G15" i="16"/>
  <c r="L12" i="16"/>
  <c r="K12" i="16"/>
  <c r="G12" i="16"/>
  <c r="L11" i="16"/>
  <c r="K11" i="16"/>
  <c r="G11" i="16"/>
  <c r="G10" i="16"/>
  <c r="G9" i="16"/>
  <c r="L8" i="16"/>
  <c r="K8" i="16"/>
  <c r="G8" i="16"/>
  <c r="L7" i="16"/>
  <c r="K7" i="16"/>
  <c r="G7" i="16"/>
  <c r="P5" i="16"/>
  <c r="P6" i="16"/>
  <c r="P7" i="16"/>
  <c r="P8" i="16"/>
  <c r="P9" i="16"/>
  <c r="P10" i="16"/>
  <c r="P11" i="16"/>
  <c r="P12" i="16"/>
  <c r="P13" i="16"/>
  <c r="P14" i="16"/>
  <c r="P15" i="16"/>
  <c r="P16" i="16"/>
  <c r="P17" i="16"/>
  <c r="P18" i="16"/>
  <c r="P19" i="16"/>
  <c r="P20" i="16"/>
  <c r="P22" i="16"/>
  <c r="P23" i="16"/>
  <c r="P24" i="16"/>
  <c r="P25" i="16"/>
  <c r="R133" i="22"/>
  <c r="R132" i="22"/>
  <c r="R131" i="22"/>
  <c r="R129" i="22"/>
  <c r="R128" i="22"/>
  <c r="R127" i="22"/>
  <c r="R125" i="22"/>
  <c r="R124" i="22"/>
  <c r="R123" i="22"/>
  <c r="R122" i="22"/>
  <c r="R121" i="22"/>
  <c r="R120" i="22"/>
  <c r="R119" i="22"/>
  <c r="R118" i="22"/>
  <c r="R117" i="22"/>
  <c r="R116" i="22"/>
  <c r="R115" i="22"/>
  <c r="R114" i="22"/>
  <c r="R113" i="22"/>
  <c r="R112" i="22"/>
  <c r="R107" i="22"/>
  <c r="R106" i="22"/>
  <c r="R105" i="22"/>
  <c r="R103" i="22"/>
  <c r="R102" i="22"/>
  <c r="R101" i="22"/>
  <c r="R99" i="22"/>
  <c r="R98" i="22"/>
  <c r="R97" i="22"/>
  <c r="R96" i="22"/>
  <c r="R95" i="22"/>
  <c r="R94" i="22"/>
  <c r="R93" i="22"/>
  <c r="R92" i="22"/>
  <c r="R91" i="22"/>
  <c r="R90" i="22"/>
  <c r="R89" i="22"/>
  <c r="R88" i="22"/>
  <c r="R87" i="22"/>
  <c r="R86" i="22"/>
  <c r="R81" i="22"/>
  <c r="R80" i="22"/>
  <c r="R79" i="22"/>
  <c r="R77" i="22"/>
  <c r="R76" i="22"/>
  <c r="R75" i="22"/>
  <c r="R73" i="22"/>
  <c r="R72" i="22"/>
  <c r="R71" i="22"/>
  <c r="R70" i="22"/>
  <c r="R69" i="22"/>
  <c r="R68" i="22"/>
  <c r="R67" i="22"/>
  <c r="R66" i="22"/>
  <c r="R65" i="22"/>
  <c r="R64" i="22"/>
  <c r="R63" i="22"/>
  <c r="R62" i="22"/>
  <c r="R61" i="22"/>
  <c r="R60" i="22"/>
  <c r="R55" i="22"/>
  <c r="R54" i="22"/>
  <c r="R53" i="22"/>
  <c r="R51" i="22"/>
  <c r="R50" i="22"/>
  <c r="R49" i="22"/>
  <c r="R47" i="22"/>
  <c r="R46" i="22"/>
  <c r="R45" i="22"/>
  <c r="R44" i="22"/>
  <c r="R43" i="22"/>
  <c r="R42" i="22"/>
  <c r="R41" i="22"/>
  <c r="R40" i="22"/>
  <c r="R39" i="22"/>
  <c r="R38" i="22"/>
  <c r="R37" i="22"/>
  <c r="R36" i="22"/>
  <c r="R35" i="22"/>
  <c r="R34" i="22"/>
  <c r="M8" i="22"/>
  <c r="M9" i="22"/>
  <c r="M10" i="22"/>
  <c r="M11" i="22"/>
  <c r="M12" i="22"/>
  <c r="M13" i="22"/>
  <c r="M14" i="22"/>
  <c r="M15" i="22"/>
  <c r="M16" i="22"/>
  <c r="M17" i="22"/>
  <c r="M18" i="22"/>
  <c r="M19" i="22"/>
  <c r="M20" i="22"/>
  <c r="M22" i="22"/>
  <c r="M23" i="22"/>
  <c r="M24" i="22"/>
  <c r="M26" i="22"/>
  <c r="M27" i="22"/>
  <c r="M28" i="22"/>
  <c r="M7" i="22"/>
  <c r="V63" i="27"/>
  <c r="AB133" i="27"/>
  <c r="AB132" i="27"/>
  <c r="AB131" i="27"/>
  <c r="AB129" i="27"/>
  <c r="AB128" i="27"/>
  <c r="AB127" i="27"/>
  <c r="AB125" i="27"/>
  <c r="AB124" i="27"/>
  <c r="AB123" i="27"/>
  <c r="AB122" i="27"/>
  <c r="AB121" i="27"/>
  <c r="AB120" i="27"/>
  <c r="AB119" i="27"/>
  <c r="AB118" i="27"/>
  <c r="AB117" i="27"/>
  <c r="AB116" i="27"/>
  <c r="AB115" i="27"/>
  <c r="AB114" i="27"/>
  <c r="AB113" i="27"/>
  <c r="AB112" i="27"/>
  <c r="V133" i="27"/>
  <c r="V132" i="27"/>
  <c r="V131" i="27"/>
  <c r="V129" i="27"/>
  <c r="V128" i="27"/>
  <c r="V127" i="27"/>
  <c r="V125" i="27"/>
  <c r="V124" i="27"/>
  <c r="V123" i="27"/>
  <c r="V122" i="27"/>
  <c r="V121" i="27"/>
  <c r="V120" i="27"/>
  <c r="V119" i="27"/>
  <c r="V118" i="27"/>
  <c r="V117" i="27"/>
  <c r="V116" i="27"/>
  <c r="V115" i="27"/>
  <c r="V114" i="27"/>
  <c r="V113" i="27"/>
  <c r="V112" i="27"/>
  <c r="AB107" i="27"/>
  <c r="AB106" i="27"/>
  <c r="AB105" i="27"/>
  <c r="AB103" i="27"/>
  <c r="AB102" i="27"/>
  <c r="AB101" i="27"/>
  <c r="AB99" i="27"/>
  <c r="AB98" i="27"/>
  <c r="AB97" i="27"/>
  <c r="AB96" i="27"/>
  <c r="AB95" i="27"/>
  <c r="AB94" i="27"/>
  <c r="AB93" i="27"/>
  <c r="AB92" i="27"/>
  <c r="AB91" i="27"/>
  <c r="AB90" i="27"/>
  <c r="AB89" i="27"/>
  <c r="AB88" i="27"/>
  <c r="AB87" i="27"/>
  <c r="AB86" i="27"/>
  <c r="V107" i="27"/>
  <c r="V106" i="27"/>
  <c r="V105" i="27"/>
  <c r="V103" i="27"/>
  <c r="V102" i="27"/>
  <c r="V101" i="27"/>
  <c r="V99" i="27"/>
  <c r="V98" i="27"/>
  <c r="V97" i="27"/>
  <c r="V96" i="27"/>
  <c r="V95" i="27"/>
  <c r="V94" i="27"/>
  <c r="V93" i="27"/>
  <c r="V92" i="27"/>
  <c r="V91" i="27"/>
  <c r="V90" i="27"/>
  <c r="V89" i="27"/>
  <c r="V88" i="27"/>
  <c r="V87" i="27"/>
  <c r="V86" i="27"/>
  <c r="V81" i="27"/>
  <c r="V80" i="27"/>
  <c r="V79" i="27"/>
  <c r="V77" i="27"/>
  <c r="V76" i="27"/>
  <c r="V75" i="27"/>
  <c r="V73" i="27"/>
  <c r="V72" i="27"/>
  <c r="V71" i="27"/>
  <c r="V70" i="27"/>
  <c r="V69" i="27"/>
  <c r="V68" i="27"/>
  <c r="V67" i="27"/>
  <c r="V66" i="27"/>
  <c r="V65" i="27"/>
  <c r="V64" i="27"/>
  <c r="V62" i="27"/>
  <c r="V61" i="27"/>
  <c r="V60" i="27"/>
  <c r="AB81" i="27"/>
  <c r="AB80" i="27"/>
  <c r="AB79" i="27"/>
  <c r="AB77" i="27"/>
  <c r="AB76" i="27"/>
  <c r="AB75" i="27"/>
  <c r="AB73" i="27"/>
  <c r="AB72" i="27"/>
  <c r="AB71" i="27"/>
  <c r="AB70" i="27"/>
  <c r="AB69" i="27"/>
  <c r="AB68" i="27"/>
  <c r="AB67" i="27"/>
  <c r="AB66" i="27"/>
  <c r="AB65" i="27"/>
  <c r="AB64" i="27"/>
  <c r="AB63" i="27"/>
  <c r="AB62" i="27"/>
  <c r="AB61" i="27"/>
  <c r="AB60" i="27"/>
  <c r="AB55" i="27"/>
  <c r="AB54" i="27"/>
  <c r="AB53" i="27"/>
  <c r="AB51" i="27"/>
  <c r="AB50" i="27"/>
  <c r="AB49" i="27"/>
  <c r="AB47" i="27"/>
  <c r="AB46" i="27"/>
  <c r="AB45" i="27"/>
  <c r="AB44" i="27"/>
  <c r="AB43" i="27"/>
  <c r="AB42" i="27"/>
  <c r="AB41" i="27"/>
  <c r="AB40" i="27"/>
  <c r="AB39" i="27"/>
  <c r="AB38" i="27"/>
  <c r="AB37" i="27"/>
  <c r="AB36" i="27"/>
  <c r="AB35" i="27"/>
  <c r="AB34" i="27"/>
  <c r="V55" i="27"/>
  <c r="V54" i="27"/>
  <c r="V53" i="27"/>
  <c r="V51" i="27"/>
  <c r="V50" i="27"/>
  <c r="V49" i="27"/>
  <c r="V47" i="27"/>
  <c r="V46" i="27"/>
  <c r="V45" i="27"/>
  <c r="V44" i="27"/>
  <c r="V43" i="27"/>
  <c r="V42" i="27"/>
  <c r="V41" i="27"/>
  <c r="V40" i="27"/>
  <c r="V39" i="27"/>
  <c r="V38" i="27"/>
  <c r="V37" i="27"/>
  <c r="V36" i="27"/>
  <c r="V35" i="27"/>
  <c r="V34" i="27"/>
  <c r="M27" i="27"/>
  <c r="M28" i="27"/>
  <c r="M26" i="27"/>
  <c r="M23" i="27"/>
  <c r="M24" i="27"/>
  <c r="M22" i="27"/>
  <c r="M10" i="27"/>
  <c r="M11" i="27"/>
  <c r="M12" i="27"/>
  <c r="M13" i="27"/>
  <c r="M14" i="27"/>
  <c r="M15" i="27"/>
  <c r="M16" i="27"/>
  <c r="M17" i="27"/>
  <c r="M18" i="27"/>
  <c r="M19" i="27"/>
  <c r="M20" i="27"/>
  <c r="M8" i="27"/>
  <c r="M9" i="27"/>
  <c r="M7" i="27"/>
  <c r="Y133" i="23"/>
  <c r="Y132" i="23"/>
  <c r="Y131" i="23"/>
  <c r="Y129" i="23"/>
  <c r="Y128" i="23"/>
  <c r="Y127" i="23"/>
  <c r="Y125" i="23"/>
  <c r="Y124" i="23"/>
  <c r="Y123" i="23"/>
  <c r="Y122" i="23"/>
  <c r="Y121" i="23"/>
  <c r="Y120" i="23"/>
  <c r="Y119" i="23"/>
  <c r="Y118" i="23"/>
  <c r="Y117" i="23"/>
  <c r="Y116" i="23"/>
  <c r="Y115" i="23"/>
  <c r="Y114" i="23"/>
  <c r="Y113" i="23"/>
  <c r="Y112" i="23"/>
  <c r="S133" i="23"/>
  <c r="S132" i="23"/>
  <c r="S131" i="23"/>
  <c r="S129" i="23"/>
  <c r="S128" i="23"/>
  <c r="S127" i="23"/>
  <c r="S125" i="23"/>
  <c r="S124" i="23"/>
  <c r="S123" i="23"/>
  <c r="S122" i="23"/>
  <c r="S121" i="23"/>
  <c r="S120" i="23"/>
  <c r="S119" i="23"/>
  <c r="S118" i="23"/>
  <c r="S117" i="23"/>
  <c r="S116" i="23"/>
  <c r="S115" i="23"/>
  <c r="S114" i="23"/>
  <c r="S113" i="23"/>
  <c r="S112" i="23"/>
  <c r="Y107" i="23"/>
  <c r="Y106" i="23"/>
  <c r="Y105" i="23"/>
  <c r="Y103" i="23"/>
  <c r="Y102" i="23"/>
  <c r="Y101" i="23"/>
  <c r="Y99" i="23"/>
  <c r="Y98" i="23"/>
  <c r="Y97" i="23"/>
  <c r="Y96" i="23"/>
  <c r="Y95" i="23"/>
  <c r="Y94" i="23"/>
  <c r="Y93" i="23"/>
  <c r="Y92" i="23"/>
  <c r="Y91" i="23"/>
  <c r="Y90" i="23"/>
  <c r="Y89" i="23"/>
  <c r="Y88" i="23"/>
  <c r="Y87" i="23"/>
  <c r="Y86" i="23"/>
  <c r="S107" i="23"/>
  <c r="S106" i="23"/>
  <c r="S105" i="23"/>
  <c r="S103" i="23"/>
  <c r="S102" i="23"/>
  <c r="S101" i="23"/>
  <c r="S99" i="23"/>
  <c r="S98" i="23"/>
  <c r="S97" i="23"/>
  <c r="S96" i="23"/>
  <c r="S95" i="23"/>
  <c r="S94" i="23"/>
  <c r="S93" i="23"/>
  <c r="S92" i="23"/>
  <c r="S91" i="23"/>
  <c r="S90" i="23"/>
  <c r="S89" i="23"/>
  <c r="S88" i="23"/>
  <c r="S87" i="23"/>
  <c r="S86" i="23"/>
  <c r="Y81" i="23"/>
  <c r="Y80" i="23"/>
  <c r="Y79" i="23"/>
  <c r="Y77" i="23"/>
  <c r="Y76" i="23"/>
  <c r="Y75" i="23"/>
  <c r="Y73" i="23"/>
  <c r="Y72" i="23"/>
  <c r="Y71" i="23"/>
  <c r="Y70" i="23"/>
  <c r="Y69" i="23"/>
  <c r="Y68" i="23"/>
  <c r="Y67" i="23"/>
  <c r="Y66" i="23"/>
  <c r="Y65" i="23"/>
  <c r="Y64" i="23"/>
  <c r="Y63" i="23"/>
  <c r="Y62" i="23"/>
  <c r="Y61" i="23"/>
  <c r="Y60" i="23"/>
  <c r="S81" i="23"/>
  <c r="S80" i="23"/>
  <c r="S79" i="23"/>
  <c r="S77" i="23"/>
  <c r="S76" i="23"/>
  <c r="S75" i="23"/>
  <c r="S73" i="23"/>
  <c r="S72" i="23"/>
  <c r="S71" i="23"/>
  <c r="S70" i="23"/>
  <c r="S69" i="23"/>
  <c r="S68" i="23"/>
  <c r="S67" i="23"/>
  <c r="S66" i="23"/>
  <c r="S65" i="23"/>
  <c r="S64" i="23"/>
  <c r="S63" i="23"/>
  <c r="S62" i="23"/>
  <c r="S61" i="23"/>
  <c r="S60" i="23"/>
  <c r="Y55" i="23"/>
  <c r="Y54" i="23"/>
  <c r="Y53" i="23"/>
  <c r="Y51" i="23"/>
  <c r="Y50" i="23"/>
  <c r="Y49" i="23"/>
  <c r="Y47" i="23"/>
  <c r="Y46" i="23"/>
  <c r="Y45" i="23"/>
  <c r="Y44" i="23"/>
  <c r="Y43" i="23"/>
  <c r="Y42" i="23"/>
  <c r="Y41" i="23"/>
  <c r="Y40" i="23"/>
  <c r="Y39" i="23"/>
  <c r="Y38" i="23"/>
  <c r="Y37" i="23"/>
  <c r="Y36" i="23"/>
  <c r="Y35" i="23"/>
  <c r="Y34" i="23"/>
  <c r="S55" i="23"/>
  <c r="S54" i="23"/>
  <c r="S53" i="23"/>
  <c r="S51" i="23"/>
  <c r="S50" i="23"/>
  <c r="S49" i="23"/>
  <c r="S47" i="23"/>
  <c r="S46" i="23"/>
  <c r="S45" i="23"/>
  <c r="S44" i="23"/>
  <c r="S43" i="23"/>
  <c r="S42" i="23"/>
  <c r="S41" i="23"/>
  <c r="S40" i="23"/>
  <c r="S39" i="23"/>
  <c r="S38" i="23"/>
  <c r="S37" i="23"/>
  <c r="S36" i="23"/>
  <c r="S35" i="23"/>
  <c r="S34" i="23"/>
  <c r="M27" i="23"/>
  <c r="M28" i="23"/>
  <c r="M26" i="23"/>
  <c r="M24" i="23"/>
  <c r="M23" i="23"/>
  <c r="M22" i="23"/>
  <c r="M10" i="23"/>
  <c r="M11" i="23"/>
  <c r="M12" i="23"/>
  <c r="M13" i="23"/>
  <c r="M14" i="23"/>
  <c r="M15" i="23"/>
  <c r="M16" i="23"/>
  <c r="M17" i="23"/>
  <c r="M18" i="23"/>
  <c r="M19" i="23"/>
  <c r="M20" i="23"/>
  <c r="M8" i="23"/>
  <c r="M9" i="23"/>
  <c r="M7" i="23"/>
  <c r="V133" i="17"/>
  <c r="V132" i="17"/>
  <c r="V131" i="17"/>
  <c r="W131" i="17" s="1"/>
  <c r="V129" i="17"/>
  <c r="V128" i="17"/>
  <c r="W128" i="17" s="1"/>
  <c r="V127" i="17"/>
  <c r="W127" i="17" s="1"/>
  <c r="V113" i="17"/>
  <c r="V114" i="17"/>
  <c r="W114" i="17" s="1"/>
  <c r="V115" i="17"/>
  <c r="W115" i="17" s="1"/>
  <c r="V116" i="17"/>
  <c r="W116" i="17" s="1"/>
  <c r="V117" i="17"/>
  <c r="W117" i="17" s="1"/>
  <c r="V118" i="17"/>
  <c r="W118" i="17" s="1"/>
  <c r="V119" i="17"/>
  <c r="V120" i="17"/>
  <c r="W120" i="17" s="1"/>
  <c r="V121" i="17"/>
  <c r="V122" i="17"/>
  <c r="V123" i="17"/>
  <c r="W123" i="17" s="1"/>
  <c r="V124" i="17"/>
  <c r="W124" i="17" s="1"/>
  <c r="V125" i="17"/>
  <c r="W125" i="17" s="1"/>
  <c r="V112" i="17"/>
  <c r="W112" i="17" s="1"/>
  <c r="V107" i="17"/>
  <c r="W107" i="17" s="1"/>
  <c r="V106" i="17"/>
  <c r="W106" i="17" s="1"/>
  <c r="V105" i="17"/>
  <c r="V103" i="17"/>
  <c r="W103" i="17" s="1"/>
  <c r="V102" i="17"/>
  <c r="W102" i="17" s="1"/>
  <c r="V101" i="17"/>
  <c r="V87" i="17"/>
  <c r="W87" i="17" s="1"/>
  <c r="V88" i="17"/>
  <c r="W88" i="17" s="1"/>
  <c r="V89" i="17"/>
  <c r="W89" i="17" s="1"/>
  <c r="V90" i="17"/>
  <c r="V91" i="17"/>
  <c r="W91" i="17" s="1"/>
  <c r="V92" i="17"/>
  <c r="V93" i="17"/>
  <c r="W93" i="17" s="1"/>
  <c r="V94" i="17"/>
  <c r="V95" i="17"/>
  <c r="W95" i="17" s="1"/>
  <c r="V96" i="17"/>
  <c r="V97" i="17"/>
  <c r="W97" i="17" s="1"/>
  <c r="V98" i="17"/>
  <c r="V99" i="17"/>
  <c r="W99" i="17" s="1"/>
  <c r="V86" i="17"/>
  <c r="W86" i="17" s="1"/>
  <c r="V81" i="17"/>
  <c r="W81" i="17" s="1"/>
  <c r="V80" i="17"/>
  <c r="W80" i="17" s="1"/>
  <c r="V79" i="17"/>
  <c r="V77" i="17"/>
  <c r="W77" i="17" s="1"/>
  <c r="V76" i="17"/>
  <c r="W76" i="17" s="1"/>
  <c r="V75" i="17"/>
  <c r="W75" i="17" s="1"/>
  <c r="V61" i="17"/>
  <c r="W61" i="17" s="1"/>
  <c r="V62" i="17"/>
  <c r="V63" i="17"/>
  <c r="V64" i="17"/>
  <c r="W64" i="17" s="1"/>
  <c r="V65" i="17"/>
  <c r="V66" i="17"/>
  <c r="W66" i="17" s="1"/>
  <c r="V67" i="17"/>
  <c r="V68" i="17"/>
  <c r="W68" i="17" s="1"/>
  <c r="V69" i="17"/>
  <c r="W69" i="17" s="1"/>
  <c r="V70" i="17"/>
  <c r="W70" i="17" s="1"/>
  <c r="V71" i="17"/>
  <c r="W71" i="17" s="1"/>
  <c r="V72" i="17"/>
  <c r="W72" i="17" s="1"/>
  <c r="V73" i="17"/>
  <c r="W73" i="17" s="1"/>
  <c r="V60" i="17"/>
  <c r="V34" i="17"/>
  <c r="W34" i="17" s="1"/>
  <c r="V55" i="17"/>
  <c r="V54" i="17"/>
  <c r="V53" i="17"/>
  <c r="V51" i="17"/>
  <c r="V50" i="17"/>
  <c r="V49" i="17"/>
  <c r="W49" i="17" s="1"/>
  <c r="V47" i="17"/>
  <c r="V46" i="17"/>
  <c r="W46" i="17" s="1"/>
  <c r="V45" i="17"/>
  <c r="V44" i="17"/>
  <c r="V43" i="17"/>
  <c r="W43" i="17" s="1"/>
  <c r="V42" i="17"/>
  <c r="V41" i="17"/>
  <c r="V40" i="17"/>
  <c r="W40" i="17" s="1"/>
  <c r="V39" i="17"/>
  <c r="W39" i="17" s="1"/>
  <c r="V38" i="17"/>
  <c r="V37" i="17"/>
  <c r="V36" i="17"/>
  <c r="V35" i="17"/>
  <c r="W35" i="17" s="1"/>
  <c r="M28" i="17"/>
  <c r="M27" i="17"/>
  <c r="M26" i="17"/>
  <c r="M24" i="17"/>
  <c r="M23" i="17"/>
  <c r="M22" i="17"/>
  <c r="M20" i="17"/>
  <c r="M19" i="17"/>
  <c r="M18" i="17"/>
  <c r="M17" i="17"/>
  <c r="M16" i="17"/>
  <c r="M15" i="17"/>
  <c r="M14" i="17"/>
  <c r="M13" i="17"/>
  <c r="M12" i="17"/>
  <c r="M11" i="17"/>
  <c r="M10" i="17"/>
  <c r="M9" i="17"/>
  <c r="M8" i="17"/>
  <c r="M7" i="17"/>
  <c r="AB34" i="17"/>
  <c r="AC34" i="17" s="1"/>
  <c r="AB35" i="17"/>
  <c r="AC35" i="17" s="1"/>
  <c r="AB36" i="17"/>
  <c r="AC36" i="17" s="1"/>
  <c r="AB37" i="17"/>
  <c r="AC37" i="17" s="1"/>
  <c r="AB38" i="17"/>
  <c r="AC38" i="17" s="1"/>
  <c r="AB39" i="17"/>
  <c r="AC39" i="17" s="1"/>
  <c r="AB40" i="17"/>
  <c r="AC40" i="17" s="1"/>
  <c r="AB41" i="17"/>
  <c r="AC41" i="17" s="1"/>
  <c r="AB42" i="17"/>
  <c r="AC42" i="17" s="1"/>
  <c r="AB43" i="17"/>
  <c r="AC43" i="17" s="1"/>
  <c r="AB44" i="17"/>
  <c r="AC44" i="17" s="1"/>
  <c r="AB45" i="17"/>
  <c r="AC45" i="17" s="1"/>
  <c r="AB46" i="17"/>
  <c r="AC46" i="17" s="1"/>
  <c r="AB47" i="17"/>
  <c r="AC47" i="17" s="1"/>
  <c r="AB49" i="17"/>
  <c r="AC49" i="17" s="1"/>
  <c r="AB50" i="17"/>
  <c r="AC50" i="17" s="1"/>
  <c r="AB51" i="17"/>
  <c r="AC51" i="17" s="1"/>
  <c r="AB53" i="17"/>
  <c r="AC53" i="17" s="1"/>
  <c r="AB54" i="17"/>
  <c r="AC54" i="17" s="1"/>
  <c r="AB55" i="17"/>
  <c r="AC55" i="17" s="1"/>
  <c r="AB60" i="17"/>
  <c r="AC60" i="17" s="1"/>
  <c r="AB61" i="17"/>
  <c r="AC61" i="17" s="1"/>
  <c r="AB62" i="17"/>
  <c r="AC62" i="17" s="1"/>
  <c r="AB63" i="17"/>
  <c r="AC63" i="17" s="1"/>
  <c r="AB64" i="17"/>
  <c r="AC64" i="17" s="1"/>
  <c r="AB65" i="17"/>
  <c r="AC65" i="17" s="1"/>
  <c r="AB66" i="17"/>
  <c r="AC66" i="17" s="1"/>
  <c r="AB67" i="17"/>
  <c r="AC67" i="17" s="1"/>
  <c r="AB68" i="17"/>
  <c r="AC68" i="17" s="1"/>
  <c r="AB69" i="17"/>
  <c r="AC69" i="17" s="1"/>
  <c r="AB70" i="17"/>
  <c r="AC70" i="17" s="1"/>
  <c r="AB71" i="17"/>
  <c r="AC71" i="17" s="1"/>
  <c r="AB72" i="17"/>
  <c r="AC72" i="17" s="1"/>
  <c r="AB73" i="17"/>
  <c r="AC73" i="17" s="1"/>
  <c r="AB75" i="17"/>
  <c r="AC75" i="17" s="1"/>
  <c r="AB76" i="17"/>
  <c r="AC76" i="17" s="1"/>
  <c r="AB77" i="17"/>
  <c r="AC77" i="17" s="1"/>
  <c r="AB79" i="17"/>
  <c r="AC79" i="17" s="1"/>
  <c r="AB80" i="17"/>
  <c r="AC80" i="17" s="1"/>
  <c r="AB81" i="17"/>
  <c r="AC81" i="17" s="1"/>
  <c r="AB86" i="17"/>
  <c r="AC86" i="17" s="1"/>
  <c r="AB87" i="17"/>
  <c r="AC87" i="17" s="1"/>
  <c r="AB88" i="17"/>
  <c r="AC88" i="17" s="1"/>
  <c r="AB89" i="17"/>
  <c r="AC89" i="17" s="1"/>
  <c r="AB90" i="17"/>
  <c r="AC90" i="17" s="1"/>
  <c r="AB91" i="17"/>
  <c r="AC91" i="17" s="1"/>
  <c r="AB92" i="17"/>
  <c r="AC92" i="17" s="1"/>
  <c r="AB93" i="17"/>
  <c r="AC93" i="17" s="1"/>
  <c r="AB94" i="17"/>
  <c r="AC94" i="17" s="1"/>
  <c r="AB95" i="17"/>
  <c r="AC95" i="17" s="1"/>
  <c r="AB96" i="17"/>
  <c r="AC96" i="17" s="1"/>
  <c r="AB97" i="17"/>
  <c r="AC97" i="17" s="1"/>
  <c r="AB98" i="17"/>
  <c r="AC98" i="17" s="1"/>
  <c r="AB99" i="17"/>
  <c r="AC99" i="17" s="1"/>
  <c r="AB101" i="17"/>
  <c r="AC101" i="17" s="1"/>
  <c r="AB102" i="17"/>
  <c r="AC102" i="17" s="1"/>
  <c r="AB103" i="17"/>
  <c r="AC103" i="17" s="1"/>
  <c r="AB105" i="17"/>
  <c r="AC105" i="17" s="1"/>
  <c r="AB106" i="17"/>
  <c r="AC106" i="17" s="1"/>
  <c r="AB107" i="17"/>
  <c r="AC107" i="17" s="1"/>
  <c r="AB112" i="17"/>
  <c r="AC112" i="17" s="1"/>
  <c r="AB113" i="17"/>
  <c r="AC113" i="17" s="1"/>
  <c r="AB114" i="17"/>
  <c r="AC114" i="17" s="1"/>
  <c r="AB115" i="17"/>
  <c r="AC115" i="17" s="1"/>
  <c r="AB116" i="17"/>
  <c r="AC116" i="17" s="1"/>
  <c r="AB117" i="17"/>
  <c r="AC117" i="17" s="1"/>
  <c r="AB118" i="17"/>
  <c r="AC118" i="17" s="1"/>
  <c r="AB119" i="17"/>
  <c r="AC119" i="17" s="1"/>
  <c r="AB120" i="17"/>
  <c r="AC120" i="17" s="1"/>
  <c r="AB121" i="17"/>
  <c r="AC121" i="17" s="1"/>
  <c r="AB122" i="17"/>
  <c r="AC122" i="17" s="1"/>
  <c r="AB123" i="17"/>
  <c r="AC123" i="17" s="1"/>
  <c r="AB124" i="17"/>
  <c r="AC124" i="17" s="1"/>
  <c r="AB125" i="17"/>
  <c r="AC125" i="17" s="1"/>
  <c r="AB127" i="17"/>
  <c r="AC127" i="17" s="1"/>
  <c r="AB128" i="17"/>
  <c r="AC128" i="17" s="1"/>
  <c r="AB129" i="17"/>
  <c r="AC129" i="17" s="1"/>
  <c r="AB131" i="17"/>
  <c r="AC131" i="17" s="1"/>
  <c r="AB132" i="17"/>
  <c r="AC132" i="17" s="1"/>
  <c r="AB133" i="17"/>
  <c r="AC133" i="17" s="1"/>
  <c r="B2" i="24"/>
  <c r="W11" i="24" s="1"/>
  <c r="M7" i="24"/>
  <c r="M8" i="24"/>
  <c r="M10" i="24"/>
  <c r="M11" i="24"/>
  <c r="M13" i="24"/>
  <c r="M14" i="24"/>
  <c r="R20" i="24"/>
  <c r="R21" i="24"/>
  <c r="R22" i="24"/>
  <c r="R32" i="24"/>
  <c r="R33" i="24"/>
  <c r="R34" i="24"/>
  <c r="R44" i="24"/>
  <c r="R45" i="24"/>
  <c r="R46" i="24"/>
  <c r="R56" i="24"/>
  <c r="R57" i="24"/>
  <c r="R58" i="24"/>
  <c r="R26" i="24"/>
  <c r="R27" i="24"/>
  <c r="R28" i="24"/>
  <c r="R38" i="24"/>
  <c r="R39" i="24"/>
  <c r="R40" i="24"/>
  <c r="R50" i="24"/>
  <c r="R51" i="24"/>
  <c r="R52" i="24"/>
  <c r="R62" i="24"/>
  <c r="R63" i="24"/>
  <c r="R64" i="24"/>
  <c r="V26" i="10"/>
  <c r="W26" i="10" s="1"/>
  <c r="V64" i="10"/>
  <c r="W64" i="10" s="1"/>
  <c r="V63" i="10"/>
  <c r="V62" i="10"/>
  <c r="W62" i="10" s="1"/>
  <c r="V57" i="10"/>
  <c r="W57" i="10" s="1"/>
  <c r="V58" i="10"/>
  <c r="V56" i="10"/>
  <c r="W56" i="10" s="1"/>
  <c r="V52" i="10"/>
  <c r="W52" i="10" s="1"/>
  <c r="V51" i="10"/>
  <c r="V50" i="10"/>
  <c r="W50" i="10" s="1"/>
  <c r="V45" i="10"/>
  <c r="W45" i="10" s="1"/>
  <c r="V46" i="10"/>
  <c r="W46" i="10" s="1"/>
  <c r="V44" i="10"/>
  <c r="V40" i="10"/>
  <c r="V39" i="10"/>
  <c r="W39" i="10" s="1"/>
  <c r="V38" i="10"/>
  <c r="V33" i="10"/>
  <c r="W33" i="10" s="1"/>
  <c r="V34" i="10"/>
  <c r="V32" i="10"/>
  <c r="V28" i="10"/>
  <c r="V27" i="10"/>
  <c r="W27" i="10" s="1"/>
  <c r="V22" i="10"/>
  <c r="W22" i="10" s="1"/>
  <c r="V21" i="10"/>
  <c r="W21" i="10" s="1"/>
  <c r="V20" i="10"/>
  <c r="M14" i="10"/>
  <c r="M13" i="10"/>
  <c r="M11" i="10"/>
  <c r="M10" i="10"/>
  <c r="M8" i="10"/>
  <c r="M7" i="10"/>
  <c r="AB67" i="28"/>
  <c r="AB66" i="28"/>
  <c r="AB65" i="28"/>
  <c r="V67" i="28"/>
  <c r="V66" i="28"/>
  <c r="V65" i="28"/>
  <c r="AB61" i="28"/>
  <c r="AB60" i="28"/>
  <c r="AB59" i="28"/>
  <c r="V61" i="28"/>
  <c r="V60" i="28"/>
  <c r="V59" i="28"/>
  <c r="V54" i="28"/>
  <c r="V53" i="28"/>
  <c r="V52" i="28"/>
  <c r="AB54" i="28"/>
  <c r="AB53" i="28"/>
  <c r="AB52" i="28"/>
  <c r="AB48" i="28"/>
  <c r="AB47" i="28"/>
  <c r="AB46" i="28"/>
  <c r="V48" i="28"/>
  <c r="V47" i="28"/>
  <c r="V46" i="28"/>
  <c r="V41" i="28"/>
  <c r="V40" i="28"/>
  <c r="V39" i="28"/>
  <c r="AB41" i="28"/>
  <c r="AB40" i="28"/>
  <c r="AB39" i="28"/>
  <c r="AB35" i="28"/>
  <c r="AB34" i="28"/>
  <c r="AB33" i="28"/>
  <c r="V35" i="28"/>
  <c r="V34" i="28"/>
  <c r="V33" i="28"/>
  <c r="V28" i="28"/>
  <c r="V27" i="28"/>
  <c r="V26" i="28"/>
  <c r="AB28" i="28"/>
  <c r="AB27" i="28"/>
  <c r="AB26" i="28"/>
  <c r="AB22" i="28"/>
  <c r="AB21" i="28"/>
  <c r="AB20" i="28"/>
  <c r="V22" i="28"/>
  <c r="V21" i="28"/>
  <c r="V20" i="28"/>
  <c r="M14" i="28"/>
  <c r="M13" i="28"/>
  <c r="M11" i="28"/>
  <c r="M10" i="28"/>
  <c r="M8" i="28"/>
  <c r="M7" i="28"/>
  <c r="L8" i="38"/>
  <c r="W8" i="38" s="1"/>
  <c r="L7" i="38"/>
  <c r="M7" i="38" s="1"/>
  <c r="T7" i="38"/>
  <c r="Y7" i="38"/>
  <c r="V7" i="38"/>
  <c r="U7" i="38"/>
  <c r="T8" i="38"/>
  <c r="Y8" i="38"/>
  <c r="V8" i="38"/>
  <c r="U8" i="38"/>
  <c r="T10" i="38"/>
  <c r="Y10" i="38"/>
  <c r="L10" i="38"/>
  <c r="M10" i="38" s="1"/>
  <c r="X10" i="38" s="1"/>
  <c r="V10" i="38"/>
  <c r="U10" i="38"/>
  <c r="T11" i="38"/>
  <c r="Y11" i="38"/>
  <c r="L11" i="38"/>
  <c r="V11" i="38"/>
  <c r="U11" i="38"/>
  <c r="T13" i="38"/>
  <c r="Y13" i="38"/>
  <c r="L13" i="38"/>
  <c r="M13" i="38" s="1"/>
  <c r="S13" i="38" s="1"/>
  <c r="V13" i="38"/>
  <c r="U13" i="38"/>
  <c r="T14" i="38"/>
  <c r="Y14" i="38"/>
  <c r="L14" i="38"/>
  <c r="V14" i="38"/>
  <c r="U14" i="38"/>
  <c r="R20" i="38"/>
  <c r="S20" i="38" s="1"/>
  <c r="W20" i="38" s="1"/>
  <c r="AD20" i="38"/>
  <c r="AE20" i="38"/>
  <c r="AF20" i="38"/>
  <c r="AH20" i="38"/>
  <c r="AI20" i="38"/>
  <c r="AJ20" i="38"/>
  <c r="AK20" i="38"/>
  <c r="AL20" i="38"/>
  <c r="X20" i="38"/>
  <c r="R21" i="38"/>
  <c r="AO21" i="38" s="1"/>
  <c r="AD21" i="38"/>
  <c r="AE21" i="38"/>
  <c r="AF21" i="38"/>
  <c r="AH21" i="38"/>
  <c r="AI21" i="38"/>
  <c r="AJ21" i="38"/>
  <c r="AK21" i="38"/>
  <c r="AL21" i="38"/>
  <c r="X21" i="38"/>
  <c r="R22" i="38"/>
  <c r="S22" i="38" s="1"/>
  <c r="AD22" i="38"/>
  <c r="AE22" i="38"/>
  <c r="AF22" i="38"/>
  <c r="AH22" i="38"/>
  <c r="AI22" i="38"/>
  <c r="AJ22" i="38"/>
  <c r="AK22" i="38"/>
  <c r="AL22" i="38"/>
  <c r="X22" i="38"/>
  <c r="AQ22" i="38" s="1"/>
  <c r="S27" i="38"/>
  <c r="AO27" i="38" s="1"/>
  <c r="Y27" i="38"/>
  <c r="S28" i="38"/>
  <c r="T28" i="38" s="1"/>
  <c r="X28" i="38" s="1"/>
  <c r="Y28" i="38"/>
  <c r="S29" i="38"/>
  <c r="T29" i="38" s="1"/>
  <c r="X29" i="38" s="1"/>
  <c r="Y29" i="38"/>
  <c r="S34" i="38"/>
  <c r="T34" i="38" s="1"/>
  <c r="AP34" i="38" s="1"/>
  <c r="Y34" i="38"/>
  <c r="AJ34" i="38"/>
  <c r="S36" i="38"/>
  <c r="AO36" i="38" s="1"/>
  <c r="Y36" i="38"/>
  <c r="AQ36" i="38" s="1"/>
  <c r="AJ36" i="38"/>
  <c r="S35" i="38"/>
  <c r="Y35" i="38"/>
  <c r="AJ35" i="38"/>
  <c r="S41" i="38"/>
  <c r="Y41" i="38"/>
  <c r="AL41" i="38"/>
  <c r="S42" i="38"/>
  <c r="T42" i="38" s="1"/>
  <c r="X42" i="38" s="1"/>
  <c r="Y42" i="38"/>
  <c r="Z42" i="38" s="1"/>
  <c r="AL42" i="38"/>
  <c r="S43" i="38"/>
  <c r="T43" i="38" s="1"/>
  <c r="Y43" i="38"/>
  <c r="AL43" i="38"/>
  <c r="S23" i="38"/>
  <c r="T23" i="38"/>
  <c r="U23" i="38"/>
  <c r="V23" i="38"/>
  <c r="W23" i="38"/>
  <c r="X23" i="38"/>
  <c r="Y23" i="38"/>
  <c r="Z23" i="38"/>
  <c r="AA23" i="38"/>
  <c r="AB23" i="38"/>
  <c r="AC23" i="38"/>
  <c r="AD23" i="38"/>
  <c r="AM23" i="38"/>
  <c r="AN23" i="38"/>
  <c r="AO23" i="38"/>
  <c r="AP23" i="38"/>
  <c r="AQ23" i="38"/>
  <c r="AR23" i="38"/>
  <c r="S30" i="38"/>
  <c r="T30" i="38"/>
  <c r="U30" i="38"/>
  <c r="V30" i="38"/>
  <c r="W30" i="38"/>
  <c r="X30" i="38"/>
  <c r="Y30" i="38"/>
  <c r="Z30" i="38"/>
  <c r="AA30" i="38"/>
  <c r="AB30" i="38"/>
  <c r="AC30" i="38"/>
  <c r="AD30" i="38"/>
  <c r="AJ30" i="38"/>
  <c r="AM30" i="38"/>
  <c r="AN30" i="38"/>
  <c r="AO30" i="38"/>
  <c r="AP30" i="38"/>
  <c r="AQ30" i="38"/>
  <c r="AR30" i="38"/>
  <c r="S37" i="38"/>
  <c r="T37" i="38"/>
  <c r="U37" i="38"/>
  <c r="V37" i="38"/>
  <c r="W37" i="38"/>
  <c r="X37" i="38"/>
  <c r="Y37" i="38"/>
  <c r="Z37" i="38"/>
  <c r="AA37" i="38"/>
  <c r="AB37" i="38"/>
  <c r="AC37" i="38"/>
  <c r="AD37" i="38"/>
  <c r="AL37" i="38"/>
  <c r="AM37" i="38"/>
  <c r="AN37" i="38"/>
  <c r="AO37" i="38"/>
  <c r="AP37" i="38"/>
  <c r="AQ37" i="38"/>
  <c r="AR37" i="38"/>
  <c r="P43" i="13"/>
  <c r="P16" i="12"/>
  <c r="P17" i="12"/>
  <c r="Q43" i="13"/>
  <c r="Q16" i="12"/>
  <c r="Q17" i="12"/>
  <c r="P44" i="13"/>
  <c r="Q44" i="13"/>
  <c r="P45" i="13"/>
  <c r="Q45" i="13"/>
  <c r="P46" i="13"/>
  <c r="Q46" i="13"/>
  <c r="P47" i="13"/>
  <c r="Q47" i="13"/>
  <c r="P48" i="13"/>
  <c r="Q48" i="13"/>
  <c r="P49" i="13"/>
  <c r="Q49" i="13"/>
  <c r="P50" i="13"/>
  <c r="Q50" i="13"/>
  <c r="P51" i="13"/>
  <c r="Q51" i="13"/>
  <c r="P67" i="13"/>
  <c r="P23" i="12"/>
  <c r="P24" i="12"/>
  <c r="Q67" i="13"/>
  <c r="Q23" i="12"/>
  <c r="Q24" i="12"/>
  <c r="P68" i="13"/>
  <c r="Q68" i="13"/>
  <c r="P69" i="13"/>
  <c r="Q69" i="13"/>
  <c r="P70" i="13"/>
  <c r="Q70" i="13"/>
  <c r="P71" i="13"/>
  <c r="Q71" i="13"/>
  <c r="P72" i="13"/>
  <c r="Q72" i="13"/>
  <c r="P73" i="13"/>
  <c r="Q73" i="13"/>
  <c r="P74" i="13"/>
  <c r="Q74" i="13"/>
  <c r="P75" i="13"/>
  <c r="Q75" i="13"/>
  <c r="P91" i="13"/>
  <c r="P30" i="12"/>
  <c r="P31" i="12"/>
  <c r="Q91" i="13"/>
  <c r="Q30" i="12"/>
  <c r="Q31" i="12"/>
  <c r="P92" i="13"/>
  <c r="Q92" i="13"/>
  <c r="P93" i="13"/>
  <c r="Q93" i="13"/>
  <c r="P94" i="13"/>
  <c r="Q94" i="13"/>
  <c r="P95" i="13"/>
  <c r="Q95" i="13"/>
  <c r="P96" i="13"/>
  <c r="Q96" i="13"/>
  <c r="P97" i="13"/>
  <c r="Q97" i="13"/>
  <c r="P98" i="13"/>
  <c r="Q98" i="13"/>
  <c r="P99" i="13"/>
  <c r="Q99" i="13"/>
  <c r="P79" i="13"/>
  <c r="P28" i="12"/>
  <c r="P29" i="12"/>
  <c r="Q79" i="13"/>
  <c r="Q28" i="12"/>
  <c r="Q29" i="12"/>
  <c r="P80" i="13"/>
  <c r="Q80" i="13"/>
  <c r="P81" i="13"/>
  <c r="Q81" i="13"/>
  <c r="P82" i="13"/>
  <c r="Q82" i="13"/>
  <c r="P83" i="13"/>
  <c r="Q83" i="13"/>
  <c r="P84" i="13"/>
  <c r="Q84" i="13"/>
  <c r="P85" i="13"/>
  <c r="Q85" i="13"/>
  <c r="P86" i="13"/>
  <c r="Q86" i="13"/>
  <c r="P87" i="13"/>
  <c r="Q87" i="13"/>
  <c r="P55" i="13"/>
  <c r="P21" i="12"/>
  <c r="P22" i="12"/>
  <c r="Q55" i="13"/>
  <c r="Q21" i="12"/>
  <c r="Q22" i="12"/>
  <c r="P56" i="13"/>
  <c r="Q56" i="13"/>
  <c r="P57" i="13"/>
  <c r="Q57" i="13"/>
  <c r="P58" i="13"/>
  <c r="Q58" i="13"/>
  <c r="P59" i="13"/>
  <c r="Q59" i="13"/>
  <c r="P60" i="13"/>
  <c r="Q60" i="13"/>
  <c r="P61" i="13"/>
  <c r="Q61" i="13"/>
  <c r="P62" i="13"/>
  <c r="Q62" i="13"/>
  <c r="P63" i="13"/>
  <c r="Q63" i="13"/>
  <c r="P19" i="13"/>
  <c r="P9" i="12"/>
  <c r="P10" i="12"/>
  <c r="Q19" i="13"/>
  <c r="Q9" i="12"/>
  <c r="Q10" i="12"/>
  <c r="P20" i="13"/>
  <c r="Q20" i="13"/>
  <c r="P21" i="13"/>
  <c r="Q21" i="13"/>
  <c r="P22" i="13"/>
  <c r="Q22" i="13"/>
  <c r="P23" i="13"/>
  <c r="Q23" i="13"/>
  <c r="P24" i="13"/>
  <c r="Q24" i="13"/>
  <c r="P25" i="13"/>
  <c r="Q25" i="13"/>
  <c r="P26" i="13"/>
  <c r="Q26" i="13"/>
  <c r="P27" i="13"/>
  <c r="Q27" i="13"/>
  <c r="P7" i="13"/>
  <c r="P7" i="12"/>
  <c r="P8" i="12"/>
  <c r="Q7" i="13"/>
  <c r="Q7" i="12"/>
  <c r="Q8" i="12"/>
  <c r="P8" i="13"/>
  <c r="Q8" i="13"/>
  <c r="P9" i="13"/>
  <c r="Q9" i="13"/>
  <c r="P10" i="13"/>
  <c r="Q10" i="13"/>
  <c r="P11" i="13"/>
  <c r="Q11" i="13"/>
  <c r="P12" i="13"/>
  <c r="Q12" i="13"/>
  <c r="P13" i="13"/>
  <c r="Q13" i="13"/>
  <c r="P14" i="13"/>
  <c r="Q14" i="13"/>
  <c r="P15" i="13"/>
  <c r="Q15" i="13"/>
  <c r="Q39" i="13"/>
  <c r="Q38" i="13"/>
  <c r="Q37" i="13"/>
  <c r="Q36" i="13"/>
  <c r="Q35" i="13"/>
  <c r="Q34" i="13"/>
  <c r="Q33" i="13"/>
  <c r="Q32" i="13"/>
  <c r="Q31" i="13"/>
  <c r="P39" i="13"/>
  <c r="P38" i="13"/>
  <c r="P37" i="13"/>
  <c r="P36" i="13"/>
  <c r="P35" i="13"/>
  <c r="P34" i="13"/>
  <c r="P33" i="13"/>
  <c r="P32" i="13"/>
  <c r="P31" i="13"/>
  <c r="B78" i="13"/>
  <c r="B77" i="13"/>
  <c r="B65" i="13"/>
  <c r="B66" i="13"/>
  <c r="B54" i="13"/>
  <c r="B41" i="13"/>
  <c r="B30" i="13"/>
  <c r="B89" i="13"/>
  <c r="P14" i="12"/>
  <c r="P15" i="12"/>
  <c r="Q14" i="12"/>
  <c r="Q15" i="12"/>
  <c r="A5" i="13"/>
  <c r="B5" i="13"/>
  <c r="A6" i="13"/>
  <c r="B6" i="13"/>
  <c r="A17" i="13"/>
  <c r="B17" i="13"/>
  <c r="A18" i="13"/>
  <c r="B18" i="13"/>
  <c r="A29" i="13"/>
  <c r="B29" i="13"/>
  <c r="A30" i="13"/>
  <c r="A41" i="13"/>
  <c r="A42" i="13"/>
  <c r="B42" i="13"/>
  <c r="A53" i="13"/>
  <c r="B53" i="13"/>
  <c r="A54" i="13"/>
  <c r="A65" i="13"/>
  <c r="A66" i="13"/>
  <c r="A77" i="13"/>
  <c r="A78" i="13"/>
  <c r="A89" i="13"/>
  <c r="A90" i="13"/>
  <c r="B90" i="13"/>
  <c r="Q46" i="29"/>
  <c r="Q73" i="29"/>
  <c r="Q68" i="29"/>
  <c r="Q67" i="29"/>
  <c r="Q63" i="29"/>
  <c r="Q50" i="29"/>
  <c r="Q49" i="29"/>
  <c r="Q47" i="29"/>
  <c r="A5" i="29"/>
  <c r="A6" i="29"/>
  <c r="P8" i="29"/>
  <c r="P7" i="29"/>
  <c r="Q99" i="29"/>
  <c r="Q98" i="29"/>
  <c r="Q97" i="29"/>
  <c r="Q96" i="29"/>
  <c r="Q95" i="29"/>
  <c r="Q94" i="29"/>
  <c r="Q93" i="29"/>
  <c r="Q92" i="29"/>
  <c r="Q91" i="29"/>
  <c r="Q87" i="29"/>
  <c r="Q86" i="29"/>
  <c r="Q85" i="29"/>
  <c r="Q84" i="29"/>
  <c r="Q83" i="29"/>
  <c r="Q82" i="29"/>
  <c r="Q81" i="29"/>
  <c r="Q80" i="29"/>
  <c r="Q79" i="29"/>
  <c r="Q75" i="29"/>
  <c r="Q74" i="29"/>
  <c r="Q72" i="29"/>
  <c r="Q71" i="29"/>
  <c r="Q70" i="29"/>
  <c r="Q69" i="29"/>
  <c r="Q62" i="29"/>
  <c r="Q61" i="29"/>
  <c r="Q60" i="29"/>
  <c r="Q59" i="29"/>
  <c r="Q58" i="29"/>
  <c r="Q57" i="29"/>
  <c r="Q56" i="29"/>
  <c r="Q55" i="29"/>
  <c r="Q51" i="29"/>
  <c r="Q48" i="29"/>
  <c r="Q45" i="29"/>
  <c r="Q44" i="29"/>
  <c r="Q43" i="29"/>
  <c r="Q39" i="29"/>
  <c r="Q38" i="29"/>
  <c r="Q37" i="29"/>
  <c r="Q36" i="29"/>
  <c r="Q35" i="29"/>
  <c r="Q34" i="29"/>
  <c r="Q33" i="29"/>
  <c r="Q32" i="29"/>
  <c r="Q31" i="29"/>
  <c r="Q27" i="29"/>
  <c r="Q26" i="29"/>
  <c r="Q25" i="29"/>
  <c r="Q24" i="29"/>
  <c r="Q23" i="29"/>
  <c r="Q22" i="29"/>
  <c r="Q21" i="29"/>
  <c r="Q20" i="29"/>
  <c r="Q19" i="29"/>
  <c r="Q15" i="29"/>
  <c r="Q14" i="29"/>
  <c r="Q13" i="29"/>
  <c r="Q12" i="29"/>
  <c r="Q11" i="29"/>
  <c r="Q10" i="29"/>
  <c r="Q9" i="29"/>
  <c r="Q8" i="29"/>
  <c r="Q7" i="29"/>
  <c r="P99" i="29"/>
  <c r="P98" i="29"/>
  <c r="P97" i="29"/>
  <c r="P96" i="29"/>
  <c r="P95" i="29"/>
  <c r="P94" i="29"/>
  <c r="P93" i="29"/>
  <c r="P92" i="29"/>
  <c r="P91" i="29"/>
  <c r="P87" i="29"/>
  <c r="P86" i="29"/>
  <c r="P85" i="29"/>
  <c r="P84" i="29"/>
  <c r="P83" i="29"/>
  <c r="P82" i="29"/>
  <c r="P81" i="29"/>
  <c r="P80" i="29"/>
  <c r="P79" i="29"/>
  <c r="P75" i="29"/>
  <c r="P74" i="29"/>
  <c r="P73" i="29"/>
  <c r="P72" i="29"/>
  <c r="P71" i="29"/>
  <c r="P70" i="29"/>
  <c r="P69" i="29"/>
  <c r="P68" i="29"/>
  <c r="P67" i="29"/>
  <c r="P63" i="29"/>
  <c r="P62" i="29"/>
  <c r="P61" i="29"/>
  <c r="P60" i="29"/>
  <c r="P59" i="29"/>
  <c r="P58" i="29"/>
  <c r="P57" i="29"/>
  <c r="P56" i="29"/>
  <c r="P55" i="29"/>
  <c r="P51" i="29"/>
  <c r="P50" i="29"/>
  <c r="P49" i="29"/>
  <c r="P48" i="29"/>
  <c r="P47" i="29"/>
  <c r="P46" i="29"/>
  <c r="P45" i="29"/>
  <c r="P44" i="29"/>
  <c r="P43" i="29"/>
  <c r="P39" i="29"/>
  <c r="P38" i="29"/>
  <c r="P37" i="29"/>
  <c r="P36" i="29"/>
  <c r="P35" i="29"/>
  <c r="P34" i="29"/>
  <c r="P33" i="29"/>
  <c r="P32" i="29"/>
  <c r="P31" i="29"/>
  <c r="P27" i="29"/>
  <c r="P26" i="29"/>
  <c r="P25" i="29"/>
  <c r="P24" i="29"/>
  <c r="P23" i="29"/>
  <c r="P22" i="29"/>
  <c r="P21" i="29"/>
  <c r="P20" i="29"/>
  <c r="P19" i="29"/>
  <c r="P15" i="29"/>
  <c r="P14" i="29"/>
  <c r="P13" i="29"/>
  <c r="P12" i="29"/>
  <c r="P11" i="29"/>
  <c r="P10" i="29"/>
  <c r="P9" i="29"/>
  <c r="B54" i="29"/>
  <c r="B89" i="29"/>
  <c r="B66" i="29"/>
  <c r="B65" i="29"/>
  <c r="B78" i="29"/>
  <c r="B77" i="29"/>
  <c r="B41" i="29"/>
  <c r="B30" i="29"/>
  <c r="A17" i="29"/>
  <c r="A18" i="29"/>
  <c r="A29" i="29"/>
  <c r="A30" i="29"/>
  <c r="A41" i="29"/>
  <c r="A42" i="29"/>
  <c r="A53" i="29"/>
  <c r="A54" i="29"/>
  <c r="A65" i="29"/>
  <c r="A66" i="29"/>
  <c r="A77" i="29"/>
  <c r="A78" i="29"/>
  <c r="A89" i="29"/>
  <c r="A90" i="29"/>
  <c r="AA90" i="29"/>
  <c r="AA89" i="29"/>
  <c r="AA78" i="29"/>
  <c r="AA77" i="29"/>
  <c r="AA66" i="29"/>
  <c r="AA65" i="29"/>
  <c r="AA54" i="29"/>
  <c r="AA53" i="29"/>
  <c r="AA42" i="29"/>
  <c r="AA41" i="29"/>
  <c r="AA30" i="29"/>
  <c r="AA29" i="29"/>
  <c r="AA18" i="29"/>
  <c r="AA17" i="29"/>
  <c r="AA6" i="29"/>
  <c r="AA5" i="29"/>
  <c r="B90" i="29"/>
  <c r="B53" i="29"/>
  <c r="B42" i="29"/>
  <c r="B29" i="29"/>
  <c r="B18" i="29"/>
  <c r="B17" i="29"/>
  <c r="B6" i="29"/>
  <c r="B5" i="29"/>
  <c r="AA93" i="19"/>
  <c r="AB42" i="18"/>
  <c r="AB43" i="18"/>
  <c r="S93" i="19"/>
  <c r="T42" i="18"/>
  <c r="T43" i="18"/>
  <c r="AA96" i="19"/>
  <c r="S96" i="19"/>
  <c r="AA97" i="19"/>
  <c r="S97" i="19"/>
  <c r="AA91" i="19"/>
  <c r="S91" i="19"/>
  <c r="AA92" i="19"/>
  <c r="S92" i="19"/>
  <c r="AA94" i="19"/>
  <c r="S94" i="19"/>
  <c r="AA95" i="19"/>
  <c r="S95" i="19"/>
  <c r="AA98" i="19"/>
  <c r="S98" i="19"/>
  <c r="AA99" i="19"/>
  <c r="S99" i="19"/>
  <c r="AA67" i="19"/>
  <c r="AB32" i="18"/>
  <c r="AB33" i="18"/>
  <c r="S67" i="19"/>
  <c r="T32" i="18"/>
  <c r="T33" i="18"/>
  <c r="AA68" i="19"/>
  <c r="S68" i="19"/>
  <c r="AA69" i="19"/>
  <c r="S69" i="19"/>
  <c r="AA70" i="19"/>
  <c r="S70" i="19"/>
  <c r="AA71" i="19"/>
  <c r="S71" i="19"/>
  <c r="AA72" i="19"/>
  <c r="S72" i="19"/>
  <c r="AA73" i="19"/>
  <c r="S73" i="19"/>
  <c r="AA74" i="19"/>
  <c r="S74" i="19"/>
  <c r="AA75" i="19"/>
  <c r="S75" i="19"/>
  <c r="AA55" i="19"/>
  <c r="AB27" i="18"/>
  <c r="AB28" i="18"/>
  <c r="S55" i="19"/>
  <c r="T27" i="18"/>
  <c r="T28" i="18"/>
  <c r="AA56" i="19"/>
  <c r="S56" i="19"/>
  <c r="AA57" i="19"/>
  <c r="S57" i="19"/>
  <c r="AA58" i="19"/>
  <c r="S58" i="19"/>
  <c r="AA59" i="19"/>
  <c r="S59" i="19"/>
  <c r="AA60" i="19"/>
  <c r="S60" i="19"/>
  <c r="AA61" i="19"/>
  <c r="S61" i="19"/>
  <c r="AA62" i="19"/>
  <c r="S62" i="19"/>
  <c r="AA63" i="19"/>
  <c r="S63" i="19"/>
  <c r="AA43" i="19"/>
  <c r="AB22" i="18"/>
  <c r="AB23" i="18"/>
  <c r="S43" i="19"/>
  <c r="T22" i="18"/>
  <c r="T23" i="18"/>
  <c r="AA44" i="19"/>
  <c r="S44" i="19"/>
  <c r="AA45" i="19"/>
  <c r="S45" i="19"/>
  <c r="AA46" i="19"/>
  <c r="S46" i="19"/>
  <c r="AA47" i="19"/>
  <c r="S47" i="19"/>
  <c r="AA48" i="19"/>
  <c r="S48" i="19"/>
  <c r="AA49" i="19"/>
  <c r="S49" i="19"/>
  <c r="AA50" i="19"/>
  <c r="S50" i="19"/>
  <c r="AA51" i="19"/>
  <c r="S51" i="19"/>
  <c r="AA31" i="19"/>
  <c r="AB17" i="18"/>
  <c r="AB18" i="18"/>
  <c r="S31" i="19"/>
  <c r="T17" i="18"/>
  <c r="T18" i="18"/>
  <c r="AA32" i="19"/>
  <c r="S32" i="19"/>
  <c r="AA33" i="19"/>
  <c r="S33" i="19"/>
  <c r="AA34" i="19"/>
  <c r="S34" i="19"/>
  <c r="AA35" i="19"/>
  <c r="S35" i="19"/>
  <c r="AA36" i="19"/>
  <c r="S36" i="19"/>
  <c r="AA37" i="19"/>
  <c r="S37" i="19"/>
  <c r="AA38" i="19"/>
  <c r="S38" i="19"/>
  <c r="AA39" i="19"/>
  <c r="S39" i="19"/>
  <c r="AA19" i="19"/>
  <c r="AB12" i="18"/>
  <c r="AB13" i="18"/>
  <c r="S19" i="19"/>
  <c r="T12" i="18"/>
  <c r="T13" i="18"/>
  <c r="AA20" i="19"/>
  <c r="S20" i="19"/>
  <c r="AA21" i="19"/>
  <c r="S21" i="19"/>
  <c r="AA22" i="19"/>
  <c r="S22" i="19"/>
  <c r="AA23" i="19"/>
  <c r="S23" i="19"/>
  <c r="AA24" i="19"/>
  <c r="S24" i="19"/>
  <c r="AA25" i="19"/>
  <c r="S25" i="19"/>
  <c r="AA26" i="19"/>
  <c r="S26" i="19"/>
  <c r="AA27" i="19"/>
  <c r="S27" i="19"/>
  <c r="AA7" i="19"/>
  <c r="AB7" i="18"/>
  <c r="AB8" i="18"/>
  <c r="S7" i="19"/>
  <c r="T7" i="18"/>
  <c r="T8" i="18"/>
  <c r="AA8" i="19"/>
  <c r="S8" i="19"/>
  <c r="AA9" i="19"/>
  <c r="S9" i="19"/>
  <c r="AA10" i="19"/>
  <c r="S10" i="19"/>
  <c r="AA11" i="19"/>
  <c r="S11" i="19"/>
  <c r="AA12" i="19"/>
  <c r="S12" i="19"/>
  <c r="AA13" i="19"/>
  <c r="S13" i="19"/>
  <c r="AA14" i="19"/>
  <c r="S14" i="19"/>
  <c r="AA15" i="19"/>
  <c r="S15" i="19"/>
  <c r="AA87" i="19"/>
  <c r="AB37" i="18"/>
  <c r="AB38" i="18"/>
  <c r="S87" i="19"/>
  <c r="T37" i="18"/>
  <c r="T38" i="18"/>
  <c r="AA86" i="19"/>
  <c r="S86" i="19"/>
  <c r="AA85" i="19"/>
  <c r="S85" i="19"/>
  <c r="AA84" i="19"/>
  <c r="S84" i="19"/>
  <c r="AA83" i="19"/>
  <c r="S83" i="19"/>
  <c r="AA82" i="19"/>
  <c r="S82" i="19"/>
  <c r="AA81" i="19"/>
  <c r="S81" i="19"/>
  <c r="AA80" i="19"/>
  <c r="S80" i="19"/>
  <c r="AA79" i="19"/>
  <c r="S79" i="19"/>
  <c r="B90" i="19"/>
  <c r="B89" i="19"/>
  <c r="B78" i="19"/>
  <c r="B77" i="19"/>
  <c r="B66" i="19"/>
  <c r="B65" i="19"/>
  <c r="B54" i="19"/>
  <c r="B53" i="19"/>
  <c r="B42" i="19"/>
  <c r="B41" i="19"/>
  <c r="B30" i="19"/>
  <c r="B29" i="19"/>
  <c r="B18" i="19"/>
  <c r="B17" i="19"/>
  <c r="A17" i="19"/>
  <c r="A18" i="19"/>
  <c r="A29" i="19"/>
  <c r="A30" i="19"/>
  <c r="A41" i="19"/>
  <c r="A42" i="19"/>
  <c r="A53" i="19"/>
  <c r="A54" i="19"/>
  <c r="A65" i="19"/>
  <c r="A66" i="19"/>
  <c r="A77" i="19"/>
  <c r="A78" i="19"/>
  <c r="A89" i="19"/>
  <c r="A90" i="19"/>
  <c r="A5" i="19"/>
  <c r="B5" i="19"/>
  <c r="A6" i="19"/>
  <c r="B6" i="19"/>
  <c r="AA7" i="46"/>
  <c r="AC7" i="45"/>
  <c r="AC8" i="45"/>
  <c r="S7" i="46"/>
  <c r="S7" i="45"/>
  <c r="S8" i="45"/>
  <c r="S99" i="46"/>
  <c r="S98" i="46"/>
  <c r="S97" i="46"/>
  <c r="S96" i="46"/>
  <c r="S95" i="46"/>
  <c r="S94" i="46"/>
  <c r="S93" i="46"/>
  <c r="S92" i="46"/>
  <c r="S91" i="46"/>
  <c r="S87" i="46"/>
  <c r="S86" i="46"/>
  <c r="S85" i="46"/>
  <c r="S84" i="46"/>
  <c r="S83" i="46"/>
  <c r="S82" i="46"/>
  <c r="S81" i="46"/>
  <c r="S80" i="46"/>
  <c r="S79" i="46"/>
  <c r="S75" i="46"/>
  <c r="S74" i="46"/>
  <c r="S73" i="46"/>
  <c r="S72" i="46"/>
  <c r="S71" i="46"/>
  <c r="S70" i="46"/>
  <c r="S69" i="46"/>
  <c r="S68" i="46"/>
  <c r="S67" i="46"/>
  <c r="S63" i="46"/>
  <c r="S62" i="46"/>
  <c r="S61" i="46"/>
  <c r="S60" i="46"/>
  <c r="S59" i="46"/>
  <c r="S58" i="46"/>
  <c r="S57" i="46"/>
  <c r="S56" i="46"/>
  <c r="S55" i="46"/>
  <c r="S51" i="46"/>
  <c r="S50" i="46"/>
  <c r="S49" i="46"/>
  <c r="S48" i="46"/>
  <c r="S47" i="46"/>
  <c r="S46" i="46"/>
  <c r="S45" i="46"/>
  <c r="S44" i="46"/>
  <c r="S43" i="46"/>
  <c r="S39" i="46"/>
  <c r="S38" i="46"/>
  <c r="S37" i="46"/>
  <c r="S36" i="46"/>
  <c r="S35" i="46"/>
  <c r="S34" i="46"/>
  <c r="S33" i="46"/>
  <c r="S32" i="46"/>
  <c r="S31" i="46"/>
  <c r="S27" i="46"/>
  <c r="S26" i="46"/>
  <c r="S25" i="46"/>
  <c r="S24" i="46"/>
  <c r="S23" i="46"/>
  <c r="S22" i="46"/>
  <c r="S21" i="46"/>
  <c r="S20" i="46"/>
  <c r="S19" i="46"/>
  <c r="S15" i="46"/>
  <c r="S14" i="46"/>
  <c r="S13" i="46"/>
  <c r="S12" i="46"/>
  <c r="S11" i="46"/>
  <c r="S10" i="46"/>
  <c r="S9" i="46"/>
  <c r="S8" i="46"/>
  <c r="AK42" i="45"/>
  <c r="AK43" i="45"/>
  <c r="AC42" i="45"/>
  <c r="AC43" i="45"/>
  <c r="S42" i="45"/>
  <c r="S43" i="45"/>
  <c r="B90" i="46"/>
  <c r="A90" i="46"/>
  <c r="B89" i="46"/>
  <c r="A89" i="46"/>
  <c r="AK37" i="45"/>
  <c r="AK38" i="45"/>
  <c r="AC37" i="45"/>
  <c r="AC38" i="45"/>
  <c r="S37" i="45"/>
  <c r="S38" i="45"/>
  <c r="B78" i="46"/>
  <c r="A78" i="46"/>
  <c r="B77" i="46"/>
  <c r="A77" i="46"/>
  <c r="AK32" i="45"/>
  <c r="AK33" i="45"/>
  <c r="AC32" i="45"/>
  <c r="AC33" i="45"/>
  <c r="S32" i="45"/>
  <c r="S33" i="45"/>
  <c r="B66" i="46"/>
  <c r="A66" i="46"/>
  <c r="B65" i="46"/>
  <c r="A65" i="46"/>
  <c r="AK27" i="45"/>
  <c r="AK28" i="45"/>
  <c r="AC27" i="45"/>
  <c r="AC28" i="45"/>
  <c r="S27" i="45"/>
  <c r="S28" i="45"/>
  <c r="B54" i="46"/>
  <c r="A54" i="46"/>
  <c r="B53" i="46"/>
  <c r="A53" i="46"/>
  <c r="AK22" i="45"/>
  <c r="AK23" i="45"/>
  <c r="AC22" i="45"/>
  <c r="AC23" i="45"/>
  <c r="S22" i="45"/>
  <c r="S23" i="45"/>
  <c r="B42" i="46"/>
  <c r="A42" i="46"/>
  <c r="B41" i="46"/>
  <c r="A41" i="46"/>
  <c r="AK17" i="45"/>
  <c r="AK18" i="45"/>
  <c r="AC17" i="45"/>
  <c r="AC18" i="45"/>
  <c r="S17" i="45"/>
  <c r="S18" i="45"/>
  <c r="B30" i="46"/>
  <c r="A30" i="46"/>
  <c r="B29" i="46"/>
  <c r="A29" i="46"/>
  <c r="AK12" i="45"/>
  <c r="AK13" i="45"/>
  <c r="AC12" i="45"/>
  <c r="AC13" i="45"/>
  <c r="S12" i="45"/>
  <c r="S13" i="45"/>
  <c r="B18" i="46"/>
  <c r="A18" i="46"/>
  <c r="B17" i="46"/>
  <c r="A17" i="46"/>
  <c r="AK7" i="45"/>
  <c r="AK8" i="45"/>
  <c r="B6" i="46"/>
  <c r="A6" i="46"/>
  <c r="B5" i="46"/>
  <c r="A5" i="46"/>
  <c r="AI7" i="46"/>
  <c r="AI8" i="46"/>
  <c r="AA8" i="46"/>
  <c r="AI9" i="46"/>
  <c r="AA9" i="46"/>
  <c r="AI10" i="46"/>
  <c r="AA10" i="46"/>
  <c r="AI11" i="46"/>
  <c r="AA11" i="46"/>
  <c r="AI12" i="46"/>
  <c r="AA12" i="46"/>
  <c r="AI13" i="46"/>
  <c r="AA13" i="46"/>
  <c r="AI14" i="46"/>
  <c r="AA14" i="46"/>
  <c r="AI15" i="46"/>
  <c r="AA15" i="46"/>
  <c r="AI19" i="46"/>
  <c r="AA19" i="46"/>
  <c r="AI20" i="46"/>
  <c r="AA20" i="46"/>
  <c r="AI21" i="46"/>
  <c r="AA21" i="46"/>
  <c r="AI22" i="46"/>
  <c r="AA22" i="46"/>
  <c r="AI23" i="46"/>
  <c r="AA23" i="46"/>
  <c r="AI24" i="46"/>
  <c r="AA24" i="46"/>
  <c r="AI25" i="46"/>
  <c r="AA25" i="46"/>
  <c r="AI26" i="46"/>
  <c r="AA26" i="46"/>
  <c r="AI27" i="46"/>
  <c r="AA27" i="46"/>
  <c r="AI31" i="46"/>
  <c r="AA31" i="46"/>
  <c r="AI32" i="46"/>
  <c r="AA32" i="46"/>
  <c r="AI33" i="46"/>
  <c r="AA33" i="46"/>
  <c r="AI34" i="46"/>
  <c r="AA34" i="46"/>
  <c r="AI35" i="46"/>
  <c r="AA35" i="46"/>
  <c r="AI36" i="46"/>
  <c r="AA36" i="46"/>
  <c r="AI37" i="46"/>
  <c r="AA37" i="46"/>
  <c r="AI38" i="46"/>
  <c r="AA38" i="46"/>
  <c r="AI39" i="46"/>
  <c r="AA39" i="46"/>
  <c r="AI43" i="46"/>
  <c r="AA43" i="46"/>
  <c r="AI44" i="46"/>
  <c r="AA44" i="46"/>
  <c r="AI45" i="46"/>
  <c r="AA45" i="46"/>
  <c r="AI46" i="46"/>
  <c r="AA46" i="46"/>
  <c r="AI47" i="46"/>
  <c r="AA47" i="46"/>
  <c r="AI48" i="46"/>
  <c r="AA48" i="46"/>
  <c r="AI49" i="46"/>
  <c r="AA49" i="46"/>
  <c r="AI50" i="46"/>
  <c r="AA50" i="46"/>
  <c r="AI51" i="46"/>
  <c r="AA51" i="46"/>
  <c r="AI55" i="46"/>
  <c r="AA55" i="46"/>
  <c r="AI56" i="46"/>
  <c r="AA56" i="46"/>
  <c r="AI57" i="46"/>
  <c r="AA57" i="46"/>
  <c r="AI58" i="46"/>
  <c r="AA58" i="46"/>
  <c r="AI59" i="46"/>
  <c r="AA59" i="46"/>
  <c r="AI60" i="46"/>
  <c r="AA60" i="46"/>
  <c r="AI61" i="46"/>
  <c r="AA61" i="46"/>
  <c r="AI62" i="46"/>
  <c r="AA62" i="46"/>
  <c r="AI63" i="46"/>
  <c r="AA63" i="46"/>
  <c r="AI67" i="46"/>
  <c r="AA67" i="46"/>
  <c r="AI68" i="46"/>
  <c r="AA68" i="46"/>
  <c r="AI69" i="46"/>
  <c r="AA69" i="46"/>
  <c r="AI70" i="46"/>
  <c r="AA70" i="46"/>
  <c r="AI71" i="46"/>
  <c r="AA71" i="46"/>
  <c r="AI72" i="46"/>
  <c r="AA72" i="46"/>
  <c r="AI73" i="46"/>
  <c r="AA73" i="46"/>
  <c r="AI74" i="46"/>
  <c r="AA74" i="46"/>
  <c r="AI75" i="46"/>
  <c r="AA75" i="46"/>
  <c r="AI79" i="46"/>
  <c r="AA79" i="46"/>
  <c r="AI80" i="46"/>
  <c r="AA80" i="46"/>
  <c r="AI81" i="46"/>
  <c r="AA81" i="46"/>
  <c r="AI82" i="46"/>
  <c r="AA82" i="46"/>
  <c r="AI83" i="46"/>
  <c r="AA83" i="46"/>
  <c r="AI84" i="46"/>
  <c r="AA84" i="46"/>
  <c r="AI85" i="46"/>
  <c r="AA85" i="46"/>
  <c r="AI86" i="46"/>
  <c r="AA86" i="46"/>
  <c r="AI87" i="46"/>
  <c r="AA87" i="46"/>
  <c r="AA91" i="46"/>
  <c r="AI91" i="46"/>
  <c r="AI92" i="46"/>
  <c r="AA92" i="46"/>
  <c r="AI93" i="46"/>
  <c r="AA93" i="46"/>
  <c r="AI94" i="46"/>
  <c r="AA94" i="46"/>
  <c r="AI95" i="46"/>
  <c r="AA95" i="46"/>
  <c r="AI96" i="46"/>
  <c r="AA96" i="46"/>
  <c r="AI97" i="46"/>
  <c r="AA97" i="46"/>
  <c r="AI98" i="46"/>
  <c r="AA98" i="46"/>
  <c r="AI99" i="46"/>
  <c r="AA99" i="46"/>
  <c r="P7" i="25"/>
  <c r="P8" i="25"/>
  <c r="Y43" i="25"/>
  <c r="Y42" i="25"/>
  <c r="Y38" i="25"/>
  <c r="Y37" i="25"/>
  <c r="Y28" i="25"/>
  <c r="Y27" i="25"/>
  <c r="Y23" i="25"/>
  <c r="Y22" i="25"/>
  <c r="Y18" i="25"/>
  <c r="Y17" i="25"/>
  <c r="Y13" i="25"/>
  <c r="Y12" i="25"/>
  <c r="Y8" i="25"/>
  <c r="Y7" i="25"/>
  <c r="Y33" i="25"/>
  <c r="Y32" i="25"/>
  <c r="P12" i="25"/>
  <c r="P13" i="25"/>
  <c r="P17" i="25"/>
  <c r="P18" i="25"/>
  <c r="P22" i="25"/>
  <c r="P23" i="25"/>
  <c r="P27" i="25"/>
  <c r="P28" i="25"/>
  <c r="P32" i="25"/>
  <c r="P33" i="25"/>
  <c r="P37" i="25"/>
  <c r="P38" i="25"/>
  <c r="P42" i="25"/>
  <c r="P43" i="25"/>
  <c r="L64" i="25"/>
  <c r="L65" i="25"/>
  <c r="L66" i="25"/>
  <c r="L67" i="25"/>
  <c r="L68" i="25"/>
  <c r="L69" i="25"/>
  <c r="L70" i="25"/>
  <c r="L63" i="25"/>
  <c r="AQ27" i="38"/>
  <c r="Z27" i="38"/>
  <c r="AQ42" i="38"/>
  <c r="AO42" i="38"/>
  <c r="AQ35" i="38"/>
  <c r="Z35" i="38"/>
  <c r="AD35" i="38" s="1"/>
  <c r="AO20" i="38"/>
  <c r="M11" i="38"/>
  <c r="W11" i="38"/>
  <c r="W34" i="10"/>
  <c r="W58" i="10"/>
  <c r="Y22" i="38"/>
  <c r="AB22" i="38" s="1"/>
  <c r="W63" i="10"/>
  <c r="W50" i="17"/>
  <c r="AQ20" i="38"/>
  <c r="Y20" i="38"/>
  <c r="AB20" i="38" s="1"/>
  <c r="AO43" i="38"/>
  <c r="W44" i="17"/>
  <c r="W41" i="17"/>
  <c r="W133" i="17"/>
  <c r="W40" i="10"/>
  <c r="W36" i="17"/>
  <c r="W54" i="17"/>
  <c r="Z13" i="9"/>
  <c r="P3" i="9"/>
  <c r="AA3" i="9"/>
  <c r="AI8" i="9"/>
  <c r="Z3" i="9"/>
  <c r="AK6" i="9"/>
  <c r="AK8" i="9"/>
  <c r="AJ3" i="9"/>
  <c r="R6" i="9"/>
  <c r="X3" i="9"/>
  <c r="R11" i="9"/>
  <c r="S6" i="9"/>
  <c r="AO6" i="9" s="1"/>
  <c r="AN5" i="9"/>
  <c r="W43" i="38"/>
  <c r="X43" i="38"/>
  <c r="AP43" i="38"/>
  <c r="X13" i="38"/>
  <c r="O13" i="38"/>
  <c r="R7" i="38"/>
  <c r="S7" i="38"/>
  <c r="X7" i="38"/>
  <c r="O7" i="38"/>
  <c r="O11" i="38"/>
  <c r="W13" i="38"/>
  <c r="N11" i="16"/>
  <c r="AK3" i="9"/>
  <c r="AI3" i="9"/>
  <c r="I3" i="9"/>
  <c r="D3" i="9"/>
  <c r="AF3" i="9"/>
  <c r="AL3" i="9"/>
  <c r="AH8" i="9"/>
  <c r="AA8" i="9"/>
  <c r="AH6" i="9"/>
  <c r="AK5" i="9"/>
  <c r="AR35" i="38"/>
  <c r="AC35" i="38"/>
  <c r="AR20" i="38"/>
  <c r="AD27" i="38"/>
  <c r="O10" i="38"/>
  <c r="S10" i="38"/>
  <c r="Z36" i="38"/>
  <c r="AR36" i="38" s="1"/>
  <c r="W7" i="38"/>
  <c r="W20" i="10"/>
  <c r="W55" i="17"/>
  <c r="W98" i="17"/>
  <c r="W132" i="17"/>
  <c r="M8" i="38"/>
  <c r="T36" i="38"/>
  <c r="X36" i="38" s="1"/>
  <c r="W32" i="10"/>
  <c r="W51" i="10"/>
  <c r="W37" i="17"/>
  <c r="Z29" i="38"/>
  <c r="AD29" i="38" s="1"/>
  <c r="AQ29" i="38"/>
  <c r="AO28" i="38"/>
  <c r="W14" i="38"/>
  <c r="M14" i="38"/>
  <c r="S14" i="38" s="1"/>
  <c r="W38" i="17"/>
  <c r="W42" i="17"/>
  <c r="W51" i="17"/>
  <c r="W60" i="17"/>
  <c r="W62" i="17"/>
  <c r="W94" i="17"/>
  <c r="W90" i="17"/>
  <c r="W105" i="17"/>
  <c r="W122" i="17"/>
  <c r="W47" i="17"/>
  <c r="W53" i="17"/>
  <c r="F3" i="16"/>
  <c r="N7" i="16" l="1"/>
  <c r="O14" i="38"/>
  <c r="T27" i="38"/>
  <c r="AO34" i="38"/>
  <c r="R10" i="38"/>
  <c r="R13" i="38"/>
  <c r="AO29" i="38"/>
  <c r="N20" i="16"/>
  <c r="N19" i="16"/>
  <c r="N16" i="16"/>
  <c r="O16" i="16" s="1"/>
  <c r="N15" i="16"/>
  <c r="N12" i="16"/>
  <c r="N8" i="16"/>
  <c r="N18" i="16"/>
  <c r="O18" i="16" s="1"/>
  <c r="N10" i="16"/>
  <c r="W10" i="38"/>
  <c r="N17" i="16"/>
  <c r="N9" i="16"/>
  <c r="O9" i="16" s="1"/>
  <c r="R14" i="38"/>
  <c r="AC29" i="38"/>
  <c r="AC22" i="38"/>
  <c r="AR22" i="38"/>
  <c r="AP28" i="38"/>
  <c r="AC20" i="38"/>
  <c r="V6" i="9"/>
  <c r="U6" i="9"/>
  <c r="X11" i="38"/>
  <c r="S11" i="38"/>
  <c r="U11" i="9"/>
  <c r="E3" i="9"/>
  <c r="B2" i="12"/>
  <c r="AQ15" i="12" s="1"/>
  <c r="B2" i="10"/>
  <c r="AP51" i="10" s="1"/>
  <c r="B2" i="19"/>
  <c r="B2" i="46"/>
  <c r="AB69" i="46" s="1"/>
  <c r="BF69" i="46" s="1"/>
  <c r="B2" i="13"/>
  <c r="AQ46" i="13" s="1"/>
  <c r="B2" i="18"/>
  <c r="AC32" i="18" s="1"/>
  <c r="AC65" i="19" s="1"/>
  <c r="B2" i="45"/>
  <c r="B2" i="25"/>
  <c r="AQ12" i="25" s="1"/>
  <c r="AK7" i="9"/>
  <c r="D9" i="9"/>
  <c r="R10" i="9"/>
  <c r="R7" i="9"/>
  <c r="U7" i="9" s="1"/>
  <c r="Z7" i="9"/>
  <c r="F3" i="9"/>
  <c r="AA13" i="9"/>
  <c r="AG7" i="9"/>
  <c r="AP3" i="9"/>
  <c r="L3" i="9"/>
  <c r="AB12" i="9"/>
  <c r="R13" i="9"/>
  <c r="V13" i="9" s="1"/>
  <c r="AC3" i="9"/>
  <c r="AB11" i="9"/>
  <c r="Y3" i="9"/>
  <c r="O3" i="9"/>
  <c r="G3" i="9"/>
  <c r="E9" i="9"/>
  <c r="AQ3" i="9"/>
  <c r="AN3" i="9"/>
  <c r="AP10" i="9"/>
  <c r="AJ8" i="9"/>
  <c r="AL7" i="9"/>
  <c r="AA6" i="9"/>
  <c r="Z5" i="9"/>
  <c r="AL5" i="9"/>
  <c r="AB3" i="9"/>
  <c r="R12" i="9"/>
  <c r="AQ12" i="9" s="1"/>
  <c r="AA5" i="9"/>
  <c r="AT3" i="9"/>
  <c r="Z12" i="9"/>
  <c r="Z10" i="9"/>
  <c r="T3" i="9"/>
  <c r="AB10" i="9"/>
  <c r="S8" i="9"/>
  <c r="AO8" i="9" s="1"/>
  <c r="R8" i="9"/>
  <c r="Z9" i="9"/>
  <c r="AG3" i="9"/>
  <c r="M3" i="9"/>
  <c r="W3" i="9"/>
  <c r="AB9" i="9"/>
  <c r="AA9" i="9"/>
  <c r="AN7" i="9"/>
  <c r="AL6" i="9"/>
  <c r="AI5" i="9"/>
  <c r="AB13" i="9"/>
  <c r="B2" i="29"/>
  <c r="AO97" i="29" s="1"/>
  <c r="AG6" i="9"/>
  <c r="H3" i="9"/>
  <c r="R5" i="9"/>
  <c r="AB12" i="12" s="1"/>
  <c r="AI6" i="9"/>
  <c r="J3" i="9"/>
  <c r="AH5" i="9"/>
  <c r="Z11" i="9"/>
  <c r="U3" i="9"/>
  <c r="AO3" i="9"/>
  <c r="Z8" i="9"/>
  <c r="AJ5" i="9"/>
  <c r="V3" i="9"/>
  <c r="K3" i="9"/>
  <c r="F9" i="9"/>
  <c r="AD3" i="9"/>
  <c r="AP11" i="9"/>
  <c r="AL8" i="9"/>
  <c r="AJ7" i="9"/>
  <c r="AJ6" i="9"/>
  <c r="AG5" i="9"/>
  <c r="AP20" i="10"/>
  <c r="AD36" i="38"/>
  <c r="AC36" i="38"/>
  <c r="AM6" i="9"/>
  <c r="AA12" i="9"/>
  <c r="AA7" i="9"/>
  <c r="AA10" i="9"/>
  <c r="AS3" i="9"/>
  <c r="Q3" i="9"/>
  <c r="AI7" i="9"/>
  <c r="AR3" i="9"/>
  <c r="AH3" i="9"/>
  <c r="S7" i="9"/>
  <c r="AE14" i="10" s="1"/>
  <c r="AM3" i="9"/>
  <c r="V11" i="9"/>
  <c r="AT11" i="9"/>
  <c r="W28" i="38"/>
  <c r="AP12" i="9"/>
  <c r="AH7" i="9"/>
  <c r="AA11" i="9"/>
  <c r="G9" i="9"/>
  <c r="S3" i="9"/>
  <c r="R11" i="38"/>
  <c r="Z6" i="9"/>
  <c r="N3" i="9"/>
  <c r="AE3" i="9"/>
  <c r="R3" i="9"/>
  <c r="S5" i="9"/>
  <c r="AS6" i="9" s="1"/>
  <c r="AG8" i="9"/>
  <c r="AP20" i="38"/>
  <c r="V20" i="38"/>
  <c r="AC27" i="38"/>
  <c r="AR27" i="38"/>
  <c r="T74" i="29"/>
  <c r="AR74" i="29" s="1"/>
  <c r="X8" i="10"/>
  <c r="AP34" i="10"/>
  <c r="T41" i="38"/>
  <c r="AO41" i="38"/>
  <c r="Z34" i="38"/>
  <c r="AQ34" i="38"/>
  <c r="Z28" i="38"/>
  <c r="AQ28" i="38"/>
  <c r="T22" i="12"/>
  <c r="AB54" i="13" s="1"/>
  <c r="AP64" i="10"/>
  <c r="AS28" i="12"/>
  <c r="AC37" i="18"/>
  <c r="AX13" i="18"/>
  <c r="AC12" i="18"/>
  <c r="AB74" i="46"/>
  <c r="BF74" i="46" s="1"/>
  <c r="U12" i="18"/>
  <c r="AQ41" i="38"/>
  <c r="Z41" i="38"/>
  <c r="AC41" i="38" s="1"/>
  <c r="U8" i="18"/>
  <c r="U32" i="18"/>
  <c r="AO39" i="29"/>
  <c r="Z43" i="38"/>
  <c r="AQ43" i="38"/>
  <c r="AO20" i="10"/>
  <c r="AC38" i="18"/>
  <c r="S10" i="29"/>
  <c r="AP10" i="29" s="1"/>
  <c r="T14" i="12"/>
  <c r="AT14" i="12" s="1"/>
  <c r="S23" i="12"/>
  <c r="AR23" i="12" s="1"/>
  <c r="AO44" i="29"/>
  <c r="T30" i="12"/>
  <c r="BH12" i="45"/>
  <c r="BB18" i="45"/>
  <c r="BB27" i="45"/>
  <c r="BC33" i="45"/>
  <c r="BB42" i="45"/>
  <c r="U3" i="45"/>
  <c r="BH3" i="45"/>
  <c r="BC8" i="45"/>
  <c r="BE17" i="45"/>
  <c r="BH27" i="45"/>
  <c r="BB33" i="45"/>
  <c r="BE42" i="45"/>
  <c r="Z3" i="45"/>
  <c r="BK3" i="45"/>
  <c r="BD7" i="45"/>
  <c r="BB12" i="45"/>
  <c r="BC17" i="45"/>
  <c r="AX22" i="45"/>
  <c r="BA23" i="45"/>
  <c r="BH28" i="45"/>
  <c r="BA32" i="45"/>
  <c r="AW37" i="45"/>
  <c r="BE38" i="45"/>
  <c r="AW43" i="45"/>
  <c r="L3" i="45"/>
  <c r="AH3" i="45"/>
  <c r="BA3" i="45"/>
  <c r="U7" i="45"/>
  <c r="T47" i="19"/>
  <c r="AB58" i="19"/>
  <c r="AK74" i="19"/>
  <c r="AB97" i="19"/>
  <c r="AP69" i="19"/>
  <c r="AN95" i="19"/>
  <c r="AO96" i="19"/>
  <c r="AO95" i="19"/>
  <c r="AL68" i="19"/>
  <c r="AT72" i="19"/>
  <c r="AN56" i="19"/>
  <c r="AP60" i="19"/>
  <c r="AM43" i="19"/>
  <c r="AI48" i="19"/>
  <c r="AN31" i="19"/>
  <c r="AP35" i="19"/>
  <c r="AK39" i="19"/>
  <c r="AJ23" i="19"/>
  <c r="AL26" i="19"/>
  <c r="AJ9" i="19"/>
  <c r="AN12" i="19"/>
  <c r="AQ15" i="19"/>
  <c r="AM85" i="19"/>
  <c r="AK82" i="19"/>
  <c r="AK3" i="19"/>
  <c r="P3" i="19"/>
  <c r="AT37" i="19"/>
  <c r="AK81" i="19"/>
  <c r="AQ33" i="19"/>
  <c r="AL31" i="19"/>
  <c r="AQ87" i="19"/>
  <c r="AQ51" i="19"/>
  <c r="AK92" i="19"/>
  <c r="AM70" i="19"/>
  <c r="T35" i="19"/>
  <c r="AU35" i="19" s="1"/>
  <c r="AI75" i="19"/>
  <c r="T73" i="19"/>
  <c r="AU73" i="19" s="1"/>
  <c r="AK68" i="19"/>
  <c r="AN92" i="19"/>
  <c r="AO97" i="19"/>
  <c r="AJ98" i="19"/>
  <c r="AQ69" i="19"/>
  <c r="AL73" i="19"/>
  <c r="AJ57" i="19"/>
  <c r="AO61" i="19"/>
  <c r="AP44" i="19"/>
  <c r="AK48" i="19"/>
  <c r="AJ32" i="19"/>
  <c r="AO36" i="19"/>
  <c r="AL19" i="19"/>
  <c r="AT23" i="19"/>
  <c r="AO27" i="19"/>
  <c r="AL9" i="19"/>
  <c r="AK12" i="19"/>
  <c r="AI87" i="19"/>
  <c r="AN84" i="19"/>
  <c r="AQ81" i="19"/>
  <c r="AR3" i="19"/>
  <c r="AO14" i="19"/>
  <c r="AL48" i="19"/>
  <c r="AO45" i="19"/>
  <c r="AK79" i="19"/>
  <c r="AM21" i="19"/>
  <c r="AK59" i="19"/>
  <c r="AM79" i="19"/>
  <c r="T57" i="19"/>
  <c r="AU57" i="19" s="1"/>
  <c r="AP74" i="19"/>
  <c r="AB96" i="19"/>
  <c r="AI69" i="19"/>
  <c r="AM91" i="19"/>
  <c r="AQ96" i="19"/>
  <c r="AQ95" i="19"/>
  <c r="AT68" i="19"/>
  <c r="AO73" i="19"/>
  <c r="AP56" i="19"/>
  <c r="AM60" i="19"/>
  <c r="AI44" i="19"/>
  <c r="AN48" i="19"/>
  <c r="AP31" i="19"/>
  <c r="AK35" i="19"/>
  <c r="AJ19" i="19"/>
  <c r="AO23" i="19"/>
  <c r="AT26" i="19"/>
  <c r="AO9" i="19"/>
  <c r="AP12" i="19"/>
  <c r="AL15" i="19"/>
  <c r="AK85" i="19"/>
  <c r="AJ81" i="19"/>
  <c r="AU3" i="19"/>
  <c r="AL3" i="19"/>
  <c r="AJ85" i="19"/>
  <c r="AK32" i="19"/>
  <c r="AB51" i="19"/>
  <c r="AJ3" i="19"/>
  <c r="AN23" i="19"/>
  <c r="AM61" i="19"/>
  <c r="AN3" i="45"/>
  <c r="BE37" i="45"/>
  <c r="BE22" i="45"/>
  <c r="BE7" i="45"/>
  <c r="AK84" i="19"/>
  <c r="AT27" i="19"/>
  <c r="AT32" i="19"/>
  <c r="AN45" i="19"/>
  <c r="AQ74" i="19"/>
  <c r="AO91" i="19"/>
  <c r="AB67" i="19"/>
  <c r="AO56" i="19"/>
  <c r="BJ3" i="45"/>
  <c r="X3" i="45"/>
  <c r="E3" i="45"/>
  <c r="BD42" i="45"/>
  <c r="BE33" i="45"/>
  <c r="AX32" i="45"/>
  <c r="BD27" i="45"/>
  <c r="BD18" i="45"/>
  <c r="AW17" i="45"/>
  <c r="BC12" i="45"/>
  <c r="AD18" i="45"/>
  <c r="BK18" i="45" s="1"/>
  <c r="AL23" i="45"/>
  <c r="AB12" i="19"/>
  <c r="AP21" i="19"/>
  <c r="AT38" i="19"/>
  <c r="AD17" i="45"/>
  <c r="AD32" i="45"/>
  <c r="AL38" i="45"/>
  <c r="T81" i="19"/>
  <c r="AU81" i="19" s="1"/>
  <c r="T22" i="19"/>
  <c r="AU22" i="19" s="1"/>
  <c r="T45" i="19"/>
  <c r="AB57" i="19"/>
  <c r="AB72" i="19"/>
  <c r="AB70" i="19"/>
  <c r="AT97" i="19"/>
  <c r="AL17" i="45"/>
  <c r="AD38" i="45"/>
  <c r="AD8" i="45"/>
  <c r="T82" i="19"/>
  <c r="AU82" i="19" s="1"/>
  <c r="T86" i="19"/>
  <c r="AU86" i="19" s="1"/>
  <c r="AB14" i="19"/>
  <c r="T8" i="19"/>
  <c r="AU8" i="19" s="1"/>
  <c r="AB20" i="19"/>
  <c r="AB37" i="19"/>
  <c r="AB60" i="19"/>
  <c r="AL18" i="45"/>
  <c r="AD23" i="45"/>
  <c r="AD28" i="45"/>
  <c r="AL37" i="45"/>
  <c r="T19" i="19"/>
  <c r="AT33" i="19"/>
  <c r="AT48" i="19"/>
  <c r="AB47" i="19"/>
  <c r="AB45" i="19"/>
  <c r="AR29" i="38"/>
  <c r="AQ42" i="25"/>
  <c r="AO43" i="29"/>
  <c r="S9" i="12"/>
  <c r="S31" i="12"/>
  <c r="T24" i="12"/>
  <c r="AT24" i="12" s="1"/>
  <c r="S24" i="12"/>
  <c r="S17" i="12"/>
  <c r="AA41" i="10"/>
  <c r="T16" i="10"/>
  <c r="AB21" i="10"/>
  <c r="Z10" i="10"/>
  <c r="AL28" i="10"/>
  <c r="AK23" i="10"/>
  <c r="AO53" i="10"/>
  <c r="AO32" i="10"/>
  <c r="B2" i="22"/>
  <c r="S72" i="22" s="1"/>
  <c r="AS7" i="25"/>
  <c r="AD3" i="25"/>
  <c r="AQ49" i="29"/>
  <c r="S8" i="12"/>
  <c r="T9" i="12"/>
  <c r="S22" i="12"/>
  <c r="S29" i="12"/>
  <c r="T31" i="12"/>
  <c r="AH31" i="12" s="1"/>
  <c r="Y41" i="10"/>
  <c r="AC16" i="10"/>
  <c r="Z13" i="10"/>
  <c r="U10" i="10"/>
  <c r="AJ27" i="10"/>
  <c r="AG26" i="10"/>
  <c r="AP16" i="10"/>
  <c r="AP23" i="10"/>
  <c r="S44" i="22"/>
  <c r="AI44" i="22" s="1"/>
  <c r="AQ33" i="25"/>
  <c r="AQ74" i="29"/>
  <c r="T15" i="12"/>
  <c r="AH14" i="12" s="1"/>
  <c r="S10" i="12"/>
  <c r="AG10" i="12" s="1"/>
  <c r="T21" i="12"/>
  <c r="S16" i="12"/>
  <c r="X16" i="10"/>
  <c r="M3" i="10"/>
  <c r="AC21" i="10"/>
  <c r="AB27" i="10"/>
  <c r="AA35" i="10"/>
  <c r="AD23" i="10"/>
  <c r="AO28" i="10"/>
  <c r="AJ46" i="10"/>
  <c r="AN29" i="10"/>
  <c r="W22" i="22"/>
  <c r="AH38" i="22"/>
  <c r="S64" i="22"/>
  <c r="S55" i="13"/>
  <c r="AP55" i="13" s="1"/>
  <c r="AO55" i="13"/>
  <c r="W36" i="38"/>
  <c r="AP36" i="38"/>
  <c r="AQ11" i="9"/>
  <c r="AR10" i="9"/>
  <c r="Y8" i="9"/>
  <c r="X8" i="9"/>
  <c r="AS8" i="9"/>
  <c r="U5" i="9"/>
  <c r="AD11" i="10"/>
  <c r="V5" i="9"/>
  <c r="AR6" i="9"/>
  <c r="T32" i="22"/>
  <c r="U46" i="22" s="1"/>
  <c r="AE11" i="10"/>
  <c r="AC5" i="12"/>
  <c r="AP42" i="38"/>
  <c r="W42" i="38"/>
  <c r="AD13" i="45"/>
  <c r="BJ13" i="45"/>
  <c r="S50" i="13"/>
  <c r="AP50" i="13" s="1"/>
  <c r="AO47" i="13"/>
  <c r="T38" i="13"/>
  <c r="AR38" i="13" s="1"/>
  <c r="AH55" i="13"/>
  <c r="S67" i="13"/>
  <c r="AP67" i="13" s="1"/>
  <c r="AK97" i="13"/>
  <c r="T8" i="13"/>
  <c r="AR8" i="13" s="1"/>
  <c r="AG73" i="13"/>
  <c r="X14" i="38"/>
  <c r="AG74" i="13"/>
  <c r="AL67" i="13"/>
  <c r="T62" i="13"/>
  <c r="AO14" i="13"/>
  <c r="AH26" i="13"/>
  <c r="AI36" i="13"/>
  <c r="AK31" i="13"/>
  <c r="AL46" i="13"/>
  <c r="S47" i="13"/>
  <c r="AK70" i="13"/>
  <c r="AO87" i="13"/>
  <c r="AO22" i="13"/>
  <c r="W29" i="38"/>
  <c r="AP29" i="38"/>
  <c r="AD42" i="38"/>
  <c r="AR42" i="38"/>
  <c r="AX7" i="18"/>
  <c r="T17" i="12"/>
  <c r="AS17" i="12"/>
  <c r="AH47" i="13"/>
  <c r="AI49" i="13"/>
  <c r="AG81" i="13"/>
  <c r="AK81" i="13"/>
  <c r="AK63" i="13"/>
  <c r="S20" i="13"/>
  <c r="AP20" i="13" s="1"/>
  <c r="AL12" i="13"/>
  <c r="AH13" i="13"/>
  <c r="AL31" i="13"/>
  <c r="AH32" i="13"/>
  <c r="AL50" i="13"/>
  <c r="AK51" i="13"/>
  <c r="AK99" i="13"/>
  <c r="AI79" i="13"/>
  <c r="AK86" i="13"/>
  <c r="AG57" i="13"/>
  <c r="AL21" i="13"/>
  <c r="AG22" i="13"/>
  <c r="AI9" i="13"/>
  <c r="AG10" i="13"/>
  <c r="AL34" i="13"/>
  <c r="AH37" i="13"/>
  <c r="S98" i="13"/>
  <c r="AP98" i="13" s="1"/>
  <c r="AI99" i="13"/>
  <c r="AG7" i="13"/>
  <c r="AG9" i="13"/>
  <c r="Q3" i="13"/>
  <c r="AO48" i="13"/>
  <c r="AI86" i="13"/>
  <c r="AL87" i="13"/>
  <c r="AM3" i="13"/>
  <c r="AI35" i="13"/>
  <c r="AQ8" i="13"/>
  <c r="T96" i="13"/>
  <c r="AO46" i="13"/>
  <c r="T84" i="13"/>
  <c r="AR84" i="13" s="1"/>
  <c r="AI60" i="13"/>
  <c r="AH22" i="13"/>
  <c r="AC3" i="13"/>
  <c r="AO26" i="13"/>
  <c r="T80" i="13"/>
  <c r="AO84" i="13"/>
  <c r="AO59" i="13"/>
  <c r="AO79" i="13"/>
  <c r="AL23" i="13"/>
  <c r="AG33" i="13"/>
  <c r="T23" i="13"/>
  <c r="AR23" i="13" s="1"/>
  <c r="AQ56" i="13"/>
  <c r="AO63" i="13"/>
  <c r="AO99" i="13"/>
  <c r="AK8" i="13"/>
  <c r="AI23" i="13"/>
  <c r="T69" i="13"/>
  <c r="AR69" i="13" s="1"/>
  <c r="AG50" i="13"/>
  <c r="AI14" i="13"/>
  <c r="AI12" i="13"/>
  <c r="AK74" i="13"/>
  <c r="AL51" i="13"/>
  <c r="AI63" i="13"/>
  <c r="AK60" i="13"/>
  <c r="AH69" i="13"/>
  <c r="AK49" i="13"/>
  <c r="AK84" i="13"/>
  <c r="AL91" i="13"/>
  <c r="AQ38" i="13"/>
  <c r="T85" i="13"/>
  <c r="AI94" i="13"/>
  <c r="S72" i="13"/>
  <c r="AP72" i="13" s="1"/>
  <c r="AI80" i="13"/>
  <c r="AL83" i="13"/>
  <c r="AG48" i="13"/>
  <c r="AI51" i="13"/>
  <c r="T12" i="13"/>
  <c r="AR12" i="13" s="1"/>
  <c r="T59" i="13"/>
  <c r="AQ71" i="13"/>
  <c r="AO7" i="13"/>
  <c r="J3" i="13"/>
  <c r="AI33" i="13"/>
  <c r="AQ95" i="13"/>
  <c r="S92" i="13"/>
  <c r="AP92" i="13" s="1"/>
  <c r="AH34" i="13"/>
  <c r="AO35" i="13"/>
  <c r="AK82" i="13"/>
  <c r="AH95" i="13"/>
  <c r="AI15" i="13"/>
  <c r="AI26" i="13"/>
  <c r="AG98" i="13"/>
  <c r="AG95" i="13"/>
  <c r="AN3" i="13"/>
  <c r="AH11" i="13"/>
  <c r="AL47" i="13"/>
  <c r="AI75" i="13"/>
  <c r="BJ27" i="45"/>
  <c r="AD27" i="45"/>
  <c r="S32" i="13"/>
  <c r="AP32" i="13" s="1"/>
  <c r="AO36" i="13"/>
  <c r="Y6" i="9"/>
  <c r="X6" i="9"/>
  <c r="AS5" i="9"/>
  <c r="T110" i="22"/>
  <c r="U133" i="22" s="1"/>
  <c r="U33" i="45"/>
  <c r="BH33" i="45"/>
  <c r="U42" i="18"/>
  <c r="AX42" i="18"/>
  <c r="AO24" i="29"/>
  <c r="S24" i="29"/>
  <c r="AP24" i="29" s="1"/>
  <c r="S31" i="29"/>
  <c r="AP31" i="29" s="1"/>
  <c r="AO31" i="29"/>
  <c r="AO34" i="29"/>
  <c r="S34" i="29"/>
  <c r="AP34" i="29" s="1"/>
  <c r="S45" i="29"/>
  <c r="AP45" i="29" s="1"/>
  <c r="AO45" i="29"/>
  <c r="S49" i="29"/>
  <c r="AP49" i="29" s="1"/>
  <c r="AO49" i="29"/>
  <c r="AO55" i="29"/>
  <c r="S55" i="29"/>
  <c r="AP55" i="29" s="1"/>
  <c r="S58" i="29"/>
  <c r="AP58" i="29" s="1"/>
  <c r="AO58" i="29"/>
  <c r="S73" i="29"/>
  <c r="AP73" i="29" s="1"/>
  <c r="AO73" i="29"/>
  <c r="S80" i="29"/>
  <c r="AP80" i="29" s="1"/>
  <c r="AO80" i="29"/>
  <c r="AO84" i="29"/>
  <c r="S84" i="29"/>
  <c r="AP84" i="29" s="1"/>
  <c r="AO98" i="29"/>
  <c r="S98" i="29"/>
  <c r="AP98" i="29" s="1"/>
  <c r="AQ9" i="29"/>
  <c r="T9" i="29"/>
  <c r="AR9" i="29" s="1"/>
  <c r="T71" i="29"/>
  <c r="AR71" i="29" s="1"/>
  <c r="AQ71" i="29"/>
  <c r="T85" i="29"/>
  <c r="AR85" i="29" s="1"/>
  <c r="AQ85" i="29"/>
  <c r="AQ63" i="29"/>
  <c r="T63" i="29"/>
  <c r="AR63" i="29" s="1"/>
  <c r="AQ72" i="13"/>
  <c r="AQ98" i="13"/>
  <c r="G3" i="13"/>
  <c r="AL92" i="13"/>
  <c r="S81" i="13"/>
  <c r="AP81" i="13" s="1"/>
  <c r="AG13" i="13"/>
  <c r="AO73" i="13"/>
  <c r="AO23" i="13"/>
  <c r="T92" i="13"/>
  <c r="AQ48" i="13"/>
  <c r="AL70" i="13"/>
  <c r="AL96" i="13"/>
  <c r="AL84" i="13"/>
  <c r="AK59" i="13"/>
  <c r="AK27" i="13"/>
  <c r="AG12" i="13"/>
  <c r="AL13" i="13"/>
  <c r="AH39" i="13"/>
  <c r="AC42" i="38"/>
  <c r="AQ15" i="13"/>
  <c r="T39" i="13"/>
  <c r="AR39" i="13" s="1"/>
  <c r="S73" i="13"/>
  <c r="AP73" i="13" s="1"/>
  <c r="AH71" i="13"/>
  <c r="T84" i="22"/>
  <c r="U96" i="22" s="1"/>
  <c r="AT10" i="9"/>
  <c r="R5" i="24"/>
  <c r="Q5" i="24"/>
  <c r="Q8" i="24" s="1"/>
  <c r="S33" i="13"/>
  <c r="AP33" i="13" s="1"/>
  <c r="T55" i="13"/>
  <c r="AB85" i="46"/>
  <c r="U23" i="45"/>
  <c r="BH23" i="45"/>
  <c r="AT10" i="19"/>
  <c r="T10" i="19"/>
  <c r="AX18" i="18"/>
  <c r="T10" i="12"/>
  <c r="AS10" i="12"/>
  <c r="AQ21" i="13"/>
  <c r="S19" i="13"/>
  <c r="AP19" i="13" s="1"/>
  <c r="AT13" i="9"/>
  <c r="V5" i="12"/>
  <c r="Q5" i="22"/>
  <c r="AT82" i="19"/>
  <c r="T48" i="19"/>
  <c r="T26" i="13"/>
  <c r="AR26" i="13" s="1"/>
  <c r="AQ55" i="13"/>
  <c r="AQ28" i="25"/>
  <c r="AK18" i="25"/>
  <c r="G3" i="25"/>
  <c r="AM17" i="25"/>
  <c r="AI17" i="25"/>
  <c r="AM37" i="25"/>
  <c r="AP3" i="25"/>
  <c r="U13" i="45"/>
  <c r="BH13" i="45"/>
  <c r="AX38" i="18"/>
  <c r="AM32" i="19"/>
  <c r="AI22" i="19"/>
  <c r="AK23" i="19"/>
  <c r="T14" i="19"/>
  <c r="T87" i="19"/>
  <c r="AU87" i="19" s="1"/>
  <c r="AM3" i="19"/>
  <c r="AM96" i="19"/>
  <c r="AK94" i="19"/>
  <c r="AQ44" i="19"/>
  <c r="AJ51" i="19"/>
  <c r="AK26" i="19"/>
  <c r="AL83" i="19"/>
  <c r="G3" i="19"/>
  <c r="AJ60" i="19"/>
  <c r="AI38" i="19"/>
  <c r="AT46" i="19"/>
  <c r="AT47" i="19"/>
  <c r="T71" i="19"/>
  <c r="AT60" i="19"/>
  <c r="AL58" i="19"/>
  <c r="AT56" i="19"/>
  <c r="AP55" i="19"/>
  <c r="T74" i="19"/>
  <c r="AN73" i="19"/>
  <c r="AN69" i="19"/>
  <c r="AP98" i="19"/>
  <c r="AP91" i="19"/>
  <c r="AB95" i="19"/>
  <c r="AK73" i="19"/>
  <c r="AK71" i="19"/>
  <c r="AK70" i="19"/>
  <c r="AK69" i="19"/>
  <c r="AM95" i="19"/>
  <c r="AM92" i="19"/>
  <c r="AN91" i="19"/>
  <c r="AP96" i="19"/>
  <c r="AJ93" i="19"/>
  <c r="AL96" i="19"/>
  <c r="AQ97" i="19"/>
  <c r="AQ91" i="19"/>
  <c r="AQ92" i="19"/>
  <c r="AO94" i="19"/>
  <c r="AJ95" i="19"/>
  <c r="AT95" i="19"/>
  <c r="AL98" i="19"/>
  <c r="AQ99" i="19"/>
  <c r="AQ67" i="19"/>
  <c r="AO68" i="19"/>
  <c r="AJ69" i="19"/>
  <c r="AT69" i="19"/>
  <c r="AL70" i="19"/>
  <c r="AQ71" i="19"/>
  <c r="AO72" i="19"/>
  <c r="AJ73" i="19"/>
  <c r="AT73" i="19"/>
  <c r="AL74" i="19"/>
  <c r="AQ75" i="19"/>
  <c r="AO55" i="19"/>
  <c r="AI56" i="19"/>
  <c r="AK56" i="19"/>
  <c r="AL57" i="19"/>
  <c r="AP58" i="19"/>
  <c r="AO59" i="19"/>
  <c r="AI60" i="19"/>
  <c r="AK60" i="19"/>
  <c r="AL61" i="19"/>
  <c r="AP62" i="19"/>
  <c r="AO63" i="19"/>
  <c r="AI43" i="19"/>
  <c r="AK43" i="19"/>
  <c r="AM44" i="19"/>
  <c r="AP45" i="19"/>
  <c r="AN46" i="19"/>
  <c r="AI47" i="19"/>
  <c r="AK47" i="19"/>
  <c r="AM48" i="19"/>
  <c r="AP49" i="19"/>
  <c r="AN50" i="19"/>
  <c r="AI51" i="19"/>
  <c r="AK51" i="19"/>
  <c r="AM31" i="19"/>
  <c r="AQ32" i="19"/>
  <c r="AN33" i="19"/>
  <c r="AJ34" i="19"/>
  <c r="AT34" i="19"/>
  <c r="AM35" i="19"/>
  <c r="AQ36" i="19"/>
  <c r="AN37" i="19"/>
  <c r="AJ38" i="19"/>
  <c r="AM39" i="19"/>
  <c r="AQ19" i="19"/>
  <c r="AO20" i="19"/>
  <c r="AJ21" i="19"/>
  <c r="AL22" i="19"/>
  <c r="AQ23" i="19"/>
  <c r="S59" i="29"/>
  <c r="AP59" i="29" s="1"/>
  <c r="AO59" i="29"/>
  <c r="T10" i="29"/>
  <c r="AR10" i="29" s="1"/>
  <c r="AQ10" i="29"/>
  <c r="AO96" i="13"/>
  <c r="S96" i="13"/>
  <c r="AP96" i="13" s="1"/>
  <c r="AQ60" i="46"/>
  <c r="AU86" i="46"/>
  <c r="AY63" i="46"/>
  <c r="AO24" i="13"/>
  <c r="S95" i="13"/>
  <c r="AP95" i="13" s="1"/>
  <c r="AQ8" i="25"/>
  <c r="AB83" i="19"/>
  <c r="T27" i="19"/>
  <c r="AT25" i="19"/>
  <c r="T36" i="19"/>
  <c r="AB31" i="19"/>
  <c r="AB62" i="19"/>
  <c r="T98" i="19"/>
  <c r="T36" i="13"/>
  <c r="AR36" i="13" s="1"/>
  <c r="T14" i="13"/>
  <c r="AR14" i="13" s="1"/>
  <c r="AO25" i="13"/>
  <c r="S35" i="13"/>
  <c r="AO86" i="13"/>
  <c r="T82" i="13"/>
  <c r="AR82" i="13" s="1"/>
  <c r="F30" i="22"/>
  <c r="M3" i="22"/>
  <c r="U12" i="22"/>
  <c r="N30" i="22"/>
  <c r="AD47" i="22"/>
  <c r="AF44" i="22"/>
  <c r="AD35" i="22"/>
  <c r="AD51" i="22"/>
  <c r="N15" i="22"/>
  <c r="X15" i="22" s="1"/>
  <c r="AE44" i="22"/>
  <c r="S90" i="22"/>
  <c r="AH103" i="22"/>
  <c r="AB11" i="19"/>
  <c r="T24" i="19"/>
  <c r="AB32" i="19"/>
  <c r="AB59" i="19"/>
  <c r="AT91" i="19"/>
  <c r="S38" i="13"/>
  <c r="AP38" i="13" s="1"/>
  <c r="S56" i="13"/>
  <c r="AP56" i="13" s="1"/>
  <c r="AO92" i="13"/>
  <c r="T45" i="13"/>
  <c r="AR45" i="13" s="1"/>
  <c r="W28" i="10"/>
  <c r="AP28" i="10" s="1"/>
  <c r="V82" i="22"/>
  <c r="Q3" i="22"/>
  <c r="F3" i="22"/>
  <c r="U7" i="22"/>
  <c r="Q82" i="22"/>
  <c r="AD45" i="22"/>
  <c r="AF42" i="22"/>
  <c r="AD50" i="22"/>
  <c r="Y54" i="22"/>
  <c r="Y8" i="22"/>
  <c r="X37" i="22"/>
  <c r="AB79" i="19"/>
  <c r="AB81" i="19"/>
  <c r="T83" i="19"/>
  <c r="AB84" i="19"/>
  <c r="AB86" i="19"/>
  <c r="AB87" i="19"/>
  <c r="AB7" i="19"/>
  <c r="T26" i="19"/>
  <c r="AU26" i="19" s="1"/>
  <c r="AB25" i="19"/>
  <c r="AB21" i="19"/>
  <c r="T34" i="19"/>
  <c r="T24" i="13"/>
  <c r="AR24" i="13" s="1"/>
  <c r="T57" i="13"/>
  <c r="AR57" i="13" s="1"/>
  <c r="AO57" i="13"/>
  <c r="T79" i="13"/>
  <c r="S93" i="13"/>
  <c r="AP93" i="13" s="1"/>
  <c r="S91" i="13"/>
  <c r="AP91" i="13" s="1"/>
  <c r="U41" i="10"/>
  <c r="U16" i="10"/>
  <c r="I16" i="10"/>
  <c r="S3" i="10"/>
  <c r="AG20" i="10"/>
  <c r="W10" i="10"/>
  <c r="U8" i="10"/>
  <c r="AI27" i="10"/>
  <c r="AA59" i="10"/>
  <c r="AG23" i="10"/>
  <c r="Y23" i="10"/>
  <c r="AC26" i="10"/>
  <c r="AP47" i="10"/>
  <c r="AO51" i="10"/>
  <c r="AL58" i="10"/>
  <c r="AO26" i="10"/>
  <c r="K30" i="22"/>
  <c r="R3" i="22"/>
  <c r="U16" i="22"/>
  <c r="U9" i="22"/>
  <c r="AD34" i="22"/>
  <c r="Y46" i="22"/>
  <c r="AF36" i="22"/>
  <c r="Y49" i="22"/>
  <c r="Y12" i="22"/>
  <c r="AB21" i="24"/>
  <c r="AG41" i="24"/>
  <c r="U35" i="24"/>
  <c r="S58" i="24"/>
  <c r="AI47" i="24"/>
  <c r="V23" i="24"/>
  <c r="Y28" i="24"/>
  <c r="U3" i="24"/>
  <c r="AD16" i="24"/>
  <c r="Z7" i="24"/>
  <c r="AE26" i="24"/>
  <c r="AI53" i="24"/>
  <c r="AD23" i="24"/>
  <c r="Y3" i="24"/>
  <c r="W41" i="24"/>
  <c r="AE20" i="24"/>
  <c r="AC51" i="24"/>
  <c r="V59" i="24"/>
  <c r="M16" i="24"/>
  <c r="AE56" i="24"/>
  <c r="S16" i="24"/>
  <c r="T16" i="24"/>
  <c r="M23" i="24"/>
  <c r="AC20" i="24"/>
  <c r="AI29" i="24"/>
  <c r="X11" i="24"/>
  <c r="S51" i="24"/>
  <c r="AI51" i="24" s="1"/>
  <c r="AC16" i="24"/>
  <c r="AB27" i="24"/>
  <c r="N8" i="24"/>
  <c r="Z10" i="24"/>
  <c r="N13" i="24"/>
  <c r="Z14" i="24"/>
  <c r="AD20" i="24"/>
  <c r="AC21" i="24"/>
  <c r="AC22" i="24"/>
  <c r="AC44" i="24"/>
  <c r="AH58" i="24"/>
  <c r="AF26" i="24"/>
  <c r="AE27" i="24"/>
  <c r="AE28" i="24"/>
  <c r="AH52" i="24"/>
  <c r="X3" i="24"/>
  <c r="AG35" i="24"/>
  <c r="AI59" i="24"/>
  <c r="AH41" i="24"/>
  <c r="AG16" i="24"/>
  <c r="R23" i="24"/>
  <c r="Q59" i="24"/>
  <c r="P53" i="24"/>
  <c r="V41" i="24"/>
  <c r="T35" i="24"/>
  <c r="AE23" i="24"/>
  <c r="Q23" i="24"/>
  <c r="E23" i="24"/>
  <c r="U16" i="24"/>
  <c r="G16" i="24"/>
  <c r="Q3" i="24"/>
  <c r="E3" i="24"/>
  <c r="X13" i="24"/>
  <c r="Y22" i="24"/>
  <c r="AD27" i="24"/>
  <c r="AH45" i="24"/>
  <c r="S63" i="24"/>
  <c r="AI63" i="24" s="1"/>
  <c r="S38" i="24"/>
  <c r="AI38" i="24" s="1"/>
  <c r="AD28" i="24"/>
  <c r="Q53" i="24"/>
  <c r="N3" i="24"/>
  <c r="AF22" i="24"/>
  <c r="AC41" i="24"/>
  <c r="W35" i="24"/>
  <c r="AD22" i="24"/>
  <c r="AH53" i="24"/>
  <c r="Y23" i="24"/>
  <c r="AE57" i="24"/>
  <c r="AI16" i="24"/>
  <c r="U41" i="24"/>
  <c r="AC26" i="24"/>
  <c r="T59" i="24"/>
  <c r="I16" i="24"/>
  <c r="W13" i="24"/>
  <c r="AF27" i="24"/>
  <c r="AI23" i="24"/>
  <c r="I23" i="24"/>
  <c r="AF21" i="24"/>
  <c r="AI35" i="24"/>
  <c r="P23" i="24"/>
  <c r="S22" i="24"/>
  <c r="V29" i="24"/>
  <c r="S26" i="24"/>
  <c r="AI26" i="24" s="1"/>
  <c r="AH33" i="24"/>
  <c r="S44" i="24"/>
  <c r="AH50" i="24"/>
  <c r="S39" i="24"/>
  <c r="AI39" i="24" s="1"/>
  <c r="S57" i="24"/>
  <c r="AI57" i="24" s="1"/>
  <c r="U47" i="24"/>
  <c r="V7" i="24"/>
  <c r="N10" i="24"/>
  <c r="V11" i="24"/>
  <c r="N14" i="24"/>
  <c r="AB20" i="24"/>
  <c r="Z21" i="24"/>
  <c r="Z22" i="24"/>
  <c r="AH32" i="24"/>
  <c r="AH57" i="24"/>
  <c r="AD26" i="24"/>
  <c r="AC27" i="24"/>
  <c r="AC28" i="24"/>
  <c r="AH51" i="24"/>
  <c r="AH64" i="24"/>
  <c r="AG47" i="24"/>
  <c r="AA23" i="24"/>
  <c r="AH47" i="24"/>
  <c r="AH23" i="24"/>
  <c r="W3" i="24"/>
  <c r="U59" i="24"/>
  <c r="T53" i="24"/>
  <c r="P47" i="24"/>
  <c r="V35" i="24"/>
  <c r="Q29" i="24"/>
  <c r="U23" i="24"/>
  <c r="G23" i="24"/>
  <c r="W16" i="24"/>
  <c r="K16" i="24"/>
  <c r="S3" i="24"/>
  <c r="G3" i="24"/>
  <c r="W10" i="24"/>
  <c r="AD21" i="24"/>
  <c r="Z26" i="24"/>
  <c r="S52" i="24"/>
  <c r="AI52" i="24" s="1"/>
  <c r="AH63" i="24"/>
  <c r="AH38" i="24"/>
  <c r="AE58" i="24"/>
  <c r="S23" i="24"/>
  <c r="V16" i="24"/>
  <c r="Y21" i="24"/>
  <c r="AB28" i="24"/>
  <c r="U53" i="24"/>
  <c r="R3" i="24"/>
  <c r="W14" i="24"/>
  <c r="AG59" i="24"/>
  <c r="Q41" i="24"/>
  <c r="AB22" i="24"/>
  <c r="AC52" i="24"/>
  <c r="P59" i="24"/>
  <c r="F16" i="24"/>
  <c r="U10" i="24"/>
  <c r="AG23" i="24"/>
  <c r="F23" i="24"/>
  <c r="U8" i="24"/>
  <c r="X26" i="24"/>
  <c r="AB16" i="24"/>
  <c r="T29" i="24"/>
  <c r="X20" i="24"/>
  <c r="AG29" i="24"/>
  <c r="Q35" i="24"/>
  <c r="X10" i="24"/>
  <c r="S46" i="24"/>
  <c r="U13" i="24"/>
  <c r="AE59" i="24"/>
  <c r="S32" i="24"/>
  <c r="P16" i="24"/>
  <c r="U7" i="24"/>
  <c r="V8" i="24"/>
  <c r="Z11" i="24"/>
  <c r="V13" i="24"/>
  <c r="Y20" i="24"/>
  <c r="X21" i="24"/>
  <c r="X22" i="24"/>
  <c r="AH22" i="24"/>
  <c r="AH46" i="24"/>
  <c r="AB26" i="24"/>
  <c r="Z27" i="24"/>
  <c r="Z28" i="24"/>
  <c r="AC50" i="24"/>
  <c r="AE63" i="24"/>
  <c r="AC47" i="24"/>
  <c r="AB23" i="24"/>
  <c r="AG53" i="24"/>
  <c r="AH29" i="24"/>
  <c r="AA3" i="24"/>
  <c r="W59" i="24"/>
  <c r="V53" i="24"/>
  <c r="T47" i="24"/>
  <c r="P41" i="24"/>
  <c r="U29" i="24"/>
  <c r="W23" i="24"/>
  <c r="K23" i="24"/>
  <c r="Z16" i="24"/>
  <c r="N16" i="24"/>
  <c r="V3" i="24"/>
  <c r="I3" i="24"/>
  <c r="AH26" i="24"/>
  <c r="X7" i="24"/>
  <c r="Z20" i="24"/>
  <c r="AC46" i="24"/>
  <c r="AH39" i="24"/>
  <c r="S45" i="24"/>
  <c r="AI45" i="24" s="1"/>
  <c r="AH34" i="24"/>
  <c r="AI41" i="24"/>
  <c r="T23" i="24"/>
  <c r="U11" i="24"/>
  <c r="S27" i="24"/>
  <c r="AI27" i="24" s="1"/>
  <c r="Z3" i="24"/>
  <c r="Y16" i="24"/>
  <c r="W7" i="24"/>
  <c r="S50" i="24"/>
  <c r="AI50" i="24" s="1"/>
  <c r="W53" i="24"/>
  <c r="T3" i="24"/>
  <c r="X14" i="24"/>
  <c r="S28" i="24"/>
  <c r="AI28" i="24" s="1"/>
  <c r="X23" i="24"/>
  <c r="AF16" i="24"/>
  <c r="AA16" i="24"/>
  <c r="AF23" i="24"/>
  <c r="S33" i="24"/>
  <c r="AE64" i="24"/>
  <c r="Q47" i="24"/>
  <c r="F3" i="24"/>
  <c r="W8" i="24"/>
  <c r="Y27" i="24"/>
  <c r="W47" i="24"/>
  <c r="K3" i="24"/>
  <c r="X8" i="24"/>
  <c r="S20" i="24"/>
  <c r="H3" i="24"/>
  <c r="S64" i="24"/>
  <c r="AI64" i="24" s="1"/>
  <c r="Z8" i="24"/>
  <c r="V10" i="24"/>
  <c r="Z13" i="24"/>
  <c r="V14" i="24"/>
  <c r="AF20" i="24"/>
  <c r="AE21" i="24"/>
  <c r="AE22" i="24"/>
  <c r="AC45" i="24"/>
  <c r="Y26" i="24"/>
  <c r="X27" i="24"/>
  <c r="X28" i="24"/>
  <c r="AH28" i="24"/>
  <c r="AE62" i="24"/>
  <c r="AH16" i="24"/>
  <c r="AC23" i="24"/>
  <c r="AH59" i="24"/>
  <c r="AH35" i="24"/>
  <c r="X16" i="24"/>
  <c r="R16" i="24"/>
  <c r="AE53" i="24"/>
  <c r="V47" i="24"/>
  <c r="T41" i="24"/>
  <c r="W29" i="24"/>
  <c r="Z23" i="24"/>
  <c r="N23" i="24"/>
  <c r="AE16" i="24"/>
  <c r="Q16" i="24"/>
  <c r="E16" i="24"/>
  <c r="M3" i="24"/>
  <c r="N7" i="24"/>
  <c r="AH20" i="24"/>
  <c r="U14" i="24"/>
  <c r="AH44" i="24"/>
  <c r="AF28" i="24"/>
  <c r="AH27" i="24"/>
  <c r="S34" i="24"/>
  <c r="N11" i="24"/>
  <c r="S25" i="16"/>
  <c r="AB14" i="16"/>
  <c r="X12" i="16"/>
  <c r="T3" i="16"/>
  <c r="O23" i="16"/>
  <c r="AB6" i="16"/>
  <c r="D21" i="16"/>
  <c r="B2" i="27"/>
  <c r="B2" i="17"/>
  <c r="AW53" i="17" s="1"/>
  <c r="B2" i="28"/>
  <c r="AC27" i="28" s="1"/>
  <c r="AE23" i="16"/>
  <c r="O25" i="16"/>
  <c r="U24" i="16"/>
  <c r="X6" i="16"/>
  <c r="W12" i="16"/>
  <c r="X13" i="16"/>
  <c r="X16" i="16"/>
  <c r="Z10" i="16"/>
  <c r="X14" i="16"/>
  <c r="X7" i="16"/>
  <c r="S14" i="16"/>
  <c r="W8" i="16"/>
  <c r="O6" i="16"/>
  <c r="K3" i="16"/>
  <c r="X15" i="16"/>
  <c r="U22" i="16"/>
  <c r="W10" i="16"/>
  <c r="N3" i="16"/>
  <c r="X3" i="16"/>
  <c r="V9" i="16"/>
  <c r="Z14" i="16"/>
  <c r="AH3" i="16"/>
  <c r="AE25" i="16"/>
  <c r="V17" i="16"/>
  <c r="Z18" i="16"/>
  <c r="U3" i="16"/>
  <c r="T24" i="16"/>
  <c r="D3" i="16"/>
  <c r="X11" i="16"/>
  <c r="F21" i="16"/>
  <c r="AB12" i="16"/>
  <c r="T22" i="16"/>
  <c r="X19" i="16"/>
  <c r="Z3" i="16"/>
  <c r="AB10" i="16"/>
  <c r="T21" i="16"/>
  <c r="O5" i="16"/>
  <c r="O3" i="16"/>
  <c r="S21" i="16"/>
  <c r="AC6" i="16"/>
  <c r="W15" i="16"/>
  <c r="W7" i="16"/>
  <c r="AG3" i="16"/>
  <c r="AB13" i="16"/>
  <c r="AB5" i="16"/>
  <c r="S13" i="16"/>
  <c r="Z13" i="16"/>
  <c r="E21" i="16"/>
  <c r="V6" i="16"/>
  <c r="V14" i="16"/>
  <c r="E3" i="16"/>
  <c r="R3" i="16"/>
  <c r="AE22" i="16"/>
  <c r="O10" i="16"/>
  <c r="AC18" i="16"/>
  <c r="Q3" i="16"/>
  <c r="W16" i="16"/>
  <c r="AF3" i="16"/>
  <c r="S22" i="16"/>
  <c r="W17" i="16"/>
  <c r="W5" i="16"/>
  <c r="AB9" i="16"/>
  <c r="AB19" i="16"/>
  <c r="S3" i="16"/>
  <c r="Z5" i="16"/>
  <c r="S6" i="16"/>
  <c r="X17" i="16"/>
  <c r="J3" i="16"/>
  <c r="O22" i="16"/>
  <c r="O17" i="16"/>
  <c r="O8" i="16"/>
  <c r="AB20" i="16"/>
  <c r="W18" i="16"/>
  <c r="AD3" i="16"/>
  <c r="S24" i="16"/>
  <c r="W19" i="16"/>
  <c r="W9" i="16"/>
  <c r="AB7" i="16"/>
  <c r="AB17" i="16"/>
  <c r="AA3" i="16"/>
  <c r="Z9" i="16"/>
  <c r="X5" i="16"/>
  <c r="V13" i="16"/>
  <c r="H3" i="16"/>
  <c r="AE24" i="16"/>
  <c r="AC11" i="16"/>
  <c r="AC17" i="16"/>
  <c r="AC10" i="16"/>
  <c r="O19" i="16"/>
  <c r="T6" i="16"/>
  <c r="AB18" i="16"/>
  <c r="O13" i="16"/>
  <c r="T23" i="16"/>
  <c r="Y3" i="16"/>
  <c r="W11" i="16"/>
  <c r="M3" i="16"/>
  <c r="AB15" i="16"/>
  <c r="U23" i="16"/>
  <c r="Z17" i="16"/>
  <c r="T5" i="16"/>
  <c r="V10" i="16"/>
  <c r="V3" i="16"/>
  <c r="O24" i="16"/>
  <c r="O20" i="16"/>
  <c r="O7" i="16"/>
  <c r="T13" i="16"/>
  <c r="T14" i="16"/>
  <c r="AC14" i="16"/>
  <c r="U25" i="16"/>
  <c r="V18" i="16"/>
  <c r="AC15" i="16"/>
  <c r="W20" i="16"/>
  <c r="X20" i="16"/>
  <c r="T25" i="16"/>
  <c r="AB11" i="16"/>
  <c r="X9" i="16"/>
  <c r="AC7" i="16"/>
  <c r="AC20" i="16"/>
  <c r="P3" i="16"/>
  <c r="X10" i="16"/>
  <c r="AB3" i="16"/>
  <c r="G21" i="16"/>
  <c r="O12" i="16"/>
  <c r="B2" i="23"/>
  <c r="W3" i="16"/>
  <c r="V5" i="16"/>
  <c r="G3" i="16"/>
  <c r="AE3" i="16"/>
  <c r="U21" i="16"/>
  <c r="AB8" i="16"/>
  <c r="W13" i="16"/>
  <c r="O15" i="16"/>
  <c r="Z6" i="16"/>
  <c r="S5" i="16"/>
  <c r="I3" i="16"/>
  <c r="O11" i="16"/>
  <c r="O14" i="16"/>
  <c r="X18" i="16"/>
  <c r="S23" i="16"/>
  <c r="X8" i="16"/>
  <c r="AC3" i="16"/>
  <c r="L3" i="16"/>
  <c r="W6" i="16"/>
  <c r="R8" i="38"/>
  <c r="S8" i="38"/>
  <c r="O8" i="38"/>
  <c r="X8" i="38"/>
  <c r="AB16" i="16"/>
  <c r="W14" i="16"/>
  <c r="W38" i="10"/>
  <c r="W44" i="10"/>
  <c r="AO44" i="10"/>
  <c r="AH62" i="24"/>
  <c r="S62" i="24"/>
  <c r="AH40" i="24"/>
  <c r="S40" i="24"/>
  <c r="AH56" i="24"/>
  <c r="S56" i="24"/>
  <c r="AH21" i="24"/>
  <c r="S21" i="24"/>
  <c r="T7" i="19"/>
  <c r="AT7" i="19"/>
  <c r="AT39" i="19"/>
  <c r="T39" i="19"/>
  <c r="S60" i="13"/>
  <c r="AC16" i="16"/>
  <c r="AC8" i="16"/>
  <c r="AD12" i="45"/>
  <c r="BJ12" i="45"/>
  <c r="U42" i="45"/>
  <c r="BH42" i="45"/>
  <c r="S9" i="29"/>
  <c r="AO9" i="29"/>
  <c r="S25" i="29"/>
  <c r="AO25" i="29"/>
  <c r="AB29" i="13"/>
  <c r="AP35" i="13"/>
  <c r="AQ83" i="13"/>
  <c r="T29" i="12"/>
  <c r="AS29" i="12"/>
  <c r="V42" i="13"/>
  <c r="AR41" i="38"/>
  <c r="AD41" i="38"/>
  <c r="X34" i="38"/>
  <c r="W34" i="38"/>
  <c r="S62" i="29"/>
  <c r="AO62" i="29"/>
  <c r="AO69" i="29"/>
  <c r="S69" i="29"/>
  <c r="AQ8" i="29"/>
  <c r="T8" i="29"/>
  <c r="T34" i="29"/>
  <c r="AQ34" i="29"/>
  <c r="T32" i="13"/>
  <c r="T74" i="13"/>
  <c r="AQ74" i="13"/>
  <c r="Y21" i="38"/>
  <c r="AQ21" i="38"/>
  <c r="W47" i="27"/>
  <c r="AU47" i="27"/>
  <c r="AC19" i="16"/>
  <c r="AS7" i="9"/>
  <c r="AT12" i="9"/>
  <c r="T99" i="19"/>
  <c r="AT99" i="19"/>
  <c r="AS7" i="12"/>
  <c r="T7" i="12"/>
  <c r="AB17" i="13"/>
  <c r="AT9" i="12"/>
  <c r="AR9" i="12"/>
  <c r="AC12" i="16"/>
  <c r="AB81" i="46"/>
  <c r="T57" i="29"/>
  <c r="AQ57" i="29"/>
  <c r="AH15" i="12"/>
  <c r="V22" i="38"/>
  <c r="AP22" i="38"/>
  <c r="W63" i="17"/>
  <c r="W79" i="17"/>
  <c r="AD3" i="19"/>
  <c r="AT80" i="19"/>
  <c r="AM81" i="19"/>
  <c r="T84" i="19"/>
  <c r="AB85" i="19"/>
  <c r="T12" i="19"/>
  <c r="AK11" i="19"/>
  <c r="AB8" i="19"/>
  <c r="AB27" i="19"/>
  <c r="AB26" i="19"/>
  <c r="AP24" i="19"/>
  <c r="T20" i="19"/>
  <c r="AP19" i="19"/>
  <c r="AB19" i="19"/>
  <c r="T38" i="19"/>
  <c r="AO37" i="19"/>
  <c r="T31" i="19"/>
  <c r="AB50" i="19"/>
  <c r="AB61" i="19"/>
  <c r="AO13" i="13"/>
  <c r="AU34" i="27"/>
  <c r="AI95" i="19"/>
  <c r="AI98" i="19"/>
  <c r="AO48" i="19"/>
  <c r="AL35" i="19"/>
  <c r="AP36" i="19"/>
  <c r="AL39" i="19"/>
  <c r="AM23" i="19"/>
  <c r="AN24" i="19"/>
  <c r="AK25" i="19"/>
  <c r="AI26" i="19"/>
  <c r="AM7" i="19"/>
  <c r="AP9" i="19"/>
  <c r="AJ10" i="19"/>
  <c r="AM11" i="19"/>
  <c r="AN15" i="19"/>
  <c r="AJ86" i="19"/>
  <c r="AP79" i="19"/>
  <c r="AB3" i="19"/>
  <c r="E3" i="19"/>
  <c r="O3" i="19"/>
  <c r="AT43" i="19"/>
  <c r="AQ49" i="19"/>
  <c r="T32" i="19"/>
  <c r="AO33" i="19"/>
  <c r="AQ35" i="19"/>
  <c r="AI36" i="19"/>
  <c r="AQ39" i="19"/>
  <c r="AM20" i="19"/>
  <c r="AB23" i="19"/>
  <c r="AM25" i="19"/>
  <c r="AN9" i="19"/>
  <c r="AP13" i="19"/>
  <c r="AL14" i="19"/>
  <c r="AJ87" i="19"/>
  <c r="AL85" i="19"/>
  <c r="AJ84" i="19"/>
  <c r="AQ82" i="19"/>
  <c r="AO80" i="19"/>
  <c r="AS3" i="19"/>
  <c r="AA3" i="19"/>
  <c r="M3" i="19"/>
  <c r="AM97" i="19"/>
  <c r="AN55" i="19"/>
  <c r="AI59" i="19"/>
  <c r="AL43" i="19"/>
  <c r="AJ46" i="19"/>
  <c r="AJ33" i="19"/>
  <c r="AI34" i="19"/>
  <c r="AQ37" i="19"/>
  <c r="AN38" i="19"/>
  <c r="AM19" i="19"/>
  <c r="AP20" i="19"/>
  <c r="AK21" i="19"/>
  <c r="AN22" i="19"/>
  <c r="AN27" i="19"/>
  <c r="AO8" i="19"/>
  <c r="AN13" i="19"/>
  <c r="AQ85" i="19"/>
  <c r="AJ82" i="19"/>
  <c r="AJ80" i="19"/>
  <c r="Y3" i="19"/>
  <c r="K3" i="19"/>
  <c r="AO82" i="29"/>
  <c r="S82" i="29"/>
  <c r="T83" i="29"/>
  <c r="AQ83" i="29"/>
  <c r="AO97" i="13"/>
  <c r="AB66" i="13"/>
  <c r="W22" i="38"/>
  <c r="AC44" i="27"/>
  <c r="AB37" i="46"/>
  <c r="AQ14" i="12"/>
  <c r="S14" i="12"/>
  <c r="AQ97" i="13"/>
  <c r="T35" i="38"/>
  <c r="AO35" i="38"/>
  <c r="W15" i="27"/>
  <c r="W11" i="27"/>
  <c r="W101" i="17"/>
  <c r="W7" i="27"/>
  <c r="W16" i="27"/>
  <c r="W12" i="27"/>
  <c r="W24" i="27"/>
  <c r="W86" i="27"/>
  <c r="W90" i="27"/>
  <c r="AU94" i="27"/>
  <c r="W129" i="27"/>
  <c r="AW132" i="27"/>
  <c r="W67" i="17"/>
  <c r="W92" i="17"/>
  <c r="W121" i="17"/>
  <c r="W129" i="17"/>
  <c r="W116" i="27"/>
  <c r="AU116" i="27"/>
  <c r="S39" i="13"/>
  <c r="AQ27" i="13"/>
  <c r="AO22" i="38"/>
  <c r="S21" i="38"/>
  <c r="W39" i="27"/>
  <c r="AC46" i="27"/>
  <c r="AU77" i="27"/>
  <c r="W45" i="17"/>
  <c r="W65" i="17"/>
  <c r="W96" i="17"/>
  <c r="W119" i="17"/>
  <c r="W113" i="17"/>
  <c r="W8" i="27"/>
  <c r="W14" i="27"/>
  <c r="W10" i="27"/>
  <c r="AU64" i="27"/>
  <c r="W88" i="27"/>
  <c r="AC103" i="27"/>
  <c r="AC13" i="16"/>
  <c r="AC5" i="16"/>
  <c r="AC132" i="27"/>
  <c r="AJ50" i="10"/>
  <c r="AD14" i="10" l="1"/>
  <c r="AB23" i="46"/>
  <c r="AC9" i="16"/>
  <c r="AJ39" i="46"/>
  <c r="BE73" i="46"/>
  <c r="AS27" i="25"/>
  <c r="AR79" i="46"/>
  <c r="AU43" i="46"/>
  <c r="AR75" i="46"/>
  <c r="AX34" i="46"/>
  <c r="AO3" i="25"/>
  <c r="AJ13" i="25"/>
  <c r="AI3" i="25"/>
  <c r="AK38" i="25"/>
  <c r="AN27" i="25"/>
  <c r="AA3" i="25"/>
  <c r="AC19" i="12"/>
  <c r="AB26" i="12"/>
  <c r="U13" i="9"/>
  <c r="V12" i="9"/>
  <c r="U54" i="24"/>
  <c r="T58" i="24" s="1"/>
  <c r="AQ18" i="25"/>
  <c r="BC57" i="46"/>
  <c r="AS22" i="25"/>
  <c r="AK33" i="25"/>
  <c r="AQ7" i="25"/>
  <c r="AJ34" i="46"/>
  <c r="AW81" i="17"/>
  <c r="AV67" i="17"/>
  <c r="AR12" i="9"/>
  <c r="AO7" i="9"/>
  <c r="U122" i="22"/>
  <c r="AJ74" i="46"/>
  <c r="AV70" i="46"/>
  <c r="AY23" i="46"/>
  <c r="AV69" i="46"/>
  <c r="AU13" i="46"/>
  <c r="Z3" i="25"/>
  <c r="AK13" i="25"/>
  <c r="AM27" i="25"/>
  <c r="AI42" i="25"/>
  <c r="AN13" i="25"/>
  <c r="E3" i="25"/>
  <c r="U42" i="24"/>
  <c r="T46" i="24" s="1"/>
  <c r="V46" i="24" s="1"/>
  <c r="AQ13" i="9"/>
  <c r="BC49" i="46"/>
  <c r="AR13" i="9"/>
  <c r="AU13" i="9" s="1"/>
  <c r="Y7" i="9"/>
  <c r="AQ27" i="25"/>
  <c r="AJ12" i="46"/>
  <c r="AS13" i="25"/>
  <c r="AQ23" i="25"/>
  <c r="BC84" i="46"/>
  <c r="AW72" i="17"/>
  <c r="U12" i="9"/>
  <c r="X7" i="9"/>
  <c r="BC72" i="46"/>
  <c r="AB21" i="46"/>
  <c r="BF21" i="46" s="1"/>
  <c r="AS38" i="25"/>
  <c r="AU83" i="46"/>
  <c r="AX55" i="46"/>
  <c r="AQ83" i="46"/>
  <c r="AX48" i="46"/>
  <c r="AH3" i="25"/>
  <c r="AJ23" i="25"/>
  <c r="F3" i="25"/>
  <c r="AM7" i="25"/>
  <c r="AM3" i="25"/>
  <c r="AI43" i="25"/>
  <c r="AJ32" i="25"/>
  <c r="U84" i="22"/>
  <c r="T97" i="22" s="1"/>
  <c r="AR7" i="9"/>
  <c r="U18" i="24"/>
  <c r="T21" i="24" s="1"/>
  <c r="S60" i="22"/>
  <c r="AI60" i="22" s="1"/>
  <c r="AP57" i="10"/>
  <c r="G23" i="10"/>
  <c r="AH22" i="10"/>
  <c r="AB9" i="46"/>
  <c r="BF9" i="46" s="1"/>
  <c r="AM38" i="25"/>
  <c r="S40" i="22"/>
  <c r="AI40" i="22" s="1"/>
  <c r="S23" i="10"/>
  <c r="AK21" i="10"/>
  <c r="AS28" i="25"/>
  <c r="AQ38" i="25"/>
  <c r="AP29" i="10"/>
  <c r="AL27" i="10"/>
  <c r="AJ16" i="10"/>
  <c r="T60" i="46"/>
  <c r="BD60" i="46" s="1"/>
  <c r="AK22" i="25"/>
  <c r="AC13" i="18"/>
  <c r="AK13" i="18" s="1"/>
  <c r="AC17" i="18"/>
  <c r="AC29" i="19" s="1"/>
  <c r="AC31" i="19" s="1"/>
  <c r="AF31" i="19" s="1"/>
  <c r="U43" i="18"/>
  <c r="U23" i="18"/>
  <c r="AC23" i="18"/>
  <c r="AC42" i="18"/>
  <c r="AC89" i="19" s="1"/>
  <c r="AC99" i="19" s="1"/>
  <c r="X14" i="10"/>
  <c r="AS43" i="25"/>
  <c r="AJ96" i="46"/>
  <c r="T37" i="29"/>
  <c r="AR37" i="29" s="1"/>
  <c r="T14" i="29"/>
  <c r="AR14" i="29" s="1"/>
  <c r="AQ79" i="29"/>
  <c r="AQ22" i="25"/>
  <c r="W27" i="38"/>
  <c r="X27" i="38"/>
  <c r="AP27" i="38"/>
  <c r="T98" i="29"/>
  <c r="AR98" i="29" s="1"/>
  <c r="T24" i="29"/>
  <c r="AR24" i="29" s="1"/>
  <c r="AC74" i="19"/>
  <c r="AC71" i="19"/>
  <c r="AD71" i="19"/>
  <c r="AD74" i="19"/>
  <c r="BE37" i="46"/>
  <c r="BE71" i="46"/>
  <c r="BE79" i="46"/>
  <c r="AB38" i="46"/>
  <c r="T11" i="46"/>
  <c r="BD11" i="46" s="1"/>
  <c r="AJ47" i="46"/>
  <c r="AB83" i="46"/>
  <c r="BF83" i="46" s="1"/>
  <c r="T67" i="13"/>
  <c r="AR67" i="13" s="1"/>
  <c r="T22" i="13"/>
  <c r="AR22" i="13" s="1"/>
  <c r="AJ37" i="46"/>
  <c r="AQ58" i="13"/>
  <c r="AO61" i="13"/>
  <c r="AQ87" i="46"/>
  <c r="AU82" i="46"/>
  <c r="AS75" i="46"/>
  <c r="AY69" i="46"/>
  <c r="AW61" i="46"/>
  <c r="AU50" i="46"/>
  <c r="BC34" i="46"/>
  <c r="AQ14" i="46"/>
  <c r="AU85" i="46"/>
  <c r="AY81" i="46"/>
  <c r="AY73" i="46"/>
  <c r="AY68" i="46"/>
  <c r="AU57" i="46"/>
  <c r="AX45" i="46"/>
  <c r="AB31" i="46"/>
  <c r="BC69" i="46"/>
  <c r="AQ61" i="13"/>
  <c r="AQ93" i="13"/>
  <c r="S45" i="13"/>
  <c r="AP45" i="13" s="1"/>
  <c r="T87" i="13"/>
  <c r="AR87" i="13" s="1"/>
  <c r="AI20" i="13"/>
  <c r="AO68" i="13"/>
  <c r="AG79" i="13"/>
  <c r="AH98" i="13"/>
  <c r="AL71" i="13"/>
  <c r="AO91" i="13"/>
  <c r="AK9" i="13"/>
  <c r="S9" i="13"/>
  <c r="AP9" i="13" s="1"/>
  <c r="AO3" i="13"/>
  <c r="AG23" i="13"/>
  <c r="BC82" i="46"/>
  <c r="AH91" i="13"/>
  <c r="AB3" i="13"/>
  <c r="AH85" i="13"/>
  <c r="AH35" i="13"/>
  <c r="AH62" i="13"/>
  <c r="AK93" i="13"/>
  <c r="AL82" i="13"/>
  <c r="AQ19" i="13"/>
  <c r="AQ91" i="13"/>
  <c r="I3" i="13"/>
  <c r="AH36" i="13"/>
  <c r="AK72" i="13"/>
  <c r="S84" i="13"/>
  <c r="AP84" i="13" s="1"/>
  <c r="AH45" i="13"/>
  <c r="AI22" i="13"/>
  <c r="AK95" i="13"/>
  <c r="AK10" i="13"/>
  <c r="AK83" i="13"/>
  <c r="AK36" i="13"/>
  <c r="AL93" i="13"/>
  <c r="AK33" i="13"/>
  <c r="AO82" i="13"/>
  <c r="S8" i="13"/>
  <c r="AP8" i="13" s="1"/>
  <c r="AK61" i="13"/>
  <c r="S22" i="13"/>
  <c r="AP22" i="13" s="1"/>
  <c r="AQ33" i="13"/>
  <c r="AJ3" i="13"/>
  <c r="AG87" i="13"/>
  <c r="S31" i="13"/>
  <c r="AP31" i="13" s="1"/>
  <c r="S26" i="13"/>
  <c r="AP26" i="13" s="1"/>
  <c r="AI27" i="13"/>
  <c r="AI84" i="13"/>
  <c r="AH33" i="13"/>
  <c r="AG20" i="13"/>
  <c r="AH70" i="13"/>
  <c r="AI39" i="13"/>
  <c r="AQ7" i="13"/>
  <c r="AK62" i="13"/>
  <c r="AG84" i="13"/>
  <c r="AI96" i="13"/>
  <c r="Y3" i="13"/>
  <c r="AI38" i="13"/>
  <c r="AH9" i="13"/>
  <c r="AG60" i="13"/>
  <c r="AL95" i="13"/>
  <c r="AK47" i="13"/>
  <c r="AL36" i="13"/>
  <c r="AQ37" i="13"/>
  <c r="AI19" i="13"/>
  <c r="AK92" i="13"/>
  <c r="AI93" i="13"/>
  <c r="T33" i="13"/>
  <c r="AR33" i="13" s="1"/>
  <c r="AI32" i="13"/>
  <c r="AL97" i="13"/>
  <c r="AB7" i="46"/>
  <c r="BF7" i="46" s="1"/>
  <c r="BE12" i="46"/>
  <c r="T46" i="46"/>
  <c r="BD46" i="46" s="1"/>
  <c r="V65" i="13"/>
  <c r="W69" i="13" s="1"/>
  <c r="AB49" i="46"/>
  <c r="BF49" i="46" s="1"/>
  <c r="AB34" i="46"/>
  <c r="BF34" i="46" s="1"/>
  <c r="BE87" i="46"/>
  <c r="AJ95" i="46"/>
  <c r="AQ79" i="13"/>
  <c r="T97" i="13"/>
  <c r="AB71" i="46"/>
  <c r="BF71" i="46" s="1"/>
  <c r="BE38" i="46"/>
  <c r="AQ32" i="13"/>
  <c r="AP52" i="10"/>
  <c r="AN59" i="10"/>
  <c r="N23" i="10"/>
  <c r="U14" i="10"/>
  <c r="AE16" i="10"/>
  <c r="T98" i="13"/>
  <c r="AR98" i="13" s="1"/>
  <c r="S59" i="13"/>
  <c r="AP59" i="13" s="1"/>
  <c r="T26" i="46"/>
  <c r="BD26" i="46" s="1"/>
  <c r="AB43" i="46"/>
  <c r="BF43" i="46" s="1"/>
  <c r="AJ82" i="46"/>
  <c r="S48" i="13"/>
  <c r="AO58" i="13"/>
  <c r="AJ36" i="46"/>
  <c r="S87" i="13"/>
  <c r="AP87" i="13" s="1"/>
  <c r="S25" i="13"/>
  <c r="AP25" i="13" s="1"/>
  <c r="S34" i="13"/>
  <c r="AP34" i="13" s="1"/>
  <c r="S24" i="13"/>
  <c r="AP24" i="13" s="1"/>
  <c r="AW83" i="46"/>
  <c r="AY75" i="46"/>
  <c r="AR70" i="46"/>
  <c r="AY62" i="46"/>
  <c r="AS51" i="46"/>
  <c r="AQ35" i="46"/>
  <c r="AY22" i="46"/>
  <c r="AW86" i="46"/>
  <c r="AX82" i="46"/>
  <c r="AX74" i="46"/>
  <c r="AR69" i="46"/>
  <c r="AX59" i="46"/>
  <c r="AS46" i="46"/>
  <c r="AW33" i="46"/>
  <c r="AZ11" i="46"/>
  <c r="T61" i="13"/>
  <c r="AR61" i="13" s="1"/>
  <c r="U38" i="18"/>
  <c r="U78" i="19" s="1"/>
  <c r="AQ13" i="13"/>
  <c r="U18" i="18"/>
  <c r="U30" i="19" s="1"/>
  <c r="BE85" i="46"/>
  <c r="AQ11" i="13"/>
  <c r="T81" i="13"/>
  <c r="AR81" i="13" s="1"/>
  <c r="AQ99" i="13"/>
  <c r="AG63" i="13"/>
  <c r="S57" i="13"/>
  <c r="AP57" i="13" s="1"/>
  <c r="AI97" i="13"/>
  <c r="AH74" i="13"/>
  <c r="AI21" i="13"/>
  <c r="T13" i="13"/>
  <c r="AR13" i="13" s="1"/>
  <c r="F3" i="13"/>
  <c r="AG14" i="13"/>
  <c r="T82" i="46"/>
  <c r="BD82" i="46" s="1"/>
  <c r="AO32" i="13"/>
  <c r="AI70" i="13"/>
  <c r="AL35" i="13"/>
  <c r="AL80" i="13"/>
  <c r="AI37" i="13"/>
  <c r="AL86" i="13"/>
  <c r="V3" i="13"/>
  <c r="AL99" i="13"/>
  <c r="T51" i="13"/>
  <c r="AR51" i="13" s="1"/>
  <c r="AQ24" i="13"/>
  <c r="AQ20" i="13"/>
  <c r="AO80" i="13"/>
  <c r="S79" i="13"/>
  <c r="AP79" i="13" s="1"/>
  <c r="AI81" i="13"/>
  <c r="AQ81" i="13"/>
  <c r="AH63" i="13"/>
  <c r="AI91" i="13"/>
  <c r="AH21" i="13"/>
  <c r="AG96" i="13"/>
  <c r="AG38" i="13"/>
  <c r="AL74" i="13"/>
  <c r="AO38" i="13"/>
  <c r="AO11" i="13"/>
  <c r="T91" i="13"/>
  <c r="AQ62" i="13"/>
  <c r="AO27" i="13"/>
  <c r="T60" i="13"/>
  <c r="AK35" i="13"/>
  <c r="AI59" i="13"/>
  <c r="S68" i="13"/>
  <c r="AP68" i="13" s="1"/>
  <c r="T63" i="13"/>
  <c r="AO10" i="13"/>
  <c r="AI85" i="13"/>
  <c r="AL38" i="13"/>
  <c r="AG26" i="13"/>
  <c r="AG92" i="13"/>
  <c r="AI31" i="13"/>
  <c r="AL8" i="13"/>
  <c r="AL63" i="13"/>
  <c r="AK85" i="13"/>
  <c r="AK98" i="13"/>
  <c r="AL3" i="13"/>
  <c r="AI3" i="13"/>
  <c r="AK11" i="13"/>
  <c r="AL61" i="13"/>
  <c r="AK96" i="13"/>
  <c r="AG45" i="13"/>
  <c r="S51" i="13"/>
  <c r="AP51" i="13" s="1"/>
  <c r="K3" i="13"/>
  <c r="AI11" i="13"/>
  <c r="AH19" i="13"/>
  <c r="AQ82" i="13"/>
  <c r="AQ45" i="13"/>
  <c r="AQ39" i="13"/>
  <c r="AO98" i="13"/>
  <c r="AO56" i="13"/>
  <c r="AN47" i="10"/>
  <c r="X29" i="10"/>
  <c r="E16" i="10"/>
  <c r="AJ11" i="46"/>
  <c r="AL23" i="10"/>
  <c r="AI20" i="10"/>
  <c r="BC50" i="46"/>
  <c r="AB99" i="46"/>
  <c r="BF99" i="46" s="1"/>
  <c r="AJ26" i="10"/>
  <c r="Z14" i="10"/>
  <c r="T56" i="46"/>
  <c r="BD56" i="46" s="1"/>
  <c r="BC47" i="46"/>
  <c r="AC7" i="18"/>
  <c r="AB35" i="46"/>
  <c r="BF35" i="46" s="1"/>
  <c r="AC8" i="18"/>
  <c r="BE75" i="46"/>
  <c r="U13" i="18"/>
  <c r="U18" i="19" s="1"/>
  <c r="U27" i="18"/>
  <c r="AP26" i="10"/>
  <c r="AJ75" i="46"/>
  <c r="AP63" i="10"/>
  <c r="AB32" i="46"/>
  <c r="BF32" i="46" s="1"/>
  <c r="BE8" i="46"/>
  <c r="AR71" i="46"/>
  <c r="AR7" i="46"/>
  <c r="AY61" i="46"/>
  <c r="AJ8" i="46"/>
  <c r="BC67" i="46"/>
  <c r="AJ63" i="46"/>
  <c r="AV65" i="17"/>
  <c r="BC79" i="46"/>
  <c r="BC81" i="46"/>
  <c r="AB24" i="46"/>
  <c r="BF24" i="46" s="1"/>
  <c r="T75" i="13"/>
  <c r="AR75" i="13" s="1"/>
  <c r="T59" i="46"/>
  <c r="BD59" i="46" s="1"/>
  <c r="T71" i="13"/>
  <c r="AR71" i="13" s="1"/>
  <c r="S11" i="13"/>
  <c r="AP11" i="13" s="1"/>
  <c r="BC85" i="46"/>
  <c r="BC45" i="46"/>
  <c r="AV71" i="46"/>
  <c r="T68" i="13"/>
  <c r="AR68" i="13" s="1"/>
  <c r="AL19" i="13"/>
  <c r="AL43" i="13"/>
  <c r="AG25" i="13"/>
  <c r="AH72" i="13"/>
  <c r="AK13" i="13"/>
  <c r="AO93" i="13"/>
  <c r="AH59" i="13"/>
  <c r="AG71" i="13"/>
  <c r="AG44" i="13"/>
  <c r="AH46" i="13"/>
  <c r="AO94" i="13"/>
  <c r="AQ12" i="13"/>
  <c r="AQ44" i="13"/>
  <c r="AI57" i="13"/>
  <c r="AH80" i="13"/>
  <c r="AK23" i="13"/>
  <c r="AL79" i="13"/>
  <c r="AL14" i="13"/>
  <c r="AI82" i="13"/>
  <c r="T35" i="13"/>
  <c r="AR35" i="13" s="1"/>
  <c r="AK94" i="13"/>
  <c r="S71" i="13"/>
  <c r="AP71" i="13" s="1"/>
  <c r="AL49" i="13"/>
  <c r="BE80" i="46"/>
  <c r="T68" i="46"/>
  <c r="BD68" i="46" s="1"/>
  <c r="AL57" i="10"/>
  <c r="T79" i="46"/>
  <c r="BD79" i="46" s="1"/>
  <c r="BE98" i="46"/>
  <c r="T81" i="46"/>
  <c r="T94" i="13"/>
  <c r="AR94" i="13" s="1"/>
  <c r="X13" i="10"/>
  <c r="AH28" i="10"/>
  <c r="E3" i="10"/>
  <c r="AQ69" i="13"/>
  <c r="AO85" i="13"/>
  <c r="BE22" i="46"/>
  <c r="AB60" i="46"/>
  <c r="AO72" i="13"/>
  <c r="S13" i="13"/>
  <c r="AP13" i="13" s="1"/>
  <c r="T63" i="46"/>
  <c r="AJ60" i="46"/>
  <c r="AO43" i="13"/>
  <c r="T37" i="13"/>
  <c r="AR37" i="13" s="1"/>
  <c r="S7" i="13"/>
  <c r="AP7" i="13" s="1"/>
  <c r="S74" i="13"/>
  <c r="AP74" i="13" s="1"/>
  <c r="AV85" i="46"/>
  <c r="AZ80" i="46"/>
  <c r="AX72" i="46"/>
  <c r="AQ68" i="46"/>
  <c r="AY58" i="46"/>
  <c r="AU47" i="46"/>
  <c r="AR27" i="46"/>
  <c r="AS11" i="46"/>
  <c r="AW84" i="46"/>
  <c r="BC80" i="46"/>
  <c r="AQ72" i="46"/>
  <c r="AW67" i="46"/>
  <c r="AX51" i="46"/>
  <c r="AW37" i="46"/>
  <c r="AB26" i="46"/>
  <c r="BF26" i="46" s="1"/>
  <c r="S49" i="13"/>
  <c r="AB19" i="46"/>
  <c r="BF19" i="46" s="1"/>
  <c r="T74" i="46"/>
  <c r="T93" i="13"/>
  <c r="AR93" i="13" s="1"/>
  <c r="AB86" i="46"/>
  <c r="BF86" i="46" s="1"/>
  <c r="T11" i="13"/>
  <c r="AR11" i="13" s="1"/>
  <c r="AQ47" i="13"/>
  <c r="AK14" i="13"/>
  <c r="AI8" i="13"/>
  <c r="AL44" i="13"/>
  <c r="T43" i="13"/>
  <c r="AR43" i="13" s="1"/>
  <c r="AH75" i="13"/>
  <c r="AK87" i="13"/>
  <c r="AI46" i="13"/>
  <c r="T71" i="46"/>
  <c r="BD71" i="46" s="1"/>
  <c r="AK20" i="13"/>
  <c r="AK67" i="13"/>
  <c r="AG62" i="13"/>
  <c r="AK48" i="13"/>
  <c r="AH12" i="13"/>
  <c r="AG69" i="13"/>
  <c r="AL7" i="13"/>
  <c r="AI43" i="13"/>
  <c r="AO37" i="13"/>
  <c r="AL57" i="13"/>
  <c r="AH20" i="13"/>
  <c r="AK68" i="13"/>
  <c r="S14" i="13"/>
  <c r="AP14" i="13" s="1"/>
  <c r="AH50" i="13"/>
  <c r="AG34" i="13"/>
  <c r="AG86" i="13"/>
  <c r="AK37" i="13"/>
  <c r="AI25" i="13"/>
  <c r="AH43" i="13"/>
  <c r="AH86" i="13"/>
  <c r="AO51" i="13"/>
  <c r="AO62" i="13"/>
  <c r="T20" i="13"/>
  <c r="AR20" i="13" s="1"/>
  <c r="AK75" i="13"/>
  <c r="S58" i="13"/>
  <c r="AP58" i="13" s="1"/>
  <c r="AQ43" i="13"/>
  <c r="AL24" i="13"/>
  <c r="AO67" i="13"/>
  <c r="S37" i="13"/>
  <c r="AP37" i="13" s="1"/>
  <c r="AK38" i="13"/>
  <c r="AG58" i="13"/>
  <c r="AL75" i="13"/>
  <c r="AK12" i="13"/>
  <c r="AG56" i="13"/>
  <c r="L3" i="13"/>
  <c r="AL11" i="13"/>
  <c r="AK24" i="13"/>
  <c r="AG59" i="13"/>
  <c r="AG80" i="13"/>
  <c r="AG68" i="13"/>
  <c r="AL37" i="13"/>
  <c r="AL15" i="13"/>
  <c r="AK21" i="13"/>
  <c r="AH87" i="13"/>
  <c r="AK91" i="13"/>
  <c r="U7" i="18"/>
  <c r="U5" i="19" s="1"/>
  <c r="T73" i="13"/>
  <c r="AR73" i="13" s="1"/>
  <c r="AG99" i="13"/>
  <c r="S85" i="13"/>
  <c r="AP85" i="13" s="1"/>
  <c r="AH96" i="13"/>
  <c r="AQ68" i="13"/>
  <c r="AI47" i="13"/>
  <c r="AG70" i="13"/>
  <c r="AF3" i="13"/>
  <c r="AI71" i="13"/>
  <c r="AI48" i="13"/>
  <c r="AB80" i="46"/>
  <c r="AA23" i="10"/>
  <c r="W14" i="10"/>
  <c r="T91" i="46"/>
  <c r="BD91" i="46" s="1"/>
  <c r="AP53" i="10"/>
  <c r="AD28" i="10"/>
  <c r="N16" i="10"/>
  <c r="T13" i="46"/>
  <c r="BD13" i="46" s="1"/>
  <c r="AA29" i="10"/>
  <c r="Z3" i="10"/>
  <c r="U17" i="18"/>
  <c r="AJ17" i="18" s="1"/>
  <c r="AJ80" i="46"/>
  <c r="AJ51" i="46"/>
  <c r="AC22" i="18"/>
  <c r="AC41" i="19" s="1"/>
  <c r="AD47" i="19" s="1"/>
  <c r="AG47" i="19" s="1"/>
  <c r="AJ46" i="46"/>
  <c r="AS23" i="12"/>
  <c r="AQ21" i="12"/>
  <c r="BE33" i="46"/>
  <c r="BC32" i="46"/>
  <c r="BE72" i="46"/>
  <c r="AB72" i="46"/>
  <c r="BF72" i="46" s="1"/>
  <c r="AV84" i="46"/>
  <c r="AW56" i="46"/>
  <c r="AZ44" i="46"/>
  <c r="AX83" i="46"/>
  <c r="AZ75" i="46"/>
  <c r="AU49" i="46"/>
  <c r="AR35" i="46"/>
  <c r="AV25" i="46"/>
  <c r="T49" i="46"/>
  <c r="BD49" i="46" s="1"/>
  <c r="AJ7" i="46"/>
  <c r="AJ92" i="46"/>
  <c r="AW106" i="17"/>
  <c r="S97" i="13"/>
  <c r="T83" i="13"/>
  <c r="S15" i="13"/>
  <c r="AP15" i="13" s="1"/>
  <c r="AB68" i="46"/>
  <c r="BF68" i="46" s="1"/>
  <c r="AR80" i="46"/>
  <c r="AV67" i="46"/>
  <c r="AY10" i="46"/>
  <c r="AW79" i="46"/>
  <c r="AS50" i="46"/>
  <c r="AJ26" i="46"/>
  <c r="AO9" i="13"/>
  <c r="AK19" i="13"/>
  <c r="T99" i="13"/>
  <c r="AR99" i="13" s="1"/>
  <c r="AH44" i="13"/>
  <c r="S36" i="13"/>
  <c r="AP36" i="13" s="1"/>
  <c r="AK73" i="13"/>
  <c r="AQ14" i="13"/>
  <c r="AI74" i="13"/>
  <c r="T95" i="13"/>
  <c r="AR95" i="13" s="1"/>
  <c r="AL56" i="13"/>
  <c r="AL58" i="13"/>
  <c r="H3" i="13"/>
  <c r="S23" i="13"/>
  <c r="AP23" i="13" s="1"/>
  <c r="AG49" i="13"/>
  <c r="AL10" i="13"/>
  <c r="AI67" i="13"/>
  <c r="AQ70" i="13"/>
  <c r="S70" i="13"/>
  <c r="AP70" i="13" s="1"/>
  <c r="AI69" i="13"/>
  <c r="T9" i="46"/>
  <c r="BD9" i="46" s="1"/>
  <c r="AJ62" i="46"/>
  <c r="AP40" i="10"/>
  <c r="AB36" i="46"/>
  <c r="BF36" i="46" s="1"/>
  <c r="AW107" i="17"/>
  <c r="AV121" i="17"/>
  <c r="AB98" i="46"/>
  <c r="BF98" i="46" s="1"/>
  <c r="BC98" i="46"/>
  <c r="AQ94" i="13"/>
  <c r="AC18" i="19"/>
  <c r="AO38" i="10"/>
  <c r="AO41" i="10"/>
  <c r="Y29" i="10"/>
  <c r="AD22" i="10"/>
  <c r="AG23" i="12"/>
  <c r="S83" i="13"/>
  <c r="AP83" i="13" s="1"/>
  <c r="S27" i="13"/>
  <c r="AP27" i="13" s="1"/>
  <c r="AJ19" i="46"/>
  <c r="AB58" i="46"/>
  <c r="T70" i="13"/>
  <c r="AR70" i="13" s="1"/>
  <c r="T7" i="13"/>
  <c r="AR7" i="13" s="1"/>
  <c r="AB51" i="46"/>
  <c r="BF51" i="46" s="1"/>
  <c r="S63" i="13"/>
  <c r="AP63" i="13" s="1"/>
  <c r="AO21" i="13"/>
  <c r="AO74" i="13"/>
  <c r="AR86" i="46"/>
  <c r="AW81" i="46"/>
  <c r="AX73" i="46"/>
  <c r="AX68" i="46"/>
  <c r="BC59" i="46"/>
  <c r="BC48" i="46"/>
  <c r="AZ32" i="46"/>
  <c r="AR12" i="46"/>
  <c r="AU84" i="46"/>
  <c r="AV80" i="46"/>
  <c r="AZ72" i="46"/>
  <c r="AU67" i="46"/>
  <c r="AZ55" i="46"/>
  <c r="AS38" i="46"/>
  <c r="AV27" i="46"/>
  <c r="BD3" i="46"/>
  <c r="AO12" i="13"/>
  <c r="BE19" i="46"/>
  <c r="BC74" i="46"/>
  <c r="T72" i="13"/>
  <c r="AR72" i="13" s="1"/>
  <c r="BE86" i="46"/>
  <c r="AQ9" i="13"/>
  <c r="AO49" i="13"/>
  <c r="AG72" i="13"/>
  <c r="AL32" i="13"/>
  <c r="AK32" i="13"/>
  <c r="T21" i="13"/>
  <c r="AR21" i="13" s="1"/>
  <c r="AR3" i="13"/>
  <c r="AG55" i="13"/>
  <c r="AL60" i="13"/>
  <c r="AI44" i="13"/>
  <c r="BC75" i="46"/>
  <c r="AB62" i="46"/>
  <c r="BF62" i="46" s="1"/>
  <c r="AK56" i="13"/>
  <c r="T46" i="13"/>
  <c r="AL59" i="13"/>
  <c r="AK43" i="13"/>
  <c r="AK7" i="13"/>
  <c r="AL48" i="13"/>
  <c r="AK22" i="13"/>
  <c r="AQ92" i="13"/>
  <c r="AQ23" i="13"/>
  <c r="AL22" i="13"/>
  <c r="AK26" i="13"/>
  <c r="AI45" i="13"/>
  <c r="S44" i="13"/>
  <c r="AP44" i="13" s="1"/>
  <c r="AQ75" i="13"/>
  <c r="AI13" i="13"/>
  <c r="AH81" i="13"/>
  <c r="AH31" i="13"/>
  <c r="AG19" i="13"/>
  <c r="AO50" i="13"/>
  <c r="AH99" i="13"/>
  <c r="AQ51" i="13"/>
  <c r="AQ26" i="13"/>
  <c r="AQ63" i="13"/>
  <c r="AH82" i="13"/>
  <c r="AQ84" i="13"/>
  <c r="AQ25" i="13"/>
  <c r="AH92" i="13"/>
  <c r="AQ60" i="13"/>
  <c r="S3" i="13"/>
  <c r="AL62" i="13"/>
  <c r="AH93" i="13"/>
  <c r="AK15" i="13"/>
  <c r="AQ57" i="13"/>
  <c r="W3" i="13"/>
  <c r="AH14" i="13"/>
  <c r="AG27" i="13"/>
  <c r="AH60" i="13"/>
  <c r="AL81" i="13"/>
  <c r="AI73" i="13"/>
  <c r="E3" i="13"/>
  <c r="AP3" i="13"/>
  <c r="AL26" i="13"/>
  <c r="AI56" i="13"/>
  <c r="AI92" i="13"/>
  <c r="AQ59" i="13"/>
  <c r="AI62" i="13"/>
  <c r="AH23" i="13"/>
  <c r="AG82" i="13"/>
  <c r="AH73" i="13"/>
  <c r="AG47" i="13"/>
  <c r="AH83" i="13"/>
  <c r="AQ67" i="13"/>
  <c r="S61" i="13"/>
  <c r="AP61" i="13" s="1"/>
  <c r="AK69" i="13"/>
  <c r="AK27" i="10"/>
  <c r="Z11" i="10"/>
  <c r="U53" i="10"/>
  <c r="T95" i="46"/>
  <c r="BD95" i="46" s="1"/>
  <c r="AP45" i="10"/>
  <c r="T59" i="10"/>
  <c r="U3" i="10"/>
  <c r="T31" i="46"/>
  <c r="BD31" i="46" s="1"/>
  <c r="Z47" i="10"/>
  <c r="G3" i="10"/>
  <c r="X7" i="10"/>
  <c r="U28" i="18"/>
  <c r="AJ72" i="46"/>
  <c r="AJ50" i="46"/>
  <c r="AB25" i="46"/>
  <c r="BF25" i="46" s="1"/>
  <c r="AJ97" i="46"/>
  <c r="AO34" i="10"/>
  <c r="AJ85" i="46"/>
  <c r="BE31" i="46"/>
  <c r="AO40" i="10"/>
  <c r="AP27" i="10"/>
  <c r="BE81" i="46"/>
  <c r="BE23" i="46"/>
  <c r="AV79" i="46"/>
  <c r="AS67" i="46"/>
  <c r="AY24" i="46"/>
  <c r="AW70" i="46"/>
  <c r="BC61" i="46"/>
  <c r="BC36" i="46"/>
  <c r="V68" i="13"/>
  <c r="AO60" i="13"/>
  <c r="AW60" i="17"/>
  <c r="S75" i="13"/>
  <c r="AP75" i="13" s="1"/>
  <c r="T86" i="13"/>
  <c r="AR86" i="13" s="1"/>
  <c r="AB63" i="46"/>
  <c r="AO39" i="13"/>
  <c r="AO95" i="13"/>
  <c r="AZ71" i="46"/>
  <c r="AZ57" i="46"/>
  <c r="AR25" i="46"/>
  <c r="AJ84" i="46"/>
  <c r="AV62" i="46"/>
  <c r="AS36" i="46"/>
  <c r="AO70" i="13"/>
  <c r="AO45" i="13"/>
  <c r="BC91" i="46"/>
  <c r="AC37" i="19"/>
  <c r="AO81" i="13"/>
  <c r="AG3" i="13"/>
  <c r="AG51" i="13"/>
  <c r="AK79" i="13"/>
  <c r="BC71" i="46"/>
  <c r="AK50" i="13"/>
  <c r="AL20" i="13"/>
  <c r="AL73" i="13"/>
  <c r="T44" i="13"/>
  <c r="AR44" i="13" s="1"/>
  <c r="T48" i="13"/>
  <c r="AR48" i="13" s="1"/>
  <c r="AH38" i="13"/>
  <c r="AL9" i="13"/>
  <c r="AQ36" i="13"/>
  <c r="AO69" i="13"/>
  <c r="AQ35" i="13"/>
  <c r="AQ73" i="13"/>
  <c r="AL33" i="13"/>
  <c r="T10" i="13"/>
  <c r="AR10" i="13" s="1"/>
  <c r="AK39" i="13"/>
  <c r="AK57" i="13"/>
  <c r="AK34" i="13"/>
  <c r="AG21" i="13"/>
  <c r="AI72" i="13"/>
  <c r="AL94" i="13"/>
  <c r="AQ85" i="13"/>
  <c r="AI24" i="13"/>
  <c r="BC70" i="46"/>
  <c r="AJ61" i="46"/>
  <c r="AV119" i="17"/>
  <c r="AB79" i="46"/>
  <c r="AV79" i="17"/>
  <c r="T98" i="46"/>
  <c r="U34" i="22"/>
  <c r="W67" i="13"/>
  <c r="Z67" i="13" s="1"/>
  <c r="AO27" i="10"/>
  <c r="Y35" i="10"/>
  <c r="AD21" i="10"/>
  <c r="Z53" i="10"/>
  <c r="S80" i="13"/>
  <c r="AP80" i="13" s="1"/>
  <c r="T25" i="13"/>
  <c r="AR25" i="13" s="1"/>
  <c r="AJ9" i="46"/>
  <c r="AJ49" i="46"/>
  <c r="AJ86" i="46"/>
  <c r="S69" i="13"/>
  <c r="AP69" i="13" s="1"/>
  <c r="T27" i="13"/>
  <c r="AR27" i="13" s="1"/>
  <c r="AB39" i="46"/>
  <c r="BF39" i="46" s="1"/>
  <c r="S62" i="13"/>
  <c r="AP62" i="13" s="1"/>
  <c r="T19" i="13"/>
  <c r="AR19" i="13" s="1"/>
  <c r="AV86" i="46"/>
  <c r="AW82" i="46"/>
  <c r="AU74" i="46"/>
  <c r="AS69" i="46"/>
  <c r="AV60" i="46"/>
  <c r="AZ49" i="46"/>
  <c r="AR33" i="46"/>
  <c r="AX13" i="46"/>
  <c r="AW85" i="46"/>
  <c r="AJ81" i="46"/>
  <c r="AQ73" i="46"/>
  <c r="AS68" i="46"/>
  <c r="AV56" i="46"/>
  <c r="AU44" i="46"/>
  <c r="AJ31" i="46"/>
  <c r="T83" i="46"/>
  <c r="BD83" i="46" s="1"/>
  <c r="S12" i="13"/>
  <c r="AP12" i="13" s="1"/>
  <c r="AQ49" i="13"/>
  <c r="AQ87" i="13"/>
  <c r="AH27" i="13"/>
  <c r="AO19" i="13"/>
  <c r="AI95" i="13"/>
  <c r="AH68" i="13"/>
  <c r="AG43" i="13"/>
  <c r="S99" i="13"/>
  <c r="AP99" i="13" s="1"/>
  <c r="T34" i="13"/>
  <c r="AR34" i="13" s="1"/>
  <c r="AG39" i="13"/>
  <c r="AQ22" i="13"/>
  <c r="AK71" i="13"/>
  <c r="T75" i="46"/>
  <c r="BD75" i="46" s="1"/>
  <c r="BE62" i="46"/>
  <c r="AH97" i="13"/>
  <c r="AO20" i="13"/>
  <c r="AL55" i="13"/>
  <c r="Z3" i="13"/>
  <c r="AH24" i="13"/>
  <c r="AL45" i="13"/>
  <c r="AK58" i="13"/>
  <c r="T9" i="13"/>
  <c r="AR9" i="13" s="1"/>
  <c r="AQ80" i="13"/>
  <c r="AI34" i="13"/>
  <c r="AH8" i="13"/>
  <c r="AH67" i="13"/>
  <c r="AO33" i="13"/>
  <c r="AH51" i="13"/>
  <c r="AK25" i="13"/>
  <c r="AH79" i="13"/>
  <c r="AQ3" i="13"/>
  <c r="AI87" i="13"/>
  <c r="AH3" i="13"/>
  <c r="AG97" i="13"/>
  <c r="T3" i="13"/>
  <c r="AQ86" i="13"/>
  <c r="T31" i="13"/>
  <c r="AR31" i="13" s="1"/>
  <c r="AH58" i="13"/>
  <c r="AQ50" i="13"/>
  <c r="AO8" i="13"/>
  <c r="AH10" i="13"/>
  <c r="AL85" i="13"/>
  <c r="S94" i="13"/>
  <c r="AP94" i="13" s="1"/>
  <c r="AO44" i="13"/>
  <c r="AH25" i="13"/>
  <c r="AL98" i="13"/>
  <c r="AG32" i="13"/>
  <c r="AG61" i="13"/>
  <c r="AK3" i="13"/>
  <c r="AG37" i="13"/>
  <c r="AH7" i="13"/>
  <c r="AI61" i="13"/>
  <c r="AG83" i="13"/>
  <c r="AG93" i="13"/>
  <c r="M3" i="13"/>
  <c r="AG36" i="13"/>
  <c r="AG8" i="13"/>
  <c r="AI58" i="13"/>
  <c r="AH94" i="13"/>
  <c r="AQ96" i="13"/>
  <c r="AQ10" i="13"/>
  <c r="AG11" i="13"/>
  <c r="AH57" i="13"/>
  <c r="AL69" i="13"/>
  <c r="T50" i="13"/>
  <c r="AR50" i="13" s="1"/>
  <c r="S43" i="13"/>
  <c r="AP43" i="13" s="1"/>
  <c r="AQ34" i="13"/>
  <c r="AI7" i="13"/>
  <c r="T47" i="13"/>
  <c r="AR47" i="13" s="1"/>
  <c r="AO16" i="10"/>
  <c r="W7" i="10"/>
  <c r="AK16" i="10"/>
  <c r="BC99" i="46"/>
  <c r="AF16" i="10"/>
  <c r="AA47" i="10"/>
  <c r="AM22" i="10"/>
  <c r="T39" i="46"/>
  <c r="BD39" i="46" s="1"/>
  <c r="M23" i="10"/>
  <c r="AM21" i="10"/>
  <c r="AJ15" i="46"/>
  <c r="AB55" i="46"/>
  <c r="BF55" i="46" s="1"/>
  <c r="AJ45" i="46"/>
  <c r="AJ94" i="46"/>
  <c r="AB20" i="46"/>
  <c r="BF20" i="46" s="1"/>
  <c r="AJ48" i="46"/>
  <c r="AP50" i="10"/>
  <c r="AJ59" i="46"/>
  <c r="AP58" i="10"/>
  <c r="AW89" i="17"/>
  <c r="AV55" i="17"/>
  <c r="AW102" i="17"/>
  <c r="AW73" i="17"/>
  <c r="T57" i="24"/>
  <c r="V57" i="24" s="1"/>
  <c r="AT17" i="45"/>
  <c r="AS8" i="12"/>
  <c r="AQ55" i="29"/>
  <c r="AQ68" i="29"/>
  <c r="AO96" i="29"/>
  <c r="T35" i="29"/>
  <c r="AR35" i="29" s="1"/>
  <c r="AQ73" i="29"/>
  <c r="AQ11" i="29"/>
  <c r="S7" i="29"/>
  <c r="AP7" i="29" s="1"/>
  <c r="S38" i="29"/>
  <c r="AP38" i="29" s="1"/>
  <c r="S71" i="29"/>
  <c r="AP71" i="29" s="1"/>
  <c r="AO21" i="29"/>
  <c r="S94" i="29"/>
  <c r="AP94" i="29" s="1"/>
  <c r="BJ17" i="45"/>
  <c r="BJ8" i="45"/>
  <c r="AV27" i="45"/>
  <c r="BJ38" i="45"/>
  <c r="BD3" i="45"/>
  <c r="BH17" i="45"/>
  <c r="BJ32" i="45"/>
  <c r="S3" i="45"/>
  <c r="U18" i="45"/>
  <c r="BI18" i="45" s="1"/>
  <c r="AX17" i="45"/>
  <c r="BB23" i="45"/>
  <c r="BB32" i="45"/>
  <c r="BH38" i="45"/>
  <c r="H3" i="45"/>
  <c r="AW3" i="45"/>
  <c r="Q3" i="45"/>
  <c r="AW18" i="45"/>
  <c r="AV18" i="45"/>
  <c r="AV33" i="45"/>
  <c r="O3" i="45"/>
  <c r="AX8" i="45"/>
  <c r="BJ23" i="45"/>
  <c r="AW42" i="45"/>
  <c r="BG3" i="45"/>
  <c r="AV12" i="45"/>
  <c r="AZ18" i="45"/>
  <c r="AZ27" i="45"/>
  <c r="BJ33" i="45"/>
  <c r="AZ42" i="45"/>
  <c r="AC3" i="45"/>
  <c r="BH22" i="45"/>
  <c r="AW33" i="45"/>
  <c r="U12" i="45"/>
  <c r="AS12" i="45" s="1"/>
  <c r="T93" i="19"/>
  <c r="AU93" i="19" s="1"/>
  <c r="T50" i="19"/>
  <c r="AU50" i="19" s="1"/>
  <c r="T75" i="19"/>
  <c r="AU75" i="19" s="1"/>
  <c r="T70" i="19"/>
  <c r="AU70" i="19" s="1"/>
  <c r="AO93" i="19"/>
  <c r="AL67" i="19"/>
  <c r="AJ55" i="19"/>
  <c r="AL63" i="19"/>
  <c r="AN51" i="19"/>
  <c r="AL38" i="19"/>
  <c r="AL25" i="19"/>
  <c r="AQ11" i="19"/>
  <c r="AK86" i="19"/>
  <c r="AO79" i="19"/>
  <c r="AD69" i="19"/>
  <c r="V3" i="19"/>
  <c r="AI93" i="19"/>
  <c r="AK19" i="19"/>
  <c r="AL60" i="19"/>
  <c r="AB56" i="19"/>
  <c r="T69" i="19"/>
  <c r="AU69" i="19" s="1"/>
  <c r="AJ96" i="19"/>
  <c r="AQ68" i="19"/>
  <c r="AT55" i="19"/>
  <c r="AP43" i="19"/>
  <c r="AI31" i="19"/>
  <c r="AP39" i="19"/>
  <c r="AQ26" i="19"/>
  <c r="AI12" i="19"/>
  <c r="AP85" i="19"/>
  <c r="AT79" i="19"/>
  <c r="AD72" i="19"/>
  <c r="AG72" i="19" s="1"/>
  <c r="AP34" i="19"/>
  <c r="AI94" i="19"/>
  <c r="AO62" i="19"/>
  <c r="AM59" i="19"/>
  <c r="AN96" i="19"/>
  <c r="AM94" i="19"/>
  <c r="AQ94" i="19"/>
  <c r="AJ72" i="19"/>
  <c r="AL59" i="19"/>
  <c r="AN47" i="19"/>
  <c r="AL34" i="19"/>
  <c r="AO22" i="19"/>
  <c r="AP8" i="19"/>
  <c r="AK14" i="19"/>
  <c r="AN82" i="19"/>
  <c r="J3" i="19"/>
  <c r="AT62" i="19"/>
  <c r="AO46" i="19"/>
  <c r="AO82" i="19"/>
  <c r="AM55" i="19"/>
  <c r="AQ24" i="19"/>
  <c r="AT57" i="19"/>
  <c r="AP93" i="19"/>
  <c r="AT35" i="19"/>
  <c r="AN97" i="19"/>
  <c r="AN99" i="19"/>
  <c r="AJ94" i="19"/>
  <c r="AT71" i="19"/>
  <c r="AQ59" i="19"/>
  <c r="AK46" i="19"/>
  <c r="AQ34" i="19"/>
  <c r="AJ22" i="19"/>
  <c r="AN8" i="19"/>
  <c r="AM14" i="19"/>
  <c r="AI82" i="19"/>
  <c r="H3" i="19"/>
  <c r="AT86" i="19"/>
  <c r="AI19" i="19"/>
  <c r="AI81" i="19"/>
  <c r="AJ58" i="19"/>
  <c r="AT49" i="19"/>
  <c r="AP92" i="19"/>
  <c r="AB98" i="19"/>
  <c r="AT94" i="19"/>
  <c r="AL72" i="19"/>
  <c r="AN60" i="19"/>
  <c r="AM47" i="19"/>
  <c r="AN35" i="19"/>
  <c r="AT22" i="19"/>
  <c r="AK8" i="19"/>
  <c r="AO15" i="19"/>
  <c r="AM82" i="19"/>
  <c r="N3" i="19"/>
  <c r="AQ80" i="19"/>
  <c r="AL33" i="19"/>
  <c r="AK27" i="19"/>
  <c r="AJ47" i="19"/>
  <c r="AK75" i="19"/>
  <c r="AP70" i="19"/>
  <c r="AQ93" i="19"/>
  <c r="AT67" i="19"/>
  <c r="AQ55" i="19"/>
  <c r="AT63" i="19"/>
  <c r="AP51" i="19"/>
  <c r="AI39" i="19"/>
  <c r="AJ26" i="19"/>
  <c r="AL11" i="19"/>
  <c r="AI85" i="19"/>
  <c r="AQ79" i="19"/>
  <c r="AC70" i="19"/>
  <c r="AF70" i="19" s="1"/>
  <c r="AJ8" i="19"/>
  <c r="T43" i="19"/>
  <c r="AU43" i="19" s="1"/>
  <c r="AO39" i="19"/>
  <c r="AM87" i="19"/>
  <c r="AM49" i="19"/>
  <c r="AO70" i="19"/>
  <c r="AI74" i="19"/>
  <c r="AV132" i="17"/>
  <c r="AV96" i="17"/>
  <c r="AW95" i="17"/>
  <c r="AV129" i="17"/>
  <c r="AV92" i="17"/>
  <c r="W8" i="17"/>
  <c r="AT22" i="12"/>
  <c r="AV63" i="17"/>
  <c r="AW41" i="17"/>
  <c r="AW50" i="17"/>
  <c r="AS21" i="12"/>
  <c r="AW125" i="17"/>
  <c r="AV113" i="17"/>
  <c r="AV45" i="17"/>
  <c r="AW124" i="17"/>
  <c r="AW39" i="17"/>
  <c r="AW117" i="17"/>
  <c r="AV101" i="17"/>
  <c r="AW128" i="17"/>
  <c r="AW105" i="17"/>
  <c r="T45" i="24"/>
  <c r="V45" i="24" s="1"/>
  <c r="T8" i="12"/>
  <c r="S21" i="12"/>
  <c r="AG22" i="12" s="1"/>
  <c r="T28" i="12"/>
  <c r="AB77" i="13" s="1"/>
  <c r="T16" i="12"/>
  <c r="AH17" i="12" s="1"/>
  <c r="S15" i="12"/>
  <c r="S7" i="12"/>
  <c r="T23" i="12"/>
  <c r="S30" i="12"/>
  <c r="AG30" i="12" s="1"/>
  <c r="S28" i="12"/>
  <c r="AG28" i="12" s="1"/>
  <c r="AB30" i="13"/>
  <c r="AT15" i="12"/>
  <c r="Q7" i="24"/>
  <c r="S7" i="24" s="1"/>
  <c r="AD34" i="38"/>
  <c r="AC34" i="38"/>
  <c r="AR34" i="38"/>
  <c r="AR8" i="12"/>
  <c r="U95" i="22"/>
  <c r="U49" i="22"/>
  <c r="R7" i="24"/>
  <c r="T7" i="24" s="1"/>
  <c r="R10" i="24"/>
  <c r="T10" i="24" s="1"/>
  <c r="AD53" i="22"/>
  <c r="AD43" i="22"/>
  <c r="AF30" i="22"/>
  <c r="J3" i="22"/>
  <c r="T108" i="22"/>
  <c r="AH62" i="22"/>
  <c r="W3" i="22"/>
  <c r="AD39" i="22"/>
  <c r="R82" i="22"/>
  <c r="U22" i="22"/>
  <c r="Y30" i="22"/>
  <c r="T24" i="22"/>
  <c r="X45" i="22"/>
  <c r="Y55" i="22"/>
  <c r="Y41" i="22"/>
  <c r="Q30" i="22"/>
  <c r="E3" i="22"/>
  <c r="T82" i="22"/>
  <c r="AC30" i="46"/>
  <c r="AD98" i="19"/>
  <c r="U117" i="22"/>
  <c r="S42" i="22"/>
  <c r="AI42" i="22" s="1"/>
  <c r="S70" i="22"/>
  <c r="AI70" i="22" s="1"/>
  <c r="AY8" i="18"/>
  <c r="U6" i="19"/>
  <c r="V6" i="13"/>
  <c r="U38" i="22"/>
  <c r="R8" i="24"/>
  <c r="T8" i="24" s="1"/>
  <c r="T56" i="24"/>
  <c r="V56" i="24" s="1"/>
  <c r="V11" i="22"/>
  <c r="AD40" i="22"/>
  <c r="R56" i="22"/>
  <c r="U24" i="22"/>
  <c r="U56" i="22"/>
  <c r="W23" i="22"/>
  <c r="Y36" i="22"/>
  <c r="AF47" i="22"/>
  <c r="U15" i="22"/>
  <c r="J30" i="22"/>
  <c r="S38" i="22"/>
  <c r="AI38" i="22" s="1"/>
  <c r="W19" i="22"/>
  <c r="AF38" i="22"/>
  <c r="R108" i="22"/>
  <c r="U20" i="22"/>
  <c r="W30" i="22"/>
  <c r="BK23" i="45"/>
  <c r="AT18" i="45"/>
  <c r="S46" i="22"/>
  <c r="AI46" i="22" s="1"/>
  <c r="S36" i="22"/>
  <c r="AI36" i="22" s="1"/>
  <c r="AG17" i="12"/>
  <c r="AG9" i="12"/>
  <c r="U29" i="19"/>
  <c r="V32" i="19" s="1"/>
  <c r="Y32" i="19" s="1"/>
  <c r="AG97" i="29"/>
  <c r="AG86" i="29"/>
  <c r="AG75" i="29"/>
  <c r="AG67" i="29"/>
  <c r="AG56" i="29"/>
  <c r="AG45" i="29"/>
  <c r="AG34" i="29"/>
  <c r="AG23" i="29"/>
  <c r="AG12" i="29"/>
  <c r="AI93" i="29"/>
  <c r="AI80" i="29"/>
  <c r="AI79" i="29"/>
  <c r="AI75" i="29"/>
  <c r="AI62" i="29"/>
  <c r="AI49" i="29"/>
  <c r="AI36" i="29"/>
  <c r="AI23" i="29"/>
  <c r="AI10" i="29"/>
  <c r="AH7" i="29"/>
  <c r="AL9" i="29"/>
  <c r="AL11" i="29"/>
  <c r="AL13" i="29"/>
  <c r="AL15" i="29"/>
  <c r="AL19" i="29"/>
  <c r="AK20" i="29"/>
  <c r="AH22" i="29"/>
  <c r="AL23" i="29"/>
  <c r="AK24" i="29"/>
  <c r="AH26" i="29"/>
  <c r="AL27" i="29"/>
  <c r="AL32" i="29"/>
  <c r="AL34" i="29"/>
  <c r="AL36" i="29"/>
  <c r="AH38" i="29"/>
  <c r="AH43" i="29"/>
  <c r="AK43" i="29"/>
  <c r="AH45" i="29"/>
  <c r="AL46" i="29"/>
  <c r="AK47" i="29"/>
  <c r="AH49" i="29"/>
  <c r="AL50" i="29"/>
  <c r="AK51" i="29"/>
  <c r="AL55" i="29"/>
  <c r="AH57" i="29"/>
  <c r="AH59" i="29"/>
  <c r="AH61" i="29"/>
  <c r="AL62" i="29"/>
  <c r="AH67" i="29"/>
  <c r="AK67" i="29"/>
  <c r="AH69" i="29"/>
  <c r="AL70" i="29"/>
  <c r="AK71" i="29"/>
  <c r="AH73" i="29"/>
  <c r="AL74" i="29"/>
  <c r="AK75" i="29"/>
  <c r="AL79" i="29"/>
  <c r="AL81" i="29"/>
  <c r="AQ95" i="29"/>
  <c r="S51" i="29"/>
  <c r="AP51" i="29" s="1"/>
  <c r="AG93" i="29"/>
  <c r="AG81" i="29"/>
  <c r="AG63" i="29"/>
  <c r="AG49" i="29"/>
  <c r="AG37" i="29"/>
  <c r="AG22" i="29"/>
  <c r="AG8" i="29"/>
  <c r="AI98" i="29"/>
  <c r="AI68" i="29"/>
  <c r="AI58" i="29"/>
  <c r="AI46" i="29"/>
  <c r="AI37" i="29"/>
  <c r="AI27" i="29"/>
  <c r="AI15" i="29"/>
  <c r="AH10" i="29"/>
  <c r="AL12" i="29"/>
  <c r="AH15" i="29"/>
  <c r="AK19" i="29"/>
  <c r="AL21" i="29"/>
  <c r="AH23" i="29"/>
  <c r="AH25" i="29"/>
  <c r="AK26" i="29"/>
  <c r="AO32" i="29"/>
  <c r="AH35" i="29"/>
  <c r="AO37" i="29"/>
  <c r="AL39" i="29"/>
  <c r="AH44" i="29"/>
  <c r="AK45" i="29"/>
  <c r="AL47" i="29"/>
  <c r="AL49" i="29"/>
  <c r="AH51" i="29"/>
  <c r="AL57" i="29"/>
  <c r="AH60" i="29"/>
  <c r="AH62" i="29"/>
  <c r="AL68" i="29"/>
  <c r="AH70" i="29"/>
  <c r="AH72" i="29"/>
  <c r="AK73" i="29"/>
  <c r="AL75" i="29"/>
  <c r="AH80" i="29"/>
  <c r="AL82" i="29"/>
  <c r="AH84" i="29"/>
  <c r="AH86" i="29"/>
  <c r="AL87" i="29"/>
  <c r="AL91" i="29"/>
  <c r="AK92" i="29"/>
  <c r="AH94" i="29"/>
  <c r="AL95" i="29"/>
  <c r="AK96" i="29"/>
  <c r="AH98" i="29"/>
  <c r="AL99" i="29"/>
  <c r="AM3" i="29"/>
  <c r="AE3" i="29"/>
  <c r="V3" i="29"/>
  <c r="N3" i="29"/>
  <c r="I3" i="29"/>
  <c r="AQ23" i="29"/>
  <c r="AG92" i="29"/>
  <c r="AG74" i="29"/>
  <c r="AG60" i="29"/>
  <c r="AG48" i="29"/>
  <c r="AG33" i="29"/>
  <c r="AG19" i="29"/>
  <c r="AG7" i="29"/>
  <c r="AI81" i="29"/>
  <c r="AI71" i="29"/>
  <c r="AI59" i="29"/>
  <c r="AI50" i="29"/>
  <c r="AI31" i="29"/>
  <c r="AI19" i="29"/>
  <c r="AL10" i="29"/>
  <c r="AH13" i="29"/>
  <c r="AH19" i="29"/>
  <c r="AH20" i="29"/>
  <c r="AK21" i="29"/>
  <c r="AK23" i="29"/>
  <c r="AL25" i="29"/>
  <c r="AH27" i="29"/>
  <c r="AH33" i="29"/>
  <c r="AL35" i="29"/>
  <c r="AL37" i="29"/>
  <c r="AL44" i="29"/>
  <c r="AH46" i="29"/>
  <c r="AH48" i="29"/>
  <c r="AK49" i="29"/>
  <c r="AL51" i="29"/>
  <c r="AH56" i="29"/>
  <c r="AH58" i="29"/>
  <c r="AL60" i="29"/>
  <c r="AH63" i="29"/>
  <c r="AK68" i="29"/>
  <c r="AK70" i="29"/>
  <c r="AL72" i="29"/>
  <c r="AH74" i="29"/>
  <c r="AH79" i="29"/>
  <c r="AL80" i="29"/>
  <c r="AH83" i="29"/>
  <c r="AL84" i="29"/>
  <c r="AL86" i="29"/>
  <c r="AH91" i="29"/>
  <c r="AK91" i="29"/>
  <c r="AH93" i="29"/>
  <c r="AL94" i="29"/>
  <c r="AK95" i="29"/>
  <c r="AH97" i="29"/>
  <c r="AL98" i="29"/>
  <c r="AK99" i="29"/>
  <c r="AL3" i="29"/>
  <c r="AB3" i="29"/>
  <c r="T3" i="29"/>
  <c r="M3" i="29"/>
  <c r="G3" i="29"/>
  <c r="AR3" i="29"/>
  <c r="AP3" i="29"/>
  <c r="AG71" i="29"/>
  <c r="AG44" i="29"/>
  <c r="AG15" i="29"/>
  <c r="AI84" i="29"/>
  <c r="AI63" i="29"/>
  <c r="AI20" i="29"/>
  <c r="AH8" i="29"/>
  <c r="AH14" i="29"/>
  <c r="AL20" i="29"/>
  <c r="AH24" i="29"/>
  <c r="AK27" i="29"/>
  <c r="AL31" i="29"/>
  <c r="AH36" i="29"/>
  <c r="AL45" i="29"/>
  <c r="AK48" i="29"/>
  <c r="AL58" i="29"/>
  <c r="AO63" i="29"/>
  <c r="AL67" i="29"/>
  <c r="AH71" i="29"/>
  <c r="AK74" i="29"/>
  <c r="AH81" i="29"/>
  <c r="AH85" i="29"/>
  <c r="AL93" i="29"/>
  <c r="AH96" i="29"/>
  <c r="AK98" i="29"/>
  <c r="AH3" i="29"/>
  <c r="S3" i="29"/>
  <c r="F3" i="29"/>
  <c r="AQ3" i="29"/>
  <c r="AG96" i="29"/>
  <c r="AG70" i="29"/>
  <c r="AG38" i="29"/>
  <c r="AG11" i="29"/>
  <c r="AI85" i="29"/>
  <c r="AI45" i="29"/>
  <c r="AI24" i="29"/>
  <c r="AH9" i="29"/>
  <c r="AL14" i="29"/>
  <c r="AH21" i="29"/>
  <c r="AL24" i="29"/>
  <c r="AH31" i="29"/>
  <c r="AH32" i="29"/>
  <c r="AH37" i="29"/>
  <c r="AK46" i="29"/>
  <c r="AH50" i="29"/>
  <c r="AL59" i="29"/>
  <c r="AL63" i="29"/>
  <c r="AH68" i="29"/>
  <c r="AL71" i="29"/>
  <c r="AH75" i="29"/>
  <c r="AH82" i="29"/>
  <c r="AL85" i="29"/>
  <c r="AK93" i="29"/>
  <c r="AL96" i="29"/>
  <c r="AH99" i="29"/>
  <c r="AF3" i="29"/>
  <c r="P3" i="29"/>
  <c r="E3" i="29"/>
  <c r="AG55" i="29"/>
  <c r="AI97" i="29"/>
  <c r="AI33" i="29"/>
  <c r="AH12" i="29"/>
  <c r="AK22" i="29"/>
  <c r="AH39" i="29"/>
  <c r="AK44" i="29"/>
  <c r="AH55" i="29"/>
  <c r="AL56" i="29"/>
  <c r="AL73" i="29"/>
  <c r="AL83" i="29"/>
  <c r="AH95" i="29"/>
  <c r="AN3" i="29"/>
  <c r="J3" i="29"/>
  <c r="T27" i="29"/>
  <c r="AR27" i="29" s="1"/>
  <c r="AQ60" i="29"/>
  <c r="AQ86" i="29"/>
  <c r="AO36" i="29"/>
  <c r="S72" i="29"/>
  <c r="AP72" i="29" s="1"/>
  <c r="S97" i="29"/>
  <c r="AP97" i="29" s="1"/>
  <c r="AO47" i="29"/>
  <c r="AQ75" i="29"/>
  <c r="AO26" i="29"/>
  <c r="AO70" i="29"/>
  <c r="AG99" i="29"/>
  <c r="AG80" i="29"/>
  <c r="AG58" i="29"/>
  <c r="AG36" i="29"/>
  <c r="AG14" i="29"/>
  <c r="AI99" i="29"/>
  <c r="AI73" i="29"/>
  <c r="AI47" i="29"/>
  <c r="AI21" i="29"/>
  <c r="AI7" i="29"/>
  <c r="AQ58" i="29"/>
  <c r="AG87" i="29"/>
  <c r="AG68" i="29"/>
  <c r="AG46" i="29"/>
  <c r="AG24" i="29"/>
  <c r="AI92" i="29"/>
  <c r="AI87" i="29"/>
  <c r="AI61" i="29"/>
  <c r="AI35" i="29"/>
  <c r="AI9" i="29"/>
  <c r="AK8" i="29"/>
  <c r="AK12" i="29"/>
  <c r="AO22" i="29"/>
  <c r="AK33" i="29"/>
  <c r="AK37" i="29"/>
  <c r="AK55" i="29"/>
  <c r="AK59" i="29"/>
  <c r="AK63" i="29"/>
  <c r="AK80" i="29"/>
  <c r="AK84" i="29"/>
  <c r="W3" i="29"/>
  <c r="AO20" i="29"/>
  <c r="S35" i="29"/>
  <c r="AP35" i="29" s="1"/>
  <c r="S79" i="29"/>
  <c r="AP79" i="29" s="1"/>
  <c r="T58" i="29"/>
  <c r="AR58" i="29" s="1"/>
  <c r="S8" i="29"/>
  <c r="AP8" i="29" s="1"/>
  <c r="AG85" i="29"/>
  <c r="AG27" i="29"/>
  <c r="AI72" i="29"/>
  <c r="AI11" i="29"/>
  <c r="AK25" i="29"/>
  <c r="AL33" i="29"/>
  <c r="AH47" i="29"/>
  <c r="AO61" i="29"/>
  <c r="AL69" i="29"/>
  <c r="AH87" i="29"/>
  <c r="AH92" i="29"/>
  <c r="AL97" i="29"/>
  <c r="Z3" i="29"/>
  <c r="S21" i="29"/>
  <c r="AP21" i="29" s="1"/>
  <c r="AQ27" i="29"/>
  <c r="T80" i="29"/>
  <c r="AR80" i="29" s="1"/>
  <c r="AQ99" i="29"/>
  <c r="S15" i="29"/>
  <c r="AP15" i="29" s="1"/>
  <c r="AQ12" i="29"/>
  <c r="S67" i="29"/>
  <c r="AP67" i="29" s="1"/>
  <c r="AI94" i="29"/>
  <c r="AH11" i="29"/>
  <c r="AL26" i="29"/>
  <c r="AL38" i="29"/>
  <c r="AL48" i="29"/>
  <c r="AO56" i="29"/>
  <c r="AK69" i="29"/>
  <c r="AO83" i="29"/>
  <c r="AL92" i="29"/>
  <c r="Y3" i="29"/>
  <c r="S86" i="29"/>
  <c r="AP86" i="29" s="1"/>
  <c r="T51" i="29"/>
  <c r="AR51" i="29" s="1"/>
  <c r="T12" i="29"/>
  <c r="AR12" i="29" s="1"/>
  <c r="AO72" i="29"/>
  <c r="T75" i="29"/>
  <c r="AR75" i="29" s="1"/>
  <c r="AO48" i="29"/>
  <c r="AG91" i="29"/>
  <c r="AG62" i="29"/>
  <c r="AG32" i="29"/>
  <c r="AG3" i="29"/>
  <c r="AI69" i="29"/>
  <c r="AI51" i="29"/>
  <c r="AI8" i="29"/>
  <c r="AG83" i="29"/>
  <c r="AG57" i="29"/>
  <c r="AG31" i="29"/>
  <c r="AI96" i="29"/>
  <c r="AI74" i="29"/>
  <c r="AI43" i="29"/>
  <c r="AI13" i="29"/>
  <c r="AK10" i="29"/>
  <c r="AK15" i="29"/>
  <c r="AK34" i="29"/>
  <c r="AK39" i="29"/>
  <c r="AK58" i="29"/>
  <c r="AO68" i="29"/>
  <c r="AK82" i="29"/>
  <c r="AK87" i="29"/>
  <c r="Q3" i="29"/>
  <c r="S11" i="29"/>
  <c r="AP11" i="29" s="1"/>
  <c r="S57" i="29"/>
  <c r="AP57" i="29" s="1"/>
  <c r="T84" i="29"/>
  <c r="AR84" i="29" s="1"/>
  <c r="S44" i="29"/>
  <c r="AP44" i="29" s="1"/>
  <c r="S96" i="29"/>
  <c r="AP96" i="29" s="1"/>
  <c r="T82" i="29"/>
  <c r="AR82" i="29" s="1"/>
  <c r="T70" i="29"/>
  <c r="AR70" i="29" s="1"/>
  <c r="T50" i="29"/>
  <c r="AR50" i="29" s="1"/>
  <c r="AQ31" i="29"/>
  <c r="AQ36" i="29"/>
  <c r="AG26" i="29"/>
  <c r="AI14" i="29"/>
  <c r="AL22" i="29"/>
  <c r="AH34" i="29"/>
  <c r="AL43" i="29"/>
  <c r="AJ3" i="29"/>
  <c r="AG82" i="29"/>
  <c r="AK72" i="29"/>
  <c r="K3" i="29"/>
  <c r="AQ24" i="29"/>
  <c r="AO94" i="29"/>
  <c r="T97" i="29"/>
  <c r="AR97" i="29" s="1"/>
  <c r="S26" i="29"/>
  <c r="AP26" i="29" s="1"/>
  <c r="AO92" i="29"/>
  <c r="AQ37" i="29"/>
  <c r="AG73" i="29"/>
  <c r="AG43" i="29"/>
  <c r="AI95" i="29"/>
  <c r="AI60" i="29"/>
  <c r="AI25" i="29"/>
  <c r="AQ46" i="29"/>
  <c r="AG72" i="29"/>
  <c r="AG35" i="29"/>
  <c r="AI91" i="29"/>
  <c r="AI44" i="29"/>
  <c r="AI26" i="29"/>
  <c r="AK11" i="29"/>
  <c r="AK31" i="29"/>
  <c r="AK38" i="29"/>
  <c r="AK60" i="29"/>
  <c r="AK79" i="29"/>
  <c r="AK86" i="29"/>
  <c r="L3" i="29"/>
  <c r="AO93" i="29"/>
  <c r="S46" i="29"/>
  <c r="AP46" i="29" s="1"/>
  <c r="AQ35" i="29"/>
  <c r="S63" i="29"/>
  <c r="AP63" i="29" s="1"/>
  <c r="T38" i="29"/>
  <c r="AR38" i="29" s="1"/>
  <c r="T73" i="29"/>
  <c r="AR73" i="29" s="1"/>
  <c r="AQ72" i="29"/>
  <c r="T20" i="29"/>
  <c r="AR20" i="29" s="1"/>
  <c r="AQ26" i="29"/>
  <c r="AQ32" i="29"/>
  <c r="AQ94" i="29"/>
  <c r="S60" i="29"/>
  <c r="AP60" i="29" s="1"/>
  <c r="AG59" i="29"/>
  <c r="AL61" i="29"/>
  <c r="T60" i="29"/>
  <c r="AR60" i="29" s="1"/>
  <c r="AO15" i="29"/>
  <c r="AO99" i="29"/>
  <c r="AO10" i="29"/>
  <c r="T19" i="29"/>
  <c r="AR19" i="29" s="1"/>
  <c r="S47" i="29"/>
  <c r="AP47" i="29" s="1"/>
  <c r="AQ97" i="29"/>
  <c r="S48" i="29"/>
  <c r="AP48" i="29" s="1"/>
  <c r="T68" i="29"/>
  <c r="AR68" i="29" s="1"/>
  <c r="AQ25" i="29"/>
  <c r="AG69" i="29"/>
  <c r="AG25" i="29"/>
  <c r="AI82" i="29"/>
  <c r="AI55" i="29"/>
  <c r="AI12" i="29"/>
  <c r="AG98" i="29"/>
  <c r="AG61" i="29"/>
  <c r="AG20" i="29"/>
  <c r="AI83" i="29"/>
  <c r="AI48" i="29"/>
  <c r="AI3" i="29"/>
  <c r="AK13" i="29"/>
  <c r="AK32" i="29"/>
  <c r="AO51" i="29"/>
  <c r="AK61" i="29"/>
  <c r="AK81" i="29"/>
  <c r="AO3" i="29"/>
  <c r="H3" i="29"/>
  <c r="AO71" i="29"/>
  <c r="S68" i="29"/>
  <c r="AP68" i="29" s="1"/>
  <c r="T32" i="29"/>
  <c r="AR32" i="29" s="1"/>
  <c r="S12" i="29"/>
  <c r="AP12" i="29" s="1"/>
  <c r="S74" i="29"/>
  <c r="AP74" i="29" s="1"/>
  <c r="T56" i="29"/>
  <c r="AR56" i="29" s="1"/>
  <c r="AQ50" i="29"/>
  <c r="AQ20" i="29"/>
  <c r="T31" i="29"/>
  <c r="AR31" i="29" s="1"/>
  <c r="AQ38" i="29"/>
  <c r="AO38" i="29"/>
  <c r="AQ14" i="29"/>
  <c r="AQ91" i="29"/>
  <c r="AI32" i="29"/>
  <c r="AQ80" i="29"/>
  <c r="T67" i="29"/>
  <c r="AR67" i="29" s="1"/>
  <c r="AQ62" i="29"/>
  <c r="S92" i="29"/>
  <c r="AP92" i="29" s="1"/>
  <c r="AG84" i="29"/>
  <c r="AG10" i="29"/>
  <c r="AI38" i="29"/>
  <c r="AG79" i="29"/>
  <c r="AG9" i="29"/>
  <c r="AI22" i="29"/>
  <c r="AO27" i="29"/>
  <c r="AK57" i="29"/>
  <c r="AK85" i="29"/>
  <c r="AQ7" i="29"/>
  <c r="S85" i="29"/>
  <c r="AP85" i="29" s="1"/>
  <c r="AQ70" i="29"/>
  <c r="T22" i="29"/>
  <c r="AR22" i="29" s="1"/>
  <c r="S81" i="29"/>
  <c r="AP81" i="29" s="1"/>
  <c r="S19" i="29"/>
  <c r="AP19" i="29" s="1"/>
  <c r="AQ39" i="29"/>
  <c r="AQ33" i="29"/>
  <c r="AQ96" i="29"/>
  <c r="AO87" i="29"/>
  <c r="AO67" i="29"/>
  <c r="AG47" i="29"/>
  <c r="AL8" i="29"/>
  <c r="AI57" i="29"/>
  <c r="AK36" i="29"/>
  <c r="AC3" i="29"/>
  <c r="S27" i="29"/>
  <c r="AP27" i="29" s="1"/>
  <c r="S23" i="29"/>
  <c r="AP23" i="29" s="1"/>
  <c r="AQ43" i="29"/>
  <c r="S39" i="29"/>
  <c r="AP39" i="29" s="1"/>
  <c r="T48" i="29"/>
  <c r="AR48" i="29" s="1"/>
  <c r="T81" i="29"/>
  <c r="AR81" i="29" s="1"/>
  <c r="AK50" i="29"/>
  <c r="T62" i="29"/>
  <c r="AR62" i="29" s="1"/>
  <c r="AG95" i="29"/>
  <c r="AI34" i="29"/>
  <c r="AG13" i="29"/>
  <c r="AK14" i="29"/>
  <c r="AK83" i="29"/>
  <c r="S87" i="29"/>
  <c r="AP87" i="29" s="1"/>
  <c r="AO14" i="29"/>
  <c r="AQ92" i="29"/>
  <c r="AQ48" i="29"/>
  <c r="T91" i="29"/>
  <c r="AR91" i="29" s="1"/>
  <c r="AK94" i="29"/>
  <c r="AO86" i="29"/>
  <c r="T86" i="29"/>
  <c r="AR86" i="29" s="1"/>
  <c r="AQ98" i="29"/>
  <c r="AG51" i="29"/>
  <c r="AI86" i="29"/>
  <c r="AL7" i="29"/>
  <c r="AG50" i="29"/>
  <c r="AI70" i="29"/>
  <c r="AK7" i="29"/>
  <c r="AK35" i="29"/>
  <c r="AK62" i="29"/>
  <c r="AK3" i="29"/>
  <c r="S22" i="29"/>
  <c r="AP22" i="29" s="1"/>
  <c r="T21" i="29"/>
  <c r="AR21" i="29" s="1"/>
  <c r="T72" i="29"/>
  <c r="AR72" i="29" s="1"/>
  <c r="T26" i="29"/>
  <c r="AR26" i="29" s="1"/>
  <c r="AO81" i="29"/>
  <c r="T92" i="29"/>
  <c r="AR92" i="29" s="1"/>
  <c r="T39" i="29"/>
  <c r="AR39" i="29" s="1"/>
  <c r="T44" i="29"/>
  <c r="AR44" i="29" s="1"/>
  <c r="AK97" i="29"/>
  <c r="S36" i="29"/>
  <c r="AP36" i="29" s="1"/>
  <c r="AO50" i="29"/>
  <c r="AQ87" i="29"/>
  <c r="AI56" i="29"/>
  <c r="AG39" i="29"/>
  <c r="AK9" i="29"/>
  <c r="AO79" i="29"/>
  <c r="T95" i="29"/>
  <c r="AR95" i="29" s="1"/>
  <c r="T93" i="29"/>
  <c r="AR93" i="29" s="1"/>
  <c r="S14" i="29"/>
  <c r="AP14" i="29" s="1"/>
  <c r="S13" i="29"/>
  <c r="AP13" i="29" s="1"/>
  <c r="AQ61" i="29"/>
  <c r="AI67" i="29"/>
  <c r="S75" i="29"/>
  <c r="AP75" i="29" s="1"/>
  <c r="S70" i="29"/>
  <c r="AP70" i="29" s="1"/>
  <c r="AG21" i="29"/>
  <c r="AG94" i="29"/>
  <c r="AI39" i="29"/>
  <c r="AK56" i="29"/>
  <c r="S33" i="29"/>
  <c r="AP33" i="29" s="1"/>
  <c r="T47" i="29"/>
  <c r="AR47" i="29" s="1"/>
  <c r="AQ45" i="29"/>
  <c r="AO19" i="29"/>
  <c r="AO13" i="29"/>
  <c r="AQ13" i="29"/>
  <c r="T11" i="29"/>
  <c r="AR11" i="29" s="1"/>
  <c r="AQ22" i="29"/>
  <c r="T55" i="29"/>
  <c r="AR55" i="29" s="1"/>
  <c r="T69" i="29"/>
  <c r="AR69" i="29" s="1"/>
  <c r="AO7" i="29"/>
  <c r="S91" i="29"/>
  <c r="AP91" i="29" s="1"/>
  <c r="AO8" i="29"/>
  <c r="AO85" i="29"/>
  <c r="T87" i="29"/>
  <c r="AR87" i="29" s="1"/>
  <c r="AO23" i="29"/>
  <c r="T25" i="29"/>
  <c r="AR25" i="29" s="1"/>
  <c r="AO35" i="29"/>
  <c r="S56" i="29"/>
  <c r="AP56" i="29" s="1"/>
  <c r="S93" i="29"/>
  <c r="AP93" i="29" s="1"/>
  <c r="S43" i="29"/>
  <c r="AP43" i="29" s="1"/>
  <c r="T13" i="29"/>
  <c r="AR13" i="29" s="1"/>
  <c r="T99" i="29"/>
  <c r="AR99" i="29" s="1"/>
  <c r="S37" i="29"/>
  <c r="AP37" i="29" s="1"/>
  <c r="T23" i="29"/>
  <c r="AR23" i="29" s="1"/>
  <c r="AQ84" i="29"/>
  <c r="T7" i="29"/>
  <c r="AR7" i="29" s="1"/>
  <c r="AQ15" i="29"/>
  <c r="AQ44" i="29"/>
  <c r="T59" i="29"/>
  <c r="AR59" i="29" s="1"/>
  <c r="T96" i="29"/>
  <c r="AR96" i="29" s="1"/>
  <c r="AQ67" i="29"/>
  <c r="AO91" i="29"/>
  <c r="S99" i="29"/>
  <c r="AP99" i="29" s="1"/>
  <c r="AQ93" i="29"/>
  <c r="AO74" i="29"/>
  <c r="T79" i="29"/>
  <c r="AR79" i="29" s="1"/>
  <c r="AO12" i="29"/>
  <c r="AQ21" i="29"/>
  <c r="AQ51" i="29"/>
  <c r="S20" i="29"/>
  <c r="AP20" i="29" s="1"/>
  <c r="S50" i="29"/>
  <c r="AP50" i="29" s="1"/>
  <c r="AO75" i="29"/>
  <c r="S32" i="29"/>
  <c r="AP32" i="29" s="1"/>
  <c r="S83" i="29"/>
  <c r="AP83" i="29" s="1"/>
  <c r="T61" i="29"/>
  <c r="AR61" i="29" s="1"/>
  <c r="AO33" i="29"/>
  <c r="AQ19" i="29"/>
  <c r="AQ81" i="29"/>
  <c r="T33" i="29"/>
  <c r="AR33" i="29" s="1"/>
  <c r="AQ69" i="29"/>
  <c r="AO95" i="29"/>
  <c r="T49" i="29"/>
  <c r="AR49" i="29" s="1"/>
  <c r="T43" i="29"/>
  <c r="AR43" i="29" s="1"/>
  <c r="AO60" i="29"/>
  <c r="S61" i="29"/>
  <c r="AP61" i="29" s="1"/>
  <c r="AO11" i="29"/>
  <c r="AQ56" i="29"/>
  <c r="T15" i="29"/>
  <c r="AR15" i="29" s="1"/>
  <c r="AQ59" i="29"/>
  <c r="AQ47" i="29"/>
  <c r="S95" i="29"/>
  <c r="AP95" i="29" s="1"/>
  <c r="AQ82" i="29"/>
  <c r="T94" i="29"/>
  <c r="AR94" i="29" s="1"/>
  <c r="T36" i="29"/>
  <c r="AR36" i="29" s="1"/>
  <c r="AO46" i="29"/>
  <c r="AO57" i="29"/>
  <c r="T46" i="29"/>
  <c r="AR46" i="29" s="1"/>
  <c r="T45" i="29"/>
  <c r="AR45" i="29" s="1"/>
  <c r="AQ10" i="9"/>
  <c r="W5" i="12"/>
  <c r="U10" i="9"/>
  <c r="P5" i="22"/>
  <c r="P9" i="22" s="1"/>
  <c r="V10" i="9"/>
  <c r="Q5" i="10"/>
  <c r="R11" i="10" s="1"/>
  <c r="R5" i="10"/>
  <c r="AR11" i="9"/>
  <c r="AU11" i="9" s="1"/>
  <c r="U27" i="45"/>
  <c r="BA8" i="45"/>
  <c r="AZ23" i="45"/>
  <c r="AZ32" i="45"/>
  <c r="BA38" i="45"/>
  <c r="M3" i="45"/>
  <c r="BB3" i="45"/>
  <c r="AZ12" i="45"/>
  <c r="BJ18" i="45"/>
  <c r="AV28" i="45"/>
  <c r="AV37" i="45"/>
  <c r="BJ42" i="45"/>
  <c r="AD3" i="45"/>
  <c r="BB13" i="45"/>
  <c r="BB28" i="45"/>
  <c r="BH43" i="45"/>
  <c r="U17" i="45"/>
  <c r="AS17" i="45" s="1"/>
  <c r="BH7" i="45"/>
  <c r="BC23" i="45"/>
  <c r="I3" i="45"/>
  <c r="BB8" i="45"/>
  <c r="BC32" i="45"/>
  <c r="AI3" i="45"/>
  <c r="BD17" i="45"/>
  <c r="AX3" i="45"/>
  <c r="AL13" i="45"/>
  <c r="BH37" i="45"/>
  <c r="AD42" i="45"/>
  <c r="AL43" i="45"/>
  <c r="AL33" i="45"/>
  <c r="AK66" i="46" s="1"/>
  <c r="BB38" i="45"/>
  <c r="AW22" i="45"/>
  <c r="AL28" i="45"/>
  <c r="AD7" i="45"/>
  <c r="AT7" i="45" s="1"/>
  <c r="U8" i="45"/>
  <c r="U43" i="45"/>
  <c r="AS42" i="45" s="1"/>
  <c r="AL42" i="45"/>
  <c r="AD33" i="45"/>
  <c r="AT32" i="45" s="1"/>
  <c r="AX7" i="45"/>
  <c r="BD8" i="45"/>
  <c r="AX13" i="45"/>
  <c r="BA17" i="45"/>
  <c r="AV22" i="45"/>
  <c r="BE23" i="45"/>
  <c r="AW28" i="45"/>
  <c r="BE32" i="45"/>
  <c r="AX37" i="45"/>
  <c r="BD38" i="45"/>
  <c r="AX43" i="45"/>
  <c r="K3" i="45"/>
  <c r="AF3" i="45"/>
  <c r="AZ3" i="45"/>
  <c r="AL27" i="45"/>
  <c r="AU27" i="45" s="1"/>
  <c r="BA7" i="45"/>
  <c r="AW12" i="45"/>
  <c r="AZ13" i="45"/>
  <c r="BE18" i="45"/>
  <c r="BD23" i="45"/>
  <c r="AX28" i="45"/>
  <c r="BD32" i="45"/>
  <c r="BB37" i="45"/>
  <c r="AZ38" i="45"/>
  <c r="BB43" i="45"/>
  <c r="N3" i="45"/>
  <c r="AK3" i="45"/>
  <c r="BC3" i="45"/>
  <c r="AW8" i="45"/>
  <c r="BE12" i="45"/>
  <c r="BB17" i="45"/>
  <c r="BA18" i="45"/>
  <c r="AW23" i="45"/>
  <c r="BA27" i="45"/>
  <c r="BH32" i="45"/>
  <c r="AZ33" i="45"/>
  <c r="AW38" i="45"/>
  <c r="BA42" i="45"/>
  <c r="G3" i="45"/>
  <c r="AA3" i="45"/>
  <c r="AV3" i="45"/>
  <c r="U22" i="45"/>
  <c r="AS22" i="45" s="1"/>
  <c r="BB7" i="45"/>
  <c r="AZ8" i="45"/>
  <c r="BC13" i="45"/>
  <c r="BH18" i="45"/>
  <c r="AX23" i="45"/>
  <c r="BE27" i="45"/>
  <c r="AW32" i="45"/>
  <c r="BA33" i="45"/>
  <c r="BC38" i="45"/>
  <c r="AV43" i="45"/>
  <c r="J3" i="45"/>
  <c r="AE3" i="45"/>
  <c r="AY3" i="45"/>
  <c r="AD22" i="45"/>
  <c r="AC41" i="46" s="1"/>
  <c r="AW7" i="45"/>
  <c r="BE8" i="45"/>
  <c r="AW13" i="45"/>
  <c r="AZ17" i="45"/>
  <c r="AZ7" i="45"/>
  <c r="AV17" i="45"/>
  <c r="AZ22" i="45"/>
  <c r="BJ28" i="45"/>
  <c r="AZ37" i="45"/>
  <c r="AZ43" i="45"/>
  <c r="AQ3" i="45"/>
  <c r="AV7" i="45"/>
  <c r="AV13" i="45"/>
  <c r="BA22" i="45"/>
  <c r="AZ28" i="45"/>
  <c r="AX38" i="45"/>
  <c r="F3" i="45"/>
  <c r="AU3" i="45"/>
  <c r="AL22" i="45"/>
  <c r="AU23" i="45" s="1"/>
  <c r="BH8" i="45"/>
  <c r="BE13" i="45"/>
  <c r="BC18" i="45"/>
  <c r="BJ22" i="45"/>
  <c r="BC27" i="45"/>
  <c r="AV32" i="45"/>
  <c r="BD33" i="45"/>
  <c r="BJ37" i="45"/>
  <c r="BC42" i="45"/>
  <c r="BJ43" i="45"/>
  <c r="W3" i="45"/>
  <c r="AS3" i="45"/>
  <c r="BI3" i="45"/>
  <c r="AL32" i="45"/>
  <c r="AK65" i="46" s="1"/>
  <c r="AL67" i="46" s="1"/>
  <c r="BF3" i="45"/>
  <c r="AX42" i="45"/>
  <c r="AW27" i="45"/>
  <c r="AX12" i="45"/>
  <c r="AT3" i="45"/>
  <c r="AV38" i="45"/>
  <c r="AV23" i="45"/>
  <c r="AV8" i="45"/>
  <c r="AL8" i="45"/>
  <c r="AK6" i="46" s="1"/>
  <c r="AD43" i="45"/>
  <c r="U28" i="45"/>
  <c r="BI28" i="45" s="1"/>
  <c r="U37" i="45"/>
  <c r="U77" i="46" s="1"/>
  <c r="U38" i="45"/>
  <c r="BC7" i="45"/>
  <c r="BD13" i="45"/>
  <c r="BC22" i="45"/>
  <c r="BD28" i="45"/>
  <c r="BC37" i="45"/>
  <c r="BC43" i="45"/>
  <c r="AL3" i="45"/>
  <c r="AD37" i="45"/>
  <c r="AT37" i="45" s="1"/>
  <c r="BD12" i="45"/>
  <c r="BB22" i="45"/>
  <c r="BC28" i="45"/>
  <c r="BA37" i="45"/>
  <c r="BA43" i="45"/>
  <c r="AP3" i="45"/>
  <c r="U32" i="45"/>
  <c r="AS33" i="45" s="1"/>
  <c r="BJ7" i="45"/>
  <c r="BA12" i="45"/>
  <c r="AX18" i="45"/>
  <c r="BD22" i="45"/>
  <c r="AX27" i="45"/>
  <c r="BE28" i="45"/>
  <c r="AX33" i="45"/>
  <c r="BD37" i="45"/>
  <c r="AV42" i="45"/>
  <c r="BD43" i="45"/>
  <c r="P3" i="45"/>
  <c r="AM3" i="45"/>
  <c r="BE3" i="45"/>
  <c r="AL7" i="45"/>
  <c r="BE43" i="45"/>
  <c r="BA28" i="45"/>
  <c r="BA13" i="45"/>
  <c r="AL12" i="45"/>
  <c r="AQ43" i="19"/>
  <c r="T51" i="19"/>
  <c r="AU51" i="19" s="1"/>
  <c r="AT44" i="19"/>
  <c r="T49" i="19"/>
  <c r="T46" i="19"/>
  <c r="AU46" i="19" s="1"/>
  <c r="AT31" i="19"/>
  <c r="AK57" i="19"/>
  <c r="AN68" i="19"/>
  <c r="AB94" i="19"/>
  <c r="AB91" i="19"/>
  <c r="AL92" i="19"/>
  <c r="AJ68" i="19"/>
  <c r="AQ73" i="19"/>
  <c r="AK58" i="19"/>
  <c r="AN43" i="19"/>
  <c r="AP48" i="19"/>
  <c r="AK33" i="19"/>
  <c r="AN39" i="19"/>
  <c r="AL23" i="19"/>
  <c r="AL7" i="19"/>
  <c r="AT11" i="19"/>
  <c r="AT15" i="19"/>
  <c r="AM83" i="19"/>
  <c r="AL79" i="19"/>
  <c r="AQ3" i="19"/>
  <c r="AT58" i="19"/>
  <c r="AI55" i="19"/>
  <c r="AN93" i="19"/>
  <c r="T68" i="19"/>
  <c r="AU68" i="19" s="1"/>
  <c r="AB93" i="19"/>
  <c r="AL95" i="19"/>
  <c r="AQ72" i="19"/>
  <c r="AT59" i="19"/>
  <c r="AP46" i="19"/>
  <c r="AK31" i="19"/>
  <c r="AO19" i="19"/>
  <c r="AO26" i="19"/>
  <c r="AJ11" i="19"/>
  <c r="AP86" i="19"/>
  <c r="AO81" i="19"/>
  <c r="L3" i="19"/>
  <c r="AL37" i="19"/>
  <c r="AJ35" i="19"/>
  <c r="AL47" i="19"/>
  <c r="T95" i="19"/>
  <c r="AU95" i="19" s="1"/>
  <c r="AQ83" i="19"/>
  <c r="AM38" i="19"/>
  <c r="AK67" i="19"/>
  <c r="AL51" i="19"/>
  <c r="AN63" i="19"/>
  <c r="AM72" i="19"/>
  <c r="AL93" i="19"/>
  <c r="AJ67" i="19"/>
  <c r="AL75" i="19"/>
  <c r="AJ61" i="19"/>
  <c r="AP47" i="19"/>
  <c r="AI35" i="19"/>
  <c r="AQ21" i="19"/>
  <c r="AJ27" i="19"/>
  <c r="AM12" i="19"/>
  <c r="AN85" i="19"/>
  <c r="AK80" i="19"/>
  <c r="AD68" i="19"/>
  <c r="AT83" i="19"/>
  <c r="AI79" i="19"/>
  <c r="AQ46" i="19"/>
  <c r="AI61" i="19"/>
  <c r="AJ12" i="19"/>
  <c r="AQ50" i="19"/>
  <c r="AO49" i="19"/>
  <c r="AK61" i="19"/>
  <c r="AM68" i="19"/>
  <c r="AP75" i="19"/>
  <c r="AN98" i="19"/>
  <c r="AO69" i="19"/>
  <c r="AJ63" i="19"/>
  <c r="AJ36" i="19"/>
  <c r="AM8" i="19"/>
  <c r="AI84" i="19"/>
  <c r="AD70" i="19"/>
  <c r="AG70" i="19" s="1"/>
  <c r="AK24" i="19"/>
  <c r="AM34" i="19"/>
  <c r="AP3" i="19"/>
  <c r="AQ60" i="19"/>
  <c r="AB33" i="19"/>
  <c r="AN74" i="19"/>
  <c r="AB22" i="19"/>
  <c r="T92" i="19"/>
  <c r="AU92" i="19" s="1"/>
  <c r="AD94" i="19"/>
  <c r="AB74" i="19"/>
  <c r="T59" i="19"/>
  <c r="AU59" i="19" s="1"/>
  <c r="AL49" i="19"/>
  <c r="AL45" i="19"/>
  <c r="AB69" i="19"/>
  <c r="AB71" i="19"/>
  <c r="AF71" i="19" s="1"/>
  <c r="AM74" i="19"/>
  <c r="AL62" i="19"/>
  <c r="AB46" i="19"/>
  <c r="AK34" i="19"/>
  <c r="AK38" i="19"/>
  <c r="AN21" i="19"/>
  <c r="AM26" i="19"/>
  <c r="AI9" i="19"/>
  <c r="AL12" i="19"/>
  <c r="AL87" i="19"/>
  <c r="AO83" i="19"/>
  <c r="AK96" i="19"/>
  <c r="AP59" i="19"/>
  <c r="AP63" i="19"/>
  <c r="AM36" i="19"/>
  <c r="AM22" i="19"/>
  <c r="AP26" i="19"/>
  <c r="AK9" i="19"/>
  <c r="AK13" i="19"/>
  <c r="AQ86" i="19"/>
  <c r="AN81" i="19"/>
  <c r="T23" i="19"/>
  <c r="AU23" i="19" s="1"/>
  <c r="AB44" i="19"/>
  <c r="T58" i="19"/>
  <c r="AU58" i="19" s="1"/>
  <c r="AL55" i="19"/>
  <c r="AQ22" i="19"/>
  <c r="AI3" i="19"/>
  <c r="AT12" i="19"/>
  <c r="AM73" i="19"/>
  <c r="AP22" i="19"/>
  <c r="AB43" i="19"/>
  <c r="AC92" i="19"/>
  <c r="T85" i="19"/>
  <c r="AU85" i="19" s="1"/>
  <c r="AO31" i="19"/>
  <c r="AQ56" i="19"/>
  <c r="T97" i="19"/>
  <c r="AU97" i="19" s="1"/>
  <c r="AO44" i="19"/>
  <c r="AK36" i="19"/>
  <c r="AP23" i="19"/>
  <c r="AP7" i="19"/>
  <c r="AQ14" i="19"/>
  <c r="AN79" i="19"/>
  <c r="AN61" i="19"/>
  <c r="AK20" i="19"/>
  <c r="AI11" i="19"/>
  <c r="AJ83" i="19"/>
  <c r="T37" i="19"/>
  <c r="AU37" i="19" s="1"/>
  <c r="AN59" i="19"/>
  <c r="AP71" i="19"/>
  <c r="AL94" i="19"/>
  <c r="AM51" i="19"/>
  <c r="AJ15" i="19"/>
  <c r="AI7" i="19"/>
  <c r="AI63" i="19"/>
  <c r="AB34" i="19"/>
  <c r="AC32" i="19"/>
  <c r="AF32" i="19" s="1"/>
  <c r="AT14" i="19"/>
  <c r="AB15" i="19"/>
  <c r="AC94" i="19"/>
  <c r="AJ50" i="19"/>
  <c r="AB55" i="19"/>
  <c r="AK99" i="19"/>
  <c r="AQ45" i="19"/>
  <c r="AJ37" i="19"/>
  <c r="AN25" i="19"/>
  <c r="T11" i="19"/>
  <c r="AU11" i="19" s="1"/>
  <c r="AQ84" i="19"/>
  <c r="AT3" i="19"/>
  <c r="AJ62" i="19"/>
  <c r="AN34" i="19"/>
  <c r="AI25" i="19"/>
  <c r="AQ12" i="19"/>
  <c r="AL82" i="19"/>
  <c r="AB35" i="19"/>
  <c r="V31" i="19"/>
  <c r="Y31" i="19" s="1"/>
  <c r="AP94" i="19"/>
  <c r="AN94" i="19"/>
  <c r="AO71" i="19"/>
  <c r="AN44" i="19"/>
  <c r="AO38" i="19"/>
  <c r="AQ9" i="19"/>
  <c r="AP82" i="19"/>
  <c r="AC72" i="19"/>
  <c r="AF72" i="19" s="1"/>
  <c r="AM57" i="19"/>
  <c r="AK7" i="19"/>
  <c r="AJ48" i="19"/>
  <c r="AI91" i="19"/>
  <c r="AB24" i="19"/>
  <c r="AC95" i="19"/>
  <c r="AF95" i="19" s="1"/>
  <c r="T21" i="19"/>
  <c r="AB68" i="19"/>
  <c r="AB39" i="19"/>
  <c r="AQ48" i="19"/>
  <c r="T62" i="19"/>
  <c r="AU62" i="19" s="1"/>
  <c r="AI92" i="19"/>
  <c r="AB38" i="19"/>
  <c r="AM75" i="19"/>
  <c r="AM63" i="19"/>
  <c r="AJ31" i="19"/>
  <c r="AO35" i="19"/>
  <c r="AJ39" i="19"/>
  <c r="AK22" i="19"/>
  <c r="AM27" i="19"/>
  <c r="AL10" i="19"/>
  <c r="AI13" i="19"/>
  <c r="AL86" i="19"/>
  <c r="AP81" i="19"/>
  <c r="AK91" i="19"/>
  <c r="AO60" i="19"/>
  <c r="AL50" i="19"/>
  <c r="AP38" i="19"/>
  <c r="AI23" i="19"/>
  <c r="AP27" i="19"/>
  <c r="AQ10" i="19"/>
  <c r="AJ14" i="19"/>
  <c r="AO84" i="19"/>
  <c r="AL80" i="19"/>
  <c r="AB13" i="19"/>
  <c r="T94" i="19"/>
  <c r="AU94" i="19" s="1"/>
  <c r="T13" i="19"/>
  <c r="AU13" i="19" s="1"/>
  <c r="AB36" i="19"/>
  <c r="AB73" i="19"/>
  <c r="T72" i="19"/>
  <c r="AU72" i="19" s="1"/>
  <c r="AJ97" i="19"/>
  <c r="AM50" i="19"/>
  <c r="AN14" i="19"/>
  <c r="T80" i="19"/>
  <c r="AU80" i="19" s="1"/>
  <c r="AD96" i="19"/>
  <c r="AG96" i="19" s="1"/>
  <c r="AO47" i="19"/>
  <c r="T56" i="19"/>
  <c r="AU56" i="19" s="1"/>
  <c r="AP32" i="19"/>
  <c r="AN19" i="19"/>
  <c r="AN11" i="19"/>
  <c r="AO85" i="19"/>
  <c r="AI67" i="19"/>
  <c r="AO51" i="19"/>
  <c r="AM24" i="19"/>
  <c r="AN7" i="19"/>
  <c r="AK15" i="19"/>
  <c r="AG3" i="19"/>
  <c r="AB9" i="19"/>
  <c r="AB80" i="19"/>
  <c r="T9" i="19"/>
  <c r="AU9" i="19" s="1"/>
  <c r="AB49" i="19"/>
  <c r="T67" i="19"/>
  <c r="AU67" i="19" s="1"/>
  <c r="AM56" i="19"/>
  <c r="AO25" i="19"/>
  <c r="S3" i="19"/>
  <c r="AQ58" i="19"/>
  <c r="T91" i="19"/>
  <c r="AU91" i="19" s="1"/>
  <c r="AL46" i="19"/>
  <c r="AB82" i="19"/>
  <c r="AP61" i="19"/>
  <c r="T33" i="19"/>
  <c r="AI20" i="19"/>
  <c r="AL8" i="19"/>
  <c r="AI15" i="19"/>
  <c r="AN75" i="19"/>
  <c r="AI21" i="19"/>
  <c r="AQ8" i="19"/>
  <c r="AO87" i="19"/>
  <c r="T25" i="19"/>
  <c r="T15" i="19"/>
  <c r="AU15" i="19" s="1"/>
  <c r="AB48" i="19"/>
  <c r="T96" i="19"/>
  <c r="AU96" i="19" s="1"/>
  <c r="T79" i="19"/>
  <c r="T61" i="19"/>
  <c r="AU61" i="19" s="1"/>
  <c r="AT45" i="19"/>
  <c r="T55" i="19"/>
  <c r="AU55" i="19" s="1"/>
  <c r="AP99" i="19"/>
  <c r="AP72" i="19"/>
  <c r="AN67" i="19"/>
  <c r="AI97" i="19"/>
  <c r="AJ92" i="19"/>
  <c r="AO99" i="19"/>
  <c r="AT70" i="19"/>
  <c r="AJ75" i="19"/>
  <c r="AN58" i="19"/>
  <c r="AM62" i="19"/>
  <c r="AK45" i="19"/>
  <c r="AI50" i="19"/>
  <c r="AP33" i="19"/>
  <c r="AM37" i="19"/>
  <c r="AT20" i="19"/>
  <c r="AT24" i="19"/>
  <c r="AO7" i="19"/>
  <c r="AM10" i="19"/>
  <c r="AT13" i="19"/>
  <c r="AI86" i="19"/>
  <c r="AN83" i="19"/>
  <c r="AP80" i="19"/>
  <c r="X3" i="19"/>
  <c r="AD67" i="19"/>
  <c r="AG67" i="19" s="1"/>
  <c r="AC75" i="19"/>
  <c r="AN26" i="19"/>
  <c r="AK63" i="19"/>
  <c r="AM69" i="19"/>
  <c r="AI24" i="19"/>
  <c r="AQ62" i="19"/>
  <c r="AO43" i="19"/>
  <c r="AT51" i="19"/>
  <c r="AP57" i="19"/>
  <c r="AP67" i="19"/>
  <c r="AI71" i="19"/>
  <c r="AM99" i="19"/>
  <c r="AK93" i="19"/>
  <c r="AT92" i="19"/>
  <c r="AO67" i="19"/>
  <c r="AL71" i="19"/>
  <c r="AT75" i="19"/>
  <c r="AJ59" i="19"/>
  <c r="AQ63" i="19"/>
  <c r="AM46" i="19"/>
  <c r="AK50" i="19"/>
  <c r="AO34" i="19"/>
  <c r="AQ38" i="19"/>
  <c r="AL21" i="19"/>
  <c r="AQ25" i="19"/>
  <c r="AI8" i="19"/>
  <c r="AO11" i="19"/>
  <c r="AP14" i="19"/>
  <c r="AM86" i="19"/>
  <c r="AK83" i="19"/>
  <c r="AJ79" i="19"/>
  <c r="F3" i="19"/>
  <c r="AC69" i="19"/>
  <c r="AT8" i="19"/>
  <c r="I3" i="19"/>
  <c r="AN20" i="19"/>
  <c r="AK97" i="19"/>
  <c r="AM71" i="19"/>
  <c r="AP11" i="19"/>
  <c r="AJ49" i="19"/>
  <c r="AK95" i="19"/>
  <c r="T60" i="19"/>
  <c r="AU60" i="19" s="1"/>
  <c r="AK55" i="19"/>
  <c r="AP95" i="19"/>
  <c r="AI72" i="19"/>
  <c r="AM98" i="19"/>
  <c r="AT93" i="19"/>
  <c r="AO92" i="19"/>
  <c r="AL99" i="19"/>
  <c r="AJ71" i="19"/>
  <c r="AO75" i="19"/>
  <c r="AM58" i="19"/>
  <c r="AK62" i="19"/>
  <c r="AI46" i="19"/>
  <c r="AP50" i="19"/>
  <c r="AM33" i="19"/>
  <c r="AK37" i="19"/>
  <c r="AO21" i="19"/>
  <c r="AJ25" i="19"/>
  <c r="AQ7" i="19"/>
  <c r="AK10" i="19"/>
  <c r="AI14" i="19"/>
  <c r="AN86" i="19"/>
  <c r="AP83" i="19"/>
  <c r="AM80" i="19"/>
  <c r="U3" i="19"/>
  <c r="AC68" i="19"/>
  <c r="AD75" i="19"/>
  <c r="AT87" i="19"/>
  <c r="AN3" i="19"/>
  <c r="AN36" i="19"/>
  <c r="AM93" i="19"/>
  <c r="AI99" i="19"/>
  <c r="AM9" i="19"/>
  <c r="AJ43" i="19"/>
  <c r="AP15" i="19"/>
  <c r="AO86" i="19"/>
  <c r="AI80" i="19"/>
  <c r="AN10" i="19"/>
  <c r="AI37" i="19"/>
  <c r="AI62" i="19"/>
  <c r="AT98" i="19"/>
  <c r="AI70" i="19"/>
  <c r="AB10" i="19"/>
  <c r="AB63" i="19"/>
  <c r="AB99" i="19"/>
  <c r="AT84" i="19"/>
  <c r="AT21" i="19"/>
  <c r="AT96" i="19"/>
  <c r="AC35" i="19"/>
  <c r="T63" i="19"/>
  <c r="AU63" i="19" s="1"/>
  <c r="T44" i="19"/>
  <c r="AI57" i="19"/>
  <c r="AN71" i="19"/>
  <c r="AP73" i="19"/>
  <c r="AP68" i="19"/>
  <c r="AB92" i="19"/>
  <c r="AL97" i="19"/>
  <c r="AO98" i="19"/>
  <c r="AL69" i="19"/>
  <c r="AJ74" i="19"/>
  <c r="AO57" i="19"/>
  <c r="AQ61" i="19"/>
  <c r="AK44" i="19"/>
  <c r="AI49" i="19"/>
  <c r="AO32" i="19"/>
  <c r="AL36" i="19"/>
  <c r="AT19" i="19"/>
  <c r="AJ24" i="19"/>
  <c r="AQ27" i="19"/>
  <c r="AT9" i="19"/>
  <c r="AJ13" i="19"/>
  <c r="AN87" i="19"/>
  <c r="AP84" i="19"/>
  <c r="AL81" i="19"/>
  <c r="T3" i="19"/>
  <c r="AC73" i="19"/>
  <c r="AM13" i="19"/>
  <c r="AQ47" i="19"/>
  <c r="AJ44" i="19"/>
  <c r="AO10" i="19"/>
  <c r="AL44" i="19"/>
  <c r="AN32" i="19"/>
  <c r="AO12" i="19"/>
  <c r="AO58" i="19"/>
  <c r="AN72" i="19"/>
  <c r="AK72" i="19"/>
  <c r="AM67" i="19"/>
  <c r="AP97" i="19"/>
  <c r="AL91" i="19"/>
  <c r="AJ99" i="19"/>
  <c r="AQ70" i="19"/>
  <c r="AT74" i="19"/>
  <c r="AI58" i="19"/>
  <c r="AN62" i="19"/>
  <c r="AM45" i="19"/>
  <c r="AK49" i="19"/>
  <c r="AI33" i="19"/>
  <c r="AP37" i="19"/>
  <c r="AL20" i="19"/>
  <c r="AL24" i="19"/>
  <c r="AJ7" i="19"/>
  <c r="AP10" i="19"/>
  <c r="AL13" i="19"/>
  <c r="AK87" i="19"/>
  <c r="AI83" i="19"/>
  <c r="AN80" i="19"/>
  <c r="AC3" i="19"/>
  <c r="AC67" i="19"/>
  <c r="AF67" i="19" s="1"/>
  <c r="AT85" i="19"/>
  <c r="AI27" i="19"/>
  <c r="AJ45" i="19"/>
  <c r="AJ56" i="19"/>
  <c r="AL84" i="19"/>
  <c r="AI32" i="19"/>
  <c r="AK98" i="19"/>
  <c r="AT50" i="19"/>
  <c r="AL56" i="19"/>
  <c r="AN70" i="19"/>
  <c r="AI73" i="19"/>
  <c r="AI68" i="19"/>
  <c r="AI96" i="19"/>
  <c r="AJ91" i="19"/>
  <c r="AQ98" i="19"/>
  <c r="AJ70" i="19"/>
  <c r="AO74" i="19"/>
  <c r="AQ57" i="19"/>
  <c r="AT61" i="19"/>
  <c r="AI45" i="19"/>
  <c r="AN49" i="19"/>
  <c r="AL32" i="19"/>
  <c r="AT36" i="19"/>
  <c r="AJ20" i="19"/>
  <c r="AO24" i="19"/>
  <c r="AL27" i="19"/>
  <c r="AI10" i="19"/>
  <c r="AO13" i="19"/>
  <c r="AP87" i="19"/>
  <c r="AM84" i="19"/>
  <c r="AT81" i="19"/>
  <c r="AO3" i="19"/>
  <c r="AD73" i="19"/>
  <c r="AP25" i="19"/>
  <c r="AN57" i="19"/>
  <c r="AB75" i="19"/>
  <c r="AM15" i="19"/>
  <c r="AO50" i="19"/>
  <c r="AQ31" i="19"/>
  <c r="AF3" i="19"/>
  <c r="AQ13" i="19"/>
  <c r="AQ20" i="19"/>
  <c r="AD43" i="38"/>
  <c r="AC43" i="38"/>
  <c r="AR43" i="38"/>
  <c r="U8" i="9"/>
  <c r="AM8" i="9"/>
  <c r="V8" i="9"/>
  <c r="AR8" i="9"/>
  <c r="AM7" i="9"/>
  <c r="AC26" i="12"/>
  <c r="T42" i="24"/>
  <c r="AD13" i="10"/>
  <c r="V7" i="9"/>
  <c r="AE13" i="10"/>
  <c r="AB19" i="12"/>
  <c r="AB22" i="12" s="1"/>
  <c r="AE22" i="12" s="1"/>
  <c r="AS18" i="25"/>
  <c r="AI37" i="25"/>
  <c r="AN42" i="25"/>
  <c r="AS37" i="25"/>
  <c r="S3" i="25"/>
  <c r="AI13" i="25"/>
  <c r="AS32" i="25"/>
  <c r="AK42" i="25"/>
  <c r="AN17" i="25"/>
  <c r="AJ38" i="25"/>
  <c r="K3" i="25"/>
  <c r="AI28" i="25"/>
  <c r="AK17" i="25"/>
  <c r="AM13" i="25"/>
  <c r="AM28" i="25"/>
  <c r="AS42" i="25"/>
  <c r="J3" i="25"/>
  <c r="AI7" i="25"/>
  <c r="AJ8" i="25"/>
  <c r="AJ22" i="25"/>
  <c r="AN38" i="25"/>
  <c r="AK43" i="25"/>
  <c r="I3" i="25"/>
  <c r="AN32" i="25"/>
  <c r="AK8" i="25"/>
  <c r="AN22" i="25"/>
  <c r="AM42" i="25"/>
  <c r="AI32" i="25"/>
  <c r="AI18" i="25"/>
  <c r="AK7" i="25"/>
  <c r="AM18" i="25"/>
  <c r="AM33" i="25"/>
  <c r="AM43" i="25"/>
  <c r="AK32" i="25"/>
  <c r="AK37" i="25"/>
  <c r="AJ12" i="25"/>
  <c r="AJ27" i="25"/>
  <c r="AJ43" i="25"/>
  <c r="AJ37" i="25"/>
  <c r="AQ3" i="25"/>
  <c r="AN7" i="25"/>
  <c r="Y3" i="25"/>
  <c r="AI8" i="25"/>
  <c r="AM22" i="25"/>
  <c r="V3" i="25"/>
  <c r="AK23" i="25"/>
  <c r="AJ28" i="25"/>
  <c r="Q3" i="25"/>
  <c r="AG3" i="25"/>
  <c r="AL3" i="25"/>
  <c r="M3" i="25"/>
  <c r="AT3" i="25"/>
  <c r="AQ37" i="25"/>
  <c r="L3" i="25"/>
  <c r="AN23" i="25"/>
  <c r="AS12" i="25"/>
  <c r="AM23" i="25"/>
  <c r="AI38" i="25"/>
  <c r="AJ18" i="25"/>
  <c r="AB3" i="25"/>
  <c r="AR3" i="25"/>
  <c r="AQ17" i="25"/>
  <c r="AN28" i="25"/>
  <c r="AN18" i="25"/>
  <c r="AS8" i="25"/>
  <c r="AS33" i="25"/>
  <c r="AI22" i="25"/>
  <c r="AN33" i="25"/>
  <c r="AK27" i="25"/>
  <c r="AN37" i="25"/>
  <c r="AI27" i="25"/>
  <c r="AJ33" i="25"/>
  <c r="AK3" i="25"/>
  <c r="AE3" i="25"/>
  <c r="AK12" i="25"/>
  <c r="AQ43" i="25"/>
  <c r="AN43" i="25"/>
  <c r="P3" i="25"/>
  <c r="AJ42" i="25"/>
  <c r="T3" i="25"/>
  <c r="AI23" i="25"/>
  <c r="AK28" i="25"/>
  <c r="AM8" i="25"/>
  <c r="AS3" i="25"/>
  <c r="AJ3" i="25"/>
  <c r="AN12" i="25"/>
  <c r="AJ17" i="25"/>
  <c r="AN3" i="25"/>
  <c r="AM32" i="25"/>
  <c r="N3" i="25"/>
  <c r="W3" i="25"/>
  <c r="AI33" i="25"/>
  <c r="AQ13" i="25"/>
  <c r="AI12" i="25"/>
  <c r="AJ7" i="25"/>
  <c r="AN8" i="25"/>
  <c r="AM12" i="25"/>
  <c r="H3" i="25"/>
  <c r="AS23" i="25"/>
  <c r="AQ32" i="25"/>
  <c r="AS17" i="25"/>
  <c r="T85" i="46"/>
  <c r="BD85" i="46" s="1"/>
  <c r="AR22" i="46"/>
  <c r="AV8" i="46"/>
  <c r="AR21" i="46"/>
  <c r="AW31" i="46"/>
  <c r="AX32" i="46"/>
  <c r="BC38" i="46"/>
  <c r="AW39" i="46"/>
  <c r="AS43" i="46"/>
  <c r="AU46" i="46"/>
  <c r="AZ47" i="46"/>
  <c r="AW58" i="46"/>
  <c r="AY60" i="46"/>
  <c r="AZ67" i="46"/>
  <c r="AW68" i="46"/>
  <c r="AX69" i="46"/>
  <c r="AQ71" i="46"/>
  <c r="AU72" i="46"/>
  <c r="AW73" i="46"/>
  <c r="AZ74" i="46"/>
  <c r="AU75" i="46"/>
  <c r="AQ79" i="46"/>
  <c r="AZ81" i="46"/>
  <c r="AQ82" i="46"/>
  <c r="AZ83" i="46"/>
  <c r="AZ84" i="46"/>
  <c r="AS85" i="46"/>
  <c r="AY86" i="46"/>
  <c r="AW87" i="46"/>
  <c r="AU87" i="46"/>
  <c r="G3" i="46"/>
  <c r="M3" i="46"/>
  <c r="S3" i="46"/>
  <c r="Y3" i="46"/>
  <c r="AG3" i="46"/>
  <c r="AN3" i="46"/>
  <c r="AT3" i="46"/>
  <c r="AZ3" i="46"/>
  <c r="BF3" i="46"/>
  <c r="AQ91" i="46"/>
  <c r="AX91" i="46"/>
  <c r="AQ92" i="46"/>
  <c r="AY92" i="46"/>
  <c r="AX93" i="46"/>
  <c r="BC94" i="46"/>
  <c r="AU94" i="46"/>
  <c r="AQ95" i="46"/>
  <c r="AX95" i="46"/>
  <c r="AS96" i="46"/>
  <c r="AZ96" i="46"/>
  <c r="AQ97" i="46"/>
  <c r="AY97" i="46"/>
  <c r="AW98" i="46"/>
  <c r="AS99" i="46"/>
  <c r="AV99" i="46"/>
  <c r="AJ20" i="46"/>
  <c r="AW26" i="46"/>
  <c r="AQ27" i="46"/>
  <c r="AY31" i="46"/>
  <c r="AY37" i="46"/>
  <c r="AU38" i="46"/>
  <c r="AY39" i="46"/>
  <c r="BC43" i="46"/>
  <c r="AB57" i="46"/>
  <c r="BF57" i="46" s="1"/>
  <c r="AB59" i="46"/>
  <c r="BF59" i="46" s="1"/>
  <c r="AV68" i="46"/>
  <c r="AJ69" i="46"/>
  <c r="AU69" i="46"/>
  <c r="AS70" i="46"/>
  <c r="BE70" i="46"/>
  <c r="AW71" i="46"/>
  <c r="AS72" i="46"/>
  <c r="AV73" i="46"/>
  <c r="AS74" i="46"/>
  <c r="AY79" i="46"/>
  <c r="AQ80" i="46"/>
  <c r="AV81" i="46"/>
  <c r="AR82" i="46"/>
  <c r="AV83" i="46"/>
  <c r="AQ84" i="46"/>
  <c r="AX85" i="46"/>
  <c r="AQ86" i="46"/>
  <c r="AX87" i="46"/>
  <c r="I3" i="46"/>
  <c r="N3" i="46"/>
  <c r="T3" i="46"/>
  <c r="AB3" i="46"/>
  <c r="AI3" i="46"/>
  <c r="AO3" i="46"/>
  <c r="AV3" i="46"/>
  <c r="BA3" i="46"/>
  <c r="AS91" i="46"/>
  <c r="AY91" i="46"/>
  <c r="AR92" i="46"/>
  <c r="AZ92" i="46"/>
  <c r="AS93" i="46"/>
  <c r="AY93" i="46"/>
  <c r="AX94" i="46"/>
  <c r="AS95" i="46"/>
  <c r="AY95" i="46"/>
  <c r="AB95" i="46"/>
  <c r="BF95" i="46" s="1"/>
  <c r="AR96" i="46"/>
  <c r="AU96" i="46"/>
  <c r="AR97" i="46"/>
  <c r="AZ97" i="46"/>
  <c r="AY98" i="46"/>
  <c r="AW99" i="46"/>
  <c r="AU99" i="46"/>
  <c r="AW24" i="46"/>
  <c r="AZ51" i="46"/>
  <c r="AJ55" i="46"/>
  <c r="AQ56" i="46"/>
  <c r="AS57" i="46"/>
  <c r="AR58" i="46"/>
  <c r="AQ62" i="46"/>
  <c r="AR63" i="46"/>
  <c r="AQ67" i="46"/>
  <c r="AR68" i="46"/>
  <c r="AQ69" i="46"/>
  <c r="AY70" i="46"/>
  <c r="AW72" i="46"/>
  <c r="AS73" i="46"/>
  <c r="AR74" i="46"/>
  <c r="AX75" i="46"/>
  <c r="AZ79" i="46"/>
  <c r="AY80" i="46"/>
  <c r="AR81" i="46"/>
  <c r="AV82" i="46"/>
  <c r="BC83" i="46"/>
  <c r="AS84" i="46"/>
  <c r="AQ85" i="46"/>
  <c r="AS86" i="46"/>
  <c r="AR87" i="46"/>
  <c r="E3" i="46"/>
  <c r="O3" i="46"/>
  <c r="AC3" i="46"/>
  <c r="AR3" i="46"/>
  <c r="BB3" i="46"/>
  <c r="AZ93" i="46"/>
  <c r="AS94" i="46"/>
  <c r="AW95" i="46"/>
  <c r="AV97" i="46"/>
  <c r="AR98" i="46"/>
  <c r="AZ99" i="46"/>
  <c r="T70" i="46"/>
  <c r="BD70" i="46" s="1"/>
  <c r="AB87" i="46"/>
  <c r="BF87" i="46" s="1"/>
  <c r="AB14" i="46"/>
  <c r="BF14" i="46" s="1"/>
  <c r="AY19" i="46"/>
  <c r="AS49" i="46"/>
  <c r="AX50" i="46"/>
  <c r="AU51" i="46"/>
  <c r="AS55" i="46"/>
  <c r="AR56" i="46"/>
  <c r="AX57" i="46"/>
  <c r="AR61" i="46"/>
  <c r="AR62" i="46"/>
  <c r="AW63" i="46"/>
  <c r="AX67" i="46"/>
  <c r="AU68" i="46"/>
  <c r="AW69" i="46"/>
  <c r="AZ70" i="46"/>
  <c r="AY71" i="46"/>
  <c r="AV72" i="46"/>
  <c r="AU73" i="46"/>
  <c r="AY74" i="46"/>
  <c r="AX84" i="46"/>
  <c r="AZ85" i="46"/>
  <c r="AX86" i="46"/>
  <c r="AZ87" i="46"/>
  <c r="F3" i="46"/>
  <c r="Q3" i="46"/>
  <c r="AD3" i="46"/>
  <c r="AS3" i="46"/>
  <c r="BE3" i="46"/>
  <c r="AU91" i="46"/>
  <c r="BC92" i="46"/>
  <c r="AU93" i="46"/>
  <c r="AR94" i="46"/>
  <c r="AB94" i="46"/>
  <c r="BF94" i="46" s="1"/>
  <c r="AV95" i="46"/>
  <c r="AQ96" i="46"/>
  <c r="AZ98" i="46"/>
  <c r="AJ99" i="46"/>
  <c r="AB92" i="46"/>
  <c r="BF92" i="46" s="1"/>
  <c r="AY26" i="46"/>
  <c r="AU36" i="46"/>
  <c r="AU48" i="46"/>
  <c r="AW80" i="46"/>
  <c r="X3" i="46"/>
  <c r="AX3" i="46"/>
  <c r="AV91" i="46"/>
  <c r="AV92" i="46"/>
  <c r="BC93" i="46"/>
  <c r="AZ94" i="46"/>
  <c r="AU95" i="46"/>
  <c r="AY96" i="46"/>
  <c r="AW97" i="46"/>
  <c r="AV98" i="46"/>
  <c r="AX99" i="46"/>
  <c r="BE92" i="46"/>
  <c r="BC96" i="46"/>
  <c r="BC87" i="46"/>
  <c r="BC8" i="46"/>
  <c r="BC12" i="46"/>
  <c r="BC19" i="46"/>
  <c r="BC23" i="46"/>
  <c r="BC27" i="46"/>
  <c r="BC60" i="46"/>
  <c r="BC7" i="46"/>
  <c r="BE59" i="46"/>
  <c r="BE24" i="46"/>
  <c r="AV22" i="46"/>
  <c r="AV21" i="46"/>
  <c r="AV20" i="46"/>
  <c r="AW19" i="46"/>
  <c r="AX15" i="46"/>
  <c r="AW14" i="46"/>
  <c r="AS13" i="46"/>
  <c r="AB11" i="46"/>
  <c r="BF11" i="46" s="1"/>
  <c r="BE10" i="46"/>
  <c r="AJ10" i="46"/>
  <c r="AY8" i="46"/>
  <c r="AQ7" i="46"/>
  <c r="T38" i="46"/>
  <c r="BD38" i="46" s="1"/>
  <c r="T51" i="46"/>
  <c r="BD51" i="46" s="1"/>
  <c r="T80" i="46"/>
  <c r="BD80" i="46" s="1"/>
  <c r="T97" i="46"/>
  <c r="BD97" i="46" s="1"/>
  <c r="AY7" i="46"/>
  <c r="AZ8" i="46"/>
  <c r="AW9" i="46"/>
  <c r="AS10" i="46"/>
  <c r="AQ11" i="46"/>
  <c r="AV11" i="46"/>
  <c r="AZ12" i="46"/>
  <c r="AW13" i="46"/>
  <c r="AS14" i="46"/>
  <c r="AQ15" i="46"/>
  <c r="AV15" i="46"/>
  <c r="AZ19" i="46"/>
  <c r="AX20" i="46"/>
  <c r="AX21" i="46"/>
  <c r="BC22" i="46"/>
  <c r="AS23" i="46"/>
  <c r="AS24" i="46"/>
  <c r="AU24" i="46"/>
  <c r="AU25" i="46"/>
  <c r="AZ26" i="46"/>
  <c r="AZ27" i="46"/>
  <c r="AX31" i="46"/>
  <c r="AR32" i="46"/>
  <c r="BE32" i="46"/>
  <c r="AZ33" i="46"/>
  <c r="AW34" i="46"/>
  <c r="AS35" i="46"/>
  <c r="AU35" i="46"/>
  <c r="AY36" i="46"/>
  <c r="BC37" i="46"/>
  <c r="AQ38" i="46"/>
  <c r="AV38" i="46"/>
  <c r="AZ39" i="46"/>
  <c r="AW43" i="46"/>
  <c r="AQ44" i="46"/>
  <c r="AV44" i="46"/>
  <c r="AY45" i="46"/>
  <c r="AR46" i="46"/>
  <c r="BE46" i="46"/>
  <c r="AY47" i="46"/>
  <c r="AR48" i="46"/>
  <c r="BE48" i="46"/>
  <c r="AY49" i="46"/>
  <c r="AR50" i="46"/>
  <c r="AY51" i="46"/>
  <c r="AR55" i="46"/>
  <c r="BE55" i="46"/>
  <c r="AU56" i="46"/>
  <c r="AY57" i="46"/>
  <c r="AX58" i="46"/>
  <c r="AR59" i="46"/>
  <c r="AS60" i="46"/>
  <c r="AS61" i="46"/>
  <c r="AS62" i="46"/>
  <c r="AS63" i="46"/>
  <c r="AU63" i="46"/>
  <c r="AQ25" i="46"/>
  <c r="AS83" i="46"/>
  <c r="J3" i="46"/>
  <c r="AL3" i="46"/>
  <c r="AR95" i="46"/>
  <c r="AQ99" i="46"/>
  <c r="BC46" i="46"/>
  <c r="T87" i="46"/>
  <c r="BD87" i="46" s="1"/>
  <c r="BE91" i="46"/>
  <c r="T12" i="46"/>
  <c r="BD12" i="46" s="1"/>
  <c r="T21" i="46"/>
  <c r="BD21" i="46" s="1"/>
  <c r="BC25" i="46"/>
  <c r="BC58" i="46"/>
  <c r="BE61" i="46"/>
  <c r="BE35" i="46"/>
  <c r="AV23" i="46"/>
  <c r="AQ22" i="46"/>
  <c r="BE20" i="46"/>
  <c r="AQ19" i="46"/>
  <c r="BE14" i="46"/>
  <c r="AZ13" i="46"/>
  <c r="AU11" i="46"/>
  <c r="AW10" i="46"/>
  <c r="AB8" i="46"/>
  <c r="BF8" i="46" s="1"/>
  <c r="T32" i="46"/>
  <c r="BD32" i="46" s="1"/>
  <c r="T45" i="46"/>
  <c r="BD45" i="46" s="1"/>
  <c r="T73" i="46"/>
  <c r="BD73" i="46" s="1"/>
  <c r="T99" i="46"/>
  <c r="BD99" i="46" s="1"/>
  <c r="AS7" i="46"/>
  <c r="AX8" i="46"/>
  <c r="AY9" i="46"/>
  <c r="AZ10" i="46"/>
  <c r="AY11" i="46"/>
  <c r="AU12" i="46"/>
  <c r="AV13" i="46"/>
  <c r="AU14" i="46"/>
  <c r="BE15" i="46"/>
  <c r="AS20" i="46"/>
  <c r="AS21" i="46"/>
  <c r="AX22" i="46"/>
  <c r="AZ23" i="46"/>
  <c r="AZ24" i="46"/>
  <c r="AS26" i="46"/>
  <c r="AS27" i="46"/>
  <c r="BC31" i="46"/>
  <c r="AW32" i="46"/>
  <c r="BC33" i="46"/>
  <c r="AR34" i="46"/>
  <c r="BC35" i="46"/>
  <c r="AR36" i="46"/>
  <c r="AS37" i="46"/>
  <c r="AR38" i="46"/>
  <c r="BC39" i="46"/>
  <c r="AR43" i="46"/>
  <c r="AR44" i="46"/>
  <c r="AR45" i="46"/>
  <c r="AQ46" i="46"/>
  <c r="AQ47" i="46"/>
  <c r="BE47" i="46"/>
  <c r="AV48" i="46"/>
  <c r="AV49" i="46"/>
  <c r="AY50" i="46"/>
  <c r="AW51" i="46"/>
  <c r="AW55" i="46"/>
  <c r="AX56" i="46"/>
  <c r="AW57" i="46"/>
  <c r="AZ58" i="46"/>
  <c r="AY59" i="46"/>
  <c r="AU60" i="46"/>
  <c r="AX62" i="46"/>
  <c r="AX63" i="46"/>
  <c r="AB96" i="46"/>
  <c r="BF96" i="46" s="1"/>
  <c r="AS34" i="46"/>
  <c r="AY99" i="46"/>
  <c r="AQ94" i="46"/>
  <c r="AR91" i="46"/>
  <c r="AA3" i="46"/>
  <c r="BC86" i="46"/>
  <c r="AR84" i="46"/>
  <c r="AU81" i="46"/>
  <c r="AU79" i="46"/>
  <c r="AV74" i="46"/>
  <c r="AX71" i="46"/>
  <c r="BC68" i="46"/>
  <c r="AW60" i="46"/>
  <c r="AZ50" i="46"/>
  <c r="AX38" i="46"/>
  <c r="AV26" i="46"/>
  <c r="AV12" i="46"/>
  <c r="AU45" i="46"/>
  <c r="AZ38" i="46"/>
  <c r="AR31" i="46"/>
  <c r="AR23" i="46"/>
  <c r="AU9" i="46"/>
  <c r="T35" i="46"/>
  <c r="BD35" i="46" s="1"/>
  <c r="BE74" i="46"/>
  <c r="AR99" i="46"/>
  <c r="AZ95" i="46"/>
  <c r="AS92" i="46"/>
  <c r="U3" i="46"/>
  <c r="AY83" i="46"/>
  <c r="AW75" i="46"/>
  <c r="AR72" i="46"/>
  <c r="AQ70" i="46"/>
  <c r="AQ63" i="46"/>
  <c r="AU55" i="46"/>
  <c r="AV39" i="46"/>
  <c r="AW35" i="46"/>
  <c r="AW25" i="46"/>
  <c r="AY14" i="46"/>
  <c r="AZ43" i="46"/>
  <c r="AV33" i="46"/>
  <c r="AB22" i="46"/>
  <c r="BF22" i="46" s="1"/>
  <c r="AQ10" i="46"/>
  <c r="T72" i="46"/>
  <c r="BD72" i="46" s="1"/>
  <c r="AR60" i="46"/>
  <c r="AB70" i="46"/>
  <c r="BF70" i="46" s="1"/>
  <c r="AJ79" i="46"/>
  <c r="AZ82" i="46"/>
  <c r="K3" i="46"/>
  <c r="AW3" i="46"/>
  <c r="AZ91" i="46"/>
  <c r="AY94" i="46"/>
  <c r="AQ98" i="46"/>
  <c r="T8" i="46"/>
  <c r="BD8" i="46" s="1"/>
  <c r="T14" i="46"/>
  <c r="BD14" i="46" s="1"/>
  <c r="BC21" i="46"/>
  <c r="T27" i="46"/>
  <c r="BD27" i="46" s="1"/>
  <c r="T62" i="46"/>
  <c r="BD62" i="46" s="1"/>
  <c r="BE60" i="46"/>
  <c r="BE27" i="46"/>
  <c r="AW23" i="46"/>
  <c r="BE21" i="46"/>
  <c r="AW20" i="46"/>
  <c r="AB15" i="46"/>
  <c r="BF15" i="46" s="1"/>
  <c r="AV14" i="46"/>
  <c r="AB12" i="46"/>
  <c r="BF12" i="46" s="1"/>
  <c r="AX11" i="46"/>
  <c r="AR10" i="46"/>
  <c r="AQ8" i="46"/>
  <c r="T34" i="46"/>
  <c r="BD34" i="46" s="1"/>
  <c r="T47" i="46"/>
  <c r="BD47" i="46" s="1"/>
  <c r="T84" i="46"/>
  <c r="BD84" i="46" s="1"/>
  <c r="AW7" i="46"/>
  <c r="AU8" i="46"/>
  <c r="AV9" i="46"/>
  <c r="AU10" i="46"/>
  <c r="BE11" i="46"/>
  <c r="AQ13" i="46"/>
  <c r="BE13" i="46"/>
  <c r="AR15" i="46"/>
  <c r="AS19" i="46"/>
  <c r="BC20" i="46"/>
  <c r="AZ21" i="46"/>
  <c r="AZ22" i="46"/>
  <c r="AU23" i="46"/>
  <c r="AS25" i="46"/>
  <c r="BC26" i="46"/>
  <c r="AX27" i="46"/>
  <c r="AZ31" i="46"/>
  <c r="AY32" i="46"/>
  <c r="AX33" i="46"/>
  <c r="AY34" i="46"/>
  <c r="AX35" i="46"/>
  <c r="AW36" i="46"/>
  <c r="AX37" i="46"/>
  <c r="AW38" i="46"/>
  <c r="AX39" i="46"/>
  <c r="AY43" i="46"/>
  <c r="AW44" i="46"/>
  <c r="AW45" i="46"/>
  <c r="AW46" i="46"/>
  <c r="AR47" i="46"/>
  <c r="AQ48" i="46"/>
  <c r="AQ49" i="46"/>
  <c r="BE49" i="46"/>
  <c r="AV50" i="46"/>
  <c r="AV51" i="46"/>
  <c r="AY55" i="46"/>
  <c r="AZ56" i="46"/>
  <c r="AV57" i="46"/>
  <c r="AU58" i="46"/>
  <c r="AU59" i="46"/>
  <c r="AX61" i="46"/>
  <c r="AZ62" i="46"/>
  <c r="AZ63" i="46"/>
  <c r="BE96" i="46"/>
  <c r="AS97" i="46"/>
  <c r="AZ34" i="46"/>
  <c r="AX98" i="46"/>
  <c r="AV93" i="46"/>
  <c r="BC3" i="46"/>
  <c r="P3" i="46"/>
  <c r="AZ86" i="46"/>
  <c r="AR83" i="46"/>
  <c r="AS81" i="46"/>
  <c r="AS79" i="46"/>
  <c r="AQ74" i="46"/>
  <c r="AX70" i="46"/>
  <c r="AR67" i="46"/>
  <c r="AV59" i="46"/>
  <c r="AX46" i="46"/>
  <c r="AV37" i="46"/>
  <c r="AQ24" i="46"/>
  <c r="AX9" i="46"/>
  <c r="AS48" i="46"/>
  <c r="AB44" i="46"/>
  <c r="BF44" i="46" s="1"/>
  <c r="AJ35" i="46"/>
  <c r="AY27" i="46"/>
  <c r="AJ22" i="46"/>
  <c r="AW8" i="46"/>
  <c r="T50" i="46"/>
  <c r="BD50" i="46" s="1"/>
  <c r="BC44" i="46"/>
  <c r="AU98" i="46"/>
  <c r="AW94" i="46"/>
  <c r="AY3" i="46"/>
  <c r="L3" i="46"/>
  <c r="AX81" i="46"/>
  <c r="AW74" i="46"/>
  <c r="AU71" i="46"/>
  <c r="AZ69" i="46"/>
  <c r="AV61" i="46"/>
  <c r="AZ48" i="46"/>
  <c r="AQ37" i="46"/>
  <c r="AY33" i="46"/>
  <c r="AV24" i="46"/>
  <c r="AX7" i="46"/>
  <c r="AJ38" i="46"/>
  <c r="AJ27" i="46"/>
  <c r="AY20" i="46"/>
  <c r="T15" i="46"/>
  <c r="BD15" i="46" s="1"/>
  <c r="T94" i="46"/>
  <c r="BD94" i="46" s="1"/>
  <c r="AV35" i="46"/>
  <c r="AX49" i="46"/>
  <c r="AQ81" i="46"/>
  <c r="V3" i="46"/>
  <c r="AX96" i="46"/>
  <c r="T55" i="46"/>
  <c r="BD55" i="46" s="1"/>
  <c r="T10" i="46"/>
  <c r="BD10" i="46" s="1"/>
  <c r="T23" i="46"/>
  <c r="BD23" i="46" s="1"/>
  <c r="BC62" i="46"/>
  <c r="BE26" i="46"/>
  <c r="AW21" i="46"/>
  <c r="AU15" i="46"/>
  <c r="AY12" i="46"/>
  <c r="AZ9" i="46"/>
  <c r="T36" i="46"/>
  <c r="BD36" i="46" s="1"/>
  <c r="T86" i="46"/>
  <c r="BD86" i="46" s="1"/>
  <c r="AV7" i="46"/>
  <c r="BE9" i="46"/>
  <c r="AS12" i="46"/>
  <c r="AX14" i="46"/>
  <c r="AX19" i="46"/>
  <c r="AU21" i="46"/>
  <c r="BC24" i="46"/>
  <c r="AX26" i="46"/>
  <c r="AU31" i="46"/>
  <c r="AU33" i="46"/>
  <c r="AZ35" i="46"/>
  <c r="AZ37" i="46"/>
  <c r="AU39" i="46"/>
  <c r="AY44" i="46"/>
  <c r="AY46" i="46"/>
  <c r="AW48" i="46"/>
  <c r="AQ50" i="46"/>
  <c r="BE51" i="46"/>
  <c r="AQ57" i="46"/>
  <c r="AQ59" i="46"/>
  <c r="AZ61" i="46"/>
  <c r="AU97" i="46"/>
  <c r="AV94" i="46"/>
  <c r="AK3" i="46"/>
  <c r="AY85" i="46"/>
  <c r="AS80" i="46"/>
  <c r="AY72" i="46"/>
  <c r="AQ61" i="46"/>
  <c r="AQ39" i="46"/>
  <c r="AW12" i="46"/>
  <c r="AZ46" i="46"/>
  <c r="AS32" i="46"/>
  <c r="AB13" i="46"/>
  <c r="BF13" i="46" s="1"/>
  <c r="AB75" i="46"/>
  <c r="BF75" i="46" s="1"/>
  <c r="AU32" i="46"/>
  <c r="AU92" i="46"/>
  <c r="AY84" i="46"/>
  <c r="AR73" i="46"/>
  <c r="AY67" i="46"/>
  <c r="AX43" i="46"/>
  <c r="AQ26" i="46"/>
  <c r="AY35" i="46"/>
  <c r="AJ13" i="46"/>
  <c r="T37" i="46"/>
  <c r="BD37" i="46" s="1"/>
  <c r="BC95" i="46"/>
  <c r="BE83" i="46"/>
  <c r="AV87" i="46"/>
  <c r="AW92" i="46"/>
  <c r="BC14" i="46"/>
  <c r="BC56" i="46"/>
  <c r="BE58" i="46"/>
  <c r="AQ23" i="46"/>
  <c r="AQ20" i="46"/>
  <c r="AR14" i="46"/>
  <c r="BC11" i="46"/>
  <c r="BE7" i="46"/>
  <c r="T67" i="46"/>
  <c r="BD67" i="46" s="1"/>
  <c r="AQ9" i="46"/>
  <c r="AR11" i="46"/>
  <c r="AR13" i="46"/>
  <c r="AW15" i="46"/>
  <c r="AZ20" i="46"/>
  <c r="AU22" i="46"/>
  <c r="AX25" i="46"/>
  <c r="AU27" i="46"/>
  <c r="AV32" i="46"/>
  <c r="AV34" i="46"/>
  <c r="AV36" i="46"/>
  <c r="AY38" i="46"/>
  <c r="AV43" i="46"/>
  <c r="AV45" i="46"/>
  <c r="AW47" i="46"/>
  <c r="AQ51" i="46"/>
  <c r="AV55" i="46"/>
  <c r="BE57" i="46"/>
  <c r="AX60" i="46"/>
  <c r="AU62" i="46"/>
  <c r="AW62" i="46"/>
  <c r="AQ75" i="46"/>
  <c r="BE56" i="46"/>
  <c r="BC13" i="46"/>
  <c r="AR24" i="46"/>
  <c r="AV96" i="46"/>
  <c r="AU70" i="46"/>
  <c r="AX36" i="46"/>
  <c r="AY25" i="46"/>
  <c r="BE95" i="46"/>
  <c r="AS59" i="46"/>
  <c r="BC97" i="46"/>
  <c r="T58" i="46"/>
  <c r="BD58" i="46" s="1"/>
  <c r="BE39" i="46"/>
  <c r="AW22" i="46"/>
  <c r="AV19" i="46"/>
  <c r="AJ14" i="46"/>
  <c r="AV10" i="46"/>
  <c r="AZ7" i="46"/>
  <c r="AZ59" i="46"/>
  <c r="AR9" i="46"/>
  <c r="AW11" i="46"/>
  <c r="AY13" i="46"/>
  <c r="AU20" i="46"/>
  <c r="AZ25" i="46"/>
  <c r="AS33" i="46"/>
  <c r="BE36" i="46"/>
  <c r="BE43" i="46"/>
  <c r="AV47" i="46"/>
  <c r="AR51" i="46"/>
  <c r="AS58" i="46"/>
  <c r="BC63" i="46"/>
  <c r="AU3" i="46"/>
  <c r="AU80" i="46"/>
  <c r="AZ45" i="46"/>
  <c r="AQ33" i="46"/>
  <c r="AW91" i="46"/>
  <c r="AS87" i="46"/>
  <c r="AZ68" i="46"/>
  <c r="AV31" i="46"/>
  <c r="BE67" i="46"/>
  <c r="AJ3" i="46"/>
  <c r="AR93" i="46"/>
  <c r="BC55" i="46"/>
  <c r="BC10" i="46"/>
  <c r="T25" i="46"/>
  <c r="BD25" i="46" s="1"/>
  <c r="T7" i="46"/>
  <c r="BD7" i="46" s="1"/>
  <c r="BE63" i="46"/>
  <c r="BE25" i="46"/>
  <c r="AQ21" i="46"/>
  <c r="BC15" i="46"/>
  <c r="AQ12" i="46"/>
  <c r="AS9" i="46"/>
  <c r="T43" i="46"/>
  <c r="BD43" i="46" s="1"/>
  <c r="T93" i="46"/>
  <c r="BD93" i="46" s="1"/>
  <c r="AS8" i="46"/>
  <c r="AX10" i="46"/>
  <c r="AX12" i="46"/>
  <c r="AZ14" i="46"/>
  <c r="AU19" i="46"/>
  <c r="AS22" i="46"/>
  <c r="AX24" i="46"/>
  <c r="AU26" i="46"/>
  <c r="AQ32" i="46"/>
  <c r="AQ34" i="46"/>
  <c r="AQ36" i="46"/>
  <c r="AU37" i="46"/>
  <c r="AQ43" i="46"/>
  <c r="AQ45" i="46"/>
  <c r="AV46" i="46"/>
  <c r="AY48" i="46"/>
  <c r="AW50" i="46"/>
  <c r="AQ55" i="46"/>
  <c r="AR57" i="46"/>
  <c r="AW59" i="46"/>
  <c r="AU61" i="46"/>
  <c r="T22" i="46"/>
  <c r="BD22" i="46" s="1"/>
  <c r="BE93" i="46"/>
  <c r="AU34" i="46"/>
  <c r="AQ93" i="46"/>
  <c r="H3" i="46"/>
  <c r="AS82" i="46"/>
  <c r="AV75" i="46"/>
  <c r="AV58" i="46"/>
  <c r="AQ31" i="46"/>
  <c r="AR8" i="46"/>
  <c r="AJ43" i="46"/>
  <c r="AJ25" i="46"/>
  <c r="T20" i="46"/>
  <c r="BD20" i="46" s="1"/>
  <c r="T57" i="46"/>
  <c r="BD57" i="46" s="1"/>
  <c r="AS98" i="46"/>
  <c r="AQ3" i="46"/>
  <c r="AX80" i="46"/>
  <c r="AS71" i="46"/>
  <c r="AQ58" i="46"/>
  <c r="AR37" i="46"/>
  <c r="AY21" i="46"/>
  <c r="AS45" i="46"/>
  <c r="AR26" i="46"/>
  <c r="T33" i="46"/>
  <c r="BD33" i="46" s="1"/>
  <c r="AB97" i="46"/>
  <c r="BF97" i="46" s="1"/>
  <c r="BC51" i="46"/>
  <c r="AR49" i="46"/>
  <c r="AB93" i="46"/>
  <c r="BF93" i="46" s="1"/>
  <c r="AX92" i="46"/>
  <c r="AY87" i="46"/>
  <c r="AY82" i="46"/>
  <c r="BE68" i="46"/>
  <c r="AW27" i="46"/>
  <c r="AR39" i="46"/>
  <c r="T24" i="46"/>
  <c r="BD24" i="46" s="1"/>
  <c r="AF3" i="46"/>
  <c r="AX79" i="46"/>
  <c r="AY56" i="46"/>
  <c r="AR20" i="46"/>
  <c r="AX44" i="46"/>
  <c r="T48" i="46"/>
  <c r="BD48" i="46" s="1"/>
  <c r="BC9" i="46"/>
  <c r="AB82" i="46"/>
  <c r="BF82" i="46" s="1"/>
  <c r="T61" i="46"/>
  <c r="BD61" i="46" s="1"/>
  <c r="AB84" i="46"/>
  <c r="BF84" i="46" s="1"/>
  <c r="AS47" i="46"/>
  <c r="AB91" i="46"/>
  <c r="BF91" i="46" s="1"/>
  <c r="T96" i="46"/>
  <c r="BD96" i="46" s="1"/>
  <c r="T19" i="46"/>
  <c r="BD19" i="46" s="1"/>
  <c r="T69" i="46"/>
  <c r="BD69" i="46" s="1"/>
  <c r="AY15" i="46"/>
  <c r="AX23" i="46"/>
  <c r="AS31" i="46"/>
  <c r="BE34" i="46"/>
  <c r="AS39" i="46"/>
  <c r="BE45" i="46"/>
  <c r="AW49" i="46"/>
  <c r="AS56" i="46"/>
  <c r="AZ60" i="46"/>
  <c r="AX97" i="46"/>
  <c r="AW96" i="46"/>
  <c r="AR85" i="46"/>
  <c r="AZ73" i="46"/>
  <c r="AV63" i="46"/>
  <c r="AS15" i="46"/>
  <c r="AX47" i="46"/>
  <c r="AZ15" i="46"/>
  <c r="T92" i="46"/>
  <c r="BD92" i="46" s="1"/>
  <c r="AW93" i="46"/>
  <c r="AB73" i="46"/>
  <c r="BF73" i="46" s="1"/>
  <c r="AS44" i="46"/>
  <c r="AU7" i="46"/>
  <c r="AZ36" i="46"/>
  <c r="AR19" i="46"/>
  <c r="T44" i="46"/>
  <c r="BD44" i="46" s="1"/>
  <c r="BC73" i="46"/>
  <c r="AB45" i="46"/>
  <c r="BF45" i="46" s="1"/>
  <c r="AB33" i="46"/>
  <c r="BF33" i="46" s="1"/>
  <c r="AJ87" i="46"/>
  <c r="AJ33" i="46"/>
  <c r="BE97" i="46"/>
  <c r="AJ71" i="46"/>
  <c r="AJ32" i="46"/>
  <c r="BE94" i="46"/>
  <c r="AJ83" i="46"/>
  <c r="AJ67" i="46"/>
  <c r="AJ56" i="46"/>
  <c r="AB46" i="46"/>
  <c r="BF46" i="46" s="1"/>
  <c r="BE82" i="46"/>
  <c r="AB56" i="46"/>
  <c r="BF56" i="46" s="1"/>
  <c r="BE44" i="46"/>
  <c r="AJ21" i="46"/>
  <c r="BE50" i="46"/>
  <c r="AJ73" i="46"/>
  <c r="AJ68" i="46"/>
  <c r="BE69" i="46"/>
  <c r="AJ58" i="46"/>
  <c r="BE99" i="46"/>
  <c r="AB27" i="46"/>
  <c r="BF27" i="46" s="1"/>
  <c r="AJ91" i="46"/>
  <c r="AJ44" i="46"/>
  <c r="AJ98" i="46"/>
  <c r="BE84" i="46"/>
  <c r="AB67" i="46"/>
  <c r="BF67" i="46" s="1"/>
  <c r="AJ57" i="46"/>
  <c r="AB47" i="46"/>
  <c r="BF47" i="46" s="1"/>
  <c r="AB10" i="46"/>
  <c r="BF10" i="46" s="1"/>
  <c r="AJ93" i="46"/>
  <c r="AB61" i="46"/>
  <c r="BF61" i="46" s="1"/>
  <c r="AB48" i="46"/>
  <c r="BF48" i="46" s="1"/>
  <c r="AJ23" i="46"/>
  <c r="AJ24" i="46"/>
  <c r="AJ70" i="46"/>
  <c r="AY32" i="18"/>
  <c r="U65" i="19"/>
  <c r="V73" i="19" s="1"/>
  <c r="Y73" i="19" s="1"/>
  <c r="U90" i="19"/>
  <c r="AY43" i="18"/>
  <c r="AY12" i="18"/>
  <c r="U17" i="19"/>
  <c r="U19" i="19" s="1"/>
  <c r="X19" i="19" s="1"/>
  <c r="AB50" i="46"/>
  <c r="BF50" i="46" s="1"/>
  <c r="AB89" i="13"/>
  <c r="AC99" i="13" s="1"/>
  <c r="AT30" i="12"/>
  <c r="AK38" i="18"/>
  <c r="AC78" i="19"/>
  <c r="AC17" i="19"/>
  <c r="AD22" i="19" s="1"/>
  <c r="AK12" i="18"/>
  <c r="AD28" i="38"/>
  <c r="AR28" i="38"/>
  <c r="AC28" i="38"/>
  <c r="AP41" i="38"/>
  <c r="X41" i="38"/>
  <c r="W41" i="38"/>
  <c r="T54" i="24"/>
  <c r="U110" i="22"/>
  <c r="AH56" i="13"/>
  <c r="T56" i="13"/>
  <c r="AR56" i="13" s="1"/>
  <c r="AO31" i="13"/>
  <c r="AH84" i="13"/>
  <c r="AE3" i="13"/>
  <c r="AO83" i="13"/>
  <c r="S82" i="13"/>
  <c r="AP82" i="13" s="1"/>
  <c r="AG31" i="13"/>
  <c r="AI68" i="13"/>
  <c r="S10" i="13"/>
  <c r="AP10" i="13" s="1"/>
  <c r="AL27" i="13"/>
  <c r="AK44" i="13"/>
  <c r="AL39" i="13"/>
  <c r="AI83" i="13"/>
  <c r="AL25" i="13"/>
  <c r="AG94" i="13"/>
  <c r="AH15" i="13"/>
  <c r="AG46" i="13"/>
  <c r="S86" i="13"/>
  <c r="AP86" i="13" s="1"/>
  <c r="AG91" i="13"/>
  <c r="AG15" i="13"/>
  <c r="AK45" i="13"/>
  <c r="N3" i="13"/>
  <c r="AK80" i="13"/>
  <c r="AG24" i="13"/>
  <c r="AO34" i="13"/>
  <c r="AG67" i="13"/>
  <c r="AO15" i="13"/>
  <c r="S46" i="13"/>
  <c r="AP46" i="13" s="1"/>
  <c r="AO71" i="13"/>
  <c r="AI98" i="13"/>
  <c r="AO75" i="13"/>
  <c r="AI55" i="13"/>
  <c r="P3" i="13"/>
  <c r="AH48" i="13"/>
  <c r="T15" i="13"/>
  <c r="AR15" i="13" s="1"/>
  <c r="AI10" i="13"/>
  <c r="AG35" i="13"/>
  <c r="AI50" i="13"/>
  <c r="AK55" i="13"/>
  <c r="T58" i="13"/>
  <c r="AR58" i="13" s="1"/>
  <c r="AG85" i="13"/>
  <c r="AK46" i="13"/>
  <c r="S21" i="13"/>
  <c r="AP21" i="13" s="1"/>
  <c r="AH61" i="13"/>
  <c r="AL72" i="13"/>
  <c r="AG75" i="13"/>
  <c r="AL68" i="13"/>
  <c r="AQ31" i="13"/>
  <c r="AH49" i="13"/>
  <c r="T49" i="13"/>
  <c r="AK7" i="12"/>
  <c r="AM7" i="12"/>
  <c r="AQ8" i="12"/>
  <c r="AI9" i="12"/>
  <c r="AN9" i="12"/>
  <c r="AK10" i="12"/>
  <c r="AM10" i="12"/>
  <c r="AN14" i="12"/>
  <c r="AK15" i="12"/>
  <c r="AS15" i="12"/>
  <c r="AQ16" i="12"/>
  <c r="AI17" i="12"/>
  <c r="AN17" i="12"/>
  <c r="AJ21" i="12"/>
  <c r="AQ22" i="12"/>
  <c r="AI23" i="12"/>
  <c r="AN23" i="12"/>
  <c r="AK24" i="12"/>
  <c r="AM24" i="12"/>
  <c r="AJ28" i="12"/>
  <c r="AJ29" i="12"/>
  <c r="AI30" i="12"/>
  <c r="AN30" i="12"/>
  <c r="AI31" i="12"/>
  <c r="AN31" i="12"/>
  <c r="AS3" i="12"/>
  <c r="AO3" i="12"/>
  <c r="AG3" i="12"/>
  <c r="G3" i="12"/>
  <c r="K3" i="12"/>
  <c r="P3" i="12"/>
  <c r="V3" i="12"/>
  <c r="AB3" i="12"/>
  <c r="AJ3" i="12"/>
  <c r="AJ7" i="12"/>
  <c r="AI8" i="12"/>
  <c r="AN8" i="12"/>
  <c r="AK9" i="12"/>
  <c r="AM9" i="12"/>
  <c r="AJ10" i="12"/>
  <c r="AI14" i="12"/>
  <c r="AM14" i="12"/>
  <c r="AJ15" i="12"/>
  <c r="AI16" i="12"/>
  <c r="AN16" i="12"/>
  <c r="AK17" i="12"/>
  <c r="AM17" i="12"/>
  <c r="AI22" i="12"/>
  <c r="AN22" i="12"/>
  <c r="AK23" i="12"/>
  <c r="AM23" i="12"/>
  <c r="AJ24" i="12"/>
  <c r="AS24" i="12"/>
  <c r="AQ28" i="12"/>
  <c r="AQ29" i="12"/>
  <c r="AK30" i="12"/>
  <c r="AM30" i="12"/>
  <c r="AK31" i="12"/>
  <c r="AM31" i="12"/>
  <c r="AR3" i="12"/>
  <c r="AL3" i="12"/>
  <c r="AK3" i="12"/>
  <c r="H3" i="12"/>
  <c r="L3" i="12"/>
  <c r="Q3" i="12"/>
  <c r="W3" i="12"/>
  <c r="AC3" i="12"/>
  <c r="AM3" i="12"/>
  <c r="AN7" i="12"/>
  <c r="AI10" i="12"/>
  <c r="AJ14" i="12"/>
  <c r="AM15" i="12"/>
  <c r="AS16" i="12"/>
  <c r="AK21" i="12"/>
  <c r="AJ22" i="12"/>
  <c r="AQ23" i="12"/>
  <c r="AN24" i="12"/>
  <c r="AM28" i="12"/>
  <c r="AM29" i="12"/>
  <c r="AT3" i="12"/>
  <c r="AH3" i="12"/>
  <c r="J3" i="12"/>
  <c r="T3" i="12"/>
  <c r="AF3" i="12"/>
  <c r="AK8" i="12"/>
  <c r="AJ9" i="12"/>
  <c r="AQ10" i="12"/>
  <c r="AS14" i="12"/>
  <c r="AK16" i="12"/>
  <c r="AJ17" i="12"/>
  <c r="AN21" i="12"/>
  <c r="AM22" i="12"/>
  <c r="AI28" i="12"/>
  <c r="AI29" i="12"/>
  <c r="AJ30" i="12"/>
  <c r="AJ31" i="12"/>
  <c r="AQ3" i="12"/>
  <c r="E3" i="12"/>
  <c r="M3" i="12"/>
  <c r="Y3" i="12"/>
  <c r="AN3" i="12"/>
  <c r="AJ8" i="12"/>
  <c r="AN10" i="12"/>
  <c r="AJ16" i="12"/>
  <c r="AM21" i="12"/>
  <c r="AI24" i="12"/>
  <c r="AK29" i="12"/>
  <c r="AQ31" i="12"/>
  <c r="F3" i="12"/>
  <c r="Z3" i="12"/>
  <c r="AM8" i="12"/>
  <c r="AI15" i="12"/>
  <c r="AI21" i="12"/>
  <c r="AQ24" i="12"/>
  <c r="AQ30" i="12"/>
  <c r="AI3" i="12"/>
  <c r="AE3" i="12"/>
  <c r="AQ9" i="12"/>
  <c r="AN15" i="12"/>
  <c r="AK22" i="12"/>
  <c r="AK28" i="12"/>
  <c r="AS30" i="12"/>
  <c r="I3" i="12"/>
  <c r="AK14" i="12"/>
  <c r="AJ23" i="12"/>
  <c r="AP3" i="12"/>
  <c r="AQ7" i="12"/>
  <c r="AN29" i="12"/>
  <c r="S3" i="12"/>
  <c r="AS9" i="12"/>
  <c r="AS31" i="12"/>
  <c r="AI7" i="12"/>
  <c r="AM16" i="12"/>
  <c r="AN28" i="12"/>
  <c r="N3" i="12"/>
  <c r="AQ17" i="12"/>
  <c r="AS22" i="12"/>
  <c r="U42" i="19"/>
  <c r="AY23" i="18"/>
  <c r="AC77" i="19"/>
  <c r="AC85" i="19" s="1"/>
  <c r="AF85" i="19" s="1"/>
  <c r="AK37" i="18"/>
  <c r="AC42" i="19"/>
  <c r="V30" i="13"/>
  <c r="AR15" i="12"/>
  <c r="X5" i="9"/>
  <c r="U58" i="22"/>
  <c r="T64" i="22" s="1"/>
  <c r="V64" i="22" s="1"/>
  <c r="AE12" i="10"/>
  <c r="AO5" i="9"/>
  <c r="U30" i="24"/>
  <c r="Y5" i="9"/>
  <c r="AD12" i="10"/>
  <c r="T58" i="22"/>
  <c r="U67" i="22" s="1"/>
  <c r="T30" i="24"/>
  <c r="AB5" i="12"/>
  <c r="AM5" i="9"/>
  <c r="AC12" i="12"/>
  <c r="AR5" i="9"/>
  <c r="U32" i="22"/>
  <c r="T34" i="22" s="1"/>
  <c r="T18" i="24"/>
  <c r="AM7" i="18"/>
  <c r="AU7" i="18"/>
  <c r="AL8" i="18"/>
  <c r="AS8" i="18"/>
  <c r="AP8" i="18"/>
  <c r="AN12" i="18"/>
  <c r="AT12" i="18"/>
  <c r="AO12" i="18"/>
  <c r="AM13" i="18"/>
  <c r="AU13" i="18"/>
  <c r="AR17" i="18"/>
  <c r="AQ17" i="18"/>
  <c r="AL18" i="18"/>
  <c r="AR7" i="18"/>
  <c r="AQ7" i="18"/>
  <c r="AN8" i="18"/>
  <c r="AT7" i="18"/>
  <c r="AR8" i="18"/>
  <c r="AO8" i="18"/>
  <c r="AR12" i="18"/>
  <c r="AP12" i="18"/>
  <c r="AR13" i="18"/>
  <c r="AP13" i="18"/>
  <c r="AM17" i="18"/>
  <c r="AP17" i="18"/>
  <c r="AM18" i="18"/>
  <c r="AU18" i="18"/>
  <c r="AL22" i="18"/>
  <c r="AS22" i="18"/>
  <c r="AP22" i="18"/>
  <c r="AN23" i="18"/>
  <c r="AT23" i="18"/>
  <c r="AO23" i="18"/>
  <c r="AM27" i="18"/>
  <c r="AU27" i="18"/>
  <c r="AX27" i="18"/>
  <c r="AR28" i="18"/>
  <c r="AQ28" i="18"/>
  <c r="AL32" i="18"/>
  <c r="AS32" i="18"/>
  <c r="AP32" i="18"/>
  <c r="AN33" i="18"/>
  <c r="AT33" i="18"/>
  <c r="AO33" i="18"/>
  <c r="AM37" i="18"/>
  <c r="AU37" i="18"/>
  <c r="AX37" i="18"/>
  <c r="AR38" i="18"/>
  <c r="AQ38" i="18"/>
  <c r="AN42" i="18"/>
  <c r="AT42" i="18"/>
  <c r="AO42" i="18"/>
  <c r="AR43" i="18"/>
  <c r="AQ43" i="18"/>
  <c r="AX3" i="18"/>
  <c r="AW3" i="18"/>
  <c r="AT3" i="18"/>
  <c r="AH3" i="18"/>
  <c r="Z3" i="18"/>
  <c r="T3" i="18"/>
  <c r="H3" i="18"/>
  <c r="L3" i="18"/>
  <c r="P3" i="18"/>
  <c r="AQ3" i="18"/>
  <c r="AC18" i="18"/>
  <c r="AL7" i="18"/>
  <c r="AP7" i="18"/>
  <c r="AT8" i="18"/>
  <c r="AX8" i="18"/>
  <c r="AS12" i="18"/>
  <c r="AX12" i="18"/>
  <c r="AS13" i="18"/>
  <c r="AO13" i="18"/>
  <c r="AS17" i="18"/>
  <c r="AO17" i="18"/>
  <c r="AR18" i="18"/>
  <c r="AQ18" i="18"/>
  <c r="AN22" i="18"/>
  <c r="AT22" i="18"/>
  <c r="AO22" i="18"/>
  <c r="AM23" i="18"/>
  <c r="AU23" i="18"/>
  <c r="AX23" i="18"/>
  <c r="AR27" i="18"/>
  <c r="AQ27" i="18"/>
  <c r="AL28" i="18"/>
  <c r="AS28" i="18"/>
  <c r="AP28" i="18"/>
  <c r="AN32" i="18"/>
  <c r="AT32" i="18"/>
  <c r="AO32" i="18"/>
  <c r="AM33" i="18"/>
  <c r="AU33" i="18"/>
  <c r="AX33" i="18"/>
  <c r="AR37" i="18"/>
  <c r="AQ37" i="18"/>
  <c r="AL38" i="18"/>
  <c r="AS38" i="18"/>
  <c r="AP38" i="18"/>
  <c r="AM42" i="18"/>
  <c r="AU42" i="18"/>
  <c r="AL43" i="18"/>
  <c r="AS43" i="18"/>
  <c r="AP43" i="18"/>
  <c r="AR3" i="18"/>
  <c r="AN3" i="18"/>
  <c r="AV3" i="18"/>
  <c r="AS3" i="18"/>
  <c r="AG3" i="18"/>
  <c r="Y3" i="18"/>
  <c r="E3" i="18"/>
  <c r="I3" i="18"/>
  <c r="M3" i="18"/>
  <c r="Q3" i="18"/>
  <c r="AU3" i="18"/>
  <c r="AN7" i="18"/>
  <c r="AU8" i="18"/>
  <c r="AU12" i="18"/>
  <c r="AT13" i="18"/>
  <c r="AT17" i="18"/>
  <c r="AS18" i="18"/>
  <c r="AM22" i="18"/>
  <c r="AX22" i="18"/>
  <c r="AQ23" i="18"/>
  <c r="AS27" i="18"/>
  <c r="AN28" i="18"/>
  <c r="AO28" i="18"/>
  <c r="AU32" i="18"/>
  <c r="AR33" i="18"/>
  <c r="AL37" i="18"/>
  <c r="AP37" i="18"/>
  <c r="AT38" i="18"/>
  <c r="AR42" i="18"/>
  <c r="AN43" i="18"/>
  <c r="AO43" i="18"/>
  <c r="AL3" i="18"/>
  <c r="V3" i="18"/>
  <c r="W3" i="18"/>
  <c r="J3" i="18"/>
  <c r="AM3" i="18"/>
  <c r="U37" i="18"/>
  <c r="U33" i="18"/>
  <c r="AO7" i="18"/>
  <c r="AM12" i="18"/>
  <c r="AQ13" i="18"/>
  <c r="AX17" i="18"/>
  <c r="AO18" i="18"/>
  <c r="AL23" i="18"/>
  <c r="AL27" i="18"/>
  <c r="AO27" i="18"/>
  <c r="AX28" i="18"/>
  <c r="AX32" i="18"/>
  <c r="AP33" i="18"/>
  <c r="AO37" i="18"/>
  <c r="AO38" i="18"/>
  <c r="AP42" i="18"/>
  <c r="AX43" i="18"/>
  <c r="U3" i="18"/>
  <c r="AD3" i="18"/>
  <c r="K3" i="18"/>
  <c r="AM8" i="18"/>
  <c r="AQ12" i="18"/>
  <c r="AL17" i="18"/>
  <c r="AN18" i="18"/>
  <c r="AR22" i="18"/>
  <c r="AR23" i="18"/>
  <c r="AN27" i="18"/>
  <c r="AM28" i="18"/>
  <c r="AM32" i="18"/>
  <c r="AL33" i="18"/>
  <c r="AN37" i="18"/>
  <c r="AN38" i="18"/>
  <c r="AL42" i="18"/>
  <c r="AM43" i="18"/>
  <c r="AO3" i="18"/>
  <c r="AC3" i="18"/>
  <c r="AB3" i="18"/>
  <c r="N3" i="18"/>
  <c r="AC27" i="18"/>
  <c r="AC43" i="18"/>
  <c r="AC33" i="18"/>
  <c r="AC66" i="19" s="1"/>
  <c r="AQ8" i="18"/>
  <c r="AN17" i="18"/>
  <c r="AU22" i="18"/>
  <c r="AT27" i="18"/>
  <c r="AR32" i="18"/>
  <c r="AS37" i="18"/>
  <c r="AS42" i="18"/>
  <c r="AY3" i="18"/>
  <c r="F3" i="18"/>
  <c r="U22" i="18"/>
  <c r="AL13" i="18"/>
  <c r="AS23" i="18"/>
  <c r="AT28" i="18"/>
  <c r="AM38" i="18"/>
  <c r="AK3" i="18"/>
  <c r="AS7" i="18"/>
  <c r="AP18" i="18"/>
  <c r="AP23" i="18"/>
  <c r="AU28" i="18"/>
  <c r="AU38" i="18"/>
  <c r="AE3" i="18"/>
  <c r="AL12" i="18"/>
  <c r="AU17" i="18"/>
  <c r="AQ22" i="18"/>
  <c r="AP27" i="18"/>
  <c r="AQ32" i="18"/>
  <c r="AT37" i="18"/>
  <c r="AQ42" i="18"/>
  <c r="AJ3" i="18"/>
  <c r="G3" i="18"/>
  <c r="AC28" i="18"/>
  <c r="AT18" i="18"/>
  <c r="AS33" i="18"/>
  <c r="AT43" i="18"/>
  <c r="O3" i="18"/>
  <c r="AN13" i="18"/>
  <c r="AQ33" i="18"/>
  <c r="AU43" i="18"/>
  <c r="AP3" i="18"/>
  <c r="AL62" i="10"/>
  <c r="F23" i="10"/>
  <c r="W8" i="10"/>
  <c r="AI22" i="10"/>
  <c r="AL16" i="10"/>
  <c r="AN41" i="10"/>
  <c r="AB26" i="10"/>
  <c r="AC28" i="10"/>
  <c r="AI21" i="10"/>
  <c r="AA53" i="10"/>
  <c r="AM23" i="10"/>
  <c r="AD27" i="10"/>
  <c r="N3" i="10"/>
  <c r="AB23" i="10"/>
  <c r="M16" i="10"/>
  <c r="U59" i="10"/>
  <c r="AA16" i="10"/>
  <c r="V11" i="10"/>
  <c r="AD20" i="10"/>
  <c r="Z41" i="10"/>
  <c r="Q16" i="10"/>
  <c r="H3" i="10"/>
  <c r="AG21" i="10"/>
  <c r="U7" i="10"/>
  <c r="T47" i="10"/>
  <c r="H23" i="10"/>
  <c r="W23" i="10"/>
  <c r="Y3" i="10"/>
  <c r="AN23" i="10"/>
  <c r="AJ51" i="10"/>
  <c r="AF23" i="10"/>
  <c r="AM27" i="10"/>
  <c r="AO59" i="10"/>
  <c r="AK26" i="10"/>
  <c r="V23" i="10"/>
  <c r="Q23" i="10"/>
  <c r="X47" i="10"/>
  <c r="U35" i="10"/>
  <c r="AH27" i="10"/>
  <c r="W11" i="10"/>
  <c r="AH20" i="10"/>
  <c r="AB22" i="10"/>
  <c r="K3" i="10"/>
  <c r="K16" i="10"/>
  <c r="AD16" i="10"/>
  <c r="AJ41" i="10"/>
  <c r="X11" i="10"/>
  <c r="AP56" i="10"/>
  <c r="AP21" i="10"/>
  <c r="N10" i="10"/>
  <c r="AO52" i="10"/>
  <c r="AB16" i="10"/>
  <c r="Q3" i="10"/>
  <c r="AL20" i="10"/>
  <c r="AG28" i="10"/>
  <c r="Z59" i="10"/>
  <c r="AL26" i="10"/>
  <c r="AO47" i="10"/>
  <c r="AO50" i="10"/>
  <c r="AA3" i="10"/>
  <c r="AL56" i="10"/>
  <c r="AP41" i="10"/>
  <c r="AD26" i="10"/>
  <c r="AE23" i="10"/>
  <c r="X59" i="10"/>
  <c r="AE28" i="10"/>
  <c r="Z8" i="10"/>
  <c r="AC20" i="10"/>
  <c r="AG22" i="10"/>
  <c r="V3" i="10"/>
  <c r="Z16" i="10"/>
  <c r="Y53" i="10"/>
  <c r="AP22" i="10"/>
  <c r="N13" i="10"/>
  <c r="AO46" i="10"/>
  <c r="AO22" i="10"/>
  <c r="W16" i="10"/>
  <c r="AL22" i="10"/>
  <c r="AE20" i="10"/>
  <c r="U29" i="10"/>
  <c r="R23" i="10"/>
  <c r="AE26" i="10"/>
  <c r="AP35" i="10"/>
  <c r="AO57" i="10"/>
  <c r="AN35" i="10"/>
  <c r="AJ45" i="10"/>
  <c r="AO35" i="10"/>
  <c r="AI26" i="10"/>
  <c r="U23" i="10"/>
  <c r="X35" i="10"/>
  <c r="AJ28" i="10"/>
  <c r="V10" i="10"/>
  <c r="AM20" i="10"/>
  <c r="AK22" i="10"/>
  <c r="F16" i="10"/>
  <c r="AI16" i="10"/>
  <c r="AP39" i="10"/>
  <c r="AP33" i="10"/>
  <c r="N7" i="10"/>
  <c r="N14" i="10"/>
  <c r="AO45" i="10"/>
  <c r="AO63" i="10"/>
  <c r="AH16" i="10"/>
  <c r="AL21" i="10"/>
  <c r="Y47" i="10"/>
  <c r="AO23" i="10"/>
  <c r="AO64" i="10"/>
  <c r="AN16" i="10"/>
  <c r="AJ23" i="10"/>
  <c r="Z29" i="10"/>
  <c r="V14" i="10"/>
  <c r="R3" i="10"/>
  <c r="X41" i="10"/>
  <c r="AP46" i="10"/>
  <c r="N8" i="10"/>
  <c r="AO56" i="10"/>
  <c r="AL53" i="10"/>
  <c r="Y16" i="10"/>
  <c r="I3" i="10"/>
  <c r="AJ20" i="10"/>
  <c r="V8" i="10"/>
  <c r="AB28" i="10"/>
  <c r="K23" i="10"/>
  <c r="AH26" i="10"/>
  <c r="AP59" i="10"/>
  <c r="W3" i="10"/>
  <c r="AI23" i="10"/>
  <c r="AO33" i="10"/>
  <c r="AL64" i="10"/>
  <c r="E23" i="10"/>
  <c r="AJ21" i="10"/>
  <c r="T41" i="10"/>
  <c r="AE27" i="10"/>
  <c r="AH23" i="10"/>
  <c r="AJ44" i="10"/>
  <c r="AO58" i="10"/>
  <c r="Z23" i="10"/>
  <c r="AI28" i="10"/>
  <c r="AO29" i="10"/>
  <c r="H16" i="10"/>
  <c r="V13" i="10"/>
  <c r="AC23" i="10"/>
  <c r="AM26" i="10"/>
  <c r="AL63" i="10"/>
  <c r="AO21" i="10"/>
  <c r="I23" i="10"/>
  <c r="AC27" i="10"/>
  <c r="AE21" i="10"/>
  <c r="R16" i="10"/>
  <c r="AP62" i="10"/>
  <c r="N11" i="10"/>
  <c r="T53" i="10"/>
  <c r="S16" i="10"/>
  <c r="AJ22" i="10"/>
  <c r="AB20" i="10"/>
  <c r="Z7" i="10"/>
  <c r="U47" i="10"/>
  <c r="T23" i="10"/>
  <c r="AK20" i="10"/>
  <c r="AM28" i="10"/>
  <c r="AG27" i="10"/>
  <c r="X3" i="10"/>
  <c r="V7" i="10"/>
  <c r="V16" i="10"/>
  <c r="G16" i="10"/>
  <c r="AC22" i="10"/>
  <c r="W13" i="10"/>
  <c r="Z35" i="10"/>
  <c r="X10" i="10"/>
  <c r="X53" i="10"/>
  <c r="AE22" i="10"/>
  <c r="AL59" i="10"/>
  <c r="AK28" i="10"/>
  <c r="AO62" i="10"/>
  <c r="AN53" i="10"/>
  <c r="AJ47" i="10"/>
  <c r="U13" i="10"/>
  <c r="F3" i="10"/>
  <c r="AM16" i="10"/>
  <c r="AO39" i="10"/>
  <c r="AG16" i="10"/>
  <c r="T3" i="10"/>
  <c r="AH21" i="10"/>
  <c r="U11" i="10"/>
  <c r="Y59" i="10"/>
  <c r="X23" i="10"/>
  <c r="AJ52" i="10"/>
  <c r="AP32" i="10"/>
  <c r="AC54" i="46"/>
  <c r="BK28" i="45"/>
  <c r="AU17" i="45"/>
  <c r="AK29" i="46"/>
  <c r="AU45" i="19"/>
  <c r="AK78" i="46"/>
  <c r="AU38" i="45"/>
  <c r="BI12" i="45"/>
  <c r="AR10" i="12"/>
  <c r="U99" i="22"/>
  <c r="U105" i="22"/>
  <c r="AR17" i="12"/>
  <c r="U128" i="22"/>
  <c r="U113" i="22"/>
  <c r="AU19" i="19"/>
  <c r="AF37" i="19"/>
  <c r="BK37" i="45"/>
  <c r="BK8" i="45"/>
  <c r="AC6" i="46"/>
  <c r="AK42" i="46"/>
  <c r="BI37" i="45"/>
  <c r="AC90" i="46"/>
  <c r="BK43" i="45"/>
  <c r="AU47" i="19"/>
  <c r="BI7" i="45"/>
  <c r="U5" i="46"/>
  <c r="AS7" i="45"/>
  <c r="BI22" i="45"/>
  <c r="AG16" i="12"/>
  <c r="V18" i="13"/>
  <c r="V17" i="13"/>
  <c r="W25" i="13" s="1"/>
  <c r="U103" i="22"/>
  <c r="U87" i="22"/>
  <c r="U115" i="22"/>
  <c r="U125" i="22"/>
  <c r="BK32" i="45"/>
  <c r="AC65" i="46"/>
  <c r="AU37" i="45"/>
  <c r="AK77" i="46"/>
  <c r="AK30" i="46"/>
  <c r="AU18" i="45"/>
  <c r="BK38" i="45"/>
  <c r="AC78" i="46"/>
  <c r="AC29" i="46"/>
  <c r="BK17" i="45"/>
  <c r="AK53" i="46"/>
  <c r="U91" i="22"/>
  <c r="U119" i="22"/>
  <c r="U132" i="22"/>
  <c r="AC42" i="46"/>
  <c r="AB53" i="13"/>
  <c r="AT21" i="12"/>
  <c r="AH22" i="12"/>
  <c r="AH21" i="12"/>
  <c r="V78" i="13"/>
  <c r="AR29" i="12"/>
  <c r="AE125" i="22"/>
  <c r="S68" i="22"/>
  <c r="AI68" i="22" s="1"/>
  <c r="V7" i="22"/>
  <c r="AF40" i="22"/>
  <c r="S30" i="22"/>
  <c r="U27" i="22"/>
  <c r="V56" i="22"/>
  <c r="AE117" i="22"/>
  <c r="Y51" i="22"/>
  <c r="Y44" i="22"/>
  <c r="P82" i="22"/>
  <c r="K3" i="22"/>
  <c r="U108" i="22"/>
  <c r="Y26" i="22"/>
  <c r="AD49" i="22"/>
  <c r="Y47" i="22"/>
  <c r="U11" i="22"/>
  <c r="U3" i="22"/>
  <c r="AD37" i="22"/>
  <c r="AF34" i="22"/>
  <c r="U17" i="22"/>
  <c r="V30" i="22"/>
  <c r="W10" i="22"/>
  <c r="W18" i="22"/>
  <c r="AH115" i="22"/>
  <c r="AC40" i="22"/>
  <c r="AI108" i="22"/>
  <c r="AB53" i="22"/>
  <c r="S117" i="22"/>
  <c r="AI117" i="22" s="1"/>
  <c r="AC36" i="22"/>
  <c r="AH101" i="22"/>
  <c r="AH60" i="22"/>
  <c r="X53" i="22"/>
  <c r="T13" i="22"/>
  <c r="AE51" i="22"/>
  <c r="Z51" i="22"/>
  <c r="Y22" i="22"/>
  <c r="W26" i="22"/>
  <c r="W20" i="22"/>
  <c r="V20" i="22"/>
  <c r="AD54" i="22"/>
  <c r="AF37" i="22"/>
  <c r="AD42" i="22"/>
  <c r="AC34" i="22"/>
  <c r="S96" i="22"/>
  <c r="AI96" i="22" s="1"/>
  <c r="AH98" i="22"/>
  <c r="AH34" i="22"/>
  <c r="T19" i="22"/>
  <c r="AE113" i="22"/>
  <c r="Z44" i="22"/>
  <c r="Y18" i="22"/>
  <c r="N19" i="22"/>
  <c r="X19" i="22" s="1"/>
  <c r="W17" i="22"/>
  <c r="V17" i="22"/>
  <c r="AB50" i="22"/>
  <c r="AH96" i="22"/>
  <c r="AH49" i="22"/>
  <c r="T27" i="22"/>
  <c r="AE119" i="22"/>
  <c r="Z38" i="22"/>
  <c r="Y15" i="22"/>
  <c r="N9" i="22"/>
  <c r="X9" i="22" s="1"/>
  <c r="W14" i="22"/>
  <c r="V18" i="22"/>
  <c r="V15" i="22"/>
  <c r="Y20" i="22"/>
  <c r="X55" i="22"/>
  <c r="AH70" i="22"/>
  <c r="S98" i="22"/>
  <c r="AI98" i="22" s="1"/>
  <c r="W28" i="22"/>
  <c r="AH94" i="22"/>
  <c r="AH108" i="22"/>
  <c r="AC42" i="22"/>
  <c r="N12" i="22"/>
  <c r="X12" i="22" s="1"/>
  <c r="N14" i="22"/>
  <c r="X14" i="22" s="1"/>
  <c r="S123" i="22"/>
  <c r="AI123" i="22" s="1"/>
  <c r="N16" i="22"/>
  <c r="X16" i="22" s="1"/>
  <c r="AH63" i="22"/>
  <c r="AH67" i="22"/>
  <c r="AH71" i="22"/>
  <c r="AH76" i="22"/>
  <c r="AH81" i="22"/>
  <c r="AH37" i="22"/>
  <c r="AH41" i="22"/>
  <c r="AH45" i="22"/>
  <c r="AH50" i="22"/>
  <c r="AH55" i="22"/>
  <c r="AH89" i="22"/>
  <c r="AH93" i="22"/>
  <c r="AH97" i="22"/>
  <c r="AH102" i="22"/>
  <c r="AH107" i="22"/>
  <c r="AH116" i="22"/>
  <c r="AH120" i="22"/>
  <c r="AH124" i="22"/>
  <c r="AH129" i="22"/>
  <c r="AC105" i="22"/>
  <c r="S86" i="22"/>
  <c r="AI86" i="22" s="1"/>
  <c r="S133" i="22"/>
  <c r="AI133" i="22" s="1"/>
  <c r="S75" i="22"/>
  <c r="AC103" i="22"/>
  <c r="AB55" i="22"/>
  <c r="AC86" i="22"/>
  <c r="AB43" i="22"/>
  <c r="AB41" i="22"/>
  <c r="AH92" i="22"/>
  <c r="AH54" i="22"/>
  <c r="X43" i="22"/>
  <c r="AE133" i="22"/>
  <c r="AE42" i="22"/>
  <c r="Y9" i="22"/>
  <c r="Y27" i="22"/>
  <c r="W8" i="22"/>
  <c r="V8" i="22"/>
  <c r="V26" i="22"/>
  <c r="Y53" i="22"/>
  <c r="AD38" i="22"/>
  <c r="Y43" i="22"/>
  <c r="AB39" i="22"/>
  <c r="AH90" i="22"/>
  <c r="X50" i="22"/>
  <c r="T11" i="22"/>
  <c r="AE49" i="22"/>
  <c r="Z54" i="22"/>
  <c r="Y23" i="22"/>
  <c r="N7" i="22"/>
  <c r="W7" i="22"/>
  <c r="V22" i="22"/>
  <c r="AB30" i="22"/>
  <c r="AI56" i="22"/>
  <c r="AG30" i="22"/>
  <c r="T17" i="22"/>
  <c r="AE108" i="22"/>
  <c r="Z46" i="22"/>
  <c r="Y19" i="22"/>
  <c r="N17" i="22"/>
  <c r="X17" i="22" s="1"/>
  <c r="X3" i="22"/>
  <c r="V23" i="22"/>
  <c r="W15" i="22"/>
  <c r="Z49" i="22"/>
  <c r="S34" i="22"/>
  <c r="S62" i="22"/>
  <c r="AI62" i="22" s="1"/>
  <c r="S113" i="22"/>
  <c r="AI113" i="22" s="1"/>
  <c r="S66" i="22"/>
  <c r="AH88" i="22"/>
  <c r="AH121" i="22"/>
  <c r="AH40" i="22"/>
  <c r="S106" i="22"/>
  <c r="AI106" i="22" s="1"/>
  <c r="AH131" i="22"/>
  <c r="AC90" i="22"/>
  <c r="S61" i="22"/>
  <c r="AI61" i="22" s="1"/>
  <c r="S65" i="22"/>
  <c r="AI65" i="22" s="1"/>
  <c r="S69" i="22"/>
  <c r="S73" i="22"/>
  <c r="AI73" i="22" s="1"/>
  <c r="S79" i="22"/>
  <c r="AI79" i="22" s="1"/>
  <c r="S35" i="22"/>
  <c r="S39" i="22"/>
  <c r="AI39" i="22" s="1"/>
  <c r="S43" i="22"/>
  <c r="AI43" i="22" s="1"/>
  <c r="S47" i="22"/>
  <c r="AI47" i="22" s="1"/>
  <c r="S53" i="22"/>
  <c r="AI53" i="22" s="1"/>
  <c r="S87" i="22"/>
  <c r="AI87" i="22" s="1"/>
  <c r="S91" i="22"/>
  <c r="AI91" i="22" s="1"/>
  <c r="S95" i="22"/>
  <c r="AI95" i="22" s="1"/>
  <c r="S99" i="22"/>
  <c r="AI99" i="22" s="1"/>
  <c r="S105" i="22"/>
  <c r="AI105" i="22" s="1"/>
  <c r="S114" i="22"/>
  <c r="AI114" i="22" s="1"/>
  <c r="S118" i="22"/>
  <c r="AI118" i="22" s="1"/>
  <c r="S122" i="22"/>
  <c r="W122" i="22" s="1"/>
  <c r="S127" i="22"/>
  <c r="AI127" i="22" s="1"/>
  <c r="S132" i="22"/>
  <c r="AI132" i="22" s="1"/>
  <c r="AC102" i="22"/>
  <c r="AC93" i="22"/>
  <c r="AC82" i="22"/>
  <c r="AH86" i="22"/>
  <c r="AH133" i="22"/>
  <c r="AH75" i="22"/>
  <c r="AC94" i="22"/>
  <c r="AB45" i="22"/>
  <c r="AC46" i="22"/>
  <c r="AB35" i="22"/>
  <c r="AH128" i="22"/>
  <c r="S112" i="22"/>
  <c r="AI112" i="22" s="1"/>
  <c r="AH77" i="22"/>
  <c r="AH44" i="22"/>
  <c r="X35" i="22"/>
  <c r="AE123" i="22"/>
  <c r="AE34" i="22"/>
  <c r="Y13" i="22"/>
  <c r="N13" i="22"/>
  <c r="W12" i="22"/>
  <c r="V12" i="22"/>
  <c r="V3" i="22"/>
  <c r="AF50" i="22"/>
  <c r="Y39" i="22"/>
  <c r="AF45" i="22"/>
  <c r="S128" i="22"/>
  <c r="AI128" i="22" s="1"/>
  <c r="S88" i="22"/>
  <c r="AI88" i="22" s="1"/>
  <c r="AH51" i="22"/>
  <c r="X41" i="22"/>
  <c r="AE131" i="22"/>
  <c r="AE40" i="22"/>
  <c r="Y10" i="22"/>
  <c r="Y28" i="22"/>
  <c r="W27" i="22"/>
  <c r="V9" i="22"/>
  <c r="V27" i="22"/>
  <c r="AH125" i="22"/>
  <c r="AH72" i="22"/>
  <c r="X47" i="22"/>
  <c r="T9" i="22"/>
  <c r="AE46" i="22"/>
  <c r="Z35" i="22"/>
  <c r="Y24" i="22"/>
  <c r="N27" i="22"/>
  <c r="X27" i="22" s="1"/>
  <c r="V10" i="22"/>
  <c r="V28" i="22"/>
  <c r="N24" i="22"/>
  <c r="AE54" i="22"/>
  <c r="S49" i="22"/>
  <c r="AI49" i="22" s="1"/>
  <c r="S77" i="22"/>
  <c r="AB47" i="22"/>
  <c r="S92" i="22"/>
  <c r="AI92" i="22" s="1"/>
  <c r="S121" i="22"/>
  <c r="AI121" i="22" s="1"/>
  <c r="N8" i="22"/>
  <c r="X8" i="22" s="1"/>
  <c r="AC98" i="22"/>
  <c r="AH61" i="22"/>
  <c r="AH65" i="22"/>
  <c r="AH69" i="22"/>
  <c r="AH73" i="22"/>
  <c r="AH79" i="22"/>
  <c r="AH35" i="22"/>
  <c r="AH39" i="22"/>
  <c r="AH43" i="22"/>
  <c r="AH47" i="22"/>
  <c r="AH53" i="22"/>
  <c r="AH87" i="22"/>
  <c r="AH91" i="22"/>
  <c r="AH95" i="22"/>
  <c r="AH99" i="22"/>
  <c r="AH105" i="22"/>
  <c r="AH114" i="22"/>
  <c r="AH118" i="22"/>
  <c r="AH122" i="22"/>
  <c r="AH127" i="22"/>
  <c r="AH132" i="22"/>
  <c r="AC99" i="22"/>
  <c r="AC91" i="22"/>
  <c r="AG56" i="22"/>
  <c r="N10" i="22"/>
  <c r="X10" i="22" s="1"/>
  <c r="N18" i="22"/>
  <c r="S115" i="22"/>
  <c r="AI115" i="22" s="1"/>
  <c r="AC49" i="22"/>
  <c r="AB37" i="22"/>
  <c r="AC38" i="22"/>
  <c r="S125" i="22"/>
  <c r="AI125" i="22" s="1"/>
  <c r="AC55" i="22"/>
  <c r="AH119" i="22"/>
  <c r="AH68" i="22"/>
  <c r="AH36" i="22"/>
  <c r="T22" i="22"/>
  <c r="AE115" i="22"/>
  <c r="Z42" i="22"/>
  <c r="Y17" i="22"/>
  <c r="N22" i="22"/>
  <c r="X22" i="22" s="1"/>
  <c r="W16" i="22"/>
  <c r="V16" i="22"/>
  <c r="AF55" i="22"/>
  <c r="AF35" i="22"/>
  <c r="AF41" i="22"/>
  <c r="AC51" i="22"/>
  <c r="AH117" i="22"/>
  <c r="AI82" i="22"/>
  <c r="AH42" i="22"/>
  <c r="X30" i="22"/>
  <c r="AE121" i="22"/>
  <c r="Z36" i="22"/>
  <c r="Y14" i="22"/>
  <c r="N11" i="22"/>
  <c r="X11" i="22" s="1"/>
  <c r="W9" i="22"/>
  <c r="V13" i="22"/>
  <c r="AC44" i="22"/>
  <c r="AH106" i="22"/>
  <c r="AH64" i="22"/>
  <c r="X39" i="22"/>
  <c r="AE128" i="22"/>
  <c r="AE38" i="22"/>
  <c r="Y11" i="22"/>
  <c r="Y7" i="22"/>
  <c r="V14" i="22"/>
  <c r="W13" i="22"/>
  <c r="T15" i="22"/>
  <c r="S54" i="22"/>
  <c r="AI54" i="22" s="1"/>
  <c r="S94" i="22"/>
  <c r="AI94" i="22" s="1"/>
  <c r="N28" i="22"/>
  <c r="X28" i="22" s="1"/>
  <c r="AH66" i="22"/>
  <c r="S103" i="22"/>
  <c r="AI103" i="22" s="1"/>
  <c r="S131" i="22"/>
  <c r="AI131" i="22" s="1"/>
  <c r="N20" i="22"/>
  <c r="N23" i="22"/>
  <c r="AH113" i="22"/>
  <c r="N26" i="22"/>
  <c r="S63" i="22"/>
  <c r="S67" i="22"/>
  <c r="AI67" i="22" s="1"/>
  <c r="S71" i="22"/>
  <c r="AI71" i="22" s="1"/>
  <c r="S76" i="22"/>
  <c r="AI76" i="22" s="1"/>
  <c r="S81" i="22"/>
  <c r="AI81" i="22" s="1"/>
  <c r="S37" i="22"/>
  <c r="AI37" i="22" s="1"/>
  <c r="S41" i="22"/>
  <c r="AI41" i="22" s="1"/>
  <c r="S45" i="22"/>
  <c r="AI45" i="22" s="1"/>
  <c r="S50" i="22"/>
  <c r="AI50" i="22" s="1"/>
  <c r="S55" i="22"/>
  <c r="AI55" i="22" s="1"/>
  <c r="S89" i="22"/>
  <c r="AI89" i="22" s="1"/>
  <c r="S93" i="22"/>
  <c r="AI93" i="22" s="1"/>
  <c r="S97" i="22"/>
  <c r="AI97" i="22" s="1"/>
  <c r="S102" i="22"/>
  <c r="AI102" i="22" s="1"/>
  <c r="S107" i="22"/>
  <c r="AI107" i="22" s="1"/>
  <c r="S116" i="22"/>
  <c r="AI116" i="22" s="1"/>
  <c r="S120" i="22"/>
  <c r="AI120" i="22" s="1"/>
  <c r="S124" i="22"/>
  <c r="AI124" i="22" s="1"/>
  <c r="S129" i="22"/>
  <c r="AI129" i="22" s="1"/>
  <c r="AC107" i="22"/>
  <c r="AC95" i="22"/>
  <c r="Z3" i="22"/>
  <c r="Z47" i="22"/>
  <c r="Z39" i="22"/>
  <c r="AE37" i="22"/>
  <c r="AE45" i="22"/>
  <c r="AE55" i="22"/>
  <c r="AE118" i="22"/>
  <c r="AE127" i="22"/>
  <c r="T8" i="22"/>
  <c r="T16" i="22"/>
  <c r="T26" i="22"/>
  <c r="X38" i="22"/>
  <c r="X46" i="22"/>
  <c r="AA30" i="22"/>
  <c r="AG108" i="22"/>
  <c r="AB38" i="22"/>
  <c r="AB46" i="22"/>
  <c r="AC30" i="22"/>
  <c r="AC41" i="22"/>
  <c r="AC50" i="22"/>
  <c r="AC92" i="22"/>
  <c r="P20" i="22"/>
  <c r="U82" i="22"/>
  <c r="U13" i="22"/>
  <c r="AF46" i="22"/>
  <c r="AF51" i="22"/>
  <c r="AI30" i="22"/>
  <c r="V108" i="22"/>
  <c r="U19" i="22"/>
  <c r="AD44" i="22"/>
  <c r="Y3" i="22"/>
  <c r="AF53" i="22"/>
  <c r="Y45" i="22"/>
  <c r="U10" i="22"/>
  <c r="G30" i="22"/>
  <c r="AD55" i="22"/>
  <c r="AF43" i="22"/>
  <c r="U14" i="22"/>
  <c r="U30" i="22"/>
  <c r="AH123" i="22"/>
  <c r="AC89" i="22"/>
  <c r="Z55" i="22"/>
  <c r="Z45" i="22"/>
  <c r="Z37" i="22"/>
  <c r="AE39" i="22"/>
  <c r="AE47" i="22"/>
  <c r="AE112" i="22"/>
  <c r="AE120" i="22"/>
  <c r="AE129" i="22"/>
  <c r="T10" i="22"/>
  <c r="T18" i="22"/>
  <c r="T28" i="22"/>
  <c r="X40" i="22"/>
  <c r="X49" i="22"/>
  <c r="AH30" i="22"/>
  <c r="AH112" i="22"/>
  <c r="AB40" i="22"/>
  <c r="AB49" i="22"/>
  <c r="AC35" i="22"/>
  <c r="AC43" i="22"/>
  <c r="AC53" i="22"/>
  <c r="AC96" i="22"/>
  <c r="Q7" i="22"/>
  <c r="T30" i="22"/>
  <c r="P108" i="22"/>
  <c r="AH46" i="22"/>
  <c r="V24" i="22"/>
  <c r="S51" i="22"/>
  <c r="AI51" i="22" s="1"/>
  <c r="T56" i="22"/>
  <c r="U8" i="22"/>
  <c r="AF39" i="22"/>
  <c r="T7" i="22"/>
  <c r="AF49" i="22"/>
  <c r="Y34" i="22"/>
  <c r="U18" i="22"/>
  <c r="Z30" i="22"/>
  <c r="Y50" i="22"/>
  <c r="S108" i="22"/>
  <c r="U23" i="22"/>
  <c r="W56" i="22"/>
  <c r="AC87" i="22"/>
  <c r="Z53" i="22"/>
  <c r="Z43" i="22"/>
  <c r="AE30" i="22"/>
  <c r="AE41" i="22"/>
  <c r="AE50" i="22"/>
  <c r="AE114" i="22"/>
  <c r="AE122" i="22"/>
  <c r="AE132" i="22"/>
  <c r="T12" i="22"/>
  <c r="T20" i="22"/>
  <c r="X34" i="22"/>
  <c r="X42" i="22"/>
  <c r="X51" i="22"/>
  <c r="AH56" i="22"/>
  <c r="AB34" i="22"/>
  <c r="AB42" i="22"/>
  <c r="AB51" i="22"/>
  <c r="AC37" i="22"/>
  <c r="AC45" i="22"/>
  <c r="AG82" i="22"/>
  <c r="AC101" i="22"/>
  <c r="Q19" i="22"/>
  <c r="T70" i="22"/>
  <c r="P3" i="22"/>
  <c r="S82" i="22"/>
  <c r="Y42" i="22"/>
  <c r="W11" i="22"/>
  <c r="S101" i="22"/>
  <c r="AI101" i="22" s="1"/>
  <c r="E30" i="22"/>
  <c r="R30" i="22"/>
  <c r="Y35" i="22"/>
  <c r="Y16" i="22"/>
  <c r="Y38" i="22"/>
  <c r="S56" i="22"/>
  <c r="U28" i="22"/>
  <c r="W82" i="22"/>
  <c r="AD36" i="22"/>
  <c r="Q108" i="22"/>
  <c r="H3" i="22"/>
  <c r="W108" i="22"/>
  <c r="AC97" i="22"/>
  <c r="AC54" i="22"/>
  <c r="Z50" i="22"/>
  <c r="Z41" i="22"/>
  <c r="AE35" i="22"/>
  <c r="AE43" i="22"/>
  <c r="AE53" i="22"/>
  <c r="AE116" i="22"/>
  <c r="AE124" i="22"/>
  <c r="T3" i="22"/>
  <c r="T14" i="22"/>
  <c r="T23" i="22"/>
  <c r="X36" i="22"/>
  <c r="X44" i="22"/>
  <c r="X54" i="22"/>
  <c r="AH82" i="22"/>
  <c r="AB36" i="22"/>
  <c r="AB44" i="22"/>
  <c r="AB54" i="22"/>
  <c r="AC39" i="22"/>
  <c r="AC47" i="22"/>
  <c r="AC88" i="22"/>
  <c r="AC106" i="22"/>
  <c r="P27" i="22"/>
  <c r="T63" i="22"/>
  <c r="V63" i="22" s="1"/>
  <c r="U26" i="22"/>
  <c r="AD46" i="22"/>
  <c r="Y37" i="22"/>
  <c r="Z40" i="22"/>
  <c r="S119" i="22"/>
  <c r="G3" i="22"/>
  <c r="Z34" i="22"/>
  <c r="AF54" i="22"/>
  <c r="V19" i="22"/>
  <c r="AD41" i="22"/>
  <c r="P30" i="22"/>
  <c r="N3" i="22"/>
  <c r="AE36" i="22"/>
  <c r="Y40" i="22"/>
  <c r="M30" i="22"/>
  <c r="S3" i="22"/>
  <c r="S80" i="22"/>
  <c r="AH80" i="22"/>
  <c r="V90" i="13"/>
  <c r="AR31" i="12"/>
  <c r="W24" i="22"/>
  <c r="V54" i="13"/>
  <c r="AR22" i="12"/>
  <c r="AI72" i="22"/>
  <c r="AI64" i="22"/>
  <c r="V66" i="13"/>
  <c r="AR24" i="12"/>
  <c r="AG24" i="12"/>
  <c r="V41" i="13"/>
  <c r="AR16" i="12"/>
  <c r="AT31" i="12"/>
  <c r="AB90" i="13"/>
  <c r="AH30" i="12"/>
  <c r="BF60" i="46"/>
  <c r="AU14" i="19"/>
  <c r="AT10" i="12"/>
  <c r="AB18" i="13"/>
  <c r="U66" i="46"/>
  <c r="BI33" i="45"/>
  <c r="AT17" i="12"/>
  <c r="AC16" i="12"/>
  <c r="AC17" i="12"/>
  <c r="AF17" i="12" s="1"/>
  <c r="AC14" i="12"/>
  <c r="AF14" i="12" s="1"/>
  <c r="AB15" i="12"/>
  <c r="AE15" i="12" s="1"/>
  <c r="AC15" i="12"/>
  <c r="AF15" i="12" s="1"/>
  <c r="AB17" i="12"/>
  <c r="AE17" i="12" s="1"/>
  <c r="AB14" i="12"/>
  <c r="AE14" i="12" s="1"/>
  <c r="AU27" i="19"/>
  <c r="AJ18" i="18"/>
  <c r="AB29" i="12"/>
  <c r="AB30" i="12"/>
  <c r="AE30" i="12" s="1"/>
  <c r="AB31" i="12"/>
  <c r="AE31" i="12" s="1"/>
  <c r="AB28" i="12"/>
  <c r="AC28" i="12"/>
  <c r="AR46" i="13"/>
  <c r="AR80" i="13"/>
  <c r="AR62" i="13"/>
  <c r="AU98" i="19"/>
  <c r="BF31" i="46"/>
  <c r="AU71" i="19"/>
  <c r="W9" i="12"/>
  <c r="Z9" i="12" s="1"/>
  <c r="W14" i="12"/>
  <c r="Z14" i="12" s="1"/>
  <c r="W21" i="12"/>
  <c r="Z21" i="12" s="1"/>
  <c r="W29" i="12"/>
  <c r="Z29" i="12" s="1"/>
  <c r="W30" i="12"/>
  <c r="V22" i="12"/>
  <c r="Y22" i="12" s="1"/>
  <c r="V29" i="12"/>
  <c r="Y29" i="12" s="1"/>
  <c r="V14" i="12"/>
  <c r="Y14" i="12" s="1"/>
  <c r="V31" i="12"/>
  <c r="Y31" i="12" s="1"/>
  <c r="W10" i="12"/>
  <c r="Z10" i="12" s="1"/>
  <c r="W16" i="12"/>
  <c r="Z16" i="12" s="1"/>
  <c r="W28" i="12"/>
  <c r="Z28" i="12" s="1"/>
  <c r="V9" i="12"/>
  <c r="Y9" i="12" s="1"/>
  <c r="V15" i="12"/>
  <c r="Y15" i="12" s="1"/>
  <c r="W22" i="12"/>
  <c r="Z22" i="12" s="1"/>
  <c r="V28" i="12"/>
  <c r="Y28" i="12" s="1"/>
  <c r="W7" i="12"/>
  <c r="V10" i="12"/>
  <c r="Y10" i="12" s="1"/>
  <c r="V17" i="12"/>
  <c r="Y17" i="12" s="1"/>
  <c r="W17" i="12"/>
  <c r="Z17" i="12" s="1"/>
  <c r="W8" i="12"/>
  <c r="Z8" i="12" s="1"/>
  <c r="V30" i="12"/>
  <c r="V23" i="12"/>
  <c r="Y23" i="12" s="1"/>
  <c r="V7" i="12"/>
  <c r="V8" i="12"/>
  <c r="Y8" i="12" s="1"/>
  <c r="V21" i="12"/>
  <c r="W15" i="12"/>
  <c r="Z15" i="12" s="1"/>
  <c r="W31" i="12"/>
  <c r="Z31" i="12" s="1"/>
  <c r="V24" i="12"/>
  <c r="Y24" i="12" s="1"/>
  <c r="W24" i="12"/>
  <c r="Z24" i="12" s="1"/>
  <c r="W23" i="12"/>
  <c r="Z23" i="12" s="1"/>
  <c r="V16" i="12"/>
  <c r="Y16" i="12" s="1"/>
  <c r="AY42" i="18"/>
  <c r="AJ43" i="18"/>
  <c r="AJ42" i="18"/>
  <c r="U89" i="19"/>
  <c r="AR85" i="13"/>
  <c r="AU26" i="28"/>
  <c r="Q11" i="24"/>
  <c r="S11" i="24" s="1"/>
  <c r="T20" i="24"/>
  <c r="V20" i="24" s="1"/>
  <c r="T22" i="24"/>
  <c r="V22" i="24" s="1"/>
  <c r="AB42" i="13"/>
  <c r="AH9" i="12"/>
  <c r="AC31" i="12"/>
  <c r="AF31" i="12" s="1"/>
  <c r="AR55" i="13"/>
  <c r="U112" i="22"/>
  <c r="W112" i="22" s="1"/>
  <c r="U114" i="22"/>
  <c r="AU83" i="19"/>
  <c r="AU65" i="28"/>
  <c r="W61" i="28"/>
  <c r="AV61" i="28" s="1"/>
  <c r="Q14" i="24"/>
  <c r="S14" i="24" s="1"/>
  <c r="AU10" i="9"/>
  <c r="AU34" i="19"/>
  <c r="AU10" i="19"/>
  <c r="AR92" i="13"/>
  <c r="AR91" i="13"/>
  <c r="AR60" i="13"/>
  <c r="AR63" i="13"/>
  <c r="AC18" i="46"/>
  <c r="BK13" i="45"/>
  <c r="BF80" i="46"/>
  <c r="BF58" i="46"/>
  <c r="AP48" i="13"/>
  <c r="BD63" i="46"/>
  <c r="BD74" i="46"/>
  <c r="U123" i="22"/>
  <c r="U120" i="22"/>
  <c r="U131" i="22"/>
  <c r="U124" i="22"/>
  <c r="U116" i="22"/>
  <c r="W116" i="22" s="1"/>
  <c r="U127" i="22"/>
  <c r="AT27" i="45"/>
  <c r="BK27" i="45"/>
  <c r="AT28" i="45"/>
  <c r="AC53" i="46"/>
  <c r="AR59" i="13"/>
  <c r="AR79" i="13"/>
  <c r="BF63" i="46"/>
  <c r="AU24" i="19"/>
  <c r="AI90" i="22"/>
  <c r="AU36" i="19"/>
  <c r="AP49" i="13"/>
  <c r="AU74" i="19"/>
  <c r="U18" i="46"/>
  <c r="BI13" i="45"/>
  <c r="AU48" i="19"/>
  <c r="T89" i="22"/>
  <c r="T90" i="22"/>
  <c r="V90" i="22" s="1"/>
  <c r="T107" i="22"/>
  <c r="T101" i="22"/>
  <c r="T92" i="22"/>
  <c r="BI23" i="45"/>
  <c r="U42" i="46"/>
  <c r="BF85" i="46"/>
  <c r="U93" i="22"/>
  <c r="W93" i="22" s="1"/>
  <c r="U106" i="22"/>
  <c r="U90" i="22"/>
  <c r="W90" i="22" s="1"/>
  <c r="U98" i="22"/>
  <c r="U88" i="22"/>
  <c r="U86" i="22"/>
  <c r="U107" i="22"/>
  <c r="U97" i="22"/>
  <c r="U92" i="22"/>
  <c r="U89" i="22"/>
  <c r="U102" i="22"/>
  <c r="U101" i="22"/>
  <c r="U94" i="22"/>
  <c r="AR96" i="13"/>
  <c r="AY7" i="18"/>
  <c r="AP47" i="13"/>
  <c r="U55" i="22"/>
  <c r="U51" i="22"/>
  <c r="U45" i="22"/>
  <c r="U37" i="22"/>
  <c r="U53" i="22"/>
  <c r="U47" i="22"/>
  <c r="U50" i="22"/>
  <c r="U39" i="22"/>
  <c r="U35" i="22"/>
  <c r="U42" i="22"/>
  <c r="U44" i="22"/>
  <c r="W44" i="22" s="1"/>
  <c r="U40" i="22"/>
  <c r="W40" i="22" s="1"/>
  <c r="U41" i="22"/>
  <c r="U36" i="22"/>
  <c r="U54" i="22"/>
  <c r="U43" i="22"/>
  <c r="AH10" i="12"/>
  <c r="AU53" i="28"/>
  <c r="AU61" i="28"/>
  <c r="T44" i="24"/>
  <c r="V44" i="24" s="1"/>
  <c r="R13" i="24"/>
  <c r="T13" i="24" s="1"/>
  <c r="R14" i="24"/>
  <c r="T14" i="24" s="1"/>
  <c r="AU12" i="9"/>
  <c r="AB16" i="12"/>
  <c r="U129" i="22"/>
  <c r="W129" i="22" s="1"/>
  <c r="U118" i="22"/>
  <c r="U121" i="22"/>
  <c r="R11" i="24"/>
  <c r="T11" i="24" s="1"/>
  <c r="Q10" i="24"/>
  <c r="S10" i="24" s="1"/>
  <c r="Q13" i="24"/>
  <c r="S13" i="24" s="1"/>
  <c r="Y11" i="24"/>
  <c r="P14" i="24"/>
  <c r="Y14" i="24"/>
  <c r="AI22" i="24"/>
  <c r="Y13" i="24"/>
  <c r="P13" i="24"/>
  <c r="AI32" i="24"/>
  <c r="AI20" i="24"/>
  <c r="AI46" i="24"/>
  <c r="Y10" i="24"/>
  <c r="P10" i="24"/>
  <c r="P8" i="24"/>
  <c r="S8" i="24"/>
  <c r="Y8" i="24"/>
  <c r="AI44" i="24"/>
  <c r="Y7" i="24"/>
  <c r="P7" i="24"/>
  <c r="AI33" i="24"/>
  <c r="AI34" i="24"/>
  <c r="AI58" i="24"/>
  <c r="V58" i="24"/>
  <c r="P11" i="24"/>
  <c r="AW67" i="17"/>
  <c r="AP82" i="29"/>
  <c r="AU31" i="19"/>
  <c r="AB5" i="13"/>
  <c r="AH7" i="12"/>
  <c r="AT7" i="12"/>
  <c r="AR74" i="13"/>
  <c r="AP60" i="13"/>
  <c r="AU7" i="19"/>
  <c r="AP38" i="10"/>
  <c r="AG20" i="16"/>
  <c r="Q20" i="16"/>
  <c r="R20" i="16"/>
  <c r="AD20" i="16"/>
  <c r="AG22" i="16"/>
  <c r="Q5" i="23"/>
  <c r="P5" i="28"/>
  <c r="Q8" i="28" s="1"/>
  <c r="T5" i="25"/>
  <c r="AG23" i="16"/>
  <c r="P5" i="27"/>
  <c r="Q14" i="27" s="1"/>
  <c r="P5" i="17"/>
  <c r="P10" i="17" s="1"/>
  <c r="X5" i="45"/>
  <c r="AF22" i="16"/>
  <c r="P5" i="23"/>
  <c r="Q12" i="23" s="1"/>
  <c r="W5" i="45"/>
  <c r="Q22" i="16"/>
  <c r="AH22" i="16"/>
  <c r="Q5" i="17"/>
  <c r="S5" i="25"/>
  <c r="Q5" i="27"/>
  <c r="R22" i="16"/>
  <c r="Q5" i="28"/>
  <c r="R6" i="16"/>
  <c r="Q6" i="16"/>
  <c r="AG6" i="16"/>
  <c r="AD6" i="16"/>
  <c r="AX132" i="27"/>
  <c r="AV88" i="27"/>
  <c r="AW119" i="17"/>
  <c r="AW65" i="17"/>
  <c r="AX46" i="27"/>
  <c r="W21" i="38"/>
  <c r="AP21" i="38"/>
  <c r="V21" i="38"/>
  <c r="AW101" i="17"/>
  <c r="AP97" i="13"/>
  <c r="AR83" i="29"/>
  <c r="AU12" i="19"/>
  <c r="AW79" i="17"/>
  <c r="BD81" i="46"/>
  <c r="AU99" i="19"/>
  <c r="AR32" i="13"/>
  <c r="AP62" i="29"/>
  <c r="AT29" i="12"/>
  <c r="AB78" i="13"/>
  <c r="AE29" i="12"/>
  <c r="U89" i="46"/>
  <c r="BI42" i="45"/>
  <c r="AT12" i="45"/>
  <c r="AC17" i="46"/>
  <c r="AT13" i="45"/>
  <c r="BK12" i="45"/>
  <c r="AU39" i="19"/>
  <c r="BF23" i="46"/>
  <c r="AA58" i="23"/>
  <c r="U36" i="24"/>
  <c r="AM15" i="45"/>
  <c r="Q11" i="16"/>
  <c r="Y36" i="10"/>
  <c r="AD20" i="18"/>
  <c r="AN15" i="45"/>
  <c r="AD58" i="27"/>
  <c r="AE31" i="28"/>
  <c r="AE20" i="18"/>
  <c r="R11" i="16"/>
  <c r="AB58" i="23"/>
  <c r="AD37" i="28"/>
  <c r="AD15" i="18"/>
  <c r="AD11" i="16"/>
  <c r="T36" i="24"/>
  <c r="AB20" i="25"/>
  <c r="AN20" i="45"/>
  <c r="AD58" i="17"/>
  <c r="X36" i="10"/>
  <c r="AA20" i="25"/>
  <c r="AE58" i="17"/>
  <c r="AE37" i="28"/>
  <c r="AE58" i="27"/>
  <c r="AE15" i="18"/>
  <c r="AG11" i="16"/>
  <c r="AM20" i="45"/>
  <c r="AD31" i="28"/>
  <c r="Q12" i="16"/>
  <c r="R12" i="16"/>
  <c r="AD12" i="16"/>
  <c r="AG12" i="16"/>
  <c r="AG18" i="16"/>
  <c r="Q18" i="16"/>
  <c r="R18" i="16"/>
  <c r="AD18" i="16"/>
  <c r="AD19" i="16"/>
  <c r="AA110" i="23"/>
  <c r="U60" i="24"/>
  <c r="T60" i="24"/>
  <c r="AA40" i="25"/>
  <c r="AM35" i="45"/>
  <c r="AN40" i="45"/>
  <c r="AG19" i="16"/>
  <c r="AD110" i="27"/>
  <c r="AB110" i="23"/>
  <c r="AE63" i="28"/>
  <c r="AD63" i="28"/>
  <c r="AM40" i="45"/>
  <c r="AD40" i="18"/>
  <c r="R19" i="16"/>
  <c r="AE110" i="27"/>
  <c r="AE110" i="17"/>
  <c r="AD57" i="28"/>
  <c r="AE57" i="28"/>
  <c r="AE40" i="18"/>
  <c r="AD35" i="18"/>
  <c r="Y60" i="10"/>
  <c r="AN35" i="45"/>
  <c r="AD110" i="17"/>
  <c r="AB40" i="25"/>
  <c r="Q19" i="16"/>
  <c r="AE35" i="18"/>
  <c r="X60" i="10"/>
  <c r="R16" i="16"/>
  <c r="AD16" i="16"/>
  <c r="Q16" i="16"/>
  <c r="AG16" i="16"/>
  <c r="AD10" i="16"/>
  <c r="AG10" i="16"/>
  <c r="Q10" i="16"/>
  <c r="R10" i="16"/>
  <c r="Q25" i="16"/>
  <c r="AF25" i="16"/>
  <c r="R25" i="16"/>
  <c r="AH25" i="16"/>
  <c r="AM96" i="27"/>
  <c r="AO112" i="27"/>
  <c r="AO80" i="27"/>
  <c r="AO55" i="27"/>
  <c r="AO30" i="27"/>
  <c r="AM37" i="27"/>
  <c r="AL38" i="27"/>
  <c r="V13" i="27"/>
  <c r="AW92" i="27"/>
  <c r="W72" i="27"/>
  <c r="AW56" i="27"/>
  <c r="AK30" i="27"/>
  <c r="AH46" i="27"/>
  <c r="AH40" i="27"/>
  <c r="AH30" i="27"/>
  <c r="T19" i="27"/>
  <c r="T12" i="27"/>
  <c r="T3" i="27"/>
  <c r="Y14" i="27"/>
  <c r="Y22" i="27"/>
  <c r="Y3" i="27"/>
  <c r="AJ36" i="27"/>
  <c r="AJ37" i="27"/>
  <c r="AN38" i="27"/>
  <c r="AQ39" i="27"/>
  <c r="AR40" i="27"/>
  <c r="AR41" i="27"/>
  <c r="AJ43" i="27"/>
  <c r="AN44" i="27"/>
  <c r="AP45" i="27"/>
  <c r="AR46" i="27"/>
  <c r="AR47" i="27"/>
  <c r="AI50" i="27"/>
  <c r="AN51" i="27"/>
  <c r="AP53" i="27"/>
  <c r="AP54" i="27"/>
  <c r="AR55" i="27"/>
  <c r="W18" i="27"/>
  <c r="AQ60" i="27"/>
  <c r="AQ132" i="27"/>
  <c r="AR128" i="27"/>
  <c r="AR115" i="27"/>
  <c r="AQ119" i="27"/>
  <c r="AQ122" i="27"/>
  <c r="AQ112" i="27"/>
  <c r="AR79" i="27"/>
  <c r="AQ61" i="27"/>
  <c r="AQ65" i="27"/>
  <c r="AQ68" i="27"/>
  <c r="AR71" i="27"/>
  <c r="AR106" i="27"/>
  <c r="AQ101" i="27"/>
  <c r="AQ89" i="27"/>
  <c r="AQ93" i="27"/>
  <c r="AR96" i="27"/>
  <c r="U7" i="27"/>
  <c r="U12" i="27"/>
  <c r="U18" i="27"/>
  <c r="U24" i="27"/>
  <c r="AB56" i="27"/>
  <c r="AR56" i="27"/>
  <c r="AC56" i="27"/>
  <c r="U108" i="27"/>
  <c r="AB30" i="27"/>
  <c r="AD108" i="27"/>
  <c r="AF82" i="27"/>
  <c r="S82" i="27"/>
  <c r="AA56" i="27"/>
  <c r="AE30" i="27"/>
  <c r="S30" i="27"/>
  <c r="G30" i="27"/>
  <c r="N3" i="27"/>
  <c r="E3" i="27"/>
  <c r="AW36" i="27"/>
  <c r="AO123" i="27"/>
  <c r="AO86" i="27"/>
  <c r="AO63" i="27"/>
  <c r="AO38" i="27"/>
  <c r="AM41" i="27"/>
  <c r="AL43" i="27"/>
  <c r="V18" i="27"/>
  <c r="AU124" i="27"/>
  <c r="AW101" i="27"/>
  <c r="AW53" i="27"/>
  <c r="AW35" i="27"/>
  <c r="AT30" i="27"/>
  <c r="AH50" i="27"/>
  <c r="AH41" i="27"/>
  <c r="AH34" i="27"/>
  <c r="T23" i="27"/>
  <c r="T14" i="27"/>
  <c r="T7" i="27"/>
  <c r="Y12" i="27"/>
  <c r="Y20" i="27"/>
  <c r="Y28" i="27"/>
  <c r="AQ35" i="27"/>
  <c r="AI37" i="27"/>
  <c r="AJ38" i="27"/>
  <c r="AJ39" i="27"/>
  <c r="AP40" i="27"/>
  <c r="AQ41" i="27"/>
  <c r="AR42" i="27"/>
  <c r="AJ44" i="27"/>
  <c r="AJ45" i="27"/>
  <c r="AN46" i="27"/>
  <c r="AQ47" i="27"/>
  <c r="AR49" i="27"/>
  <c r="AR50" i="27"/>
  <c r="AJ53" i="27"/>
  <c r="AN54" i="27"/>
  <c r="AP55" i="27"/>
  <c r="AR34" i="27"/>
  <c r="N12" i="27"/>
  <c r="N16" i="27"/>
  <c r="AR133" i="27"/>
  <c r="AQ128" i="27"/>
  <c r="AQ114" i="27"/>
  <c r="AQ118" i="27"/>
  <c r="AR121" i="27"/>
  <c r="AQ125" i="27"/>
  <c r="AQ79" i="27"/>
  <c r="AQ75" i="27"/>
  <c r="AR63" i="27"/>
  <c r="AR67" i="27"/>
  <c r="AQ71" i="27"/>
  <c r="AQ107" i="27"/>
  <c r="AQ102" i="27"/>
  <c r="AR88" i="27"/>
  <c r="AQ92" i="27"/>
  <c r="AQ96" i="27"/>
  <c r="AQ99" i="27"/>
  <c r="U10" i="27"/>
  <c r="U22" i="27"/>
  <c r="AC108" i="27"/>
  <c r="AQ82" i="27"/>
  <c r="Q56" i="27"/>
  <c r="V56" i="27"/>
  <c r="T30" i="27"/>
  <c r="AE108" i="27"/>
  <c r="R108" i="27"/>
  <c r="X82" i="27"/>
  <c r="AE56" i="27"/>
  <c r="AI30" i="27"/>
  <c r="X30" i="27"/>
  <c r="J30" i="27"/>
  <c r="R3" i="27"/>
  <c r="G3" i="27"/>
  <c r="AU54" i="27"/>
  <c r="AM94" i="27"/>
  <c r="AO99" i="27"/>
  <c r="AO73" i="27"/>
  <c r="AO49" i="27"/>
  <c r="AM53" i="27"/>
  <c r="AL54" i="27"/>
  <c r="V28" i="27"/>
  <c r="V9" i="27"/>
  <c r="AW129" i="27"/>
  <c r="W124" i="27"/>
  <c r="W103" i="27"/>
  <c r="AU80" i="27"/>
  <c r="AU72" i="27"/>
  <c r="AX56" i="27"/>
  <c r="AC53" i="27"/>
  <c r="AC51" i="27"/>
  <c r="AC42" i="27"/>
  <c r="AW40" i="27"/>
  <c r="AC39" i="27"/>
  <c r="AC35" i="27"/>
  <c r="W34" i="27"/>
  <c r="AH54" i="27"/>
  <c r="AH45" i="27"/>
  <c r="AH38" i="27"/>
  <c r="T26" i="27"/>
  <c r="T18" i="27"/>
  <c r="T11" i="27"/>
  <c r="Y9" i="27"/>
  <c r="Y16" i="27"/>
  <c r="Y23" i="27"/>
  <c r="AJ35" i="27"/>
  <c r="AN36" i="27"/>
  <c r="AP37" i="27"/>
  <c r="AR38" i="27"/>
  <c r="AR39" i="27"/>
  <c r="AI41" i="27"/>
  <c r="AN42" i="27"/>
  <c r="AP43" i="27"/>
  <c r="AP44" i="27"/>
  <c r="AR45" i="27"/>
  <c r="AI47" i="27"/>
  <c r="AJ49" i="27"/>
  <c r="AP50" i="27"/>
  <c r="AP51" i="27"/>
  <c r="AQ53" i="27"/>
  <c r="AI55" i="27"/>
  <c r="AJ34" i="27"/>
  <c r="W23" i="27"/>
  <c r="W22" i="27"/>
  <c r="AR60" i="27"/>
  <c r="AQ131" i="27"/>
  <c r="AQ113" i="27"/>
  <c r="AQ116" i="27"/>
  <c r="AR119" i="27"/>
  <c r="AR123" i="27"/>
  <c r="AQ81" i="27"/>
  <c r="AQ77" i="27"/>
  <c r="AQ62" i="27"/>
  <c r="AR65" i="27"/>
  <c r="AQ69" i="27"/>
  <c r="AQ73" i="27"/>
  <c r="AQ105" i="27"/>
  <c r="AR101" i="27"/>
  <c r="AR90" i="27"/>
  <c r="AQ94" i="27"/>
  <c r="AQ97" i="27"/>
  <c r="U8" i="27"/>
  <c r="U20" i="27"/>
  <c r="U26" i="27"/>
  <c r="AP30" i="27"/>
  <c r="W108" i="27"/>
  <c r="V82" i="27"/>
  <c r="T108" i="27"/>
  <c r="W30" i="27"/>
  <c r="Y108" i="27"/>
  <c r="AD82" i="27"/>
  <c r="R82" i="27"/>
  <c r="Y56" i="27"/>
  <c r="AD30" i="27"/>
  <c r="Q30" i="27"/>
  <c r="U3" i="27"/>
  <c r="M3" i="27"/>
  <c r="AW42" i="27"/>
  <c r="AO67" i="27"/>
  <c r="V26" i="27"/>
  <c r="AV108" i="27"/>
  <c r="AU68" i="27"/>
  <c r="AC40" i="27"/>
  <c r="W35" i="27"/>
  <c r="AH44" i="27"/>
  <c r="T8" i="27"/>
  <c r="AP35" i="27"/>
  <c r="AJ40" i="27"/>
  <c r="AI45" i="27"/>
  <c r="AQ50" i="27"/>
  <c r="AN34" i="27"/>
  <c r="N17" i="27"/>
  <c r="AQ129" i="27"/>
  <c r="AQ124" i="27"/>
  <c r="AQ66" i="27"/>
  <c r="AQ88" i="27"/>
  <c r="U9" i="27"/>
  <c r="AR108" i="27"/>
  <c r="AF108" i="27"/>
  <c r="AJ30" i="27"/>
  <c r="J3" i="27"/>
  <c r="AO91" i="27"/>
  <c r="AL47" i="27"/>
  <c r="AS56" i="27"/>
  <c r="AU61" i="27"/>
  <c r="AC43" i="27"/>
  <c r="W54" i="27"/>
  <c r="W42" i="27"/>
  <c r="AH51" i="27"/>
  <c r="T16" i="27"/>
  <c r="Y27" i="27"/>
  <c r="AI39" i="27"/>
  <c r="AQ43" i="27"/>
  <c r="AP49" i="27"/>
  <c r="AJ55" i="27"/>
  <c r="N28" i="27"/>
  <c r="AQ86" i="27"/>
  <c r="AQ121" i="27"/>
  <c r="AQ63" i="27"/>
  <c r="AQ103" i="27"/>
  <c r="AR98" i="27"/>
  <c r="W28" i="27"/>
  <c r="T82" i="27"/>
  <c r="AF56" i="27"/>
  <c r="S3" i="27"/>
  <c r="AM82" i="27"/>
  <c r="AM46" i="27"/>
  <c r="AW116" i="27"/>
  <c r="AC36" i="27"/>
  <c r="W51" i="27"/>
  <c r="AU40" i="27"/>
  <c r="AU30" i="27"/>
  <c r="T24" i="27"/>
  <c r="Y17" i="27"/>
  <c r="AR37" i="27"/>
  <c r="AP42" i="27"/>
  <c r="AJ47" i="27"/>
  <c r="AJ54" i="27"/>
  <c r="AQ117" i="27"/>
  <c r="AR76" i="27"/>
  <c r="AR73" i="27"/>
  <c r="AR94" i="27"/>
  <c r="W20" i="27"/>
  <c r="W56" i="27"/>
  <c r="AA82" i="27"/>
  <c r="M30" i="27"/>
  <c r="AW49" i="27"/>
  <c r="AW103" i="27"/>
  <c r="W64" i="27"/>
  <c r="Y10" i="27"/>
  <c r="AR51" i="27"/>
  <c r="AQ91" i="27"/>
  <c r="AA30" i="27"/>
  <c r="W19" i="27"/>
  <c r="AU114" i="27"/>
  <c r="W132" i="27"/>
  <c r="W60" i="27"/>
  <c r="AC96" i="27"/>
  <c r="AU38" i="27"/>
  <c r="AU92" i="27"/>
  <c r="AX108" i="27"/>
  <c r="V19" i="27"/>
  <c r="AL41" i="27"/>
  <c r="AM36" i="27"/>
  <c r="AM54" i="27"/>
  <c r="AO47" i="27"/>
  <c r="AO68" i="27"/>
  <c r="AO89" i="27"/>
  <c r="AO107" i="27"/>
  <c r="AO127" i="27"/>
  <c r="AM95" i="27"/>
  <c r="W41" i="27"/>
  <c r="AW50" i="27"/>
  <c r="AC62" i="27"/>
  <c r="AC66" i="27"/>
  <c r="AC70" i="27"/>
  <c r="AC75" i="27"/>
  <c r="AC80" i="27"/>
  <c r="W45" i="27"/>
  <c r="AC37" i="27"/>
  <c r="AO44" i="27"/>
  <c r="AH36" i="27"/>
  <c r="AJ46" i="27"/>
  <c r="AQ70" i="27"/>
  <c r="X108" i="27"/>
  <c r="N9" i="27"/>
  <c r="W26" i="27"/>
  <c r="W62" i="27"/>
  <c r="AC88" i="27"/>
  <c r="AU132" i="27"/>
  <c r="AC127" i="27"/>
  <c r="W43" i="27"/>
  <c r="AU53" i="27"/>
  <c r="AW96" i="27"/>
  <c r="W122" i="27"/>
  <c r="AU46" i="27"/>
  <c r="W61" i="27"/>
  <c r="AW124" i="27"/>
  <c r="V15" i="27"/>
  <c r="AL37" i="27"/>
  <c r="AL55" i="27"/>
  <c r="AM49" i="27"/>
  <c r="AO43" i="27"/>
  <c r="AO64" i="27"/>
  <c r="AO82" i="27"/>
  <c r="AO102" i="27"/>
  <c r="AO122" i="27"/>
  <c r="AM91" i="27"/>
  <c r="AU50" i="27"/>
  <c r="AC50" i="27"/>
  <c r="AW62" i="27"/>
  <c r="AW66" i="27"/>
  <c r="AW70" i="27"/>
  <c r="AW75" i="27"/>
  <c r="AW80" i="27"/>
  <c r="AU37" i="27"/>
  <c r="AU55" i="27"/>
  <c r="AP41" i="27"/>
  <c r="AR81" i="27"/>
  <c r="Q108" i="27"/>
  <c r="N19" i="27"/>
  <c r="AW88" i="27"/>
  <c r="AC106" i="27"/>
  <c r="AW127" i="27"/>
  <c r="AU43" i="27"/>
  <c r="W101" i="27"/>
  <c r="AU60" i="27"/>
  <c r="AU122" i="27"/>
  <c r="AC118" i="27"/>
  <c r="W38" i="27"/>
  <c r="AU39" i="27"/>
  <c r="V11" i="27"/>
  <c r="AL30" i="27"/>
  <c r="AL50" i="27"/>
  <c r="AM44" i="27"/>
  <c r="AO39" i="27"/>
  <c r="AO56" i="27"/>
  <c r="AO77" i="27"/>
  <c r="AO97" i="27"/>
  <c r="AO118" i="27"/>
  <c r="AM87" i="27"/>
  <c r="AM105" i="27"/>
  <c r="AM106" i="27"/>
  <c r="W50" i="27"/>
  <c r="AW41" i="27"/>
  <c r="AC60" i="27"/>
  <c r="AC64" i="27"/>
  <c r="AC68" i="27"/>
  <c r="AC72" i="27"/>
  <c r="AC77" i="27"/>
  <c r="W37" i="27"/>
  <c r="W55" i="27"/>
  <c r="AC45" i="27"/>
  <c r="AW61" i="27"/>
  <c r="AW65" i="27"/>
  <c r="AW69" i="27"/>
  <c r="AW73" i="27"/>
  <c r="AW79" i="27"/>
  <c r="W87" i="27"/>
  <c r="W91" i="27"/>
  <c r="W95" i="27"/>
  <c r="W99" i="27"/>
  <c r="W105" i="27"/>
  <c r="AC87" i="27"/>
  <c r="AC91" i="27"/>
  <c r="AC95" i="27"/>
  <c r="AC99" i="27"/>
  <c r="AC105" i="27"/>
  <c r="W113" i="27"/>
  <c r="W117" i="27"/>
  <c r="W121" i="27"/>
  <c r="W125" i="27"/>
  <c r="W131" i="27"/>
  <c r="AC113" i="27"/>
  <c r="AC117" i="27"/>
  <c r="AC121" i="27"/>
  <c r="AC125" i="27"/>
  <c r="AC131" i="27"/>
  <c r="AU42" i="27"/>
  <c r="AW106" i="27"/>
  <c r="W53" i="27"/>
  <c r="AM40" i="27"/>
  <c r="AO93" i="27"/>
  <c r="AW60" i="27"/>
  <c r="AW77" i="27"/>
  <c r="AW45" i="27"/>
  <c r="AW63" i="27"/>
  <c r="AC67" i="27"/>
  <c r="AC73" i="27"/>
  <c r="AW81" i="27"/>
  <c r="AU89" i="27"/>
  <c r="AU95" i="27"/>
  <c r="W102" i="27"/>
  <c r="AU107" i="27"/>
  <c r="AW91" i="27"/>
  <c r="AC97" i="27"/>
  <c r="AW102" i="27"/>
  <c r="AU113" i="27"/>
  <c r="W119" i="27"/>
  <c r="AU123" i="27"/>
  <c r="AU131" i="27"/>
  <c r="AC115" i="27"/>
  <c r="AW119" i="27"/>
  <c r="AW125" i="27"/>
  <c r="AC133" i="27"/>
  <c r="U14" i="27"/>
  <c r="AU62" i="27"/>
  <c r="AL45" i="27"/>
  <c r="AO72" i="27"/>
  <c r="AM99" i="27"/>
  <c r="AC41" i="27"/>
  <c r="AW72" i="27"/>
  <c r="AW37" i="27"/>
  <c r="AC61" i="27"/>
  <c r="AW67" i="27"/>
  <c r="AC71" i="27"/>
  <c r="AC79" i="27"/>
  <c r="W89" i="27"/>
  <c r="AU93" i="27"/>
  <c r="AU99" i="27"/>
  <c r="W107" i="27"/>
  <c r="AW89" i="27"/>
  <c r="AW95" i="27"/>
  <c r="AC102" i="27"/>
  <c r="AW107" i="27"/>
  <c r="AU117" i="27"/>
  <c r="W123" i="27"/>
  <c r="AU128" i="27"/>
  <c r="AW113" i="27"/>
  <c r="AC119" i="27"/>
  <c r="AW123" i="27"/>
  <c r="AW131" i="27"/>
  <c r="AR113" i="27"/>
  <c r="N26" i="27"/>
  <c r="AW118" i="27"/>
  <c r="W92" i="27"/>
  <c r="V24" i="27"/>
  <c r="AO53" i="27"/>
  <c r="AO132" i="27"/>
  <c r="AU41" i="27"/>
  <c r="AW68" i="27"/>
  <c r="AU45" i="27"/>
  <c r="AW55" i="27"/>
  <c r="AC65" i="27"/>
  <c r="AW71" i="27"/>
  <c r="AC76" i="27"/>
  <c r="AU87" i="27"/>
  <c r="W93" i="27"/>
  <c r="AU97" i="27"/>
  <c r="AU105" i="27"/>
  <c r="AC89" i="27"/>
  <c r="AW93" i="27"/>
  <c r="AW99" i="27"/>
  <c r="AC107" i="27"/>
  <c r="AU115" i="27"/>
  <c r="AU121" i="27"/>
  <c r="W128" i="27"/>
  <c r="AU133" i="27"/>
  <c r="AW117" i="27"/>
  <c r="AC123" i="27"/>
  <c r="AW128" i="27"/>
  <c r="W70" i="27"/>
  <c r="W65" i="27"/>
  <c r="N7" i="27"/>
  <c r="W69" i="27"/>
  <c r="AW114" i="27"/>
  <c r="W114" i="27"/>
  <c r="AW76" i="27"/>
  <c r="AU102" i="27"/>
  <c r="AW105" i="27"/>
  <c r="W133" i="27"/>
  <c r="AW133" i="27"/>
  <c r="AU103" i="27"/>
  <c r="AU79" i="27"/>
  <c r="AU86" i="27"/>
  <c r="AU120" i="27"/>
  <c r="AU75" i="27"/>
  <c r="W67" i="27"/>
  <c r="AU106" i="27"/>
  <c r="AU81" i="27"/>
  <c r="H3" i="27"/>
  <c r="Z82" i="27"/>
  <c r="AR82" i="27"/>
  <c r="AQ90" i="27"/>
  <c r="AR61" i="27"/>
  <c r="AQ127" i="27"/>
  <c r="AQ55" i="27"/>
  <c r="AP46" i="27"/>
  <c r="AP39" i="27"/>
  <c r="Y13" i="27"/>
  <c r="AH49" i="27"/>
  <c r="AU88" i="27"/>
  <c r="AS108" i="27"/>
  <c r="AM42" i="27"/>
  <c r="AO88" i="27"/>
  <c r="AM103" i="27"/>
  <c r="AG30" i="27"/>
  <c r="AQ30" i="27"/>
  <c r="U16" i="27"/>
  <c r="AQ106" i="27"/>
  <c r="AR125" i="27"/>
  <c r="X3" i="27"/>
  <c r="AR54" i="27"/>
  <c r="AQ45" i="27"/>
  <c r="AP38" i="27"/>
  <c r="Y8" i="27"/>
  <c r="AH55" i="27"/>
  <c r="AU82" i="27"/>
  <c r="V22" i="27"/>
  <c r="AO42" i="27"/>
  <c r="AR95" i="27"/>
  <c r="W76" i="27"/>
  <c r="AM93" i="27"/>
  <c r="AR105" i="27"/>
  <c r="AO51" i="27"/>
  <c r="AL51" i="27"/>
  <c r="AW108" i="27"/>
  <c r="AS82" i="27"/>
  <c r="AH47" i="27"/>
  <c r="T9" i="27"/>
  <c r="AI36" i="27"/>
  <c r="AN41" i="27"/>
  <c r="AQ46" i="27"/>
  <c r="AI54" i="27"/>
  <c r="N13" i="27"/>
  <c r="AR127" i="27"/>
  <c r="AR80" i="27"/>
  <c r="AR72" i="27"/>
  <c r="U11" i="27"/>
  <c r="AQ56" i="27"/>
  <c r="S108" i="27"/>
  <c r="R30" i="27"/>
  <c r="AM98" i="27"/>
  <c r="AO98" i="27"/>
  <c r="AO45" i="27"/>
  <c r="AL44" i="27"/>
  <c r="AW120" i="27"/>
  <c r="AV30" i="27"/>
  <c r="T22" i="27"/>
  <c r="Y24" i="27"/>
  <c r="AN39" i="27"/>
  <c r="AQ44" i="27"/>
  <c r="AI51" i="27"/>
  <c r="N18" i="27"/>
  <c r="AR118" i="27"/>
  <c r="AR62" i="27"/>
  <c r="AR89" i="27"/>
  <c r="U17" i="27"/>
  <c r="AR30" i="27"/>
  <c r="P30" i="27"/>
  <c r="Q3" i="27"/>
  <c r="AO114" i="27"/>
  <c r="AW64" i="27"/>
  <c r="AC69" i="27"/>
  <c r="W97" i="27"/>
  <c r="AW97" i="27"/>
  <c r="AU125" i="27"/>
  <c r="AC128" i="27"/>
  <c r="N24" i="27"/>
  <c r="AU90" i="27"/>
  <c r="W120" i="27"/>
  <c r="W75" i="27"/>
  <c r="AU49" i="27"/>
  <c r="W73" i="27"/>
  <c r="W81" i="27"/>
  <c r="AW51" i="27"/>
  <c r="Z56" i="27"/>
  <c r="AC82" i="27"/>
  <c r="AQ95" i="27"/>
  <c r="AQ67" i="27"/>
  <c r="AR117" i="27"/>
  <c r="N22" i="27"/>
  <c r="AN49" i="27"/>
  <c r="AJ41" i="27"/>
  <c r="Y26" i="27"/>
  <c r="AH37" i="27"/>
  <c r="AU96" i="27"/>
  <c r="AC90" i="27"/>
  <c r="AL49" i="27"/>
  <c r="AO69" i="27"/>
  <c r="AM89" i="27"/>
  <c r="AU71" i="27"/>
  <c r="N30" i="27"/>
  <c r="V30" i="27"/>
  <c r="U23" i="27"/>
  <c r="AQ87" i="27"/>
  <c r="AQ76" i="27"/>
  <c r="AR131" i="27"/>
  <c r="AP34" i="27"/>
  <c r="AP47" i="27"/>
  <c r="AN40" i="27"/>
  <c r="Y18" i="27"/>
  <c r="AH42" i="27"/>
  <c r="AU56" i="27"/>
  <c r="V8" i="27"/>
  <c r="AM50" i="27"/>
  <c r="AO95" i="27"/>
  <c r="AR107" i="27"/>
  <c r="AO105" i="27"/>
  <c r="AO66" i="27"/>
  <c r="AM39" i="27"/>
  <c r="V12" i="27"/>
  <c r="AU98" i="27"/>
  <c r="AS30" i="27"/>
  <c r="T17" i="27"/>
  <c r="Y7" i="27"/>
  <c r="AI40" i="27"/>
  <c r="AN45" i="27"/>
  <c r="AQ51" i="27"/>
  <c r="N10" i="27"/>
  <c r="AR132" i="27"/>
  <c r="AR124" i="27"/>
  <c r="AR68" i="27"/>
  <c r="AR99" i="27"/>
  <c r="AB82" i="27"/>
  <c r="AG108" i="27"/>
  <c r="AF30" i="27"/>
  <c r="AU51" i="27"/>
  <c r="AO113" i="27"/>
  <c r="AO61" i="27"/>
  <c r="AM34" i="27"/>
  <c r="V3" i="27"/>
  <c r="AW39" i="27"/>
  <c r="AH35" i="27"/>
  <c r="Y15" i="27"/>
  <c r="AI38" i="27"/>
  <c r="AN43" i="27"/>
  <c r="AQ49" i="27"/>
  <c r="AI34" i="27"/>
  <c r="AR114" i="27"/>
  <c r="AR77" i="27"/>
  <c r="AR102" i="27"/>
  <c r="U13" i="27"/>
  <c r="Q82" i="27"/>
  <c r="AE82" i="27"/>
  <c r="K30" i="27"/>
  <c r="W46" i="27"/>
  <c r="AO35" i="27"/>
  <c r="AC63" i="27"/>
  <c r="AU91" i="27"/>
  <c r="AC93" i="27"/>
  <c r="AU119" i="27"/>
  <c r="AW121" i="27"/>
  <c r="P9" i="27"/>
  <c r="W66" i="27"/>
  <c r="AW44" i="27"/>
  <c r="AU65" i="27"/>
  <c r="W40" i="27"/>
  <c r="AU69" i="27"/>
  <c r="AW86" i="27"/>
  <c r="AW94" i="27"/>
  <c r="W49" i="27"/>
  <c r="AU73" i="27"/>
  <c r="AW38" i="27"/>
  <c r="Y30" i="27"/>
  <c r="U30" i="27"/>
  <c r="W13" i="27"/>
  <c r="AQ72" i="27"/>
  <c r="AQ123" i="27"/>
  <c r="N8" i="27"/>
  <c r="AJ51" i="27"/>
  <c r="AI43" i="27"/>
  <c r="AR35" i="27"/>
  <c r="T20" i="27"/>
  <c r="AW46" i="27"/>
  <c r="W98" i="27"/>
  <c r="AL35" i="27"/>
  <c r="AO50" i="27"/>
  <c r="AO121" i="27"/>
  <c r="W71" i="27"/>
  <c r="P3" i="27"/>
  <c r="AG82" i="27"/>
  <c r="AB108" i="27"/>
  <c r="AR92" i="27"/>
  <c r="AQ64" i="27"/>
  <c r="AQ115" i="27"/>
  <c r="N23" i="27"/>
  <c r="AJ50" i="27"/>
  <c r="AJ42" i="27"/>
  <c r="AI35" i="27"/>
  <c r="T28" i="27"/>
  <c r="AC49" i="27"/>
  <c r="AW90" i="27"/>
  <c r="AM35" i="27"/>
  <c r="AO76" i="27"/>
  <c r="AO129" i="27"/>
  <c r="AM107" i="27"/>
  <c r="AO119" i="27"/>
  <c r="AO79" i="27"/>
  <c r="AM51" i="27"/>
  <c r="V23" i="27"/>
  <c r="AW82" i="27"/>
  <c r="AX30" i="27"/>
  <c r="T27" i="27"/>
  <c r="Y19" i="27"/>
  <c r="AQ38" i="27"/>
  <c r="AI44" i="27"/>
  <c r="AN50" i="27"/>
  <c r="AQ34" i="27"/>
  <c r="W3" i="27"/>
  <c r="AR120" i="27"/>
  <c r="AR64" i="27"/>
  <c r="AR91" i="27"/>
  <c r="U19" i="27"/>
  <c r="U82" i="27"/>
  <c r="AD56" i="27"/>
  <c r="K3" i="27"/>
  <c r="AO124" i="27"/>
  <c r="AO71" i="27"/>
  <c r="AM45" i="27"/>
  <c r="V17" i="27"/>
  <c r="AT108" i="27"/>
  <c r="AH43" i="27"/>
  <c r="Z3" i="27"/>
  <c r="AQ36" i="27"/>
  <c r="AI42" i="27"/>
  <c r="AN47" i="27"/>
  <c r="AQ54" i="27"/>
  <c r="AR129" i="27"/>
  <c r="AR112" i="27"/>
  <c r="AR70" i="27"/>
  <c r="AR97" i="27"/>
  <c r="AQ108" i="27"/>
  <c r="AA108" i="27"/>
  <c r="Z30" i="27"/>
  <c r="AU101" i="27"/>
  <c r="W115" i="27"/>
  <c r="P13" i="27"/>
  <c r="AU66" i="27"/>
  <c r="AC112" i="27"/>
  <c r="W106" i="27"/>
  <c r="Z108" i="27"/>
  <c r="AQ133" i="27"/>
  <c r="T10" i="27"/>
  <c r="AO36" i="27"/>
  <c r="V108" i="27"/>
  <c r="N11" i="27"/>
  <c r="T15" i="27"/>
  <c r="AO62" i="27"/>
  <c r="AO131" i="27"/>
  <c r="AX82" i="27"/>
  <c r="AN37" i="27"/>
  <c r="N20" i="27"/>
  <c r="U15" i="27"/>
  <c r="AM88" i="27"/>
  <c r="AU129" i="27"/>
  <c r="AQ40" i="27"/>
  <c r="AR122" i="27"/>
  <c r="AC30" i="27"/>
  <c r="AO116" i="27"/>
  <c r="AM86" i="27"/>
  <c r="AC129" i="27"/>
  <c r="AC34" i="27"/>
  <c r="W77" i="27"/>
  <c r="N27" i="27"/>
  <c r="AU36" i="27"/>
  <c r="W112" i="27"/>
  <c r="W118" i="27"/>
  <c r="W68" i="27"/>
  <c r="AT82" i="27"/>
  <c r="AC101" i="27"/>
  <c r="AC116" i="27"/>
  <c r="AL36" i="27"/>
  <c r="AM55" i="27"/>
  <c r="AO75" i="27"/>
  <c r="AM101" i="27"/>
  <c r="AT56" i="27"/>
  <c r="AC98" i="27"/>
  <c r="V16" i="27"/>
  <c r="AM38" i="27"/>
  <c r="AO60" i="27"/>
  <c r="AO117" i="27"/>
  <c r="AW87" i="27"/>
  <c r="N14" i="27"/>
  <c r="AC114" i="27"/>
  <c r="AC94" i="27"/>
  <c r="AU67" i="27"/>
  <c r="AC38" i="27"/>
  <c r="F30" i="27"/>
  <c r="AQ80" i="27"/>
  <c r="AQ37" i="27"/>
  <c r="V14" i="27"/>
  <c r="AG56" i="27"/>
  <c r="AQ120" i="27"/>
  <c r="AR36" i="27"/>
  <c r="AL42" i="27"/>
  <c r="AU76" i="27"/>
  <c r="AL39" i="27"/>
  <c r="Y11" i="27"/>
  <c r="AN55" i="27"/>
  <c r="AR87" i="27"/>
  <c r="E30" i="27"/>
  <c r="AL34" i="27"/>
  <c r="AN35" i="27"/>
  <c r="AR86" i="27"/>
  <c r="U28" i="27"/>
  <c r="AO108" i="27"/>
  <c r="AO133" i="27"/>
  <c r="AM102" i="27"/>
  <c r="W36" i="27"/>
  <c r="AW54" i="27"/>
  <c r="AU44" i="27"/>
  <c r="AU118" i="27"/>
  <c r="AU127" i="27"/>
  <c r="AW43" i="27"/>
  <c r="AW112" i="27"/>
  <c r="AC124" i="27"/>
  <c r="V20" i="27"/>
  <c r="AM43" i="27"/>
  <c r="AO65" i="27"/>
  <c r="AO128" i="27"/>
  <c r="AU70" i="27"/>
  <c r="AC122" i="27"/>
  <c r="AL53" i="27"/>
  <c r="AO46" i="27"/>
  <c r="AO94" i="27"/>
  <c r="W63" i="27"/>
  <c r="V7" i="27"/>
  <c r="AC81" i="27"/>
  <c r="W79" i="27"/>
  <c r="AR103" i="27"/>
  <c r="AR44" i="27"/>
  <c r="W94" i="27"/>
  <c r="AR69" i="27"/>
  <c r="AR43" i="27"/>
  <c r="W96" i="27"/>
  <c r="AO40" i="27"/>
  <c r="AH39" i="27"/>
  <c r="AI49" i="27"/>
  <c r="AR75" i="27"/>
  <c r="Y82" i="27"/>
  <c r="AO34" i="27"/>
  <c r="T13" i="27"/>
  <c r="AN53" i="27"/>
  <c r="AR93" i="27"/>
  <c r="F3" i="27"/>
  <c r="AO101" i="27"/>
  <c r="AO125" i="27"/>
  <c r="AM97" i="27"/>
  <c r="W27" i="27"/>
  <c r="AU112" i="27"/>
  <c r="AW47" i="27"/>
  <c r="W127" i="27"/>
  <c r="N15" i="27"/>
  <c r="W80" i="27"/>
  <c r="AC92" i="27"/>
  <c r="AU108" i="27"/>
  <c r="V10" i="27"/>
  <c r="AM30" i="27"/>
  <c r="AO54" i="27"/>
  <c r="AO106" i="27"/>
  <c r="AC86" i="27"/>
  <c r="AW122" i="27"/>
  <c r="AL40" i="27"/>
  <c r="AO37" i="27"/>
  <c r="AO81" i="27"/>
  <c r="AU35" i="27"/>
  <c r="AW30" i="27"/>
  <c r="AV56" i="27"/>
  <c r="AO87" i="27"/>
  <c r="X56" i="27"/>
  <c r="AC54" i="27"/>
  <c r="AW34" i="27"/>
  <c r="W17" i="27"/>
  <c r="AC120" i="27"/>
  <c r="AO90" i="27"/>
  <c r="AM90" i="27"/>
  <c r="AR53" i="27"/>
  <c r="AI53" i="27"/>
  <c r="AO92" i="27"/>
  <c r="W82" i="27"/>
  <c r="AR66" i="27"/>
  <c r="AU63" i="27"/>
  <c r="AM92" i="27"/>
  <c r="W44" i="27"/>
  <c r="AO41" i="27"/>
  <c r="AV82" i="27"/>
  <c r="AO70" i="27"/>
  <c r="AW115" i="27"/>
  <c r="U27" i="27"/>
  <c r="AQ98" i="27"/>
  <c r="AR116" i="27"/>
  <c r="AI46" i="27"/>
  <c r="AO120" i="27"/>
  <c r="AC47" i="27"/>
  <c r="AW98" i="27"/>
  <c r="AL46" i="27"/>
  <c r="AM47" i="27"/>
  <c r="W9" i="27"/>
  <c r="AO103" i="27"/>
  <c r="AH53" i="27"/>
  <c r="AQ42" i="27"/>
  <c r="V27" i="27"/>
  <c r="AO115" i="27"/>
  <c r="AO96" i="27"/>
  <c r="AC55" i="27"/>
  <c r="AP36" i="27"/>
  <c r="AH8" i="12"/>
  <c r="AW121" i="17"/>
  <c r="AV47" i="27"/>
  <c r="AP25" i="29"/>
  <c r="AI62" i="24"/>
  <c r="R13" i="16"/>
  <c r="X84" i="27"/>
  <c r="X84" i="17"/>
  <c r="Y42" i="10"/>
  <c r="W25" i="18"/>
  <c r="AF25" i="45"/>
  <c r="AE25" i="45"/>
  <c r="Y84" i="27"/>
  <c r="X42" i="10"/>
  <c r="X50" i="28"/>
  <c r="AF30" i="45"/>
  <c r="AD13" i="16"/>
  <c r="Y84" i="17"/>
  <c r="Y44" i="28"/>
  <c r="W30" i="18"/>
  <c r="AE30" i="45"/>
  <c r="Q13" i="16"/>
  <c r="U84" i="23"/>
  <c r="Y50" i="28"/>
  <c r="V30" i="18"/>
  <c r="V25" i="18"/>
  <c r="V84" i="23"/>
  <c r="AA25" i="25"/>
  <c r="AB25" i="25"/>
  <c r="X44" i="28"/>
  <c r="AG13" i="16"/>
  <c r="AX103" i="27"/>
  <c r="AX27" i="28"/>
  <c r="AP39" i="13"/>
  <c r="AW129" i="17"/>
  <c r="AW92" i="17"/>
  <c r="AV129" i="27"/>
  <c r="W35" i="38"/>
  <c r="X35" i="38"/>
  <c r="AP35" i="38"/>
  <c r="BF37" i="46"/>
  <c r="BF79" i="46"/>
  <c r="AU38" i="19"/>
  <c r="BF81" i="46"/>
  <c r="AR21" i="38"/>
  <c r="AB21" i="38"/>
  <c r="AC21" i="38"/>
  <c r="AR8" i="29"/>
  <c r="AR83" i="13"/>
  <c r="AC32" i="13"/>
  <c r="AF32" i="13" s="1"/>
  <c r="AB36" i="13"/>
  <c r="AE36" i="13" s="1"/>
  <c r="AB38" i="13"/>
  <c r="AE38" i="13" s="1"/>
  <c r="AC31" i="13"/>
  <c r="AC34" i="13"/>
  <c r="AF34" i="13" s="1"/>
  <c r="AC33" i="13"/>
  <c r="AC35" i="13"/>
  <c r="AC37" i="13"/>
  <c r="AF37" i="13" s="1"/>
  <c r="AC39" i="13"/>
  <c r="AF39" i="13" s="1"/>
  <c r="AB32" i="13"/>
  <c r="AE32" i="13" s="1"/>
  <c r="AB34" i="13"/>
  <c r="AE34" i="13" s="1"/>
  <c r="AC36" i="13"/>
  <c r="AF36" i="13" s="1"/>
  <c r="AB31" i="13"/>
  <c r="AB33" i="13"/>
  <c r="AB35" i="13"/>
  <c r="AC38" i="13"/>
  <c r="AF38" i="13" s="1"/>
  <c r="AB39" i="13"/>
  <c r="AE39" i="13" s="1"/>
  <c r="AB37" i="13"/>
  <c r="AE37" i="13" s="1"/>
  <c r="AP9" i="29"/>
  <c r="AI21" i="24"/>
  <c r="V21" i="24"/>
  <c r="AI40" i="24"/>
  <c r="AP44" i="10"/>
  <c r="AG9" i="16"/>
  <c r="X58" i="27"/>
  <c r="Y58" i="17"/>
  <c r="X30" i="10"/>
  <c r="Y37" i="28"/>
  <c r="AB15" i="25"/>
  <c r="AA15" i="25"/>
  <c r="V20" i="18"/>
  <c r="Y58" i="27"/>
  <c r="U58" i="23"/>
  <c r="X37" i="28"/>
  <c r="AF15" i="45"/>
  <c r="AE15" i="45"/>
  <c r="R9" i="16"/>
  <c r="V58" i="23"/>
  <c r="X31" i="28"/>
  <c r="AF20" i="45"/>
  <c r="AE20" i="45"/>
  <c r="Q9" i="16"/>
  <c r="X58" i="17"/>
  <c r="V15" i="18"/>
  <c r="W15" i="18"/>
  <c r="AD9" i="16"/>
  <c r="Y30" i="10"/>
  <c r="Y31" i="28"/>
  <c r="W20" i="18"/>
  <c r="AG14" i="16"/>
  <c r="R14" i="16"/>
  <c r="Q14" i="16"/>
  <c r="AD14" i="16"/>
  <c r="T98" i="23"/>
  <c r="T131" i="23"/>
  <c r="Z106" i="23"/>
  <c r="Z37" i="23"/>
  <c r="Z42" i="23"/>
  <c r="AP68" i="23"/>
  <c r="Z55" i="23"/>
  <c r="AJ41" i="23"/>
  <c r="AJ105" i="23"/>
  <c r="AL131" i="23"/>
  <c r="AR30" i="23"/>
  <c r="AE54" i="23"/>
  <c r="T14" i="23"/>
  <c r="AG35" i="23"/>
  <c r="AG43" i="23"/>
  <c r="AG53" i="23"/>
  <c r="V3" i="23"/>
  <c r="W17" i="23"/>
  <c r="AM30" i="23"/>
  <c r="AF30" i="23"/>
  <c r="AJ53" i="23"/>
  <c r="AI34" i="23"/>
  <c r="AL118" i="23"/>
  <c r="AL53" i="23"/>
  <c r="AE37" i="23"/>
  <c r="Y18" i="23"/>
  <c r="AK41" i="23"/>
  <c r="AK51" i="23"/>
  <c r="N24" i="23"/>
  <c r="U17" i="23"/>
  <c r="R82" i="23"/>
  <c r="AG30" i="23"/>
  <c r="AJ36" i="23"/>
  <c r="AJ93" i="23"/>
  <c r="AL123" i="23"/>
  <c r="AP30" i="23"/>
  <c r="AE41" i="23"/>
  <c r="Y13" i="23"/>
  <c r="AG40" i="23"/>
  <c r="AK50" i="23"/>
  <c r="V20" i="23"/>
  <c r="U20" i="23"/>
  <c r="J3" i="23"/>
  <c r="AA82" i="23"/>
  <c r="AI42" i="23"/>
  <c r="T118" i="23"/>
  <c r="Z94" i="23"/>
  <c r="Z81" i="23"/>
  <c r="T75" i="23"/>
  <c r="AL54" i="23"/>
  <c r="T19" i="23"/>
  <c r="AG38" i="23"/>
  <c r="AG51" i="23"/>
  <c r="N16" i="23"/>
  <c r="Y56" i="23"/>
  <c r="AD30" i="23"/>
  <c r="AJ35" i="23"/>
  <c r="AO56" i="23"/>
  <c r="AL132" i="23"/>
  <c r="AQ82" i="23"/>
  <c r="T61" i="23"/>
  <c r="AL41" i="23"/>
  <c r="T9" i="23"/>
  <c r="AM40" i="23"/>
  <c r="AF55" i="23"/>
  <c r="U16" i="23"/>
  <c r="E3" i="23"/>
  <c r="AA108" i="23"/>
  <c r="AI30" i="23"/>
  <c r="AL119" i="23"/>
  <c r="AP82" i="23"/>
  <c r="AO30" i="23"/>
  <c r="T24" i="23"/>
  <c r="AK37" i="23"/>
  <c r="AM50" i="23"/>
  <c r="U7" i="23"/>
  <c r="S30" i="23"/>
  <c r="AD56" i="23"/>
  <c r="AI47" i="23"/>
  <c r="AR125" i="23"/>
  <c r="AP128" i="23"/>
  <c r="Z96" i="23"/>
  <c r="Z61" i="23"/>
  <c r="Z34" i="23"/>
  <c r="AP34" i="23"/>
  <c r="T26" i="23"/>
  <c r="AF37" i="23"/>
  <c r="AF50" i="23"/>
  <c r="N10" i="23"/>
  <c r="W22" i="23"/>
  <c r="Q3" i="23"/>
  <c r="AJ54" i="23"/>
  <c r="AJ97" i="23"/>
  <c r="AL122" i="23"/>
  <c r="T79" i="23"/>
  <c r="AL45" i="23"/>
  <c r="T13" i="23"/>
  <c r="AM39" i="23"/>
  <c r="AF54" i="23"/>
  <c r="W13" i="23"/>
  <c r="P108" i="23"/>
  <c r="U108" i="23"/>
  <c r="AJ99" i="23"/>
  <c r="AP113" i="23"/>
  <c r="AP97" i="23"/>
  <c r="AR42" i="23"/>
  <c r="AE45" i="23"/>
  <c r="Y22" i="23"/>
  <c r="AK45" i="23"/>
  <c r="V17" i="23"/>
  <c r="V27" i="23"/>
  <c r="V30" i="23"/>
  <c r="AI53" i="23"/>
  <c r="AP118" i="23"/>
  <c r="AR99" i="23"/>
  <c r="Z68" i="23"/>
  <c r="AP77" i="23"/>
  <c r="AP42" i="23"/>
  <c r="AE34" i="23"/>
  <c r="AF36" i="23"/>
  <c r="AF49" i="23"/>
  <c r="N27" i="23"/>
  <c r="U27" i="23"/>
  <c r="J30" i="23"/>
  <c r="AI55" i="23"/>
  <c r="Z125" i="23"/>
  <c r="AR102" i="23"/>
  <c r="T42" i="23"/>
  <c r="AE35" i="23"/>
  <c r="AK35" i="23"/>
  <c r="AM47" i="23"/>
  <c r="N23" i="23"/>
  <c r="V26" i="23"/>
  <c r="G30" i="23"/>
  <c r="AR54" i="23"/>
  <c r="T87" i="23"/>
  <c r="AR95" i="23"/>
  <c r="AR43" i="23"/>
  <c r="AR120" i="23"/>
  <c r="Z54" i="23"/>
  <c r="AP98" i="23"/>
  <c r="W11" i="23"/>
  <c r="AP36" i="23"/>
  <c r="T80" i="23"/>
  <c r="T67" i="23"/>
  <c r="N11" i="23"/>
  <c r="W28" i="23"/>
  <c r="AP93" i="23"/>
  <c r="N9" i="23"/>
  <c r="AR122" i="23"/>
  <c r="AP88" i="23"/>
  <c r="AP54" i="23"/>
  <c r="Z122" i="23"/>
  <c r="AR61" i="23"/>
  <c r="AP120" i="23"/>
  <c r="T54" i="23"/>
  <c r="T105" i="23"/>
  <c r="AR118" i="23"/>
  <c r="Z129" i="23"/>
  <c r="AP62" i="23"/>
  <c r="AP43" i="23"/>
  <c r="Z92" i="23"/>
  <c r="AP116" i="23"/>
  <c r="Z72" i="23"/>
  <c r="T70" i="23"/>
  <c r="AP41" i="23"/>
  <c r="AP44" i="23"/>
  <c r="Q28" i="23"/>
  <c r="Q15" i="23"/>
  <c r="P27" i="23"/>
  <c r="AP39" i="23"/>
  <c r="Z71" i="23"/>
  <c r="Z38" i="23"/>
  <c r="AP49" i="23"/>
  <c r="T49" i="23"/>
  <c r="Z75" i="23"/>
  <c r="AJ51" i="23"/>
  <c r="AI38" i="23"/>
  <c r="AR108" i="23"/>
  <c r="AR56" i="23"/>
  <c r="AL38" i="23"/>
  <c r="T23" i="23"/>
  <c r="Y23" i="23"/>
  <c r="AG41" i="23"/>
  <c r="AG50" i="23"/>
  <c r="V15" i="23"/>
  <c r="U13" i="23"/>
  <c r="T30" i="23"/>
  <c r="U30" i="23"/>
  <c r="AC108" i="23"/>
  <c r="AI43" i="23"/>
  <c r="AL128" i="23"/>
  <c r="AQ30" i="23"/>
  <c r="AE46" i="23"/>
  <c r="Y9" i="23"/>
  <c r="AF39" i="23"/>
  <c r="AG49" i="23"/>
  <c r="V16" i="23"/>
  <c r="U11" i="23"/>
  <c r="S108" i="23"/>
  <c r="K30" i="23"/>
  <c r="AJ45" i="23"/>
  <c r="AJ103" i="23"/>
  <c r="AN108" i="23"/>
  <c r="AR34" i="23"/>
  <c r="AE51" i="23"/>
  <c r="T8" i="23"/>
  <c r="AF38" i="23"/>
  <c r="AF47" i="23"/>
  <c r="V11" i="23"/>
  <c r="U15" i="23"/>
  <c r="P30" i="23"/>
  <c r="X56" i="23"/>
  <c r="AJ34" i="23"/>
  <c r="AR117" i="23"/>
  <c r="AL116" i="23"/>
  <c r="AP107" i="23"/>
  <c r="T81" i="23"/>
  <c r="AP47" i="23"/>
  <c r="AE38" i="23"/>
  <c r="AF35" i="23"/>
  <c r="AK47" i="23"/>
  <c r="W3" i="23"/>
  <c r="U26" i="23"/>
  <c r="F30" i="23"/>
  <c r="AJ47" i="23"/>
  <c r="AJ92" i="23"/>
  <c r="AP125" i="23"/>
  <c r="T97" i="23"/>
  <c r="T65" i="23"/>
  <c r="AL55" i="23"/>
  <c r="T20" i="23"/>
  <c r="AM37" i="23"/>
  <c r="AF51" i="23"/>
  <c r="U8" i="23"/>
  <c r="R108" i="23"/>
  <c r="V82" i="23"/>
  <c r="AI45" i="23"/>
  <c r="AL133" i="23"/>
  <c r="T103" i="23"/>
  <c r="AR55" i="23"/>
  <c r="AE40" i="23"/>
  <c r="Y28" i="23"/>
  <c r="AK46" i="23"/>
  <c r="V8" i="23"/>
  <c r="Z82" i="23"/>
  <c r="AB30" i="23"/>
  <c r="AJ38" i="23"/>
  <c r="AO82" i="23"/>
  <c r="AP115" i="23"/>
  <c r="Z102" i="23"/>
  <c r="Z66" i="23"/>
  <c r="AP71" i="23"/>
  <c r="AP55" i="23"/>
  <c r="AE42" i="23"/>
  <c r="Y27" i="23"/>
  <c r="AG46" i="23"/>
  <c r="V19" i="23"/>
  <c r="U14" i="23"/>
  <c r="P82" i="23"/>
  <c r="W108" i="23"/>
  <c r="AI36" i="23"/>
  <c r="AP108" i="23"/>
  <c r="AR64" i="23"/>
  <c r="AR39" i="23"/>
  <c r="T27" i="23"/>
  <c r="AK36" i="23"/>
  <c r="AM49" i="23"/>
  <c r="N13" i="23"/>
  <c r="S82" i="23"/>
  <c r="AA56" i="23"/>
  <c r="AI37" i="23"/>
  <c r="AQ108" i="23"/>
  <c r="AR98" i="23"/>
  <c r="AP75" i="23"/>
  <c r="AL35" i="23"/>
  <c r="Y10" i="23"/>
  <c r="AG42" i="23"/>
  <c r="AK34" i="23"/>
  <c r="U19" i="23"/>
  <c r="M3" i="23"/>
  <c r="AJ43" i="23"/>
  <c r="AJ88" i="23"/>
  <c r="Z103" i="23"/>
  <c r="Z80" i="23"/>
  <c r="T73" i="23"/>
  <c r="AR45" i="23"/>
  <c r="AE47" i="23"/>
  <c r="Y20" i="23"/>
  <c r="AF45" i="23"/>
  <c r="V14" i="23"/>
  <c r="W18" i="23"/>
  <c r="K3" i="23"/>
  <c r="AJ44" i="23"/>
  <c r="AJ90" i="23"/>
  <c r="Z98" i="23"/>
  <c r="AQ56" i="23"/>
  <c r="AE49" i="23"/>
  <c r="Y19" i="23"/>
  <c r="AK44" i="23"/>
  <c r="V13" i="23"/>
  <c r="U18" i="23"/>
  <c r="H3" i="23"/>
  <c r="T50" i="23"/>
  <c r="Z62" i="23"/>
  <c r="AP67" i="23"/>
  <c r="T41" i="23"/>
  <c r="AP101" i="23"/>
  <c r="AP35" i="23"/>
  <c r="AR50" i="23"/>
  <c r="AR127" i="23"/>
  <c r="AR94" i="23"/>
  <c r="AR36" i="23"/>
  <c r="Z101" i="23"/>
  <c r="Z127" i="23"/>
  <c r="AR86" i="23"/>
  <c r="AP76" i="23"/>
  <c r="AP105" i="23"/>
  <c r="AP121" i="23"/>
  <c r="AR79" i="23"/>
  <c r="W14" i="23"/>
  <c r="T102" i="23"/>
  <c r="W27" i="23"/>
  <c r="AR129" i="23"/>
  <c r="AR72" i="23"/>
  <c r="N19" i="23"/>
  <c r="T121" i="23"/>
  <c r="Z112" i="23"/>
  <c r="AP50" i="23"/>
  <c r="AP87" i="23"/>
  <c r="Z41" i="23"/>
  <c r="AR66" i="23"/>
  <c r="AR62" i="23"/>
  <c r="AR132" i="23"/>
  <c r="T129" i="23"/>
  <c r="P13" i="23"/>
  <c r="Q11" i="23"/>
  <c r="P18" i="23"/>
  <c r="W26" i="23"/>
  <c r="AP131" i="23"/>
  <c r="T38" i="23"/>
  <c r="T114" i="23"/>
  <c r="AP64" i="23"/>
  <c r="AR90" i="23"/>
  <c r="AI46" i="23"/>
  <c r="AJ87" i="23"/>
  <c r="AL113" i="23"/>
  <c r="AL46" i="23"/>
  <c r="AE36" i="23"/>
  <c r="Y14" i="23"/>
  <c r="AG39" i="23"/>
  <c r="AG47" i="23"/>
  <c r="V24" i="23"/>
  <c r="N22" i="23"/>
  <c r="Z30" i="23"/>
  <c r="R3" i="23"/>
  <c r="AC82" i="23"/>
  <c r="AI54" i="23"/>
  <c r="AJ89" i="23"/>
  <c r="AS30" i="23"/>
  <c r="AL30" i="23"/>
  <c r="T12" i="23"/>
  <c r="AM36" i="23"/>
  <c r="AF46" i="23"/>
  <c r="V23" i="23"/>
  <c r="N7" i="23"/>
  <c r="Z108" i="23"/>
  <c r="P3" i="23"/>
  <c r="V108" i="23"/>
  <c r="AI39" i="23"/>
  <c r="AS108" i="23"/>
  <c r="AP81" i="23"/>
  <c r="AL37" i="23"/>
  <c r="T17" i="23"/>
  <c r="AM35" i="23"/>
  <c r="AM44" i="23"/>
  <c r="AF34" i="23"/>
  <c r="W8" i="23"/>
  <c r="S56" i="23"/>
  <c r="AA30" i="23"/>
  <c r="AJ46" i="23"/>
  <c r="AJ91" i="23"/>
  <c r="AL129" i="23"/>
  <c r="AR82" i="23"/>
  <c r="AS56" i="23"/>
  <c r="AR51" i="23"/>
  <c r="AE50" i="23"/>
  <c r="Y17" i="23"/>
  <c r="AG44" i="23"/>
  <c r="V12" i="23"/>
  <c r="U9" i="23"/>
  <c r="F3" i="23"/>
  <c r="AD108" i="23"/>
  <c r="AJ107" i="23"/>
  <c r="T123" i="23"/>
  <c r="Z90" i="23"/>
  <c r="Z60" i="23"/>
  <c r="AR53" i="23"/>
  <c r="AE39" i="23"/>
  <c r="Y3" i="23"/>
  <c r="AM46" i="23"/>
  <c r="V7" i="23"/>
  <c r="Y82" i="23"/>
  <c r="AC30" i="23"/>
  <c r="AJ37" i="23"/>
  <c r="AN56" i="23"/>
  <c r="AR91" i="23"/>
  <c r="Z43" i="23"/>
  <c r="AE55" i="23"/>
  <c r="Y15" i="23"/>
  <c r="AK43" i="23"/>
  <c r="V9" i="23"/>
  <c r="U23" i="23"/>
  <c r="S3" i="23"/>
  <c r="AJ55" i="23"/>
  <c r="AJ96" i="23"/>
  <c r="T119" i="23"/>
  <c r="AL120" i="23"/>
  <c r="AP86" i="23"/>
  <c r="T66" i="23"/>
  <c r="T39" i="23"/>
  <c r="AH30" i="23"/>
  <c r="Y12" i="23"/>
  <c r="AF43" i="23"/>
  <c r="V22" i="23"/>
  <c r="X3" i="23"/>
  <c r="T56" i="23"/>
  <c r="AB56" i="23"/>
  <c r="AI50" i="23"/>
  <c r="Z117" i="23"/>
  <c r="AP89" i="23"/>
  <c r="AP73" i="23"/>
  <c r="AE43" i="23"/>
  <c r="Y26" i="23"/>
  <c r="AM45" i="23"/>
  <c r="V18" i="23"/>
  <c r="V28" i="23"/>
  <c r="W30" i="23"/>
  <c r="AI51" i="23"/>
  <c r="AR133" i="23"/>
  <c r="AL108" i="23"/>
  <c r="T63" i="23"/>
  <c r="AL49" i="23"/>
  <c r="T15" i="23"/>
  <c r="AK39" i="23"/>
  <c r="AK53" i="23"/>
  <c r="U12" i="23"/>
  <c r="Q30" i="23"/>
  <c r="AD82" i="23"/>
  <c r="AJ101" i="23"/>
  <c r="AL112" i="23"/>
  <c r="AP99" i="23"/>
  <c r="AR71" i="23"/>
  <c r="Z45" i="23"/>
  <c r="AL36" i="23"/>
  <c r="Y8" i="23"/>
  <c r="AF42" i="23"/>
  <c r="AG34" i="23"/>
  <c r="W10" i="23"/>
  <c r="R30" i="23"/>
  <c r="AB82" i="23"/>
  <c r="AJ102" i="23"/>
  <c r="AL115" i="23"/>
  <c r="AP103" i="23"/>
  <c r="AL39" i="23"/>
  <c r="Z3" i="23"/>
  <c r="AM41" i="23"/>
  <c r="AM55" i="23"/>
  <c r="U10" i="23"/>
  <c r="Q82" i="23"/>
  <c r="X82" i="23"/>
  <c r="Z105" i="23"/>
  <c r="T43" i="23"/>
  <c r="Z132" i="23"/>
  <c r="AP40" i="23"/>
  <c r="AR87" i="23"/>
  <c r="AP124" i="23"/>
  <c r="AR35" i="23"/>
  <c r="Z120" i="23"/>
  <c r="AR69" i="23"/>
  <c r="T124" i="23"/>
  <c r="W12" i="23"/>
  <c r="AR116" i="23"/>
  <c r="Z36" i="23"/>
  <c r="Z69" i="23"/>
  <c r="AP102" i="23"/>
  <c r="W20" i="23"/>
  <c r="AJ49" i="23"/>
  <c r="AR65" i="23"/>
  <c r="AR92" i="23"/>
  <c r="AR112" i="23"/>
  <c r="T93" i="23"/>
  <c r="AP70" i="23"/>
  <c r="AR70" i="23"/>
  <c r="N14" i="23"/>
  <c r="Z65" i="23"/>
  <c r="Z118" i="23"/>
  <c r="AP129" i="23"/>
  <c r="AR105" i="23"/>
  <c r="AR114" i="23"/>
  <c r="AP61" i="23"/>
  <c r="Z124" i="23"/>
  <c r="Q20" i="23"/>
  <c r="Q24" i="23"/>
  <c r="AR121" i="23"/>
  <c r="W7" i="23"/>
  <c r="T36" i="23"/>
  <c r="T71" i="23"/>
  <c r="AP123" i="23"/>
  <c r="AN30" i="23"/>
  <c r="AG45" i="23"/>
  <c r="G3" i="23"/>
  <c r="AR81" i="23"/>
  <c r="AM43" i="23"/>
  <c r="M30" i="23"/>
  <c r="AL114" i="23"/>
  <c r="AK42" i="23"/>
  <c r="E30" i="23"/>
  <c r="AS82" i="23"/>
  <c r="T7" i="23"/>
  <c r="Q108" i="23"/>
  <c r="AL117" i="23"/>
  <c r="Y16" i="23"/>
  <c r="U3" i="23"/>
  <c r="AR60" i="23"/>
  <c r="AK54" i="23"/>
  <c r="AI35" i="23"/>
  <c r="AR63" i="23"/>
  <c r="AF40" i="23"/>
  <c r="X30" i="23"/>
  <c r="T72" i="23"/>
  <c r="AM34" i="23"/>
  <c r="AJ86" i="23"/>
  <c r="AE30" i="23"/>
  <c r="T82" i="23"/>
  <c r="T101" i="23"/>
  <c r="T16" i="23"/>
  <c r="T108" i="23"/>
  <c r="T96" i="23"/>
  <c r="AM51" i="23"/>
  <c r="T90" i="23"/>
  <c r="W9" i="23"/>
  <c r="Z95" i="23"/>
  <c r="Z76" i="23"/>
  <c r="AR75" i="23"/>
  <c r="T76" i="23"/>
  <c r="AP90" i="23"/>
  <c r="AP95" i="23"/>
  <c r="Q16" i="23"/>
  <c r="AR46" i="23"/>
  <c r="AP132" i="23"/>
  <c r="T117" i="23"/>
  <c r="Z113" i="23"/>
  <c r="T86" i="23"/>
  <c r="Z128" i="23"/>
  <c r="AR107" i="23"/>
  <c r="Z35" i="23"/>
  <c r="T115" i="23"/>
  <c r="Z40" i="23"/>
  <c r="AP53" i="23"/>
  <c r="Z77" i="23"/>
  <c r="AP106" i="23"/>
  <c r="AR106" i="23"/>
  <c r="Z88" i="23"/>
  <c r="T91" i="23"/>
  <c r="T99" i="23"/>
  <c r="T107" i="23"/>
  <c r="Z67" i="23"/>
  <c r="T88" i="23"/>
  <c r="T51" i="23"/>
  <c r="AR89" i="23"/>
  <c r="T122" i="23"/>
  <c r="Z79" i="23"/>
  <c r="AL121" i="23"/>
  <c r="AG37" i="23"/>
  <c r="U28" i="23"/>
  <c r="AJ98" i="23"/>
  <c r="Y7" i="23"/>
  <c r="U24" i="23"/>
  <c r="AN82" i="23"/>
  <c r="Y24" i="23"/>
  <c r="Z56" i="23"/>
  <c r="AP122" i="23"/>
  <c r="AL40" i="23"/>
  <c r="N20" i="23"/>
  <c r="AR119" i="23"/>
  <c r="AE53" i="23"/>
  <c r="W24" i="23"/>
  <c r="Z86" i="23"/>
  <c r="AK40" i="23"/>
  <c r="X108" i="23"/>
  <c r="Z91" i="23"/>
  <c r="T11" i="23"/>
  <c r="Y108" i="23"/>
  <c r="AR96" i="23"/>
  <c r="AM42" i="23"/>
  <c r="AJ42" i="23"/>
  <c r="AP38" i="23"/>
  <c r="N17" i="23"/>
  <c r="AL125" i="23"/>
  <c r="AL50" i="23"/>
  <c r="N8" i="23"/>
  <c r="AL127" i="23"/>
  <c r="AK38" i="23"/>
  <c r="U56" i="23"/>
  <c r="AR103" i="23"/>
  <c r="AP80" i="23"/>
  <c r="Z87" i="23"/>
  <c r="AR44" i="23"/>
  <c r="AR41" i="23"/>
  <c r="T120" i="23"/>
  <c r="AR124" i="23"/>
  <c r="T112" i="23"/>
  <c r="P10" i="23"/>
  <c r="Z47" i="23"/>
  <c r="AP94" i="23"/>
  <c r="Z51" i="23"/>
  <c r="AR88" i="23"/>
  <c r="AP37" i="23"/>
  <c r="T94" i="23"/>
  <c r="T128" i="23"/>
  <c r="AR73" i="23"/>
  <c r="AR93" i="23"/>
  <c r="AR97" i="23"/>
  <c r="Z119" i="23"/>
  <c r="Z53" i="23"/>
  <c r="AR123" i="23"/>
  <c r="T69" i="23"/>
  <c r="AP51" i="23"/>
  <c r="Z49" i="23"/>
  <c r="T44" i="23"/>
  <c r="T113" i="23"/>
  <c r="T45" i="23"/>
  <c r="AP46" i="23"/>
  <c r="T46" i="23"/>
  <c r="AP91" i="23"/>
  <c r="Z99" i="23"/>
  <c r="Z46" i="23"/>
  <c r="Z133" i="23"/>
  <c r="AJ95" i="23"/>
  <c r="T3" i="23"/>
  <c r="N26" i="23"/>
  <c r="AJ40" i="23"/>
  <c r="T22" i="23"/>
  <c r="N15" i="23"/>
  <c r="AI49" i="23"/>
  <c r="T28" i="23"/>
  <c r="N28" i="23"/>
  <c r="AJ106" i="23"/>
  <c r="AP63" i="23"/>
  <c r="AK55" i="23"/>
  <c r="AI44" i="23"/>
  <c r="AP65" i="23"/>
  <c r="V10" i="23"/>
  <c r="AJ94" i="23"/>
  <c r="T10" i="23"/>
  <c r="N30" i="23"/>
  <c r="AO108" i="23"/>
  <c r="AL44" i="23"/>
  <c r="N18" i="23"/>
  <c r="AJ82" i="23"/>
  <c r="Y11" i="23"/>
  <c r="N3" i="23"/>
  <c r="AR68" i="23"/>
  <c r="AK49" i="23"/>
  <c r="AI40" i="23"/>
  <c r="AP56" i="23"/>
  <c r="AF53" i="23"/>
  <c r="AI41" i="23"/>
  <c r="T18" i="23"/>
  <c r="Y30" i="23"/>
  <c r="Z114" i="23"/>
  <c r="AP96" i="23"/>
  <c r="AP92" i="23"/>
  <c r="Z50" i="23"/>
  <c r="W19" i="23"/>
  <c r="AP79" i="23"/>
  <c r="AP69" i="23"/>
  <c r="T62" i="23"/>
  <c r="Z115" i="23"/>
  <c r="T133" i="23"/>
  <c r="AP60" i="23"/>
  <c r="W23" i="23"/>
  <c r="T77" i="23"/>
  <c r="T40" i="23"/>
  <c r="AP117" i="23"/>
  <c r="Z121" i="23"/>
  <c r="AR40" i="23"/>
  <c r="AR131" i="23"/>
  <c r="AR49" i="23"/>
  <c r="AR47" i="23"/>
  <c r="AP72" i="23"/>
  <c r="AP66" i="23"/>
  <c r="T60" i="23"/>
  <c r="AR128" i="23"/>
  <c r="Z93" i="23"/>
  <c r="Z73" i="23"/>
  <c r="T106" i="23"/>
  <c r="Z89" i="23"/>
  <c r="T125" i="23"/>
  <c r="AR67" i="23"/>
  <c r="T34" i="23"/>
  <c r="AC56" i="23"/>
  <c r="AL47" i="23"/>
  <c r="AF41" i="23"/>
  <c r="AJ50" i="23"/>
  <c r="AR38" i="23"/>
  <c r="U22" i="23"/>
  <c r="Z63" i="23"/>
  <c r="N12" i="23"/>
  <c r="AR76" i="23"/>
  <c r="Z44" i="23"/>
  <c r="AP114" i="23"/>
  <c r="AR115" i="23"/>
  <c r="AP133" i="23"/>
  <c r="T53" i="23"/>
  <c r="Z39" i="23"/>
  <c r="Z123" i="23"/>
  <c r="T55" i="23"/>
  <c r="AG55" i="23"/>
  <c r="U82" i="23"/>
  <c r="Z64" i="23"/>
  <c r="AF44" i="23"/>
  <c r="T132" i="23"/>
  <c r="AL34" i="23"/>
  <c r="W56" i="23"/>
  <c r="AL51" i="23"/>
  <c r="T95" i="23"/>
  <c r="T116" i="23"/>
  <c r="T68" i="23"/>
  <c r="T64" i="23"/>
  <c r="Z97" i="23"/>
  <c r="T92" i="23"/>
  <c r="T37" i="23"/>
  <c r="AR37" i="23"/>
  <c r="AE44" i="23"/>
  <c r="AM54" i="23"/>
  <c r="AB108" i="23"/>
  <c r="Z70" i="23"/>
  <c r="W15" i="23"/>
  <c r="AJ39" i="23"/>
  <c r="AG36" i="23"/>
  <c r="V56" i="23"/>
  <c r="Z116" i="23"/>
  <c r="Q19" i="23"/>
  <c r="AP119" i="23"/>
  <c r="T47" i="23"/>
  <c r="W16" i="23"/>
  <c r="AR113" i="23"/>
  <c r="T127" i="23"/>
  <c r="W82" i="23"/>
  <c r="AM38" i="23"/>
  <c r="Z131" i="23"/>
  <c r="AR80" i="23"/>
  <c r="AP45" i="23"/>
  <c r="AL43" i="23"/>
  <c r="AM53" i="23"/>
  <c r="AL124" i="23"/>
  <c r="AP112" i="23"/>
  <c r="AP127" i="23"/>
  <c r="AJ30" i="23"/>
  <c r="T89" i="23"/>
  <c r="AR77" i="23"/>
  <c r="AL42" i="23"/>
  <c r="AG54" i="23"/>
  <c r="T35" i="23"/>
  <c r="AR101" i="23"/>
  <c r="Z107" i="23"/>
  <c r="AM5" i="45"/>
  <c r="AE32" i="17"/>
  <c r="X24" i="10"/>
  <c r="AD24" i="28"/>
  <c r="AN5" i="45"/>
  <c r="AD10" i="18"/>
  <c r="AD5" i="18"/>
  <c r="R7" i="16"/>
  <c r="AB32" i="23"/>
  <c r="AD32" i="17"/>
  <c r="AD18" i="28"/>
  <c r="Y24" i="10"/>
  <c r="T24" i="24"/>
  <c r="U24" i="24"/>
  <c r="AN10" i="45"/>
  <c r="AE10" i="18"/>
  <c r="AG7" i="16"/>
  <c r="AA32" i="23"/>
  <c r="AE18" i="28"/>
  <c r="AE32" i="27"/>
  <c r="AB10" i="25"/>
  <c r="AD32" i="27"/>
  <c r="AD7" i="16"/>
  <c r="AA10" i="25"/>
  <c r="Q7" i="16"/>
  <c r="AE5" i="18"/>
  <c r="AE24" i="28"/>
  <c r="AM10" i="45"/>
  <c r="R17" i="16"/>
  <c r="U110" i="23"/>
  <c r="X57" i="28"/>
  <c r="X63" i="28"/>
  <c r="AF35" i="45"/>
  <c r="W40" i="18"/>
  <c r="AD17" i="16"/>
  <c r="V110" i="23"/>
  <c r="Y54" i="10"/>
  <c r="Y57" i="28"/>
  <c r="AF40" i="45"/>
  <c r="V40" i="18"/>
  <c r="Q17" i="16"/>
  <c r="AG17" i="16"/>
  <c r="X110" i="27"/>
  <c r="X110" i="17"/>
  <c r="X54" i="10"/>
  <c r="V35" i="18"/>
  <c r="W35" i="18"/>
  <c r="AE35" i="45"/>
  <c r="AB35" i="25"/>
  <c r="Y63" i="28"/>
  <c r="Y110" i="17"/>
  <c r="AE40" i="45"/>
  <c r="AA35" i="25"/>
  <c r="Y110" i="27"/>
  <c r="Z3" i="17"/>
  <c r="AI34" i="17"/>
  <c r="AT82" i="17"/>
  <c r="N22" i="17"/>
  <c r="N16" i="17"/>
  <c r="N10" i="17"/>
  <c r="U9" i="17"/>
  <c r="T12" i="17"/>
  <c r="Y13" i="17"/>
  <c r="U15" i="17"/>
  <c r="V16" i="17"/>
  <c r="V17" i="17"/>
  <c r="Y18" i="17"/>
  <c r="T20" i="17"/>
  <c r="U22" i="17"/>
  <c r="V23" i="17"/>
  <c r="Y24" i="17"/>
  <c r="T27" i="17"/>
  <c r="V28" i="17"/>
  <c r="AK46" i="17"/>
  <c r="AR46" i="17"/>
  <c r="AK47" i="17"/>
  <c r="AQ47" i="17"/>
  <c r="AK49" i="17"/>
  <c r="AQ49" i="17"/>
  <c r="AJ50" i="17"/>
  <c r="AQ50" i="17"/>
  <c r="AJ51" i="17"/>
  <c r="AP51" i="17"/>
  <c r="AJ53" i="17"/>
  <c r="AP53" i="17"/>
  <c r="AI54" i="17"/>
  <c r="AP54" i="17"/>
  <c r="AI55" i="17"/>
  <c r="AO55" i="17"/>
  <c r="AI35" i="17"/>
  <c r="AO35" i="17"/>
  <c r="AH36" i="17"/>
  <c r="AO36" i="17"/>
  <c r="AH37" i="17"/>
  <c r="AN37" i="17"/>
  <c r="AH38" i="17"/>
  <c r="AN38" i="17"/>
  <c r="AS38" i="17"/>
  <c r="AN39" i="17"/>
  <c r="AS39" i="17"/>
  <c r="AM40" i="17"/>
  <c r="AS40" i="17"/>
  <c r="AM41" i="17"/>
  <c r="AR41" i="17"/>
  <c r="AM42" i="17"/>
  <c r="AR42" i="17"/>
  <c r="AK43" i="17"/>
  <c r="AR43" i="17"/>
  <c r="AK44" i="17"/>
  <c r="AQ44" i="17"/>
  <c r="AK45" i="17"/>
  <c r="AQ45" i="17"/>
  <c r="G3" i="17"/>
  <c r="P3" i="17"/>
  <c r="U3" i="17"/>
  <c r="G30" i="17"/>
  <c r="P30" i="17"/>
  <c r="U30" i="17"/>
  <c r="Z30" i="17"/>
  <c r="AF30" i="17"/>
  <c r="AK30" i="17"/>
  <c r="AR30" i="17"/>
  <c r="Z56" i="17"/>
  <c r="AE56" i="17"/>
  <c r="U82" i="17"/>
  <c r="AA82" i="17"/>
  <c r="AF82" i="17"/>
  <c r="AP86" i="17"/>
  <c r="AP96" i="17"/>
  <c r="AP99" i="17"/>
  <c r="AP103" i="17"/>
  <c r="W108" i="17"/>
  <c r="AB108" i="17"/>
  <c r="AG108" i="17"/>
  <c r="AR118" i="17"/>
  <c r="AR121" i="17"/>
  <c r="AR125" i="17"/>
  <c r="AR131" i="17"/>
  <c r="AW80" i="17"/>
  <c r="AV73" i="17"/>
  <c r="AV69" i="17"/>
  <c r="AV64" i="17"/>
  <c r="AV77" i="17"/>
  <c r="AV86" i="17"/>
  <c r="AV93" i="17"/>
  <c r="AV88" i="17"/>
  <c r="AV107" i="17"/>
  <c r="AV123" i="17"/>
  <c r="AV117" i="17"/>
  <c r="AV131" i="17"/>
  <c r="AS34" i="17"/>
  <c r="AV82" i="17"/>
  <c r="V8" i="17"/>
  <c r="V11" i="17"/>
  <c r="W13" i="17"/>
  <c r="Y14" i="17"/>
  <c r="U16" i="17"/>
  <c r="U17" i="17"/>
  <c r="V18" i="17"/>
  <c r="Y19" i="17"/>
  <c r="T22" i="17"/>
  <c r="T23" i="17"/>
  <c r="V24" i="17"/>
  <c r="Y26" i="17"/>
  <c r="T28" i="17"/>
  <c r="AJ46" i="17"/>
  <c r="AP46" i="17"/>
  <c r="AJ47" i="17"/>
  <c r="AP47" i="17"/>
  <c r="AI49" i="17"/>
  <c r="AP49" i="17"/>
  <c r="AI50" i="17"/>
  <c r="AO50" i="17"/>
  <c r="AI51" i="17"/>
  <c r="AO51" i="17"/>
  <c r="AH53" i="17"/>
  <c r="AO53" i="17"/>
  <c r="AH54" i="17"/>
  <c r="AN54" i="17"/>
  <c r="AH55" i="17"/>
  <c r="AN55" i="17"/>
  <c r="AS55" i="17"/>
  <c r="AN35" i="17"/>
  <c r="AS35" i="17"/>
  <c r="AM36" i="17"/>
  <c r="AS36" i="17"/>
  <c r="AM37" i="17"/>
  <c r="AR37" i="17"/>
  <c r="AM38" i="17"/>
  <c r="AR38" i="17"/>
  <c r="AK39" i="17"/>
  <c r="AR39" i="17"/>
  <c r="AK40" i="17"/>
  <c r="AQ40" i="17"/>
  <c r="AK41" i="17"/>
  <c r="AQ41" i="17"/>
  <c r="AJ42" i="17"/>
  <c r="AQ42" i="17"/>
  <c r="AJ43" i="17"/>
  <c r="AP43" i="17"/>
  <c r="AJ44" i="17"/>
  <c r="AP44" i="17"/>
  <c r="AI45" i="17"/>
  <c r="AP45" i="17"/>
  <c r="F3" i="17"/>
  <c r="M3" i="17"/>
  <c r="T3" i="17"/>
  <c r="F30" i="17"/>
  <c r="M30" i="17"/>
  <c r="T30" i="17"/>
  <c r="Y30" i="17"/>
  <c r="AD30" i="17"/>
  <c r="AJ30" i="17"/>
  <c r="AP30" i="17"/>
  <c r="X56" i="17"/>
  <c r="AD56" i="17"/>
  <c r="T82" i="17"/>
  <c r="Y82" i="17"/>
  <c r="AE82" i="17"/>
  <c r="AP87" i="17"/>
  <c r="AP90" i="17"/>
  <c r="AP101" i="17"/>
  <c r="AP105" i="17"/>
  <c r="U108" i="17"/>
  <c r="AA108" i="17"/>
  <c r="AF108" i="17"/>
  <c r="AR112" i="17"/>
  <c r="AR122" i="17"/>
  <c r="AR127" i="17"/>
  <c r="AR132" i="17"/>
  <c r="AV49" i="17"/>
  <c r="AV70" i="17"/>
  <c r="AV76" i="17"/>
  <c r="AV81" i="17"/>
  <c r="AV89" i="17"/>
  <c r="AV103" i="17"/>
  <c r="AV124" i="17"/>
  <c r="AV114" i="17"/>
  <c r="AM34" i="17"/>
  <c r="AU56" i="17"/>
  <c r="W18" i="17"/>
  <c r="X3" i="17"/>
  <c r="T10" i="17"/>
  <c r="Y12" i="17"/>
  <c r="U14" i="17"/>
  <c r="V15" i="17"/>
  <c r="W16" i="17"/>
  <c r="T18" i="17"/>
  <c r="T19" i="17"/>
  <c r="U20" i="17"/>
  <c r="W22" i="17"/>
  <c r="Y23" i="17"/>
  <c r="T26" i="17"/>
  <c r="V27" i="17"/>
  <c r="Y28" i="17"/>
  <c r="AN46" i="17"/>
  <c r="AS46" i="17"/>
  <c r="AM47" i="17"/>
  <c r="AS47" i="17"/>
  <c r="AM49" i="17"/>
  <c r="AR49" i="17"/>
  <c r="AM50" i="17"/>
  <c r="AR50" i="17"/>
  <c r="AK51" i="17"/>
  <c r="AR51" i="17"/>
  <c r="AK53" i="17"/>
  <c r="AQ53" i="17"/>
  <c r="AK54" i="17"/>
  <c r="AQ54" i="17"/>
  <c r="AJ55" i="17"/>
  <c r="AQ55" i="17"/>
  <c r="AJ35" i="17"/>
  <c r="AP35" i="17"/>
  <c r="AJ36" i="17"/>
  <c r="AP36" i="17"/>
  <c r="AI37" i="17"/>
  <c r="AP37" i="17"/>
  <c r="AI38" i="17"/>
  <c r="AO38" i="17"/>
  <c r="AI39" i="17"/>
  <c r="AO39" i="17"/>
  <c r="AH40" i="17"/>
  <c r="AO40" i="17"/>
  <c r="AH41" i="17"/>
  <c r="AN41" i="17"/>
  <c r="AH42" i="17"/>
  <c r="AN42" i="17"/>
  <c r="AS42" i="17"/>
  <c r="AN43" i="17"/>
  <c r="AS43" i="17"/>
  <c r="AM44" i="17"/>
  <c r="AS44" i="17"/>
  <c r="AM45" i="17"/>
  <c r="AR45" i="17"/>
  <c r="J3" i="17"/>
  <c r="Q3" i="17"/>
  <c r="V3" i="17"/>
  <c r="J30" i="17"/>
  <c r="Q30" i="17"/>
  <c r="V30" i="17"/>
  <c r="AB30" i="17"/>
  <c r="AG30" i="17"/>
  <c r="AM30" i="17"/>
  <c r="V56" i="17"/>
  <c r="AA56" i="17"/>
  <c r="AF56" i="17"/>
  <c r="W82" i="17"/>
  <c r="AB82" i="17"/>
  <c r="AG82" i="17"/>
  <c r="AP92" i="17"/>
  <c r="AP95" i="17"/>
  <c r="AP98" i="17"/>
  <c r="S108" i="17"/>
  <c r="X108" i="17"/>
  <c r="AC108" i="17"/>
  <c r="AR114" i="17"/>
  <c r="AR117" i="17"/>
  <c r="AR120" i="17"/>
  <c r="AR124" i="17"/>
  <c r="AR129" i="17"/>
  <c r="AV72" i="17"/>
  <c r="AV99" i="17"/>
  <c r="AV112" i="17"/>
  <c r="AV116" i="17"/>
  <c r="AV127" i="17"/>
  <c r="AO34" i="17"/>
  <c r="V7" i="17"/>
  <c r="Y15" i="17"/>
  <c r="Y20" i="17"/>
  <c r="Y27" i="17"/>
  <c r="AO47" i="17"/>
  <c r="AN50" i="17"/>
  <c r="AM53" i="17"/>
  <c r="AM55" i="17"/>
  <c r="AK36" i="17"/>
  <c r="AJ38" i="17"/>
  <c r="AJ40" i="17"/>
  <c r="AI42" i="17"/>
  <c r="AH44" i="17"/>
  <c r="E3" i="17"/>
  <c r="K30" i="17"/>
  <c r="AH30" i="17"/>
  <c r="W56" i="17"/>
  <c r="S82" i="17"/>
  <c r="AP88" i="17"/>
  <c r="AR113" i="17"/>
  <c r="AR123" i="17"/>
  <c r="AV40" i="17"/>
  <c r="AV80" i="17"/>
  <c r="AV125" i="17"/>
  <c r="AW97" i="17"/>
  <c r="AW99" i="17"/>
  <c r="W28" i="17"/>
  <c r="N11" i="17"/>
  <c r="V14" i="17"/>
  <c r="U19" i="17"/>
  <c r="V26" i="17"/>
  <c r="AH47" i="17"/>
  <c r="AH50" i="17"/>
  <c r="AS51" i="17"/>
  <c r="AR54" i="17"/>
  <c r="AR35" i="17"/>
  <c r="AQ37" i="17"/>
  <c r="AP39" i="17"/>
  <c r="AP41" i="17"/>
  <c r="AO43" i="17"/>
  <c r="AN45" i="17"/>
  <c r="E30" i="17"/>
  <c r="AC30" i="17"/>
  <c r="AP94" i="17"/>
  <c r="AP106" i="17"/>
  <c r="AE108" i="17"/>
  <c r="AR128" i="17"/>
  <c r="AV61" i="17"/>
  <c r="AV102" i="17"/>
  <c r="AV128" i="17"/>
  <c r="AW68" i="17"/>
  <c r="V13" i="17"/>
  <c r="U18" i="17"/>
  <c r="T24" i="17"/>
  <c r="AO46" i="17"/>
  <c r="AN49" i="17"/>
  <c r="AN51" i="17"/>
  <c r="AM54" i="17"/>
  <c r="AK35" i="17"/>
  <c r="AK37" i="17"/>
  <c r="AJ39" i="17"/>
  <c r="AI41" i="17"/>
  <c r="AI43" i="17"/>
  <c r="AH45" i="17"/>
  <c r="R3" i="17"/>
  <c r="X30" i="17"/>
  <c r="AC82" i="17"/>
  <c r="AP91" i="17"/>
  <c r="Y108" i="17"/>
  <c r="AR133" i="17"/>
  <c r="AV66" i="17"/>
  <c r="AV91" i="17"/>
  <c r="AV115" i="17"/>
  <c r="AW108" i="17"/>
  <c r="AW30" i="17"/>
  <c r="AI46" i="17"/>
  <c r="AR55" i="17"/>
  <c r="AO42" i="17"/>
  <c r="AO30" i="17"/>
  <c r="N9" i="17"/>
  <c r="W12" i="17"/>
  <c r="W17" i="17"/>
  <c r="W20" i="17"/>
  <c r="W26" i="17"/>
  <c r="AW46" i="17"/>
  <c r="AW69" i="17"/>
  <c r="AW61" i="17"/>
  <c r="AW115" i="17"/>
  <c r="AW36" i="17"/>
  <c r="AW86" i="17"/>
  <c r="AW103" i="17"/>
  <c r="W7" i="17"/>
  <c r="Y22" i="17"/>
  <c r="AS53" i="17"/>
  <c r="AP40" i="17"/>
  <c r="R30" i="17"/>
  <c r="AB56" i="17"/>
  <c r="AV120" i="17"/>
  <c r="N12" i="17"/>
  <c r="W23" i="17"/>
  <c r="N20" i="17"/>
  <c r="AV41" i="17"/>
  <c r="N14" i="17"/>
  <c r="AV36" i="17"/>
  <c r="W15" i="17"/>
  <c r="AW71" i="17"/>
  <c r="AW54" i="17"/>
  <c r="AW88" i="17"/>
  <c r="W11" i="17"/>
  <c r="T17" i="17"/>
  <c r="AS50" i="17"/>
  <c r="AQ38" i="17"/>
  <c r="K3" i="17"/>
  <c r="X82" i="17"/>
  <c r="AR116" i="17"/>
  <c r="AV97" i="17"/>
  <c r="W9" i="17"/>
  <c r="W27" i="17"/>
  <c r="AV44" i="17"/>
  <c r="AV133" i="17"/>
  <c r="W19" i="17"/>
  <c r="AW123" i="17"/>
  <c r="AW49" i="17"/>
  <c r="AL30" i="17"/>
  <c r="AQ36" i="17"/>
  <c r="T108" i="17"/>
  <c r="W14" i="17"/>
  <c r="AH49" i="17"/>
  <c r="AV71" i="17"/>
  <c r="AV50" i="17"/>
  <c r="AW44" i="17"/>
  <c r="AV54" i="17"/>
  <c r="W24" i="17"/>
  <c r="AW76" i="17"/>
  <c r="W10" i="17"/>
  <c r="AW133" i="17"/>
  <c r="AW40" i="17"/>
  <c r="N18" i="17"/>
  <c r="AV39" i="17"/>
  <c r="AQ34" i="17"/>
  <c r="V9" i="17"/>
  <c r="AV56" i="17"/>
  <c r="U10" i="17"/>
  <c r="Y16" i="17"/>
  <c r="U24" i="17"/>
  <c r="AN47" i="17"/>
  <c r="AM51" i="17"/>
  <c r="AK55" i="17"/>
  <c r="AJ37" i="17"/>
  <c r="AI40" i="17"/>
  <c r="AH43" i="17"/>
  <c r="AS45" i="17"/>
  <c r="W30" i="17"/>
  <c r="AG56" i="17"/>
  <c r="AP102" i="17"/>
  <c r="AK34" i="17"/>
  <c r="W3" i="17"/>
  <c r="T15" i="17"/>
  <c r="U28" i="17"/>
  <c r="AO49" i="17"/>
  <c r="AN53" i="17"/>
  <c r="AM35" i="17"/>
  <c r="AK38" i="17"/>
  <c r="AJ41" i="17"/>
  <c r="AI44" i="17"/>
  <c r="S3" i="17"/>
  <c r="AI30" i="17"/>
  <c r="AD82" i="17"/>
  <c r="Z108" i="17"/>
  <c r="AW34" i="17"/>
  <c r="AV95" i="17"/>
  <c r="AH34" i="17"/>
  <c r="U11" i="17"/>
  <c r="N13" i="17"/>
  <c r="T16" i="17"/>
  <c r="U27" i="17"/>
  <c r="AS49" i="17"/>
  <c r="AO54" i="17"/>
  <c r="AS37" i="17"/>
  <c r="AO41" i="17"/>
  <c r="AJ45" i="17"/>
  <c r="AE30" i="17"/>
  <c r="AP82" i="17"/>
  <c r="AR115" i="17"/>
  <c r="T9" i="17"/>
  <c r="U23" i="17"/>
  <c r="AR47" i="17"/>
  <c r="AJ54" i="17"/>
  <c r="AR36" i="17"/>
  <c r="AN40" i="17"/>
  <c r="AR44" i="17"/>
  <c r="S30" i="17"/>
  <c r="V82" i="17"/>
  <c r="AR108" i="17"/>
  <c r="AV68" i="17"/>
  <c r="AV37" i="17"/>
  <c r="AW132" i="17"/>
  <c r="AO44" i="17"/>
  <c r="N27" i="17"/>
  <c r="AV87" i="17"/>
  <c r="Y7" i="17"/>
  <c r="N28" i="17"/>
  <c r="T14" i="17"/>
  <c r="V22" i="17"/>
  <c r="AJ49" i="17"/>
  <c r="AR53" i="17"/>
  <c r="AN36" i="17"/>
  <c r="AR40" i="17"/>
  <c r="AN44" i="17"/>
  <c r="N30" i="17"/>
  <c r="Z82" i="17"/>
  <c r="AD108" i="17"/>
  <c r="N26" i="17"/>
  <c r="V20" i="17"/>
  <c r="AI47" i="17"/>
  <c r="AQ51" i="17"/>
  <c r="AI36" i="17"/>
  <c r="AQ39" i="17"/>
  <c r="AM43" i="17"/>
  <c r="H30" i="17"/>
  <c r="AC56" i="17"/>
  <c r="AP107" i="17"/>
  <c r="AV75" i="17"/>
  <c r="N23" i="17"/>
  <c r="AV34" i="17"/>
  <c r="N8" i="17"/>
  <c r="AT30" i="17"/>
  <c r="U12" i="17"/>
  <c r="V19" i="17"/>
  <c r="AQ46" i="17"/>
  <c r="AI53" i="17"/>
  <c r="AQ35" i="17"/>
  <c r="AM39" i="17"/>
  <c r="AQ43" i="17"/>
  <c r="Y3" i="17"/>
  <c r="Y56" i="17"/>
  <c r="V108" i="17"/>
  <c r="AW56" i="17"/>
  <c r="U13" i="17"/>
  <c r="AM46" i="17"/>
  <c r="AH51" i="17"/>
  <c r="AP55" i="17"/>
  <c r="AH39" i="17"/>
  <c r="AP42" i="17"/>
  <c r="H3" i="17"/>
  <c r="AS30" i="17"/>
  <c r="AP97" i="17"/>
  <c r="AV106" i="17"/>
  <c r="AT56" i="17"/>
  <c r="AH46" i="17"/>
  <c r="AK42" i="17"/>
  <c r="AT108" i="17"/>
  <c r="AS54" i="17"/>
  <c r="AA30" i="17"/>
  <c r="AW43" i="17"/>
  <c r="AW37" i="17"/>
  <c r="AW98" i="17"/>
  <c r="N7" i="17"/>
  <c r="N19" i="17"/>
  <c r="AW42" i="17"/>
  <c r="AV51" i="17"/>
  <c r="AW94" i="17"/>
  <c r="AV90" i="17"/>
  <c r="AV118" i="17"/>
  <c r="AW47" i="17"/>
  <c r="AU108" i="17"/>
  <c r="T7" i="17"/>
  <c r="T13" i="17"/>
  <c r="AU82" i="17"/>
  <c r="V12" i="17"/>
  <c r="AW35" i="17"/>
  <c r="AW93" i="17"/>
  <c r="AW131" i="17"/>
  <c r="AW77" i="17"/>
  <c r="AW120" i="17"/>
  <c r="AV35" i="17"/>
  <c r="Y17" i="17"/>
  <c r="AP38" i="17"/>
  <c r="AP93" i="17"/>
  <c r="AK50" i="17"/>
  <c r="AO45" i="17"/>
  <c r="AW51" i="17"/>
  <c r="AV60" i="17"/>
  <c r="AW90" i="17"/>
  <c r="AV105" i="17"/>
  <c r="AV53" i="17"/>
  <c r="AN34" i="17"/>
  <c r="AV30" i="17"/>
  <c r="Y11" i="17"/>
  <c r="AR34" i="17"/>
  <c r="N17" i="17"/>
  <c r="Y10" i="17"/>
  <c r="AW75" i="17"/>
  <c r="AW127" i="17"/>
  <c r="N24" i="17"/>
  <c r="AW64" i="17"/>
  <c r="AW112" i="17"/>
  <c r="AW118" i="17"/>
  <c r="U8" i="17"/>
  <c r="AH35" i="17"/>
  <c r="AN30" i="17"/>
  <c r="U26" i="17"/>
  <c r="AS41" i="17"/>
  <c r="AR119" i="17"/>
  <c r="AW55" i="17"/>
  <c r="AV46" i="17"/>
  <c r="AV38" i="17"/>
  <c r="AV62" i="17"/>
  <c r="AV122" i="17"/>
  <c r="AV47" i="17"/>
  <c r="AV108" i="17"/>
  <c r="V10" i="17"/>
  <c r="AJ34" i="17"/>
  <c r="Y9" i="17"/>
  <c r="AW66" i="17"/>
  <c r="AW116" i="17"/>
  <c r="AW70" i="17"/>
  <c r="AW91" i="17"/>
  <c r="AP34" i="17"/>
  <c r="AO37" i="17"/>
  <c r="AV42" i="17"/>
  <c r="AW62" i="17"/>
  <c r="U7" i="17"/>
  <c r="AV43" i="17"/>
  <c r="T11" i="17"/>
  <c r="Y8" i="17"/>
  <c r="AW87" i="17"/>
  <c r="N15" i="17"/>
  <c r="N3" i="17"/>
  <c r="AW38" i="17"/>
  <c r="AV94" i="17"/>
  <c r="AW122" i="17"/>
  <c r="AU30" i="17"/>
  <c r="T8" i="17"/>
  <c r="AW114" i="17"/>
  <c r="AW82" i="17"/>
  <c r="AP89" i="17"/>
  <c r="AV98" i="17"/>
  <c r="AP50" i="17"/>
  <c r="AF23" i="16"/>
  <c r="AH23" i="16"/>
  <c r="Q23" i="16"/>
  <c r="R23" i="16"/>
  <c r="AW113" i="17"/>
  <c r="AW45" i="17"/>
  <c r="AV39" i="27"/>
  <c r="AV116" i="27"/>
  <c r="AV90" i="27"/>
  <c r="AR57" i="29"/>
  <c r="AP69" i="29"/>
  <c r="AI56" i="24"/>
  <c r="Q5" i="16"/>
  <c r="Y32" i="27"/>
  <c r="Y32" i="17"/>
  <c r="X24" i="28"/>
  <c r="AA5" i="25"/>
  <c r="AF10" i="45"/>
  <c r="AE10" i="45"/>
  <c r="R5" i="16"/>
  <c r="V32" i="23"/>
  <c r="X18" i="28"/>
  <c r="AB5" i="25"/>
  <c r="V5" i="18"/>
  <c r="X32" i="27"/>
  <c r="Y18" i="10"/>
  <c r="Y24" i="28"/>
  <c r="AE5" i="45"/>
  <c r="AD5" i="16"/>
  <c r="X32" i="17"/>
  <c r="Y18" i="28"/>
  <c r="V10" i="18"/>
  <c r="AF5" i="45"/>
  <c r="AG5" i="16"/>
  <c r="W10" i="18"/>
  <c r="W5" i="18"/>
  <c r="X18" i="10"/>
  <c r="U32" i="23"/>
  <c r="AW96" i="17"/>
  <c r="AV86" i="27"/>
  <c r="AR97" i="13"/>
  <c r="V29" i="13"/>
  <c r="AR14" i="12"/>
  <c r="AG15" i="12"/>
  <c r="AG14" i="12"/>
  <c r="AX44" i="27"/>
  <c r="AU32" i="19"/>
  <c r="AU20" i="19"/>
  <c r="AU84" i="19"/>
  <c r="AW63" i="17"/>
  <c r="BD98" i="46"/>
  <c r="V20" i="13"/>
  <c r="Y20" i="13" s="1"/>
  <c r="AB27" i="13"/>
  <c r="AE27" i="13" s="1"/>
  <c r="AB26" i="13"/>
  <c r="AE26" i="13" s="1"/>
  <c r="AB21" i="13"/>
  <c r="AE21" i="13" s="1"/>
  <c r="AC21" i="13"/>
  <c r="AF21" i="13" s="1"/>
  <c r="AB22" i="13"/>
  <c r="AE22" i="13" s="1"/>
  <c r="AB23" i="13"/>
  <c r="AE23" i="13" s="1"/>
  <c r="AB24" i="13"/>
  <c r="AE24" i="13" s="1"/>
  <c r="AC19" i="13"/>
  <c r="AC20" i="13"/>
  <c r="AF20" i="13" s="1"/>
  <c r="AB19" i="13"/>
  <c r="AB25" i="13"/>
  <c r="AE25" i="13" s="1"/>
  <c r="AC24" i="13"/>
  <c r="AF24" i="13" s="1"/>
  <c r="AB20" i="13"/>
  <c r="AE20" i="13" s="1"/>
  <c r="AC22" i="13"/>
  <c r="AC26" i="13"/>
  <c r="AF26" i="13" s="1"/>
  <c r="AC27" i="13"/>
  <c r="AC25" i="13"/>
  <c r="AF25" i="13" s="1"/>
  <c r="AC23" i="13"/>
  <c r="AF23" i="13" s="1"/>
  <c r="BF38" i="46"/>
  <c r="AR34" i="29"/>
  <c r="AD84" i="27"/>
  <c r="AE50" i="28"/>
  <c r="AM30" i="45"/>
  <c r="AD15" i="16"/>
  <c r="T48" i="24"/>
  <c r="AB30" i="25"/>
  <c r="AN30" i="45"/>
  <c r="Q15" i="16"/>
  <c r="Y48" i="10"/>
  <c r="AD25" i="18"/>
  <c r="AN25" i="45"/>
  <c r="AD84" i="17"/>
  <c r="AE44" i="28"/>
  <c r="AE25" i="18"/>
  <c r="AG15" i="16"/>
  <c r="AE84" i="17"/>
  <c r="AD50" i="28"/>
  <c r="AE30" i="18"/>
  <c r="AA84" i="23"/>
  <c r="U48" i="24"/>
  <c r="AM25" i="45"/>
  <c r="AB84" i="23"/>
  <c r="AD44" i="28"/>
  <c r="R15" i="16"/>
  <c r="AE84" i="27"/>
  <c r="AA30" i="25"/>
  <c r="AD30" i="18"/>
  <c r="X48" i="10"/>
  <c r="AH24" i="16"/>
  <c r="AF24" i="16"/>
  <c r="AG24" i="16"/>
  <c r="Q24" i="16"/>
  <c r="R24" i="16"/>
  <c r="AG25" i="16"/>
  <c r="Q8" i="16"/>
  <c r="R8" i="16"/>
  <c r="AD8" i="16"/>
  <c r="AG8" i="16"/>
  <c r="AU55" i="28"/>
  <c r="Y13" i="28"/>
  <c r="J16" i="28"/>
  <c r="AM27" i="28"/>
  <c r="AO21" i="28"/>
  <c r="AT36" i="28"/>
  <c r="AT16" i="28"/>
  <c r="T8" i="28"/>
  <c r="AO26" i="28"/>
  <c r="W48" i="28"/>
  <c r="W46" i="28"/>
  <c r="AU41" i="28"/>
  <c r="W35" i="28"/>
  <c r="AC20" i="28"/>
  <c r="W21" i="28"/>
  <c r="Y11" i="28"/>
  <c r="N11" i="28"/>
  <c r="U14" i="28"/>
  <c r="AM26" i="28"/>
  <c r="AP21" i="28"/>
  <c r="AQ33" i="28"/>
  <c r="AM47" i="28"/>
  <c r="AM54" i="28"/>
  <c r="AR67" i="28"/>
  <c r="W23" i="28"/>
  <c r="AE49" i="28"/>
  <c r="V62" i="28"/>
  <c r="X36" i="28"/>
  <c r="AQ55" i="28"/>
  <c r="AO42" i="28"/>
  <c r="AQ29" i="28"/>
  <c r="AQ16" i="28"/>
  <c r="R16" i="28"/>
  <c r="AC40" i="28"/>
  <c r="X3" i="28"/>
  <c r="AI21" i="28"/>
  <c r="AM20" i="28"/>
  <c r="AQ41" i="28"/>
  <c r="AO53" i="28"/>
  <c r="AQ65" i="28"/>
  <c r="AA23" i="28"/>
  <c r="P23" i="28"/>
  <c r="AD62" i="28"/>
  <c r="AC36" i="28"/>
  <c r="AR55" i="28"/>
  <c r="T55" i="28"/>
  <c r="T42" i="28"/>
  <c r="Q29" i="28"/>
  <c r="Y16" i="28"/>
  <c r="H3" i="28"/>
  <c r="AL28" i="28"/>
  <c r="AI20" i="28"/>
  <c r="AO39" i="28"/>
  <c r="AO52" i="28"/>
  <c r="AR61" i="28"/>
  <c r="AQ23" i="28"/>
  <c r="R49" i="28"/>
  <c r="AE62" i="28"/>
  <c r="AR36" i="28"/>
  <c r="M23" i="28"/>
  <c r="W55" i="28"/>
  <c r="AA42" i="28"/>
  <c r="Y29" i="28"/>
  <c r="AB16" i="28"/>
  <c r="S3" i="28"/>
  <c r="AO35" i="28"/>
  <c r="T62" i="28"/>
  <c r="AA55" i="28"/>
  <c r="U3" i="28"/>
  <c r="AU22" i="28"/>
  <c r="AW52" i="28"/>
  <c r="AW28" i="28"/>
  <c r="AC21" i="28"/>
  <c r="AC39" i="28"/>
  <c r="R3" i="28"/>
  <c r="AA16" i="28"/>
  <c r="V29" i="28"/>
  <c r="R42" i="28"/>
  <c r="AM42" i="28"/>
  <c r="AC55" i="28"/>
  <c r="S23" i="28"/>
  <c r="AO36" i="28"/>
  <c r="AC62" i="28"/>
  <c r="AG49" i="28"/>
  <c r="X23" i="28"/>
  <c r="AO23" i="28"/>
  <c r="AO60" i="28"/>
  <c r="AR48" i="28"/>
  <c r="AO40" i="28"/>
  <c r="AO20" i="28"/>
  <c r="AQ21" i="28"/>
  <c r="AI28" i="28"/>
  <c r="AL26" i="28"/>
  <c r="T7" i="28"/>
  <c r="AH23" i="28"/>
  <c r="AX16" i="28"/>
  <c r="AU33" i="28"/>
  <c r="W39" i="28"/>
  <c r="AU42" i="28"/>
  <c r="AV49" i="28"/>
  <c r="W26" i="28"/>
  <c r="W52" i="28"/>
  <c r="AU60" i="28"/>
  <c r="AW62" i="28"/>
  <c r="W13" i="28"/>
  <c r="AW40" i="28"/>
  <c r="AW34" i="28"/>
  <c r="AO22" i="28"/>
  <c r="AM49" i="28"/>
  <c r="Q36" i="28"/>
  <c r="AG16" i="28"/>
  <c r="N14" i="28"/>
  <c r="AC33" i="28"/>
  <c r="W40" i="28"/>
  <c r="AC48" i="28"/>
  <c r="AU67" i="28"/>
  <c r="M3" i="28"/>
  <c r="W16" i="28"/>
  <c r="AP16" i="28"/>
  <c r="AO29" i="28"/>
  <c r="AD42" i="28"/>
  <c r="Y55" i="28"/>
  <c r="K23" i="28"/>
  <c r="AD36" i="28"/>
  <c r="Y62" i="28"/>
  <c r="AC49" i="28"/>
  <c r="S62" i="28"/>
  <c r="AR23" i="28"/>
  <c r="AQ61" i="28"/>
  <c r="AR52" i="28"/>
  <c r="AR41" i="28"/>
  <c r="AO33" i="28"/>
  <c r="AL22" i="28"/>
  <c r="AN28" i="28"/>
  <c r="AP26" i="28"/>
  <c r="G16" i="28"/>
  <c r="N8" i="28"/>
  <c r="AH16" i="28"/>
  <c r="AW16" i="28"/>
  <c r="AS23" i="28"/>
  <c r="AW36" i="28"/>
  <c r="AT62" i="28"/>
  <c r="AX49" i="28"/>
  <c r="AW59" i="28"/>
  <c r="AW20" i="28"/>
  <c r="AU46" i="28"/>
  <c r="AX62" i="28"/>
  <c r="W10" i="28"/>
  <c r="AR27" i="28"/>
  <c r="AR59" i="28"/>
  <c r="AR49" i="28"/>
  <c r="AG29" i="28"/>
  <c r="W22" i="28"/>
  <c r="AC26" i="28"/>
  <c r="AU40" i="28"/>
  <c r="AU47" i="28"/>
  <c r="AW21" i="28"/>
  <c r="AC53" i="28"/>
  <c r="G3" i="28"/>
  <c r="S16" i="28"/>
  <c r="AJ16" i="28"/>
  <c r="AD29" i="28"/>
  <c r="Z42" i="28"/>
  <c r="U55" i="28"/>
  <c r="E23" i="28"/>
  <c r="Z36" i="28"/>
  <c r="AR62" i="28"/>
  <c r="Y49" i="28"/>
  <c r="T49" i="28"/>
  <c r="AF23" i="28"/>
  <c r="AR65" i="28"/>
  <c r="AR53" i="28"/>
  <c r="AR46" i="28"/>
  <c r="AQ34" i="28"/>
  <c r="AP22" i="28"/>
  <c r="AR28" i="28"/>
  <c r="AJ27" i="28"/>
  <c r="U7" i="28"/>
  <c r="W11" i="28"/>
  <c r="Y10" i="28"/>
  <c r="AU21" i="28"/>
  <c r="AU23" i="28"/>
  <c r="AC34" i="28"/>
  <c r="AS42" i="28"/>
  <c r="AW47" i="28"/>
  <c r="AU59" i="28"/>
  <c r="AK23" i="28"/>
  <c r="AU34" i="28"/>
  <c r="W60" i="28"/>
  <c r="AU66" i="28"/>
  <c r="V3" i="28"/>
  <c r="AW55" i="28"/>
  <c r="W7" i="28"/>
  <c r="AO47" i="28"/>
  <c r="W14" i="28"/>
  <c r="AW33" i="28"/>
  <c r="Z29" i="28"/>
  <c r="V36" i="28"/>
  <c r="AB23" i="28"/>
  <c r="AR35" i="28"/>
  <c r="U13" i="28"/>
  <c r="AV23" i="28"/>
  <c r="AU49" i="28"/>
  <c r="AX55" i="28"/>
  <c r="AC28" i="28"/>
  <c r="W67" i="28"/>
  <c r="AE16" i="28"/>
  <c r="AG55" i="28"/>
  <c r="U23" i="28"/>
  <c r="AR47" i="28"/>
  <c r="AO27" i="28"/>
  <c r="AS16" i="28"/>
  <c r="AV42" i="28"/>
  <c r="V11" i="28"/>
  <c r="AC42" i="28"/>
  <c r="AC52" i="28"/>
  <c r="AW48" i="28"/>
  <c r="N16" i="28"/>
  <c r="Q55" i="28"/>
  <c r="AG62" i="28"/>
  <c r="AR54" i="28"/>
  <c r="AM21" i="28"/>
  <c r="Y3" i="28"/>
  <c r="W66" i="28"/>
  <c r="Z16" i="28"/>
  <c r="AB42" i="28"/>
  <c r="W36" i="28"/>
  <c r="AF49" i="28"/>
  <c r="AO65" i="28"/>
  <c r="AQ35" i="28"/>
  <c r="AJ28" i="28"/>
  <c r="N7" i="28"/>
  <c r="AV29" i="28"/>
  <c r="V14" i="28"/>
  <c r="AW41" i="28"/>
  <c r="X49" i="28"/>
  <c r="AJ20" i="28"/>
  <c r="AC54" i="28"/>
  <c r="AA29" i="28"/>
  <c r="G23" i="28"/>
  <c r="Q62" i="28"/>
  <c r="AM52" i="28"/>
  <c r="AL21" i="28"/>
  <c r="N13" i="28"/>
  <c r="AT42" i="28"/>
  <c r="AC60" i="28"/>
  <c r="AD16" i="28"/>
  <c r="AF42" i="28"/>
  <c r="AA36" i="28"/>
  <c r="T23" i="28"/>
  <c r="AR60" i="28"/>
  <c r="AO34" i="28"/>
  <c r="AP27" i="28"/>
  <c r="N10" i="28"/>
  <c r="AX29" i="28"/>
  <c r="AV55" i="28"/>
  <c r="AO67" i="28"/>
  <c r="AW65" i="28"/>
  <c r="AM16" i="28"/>
  <c r="AB55" i="28"/>
  <c r="V49" i="28"/>
  <c r="AQ54" i="28"/>
  <c r="AN22" i="28"/>
  <c r="T3" i="28"/>
  <c r="AV36" i="28"/>
  <c r="T16" i="28"/>
  <c r="U42" i="28"/>
  <c r="N23" i="28"/>
  <c r="Z49" i="28"/>
  <c r="AQ67" i="28"/>
  <c r="AO41" i="28"/>
  <c r="AQ28" i="28"/>
  <c r="T11" i="28"/>
  <c r="AT23" i="28"/>
  <c r="AX42" i="28"/>
  <c r="W47" i="28"/>
  <c r="AQ49" i="28"/>
  <c r="AW35" i="28"/>
  <c r="P16" i="28"/>
  <c r="R55" i="28"/>
  <c r="W62" i="28"/>
  <c r="AM23" i="28"/>
  <c r="AP20" i="28"/>
  <c r="U11" i="28"/>
  <c r="AU16" i="28"/>
  <c r="AW27" i="28"/>
  <c r="V7" i="28"/>
  <c r="P3" i="28"/>
  <c r="AE29" i="28"/>
  <c r="AF55" i="28"/>
  <c r="AA62" i="28"/>
  <c r="AG23" i="28"/>
  <c r="AM48" i="28"/>
  <c r="AI22" i="28"/>
  <c r="AQ40" i="28"/>
  <c r="AH22" i="28"/>
  <c r="AS49" i="28"/>
  <c r="AW67" i="28"/>
  <c r="AW53" i="28"/>
  <c r="AC47" i="28"/>
  <c r="V42" i="28"/>
  <c r="AG36" i="28"/>
  <c r="Y14" i="28"/>
  <c r="AO49" i="28"/>
  <c r="AN26" i="28"/>
  <c r="U16" i="28"/>
  <c r="AQ42" i="28"/>
  <c r="X62" i="28"/>
  <c r="AR66" i="28"/>
  <c r="AR20" i="28"/>
  <c r="U10" i="28"/>
  <c r="AU39" i="28"/>
  <c r="AT49" i="28"/>
  <c r="AX23" i="28"/>
  <c r="W3" i="28"/>
  <c r="AV62" i="28"/>
  <c r="AU35" i="28"/>
  <c r="AJ26" i="28"/>
  <c r="AN21" i="28"/>
  <c r="AR34" i="28"/>
  <c r="AM53" i="28"/>
  <c r="AL23" i="28"/>
  <c r="R23" i="28"/>
  <c r="AO62" i="28"/>
  <c r="F23" i="28"/>
  <c r="AE42" i="28"/>
  <c r="W29" i="28"/>
  <c r="M16" i="28"/>
  <c r="AT55" i="28"/>
  <c r="AU27" i="28"/>
  <c r="AW54" i="28"/>
  <c r="AW29" i="28"/>
  <c r="Y8" i="28"/>
  <c r="AQ26" i="28"/>
  <c r="AR21" i="28"/>
  <c r="AQ39" i="28"/>
  <c r="AO54" i="28"/>
  <c r="V23" i="28"/>
  <c r="AD49" i="28"/>
  <c r="AQ36" i="28"/>
  <c r="AO55" i="28"/>
  <c r="Y42" i="28"/>
  <c r="AO16" i="28"/>
  <c r="Q3" i="28"/>
  <c r="AU20" i="28"/>
  <c r="AC46" i="28"/>
  <c r="Q42" i="28"/>
  <c r="AR26" i="28"/>
  <c r="V55" i="28"/>
  <c r="AL20" i="28"/>
  <c r="AU62" i="28"/>
  <c r="AW46" i="28"/>
  <c r="K3" i="28"/>
  <c r="W42" i="28"/>
  <c r="AE36" i="28"/>
  <c r="AD23" i="28"/>
  <c r="AR40" i="28"/>
  <c r="AL27" i="28"/>
  <c r="AW39" i="28"/>
  <c r="AC67" i="28"/>
  <c r="V8" i="28"/>
  <c r="AT29" i="28"/>
  <c r="Y7" i="28"/>
  <c r="AK16" i="28"/>
  <c r="AS55" i="28"/>
  <c r="E16" i="28"/>
  <c r="AO28" i="28"/>
  <c r="AQ20" i="28"/>
  <c r="AO48" i="28"/>
  <c r="AQ66" i="28"/>
  <c r="U49" i="28"/>
  <c r="Z62" i="28"/>
  <c r="AI23" i="28"/>
  <c r="AR42" i="28"/>
  <c r="AC29" i="28"/>
  <c r="V16" i="28"/>
  <c r="V13" i="28"/>
  <c r="AS29" i="28"/>
  <c r="V10" i="28"/>
  <c r="AS62" i="28"/>
  <c r="AH26" i="28"/>
  <c r="AI26" i="28"/>
  <c r="AJ21" i="28"/>
  <c r="AR33" i="28"/>
  <c r="AQ52" i="28"/>
  <c r="AP23" i="28"/>
  <c r="Q49" i="28"/>
  <c r="AQ62" i="28"/>
  <c r="J23" i="28"/>
  <c r="AG42" i="28"/>
  <c r="X29" i="28"/>
  <c r="Q16" i="28"/>
  <c r="AW61" i="28"/>
  <c r="W28" i="28"/>
  <c r="AC41" i="28"/>
  <c r="W54" i="28"/>
  <c r="AC35" i="28"/>
  <c r="J3" i="28"/>
  <c r="AO46" i="28"/>
  <c r="AR16" i="28"/>
  <c r="AQ53" i="28"/>
  <c r="AU36" i="28"/>
  <c r="AW22" i="28"/>
  <c r="AC22" i="28"/>
  <c r="W65" i="28"/>
  <c r="W53" i="28"/>
  <c r="AC65" i="28"/>
  <c r="AB29" i="28"/>
  <c r="Q23" i="28"/>
  <c r="S49" i="28"/>
  <c r="AQ48" i="28"/>
  <c r="AP28" i="28"/>
  <c r="AU29" i="28"/>
  <c r="AU52" i="28"/>
  <c r="AX36" i="28"/>
  <c r="AH20" i="28"/>
  <c r="U8" i="28"/>
  <c r="T10" i="28"/>
  <c r="AQ27" i="28"/>
  <c r="AR22" i="28"/>
  <c r="AQ46" i="28"/>
  <c r="AO61" i="28"/>
  <c r="Y23" i="28"/>
  <c r="AF62" i="28"/>
  <c r="Y36" i="28"/>
  <c r="X55" i="28"/>
  <c r="AR29" i="28"/>
  <c r="AC16" i="28"/>
  <c r="E3" i="28"/>
  <c r="AW42" i="28"/>
  <c r="AV16" i="28"/>
  <c r="F16" i="28"/>
  <c r="AM28" i="28"/>
  <c r="AN20" i="28"/>
  <c r="AQ47" i="28"/>
  <c r="AO66" i="28"/>
  <c r="R62" i="28"/>
  <c r="AB62" i="28"/>
  <c r="AJ23" i="28"/>
  <c r="S55" i="28"/>
  <c r="AF29" i="28"/>
  <c r="X16" i="28"/>
  <c r="W20" i="28"/>
  <c r="AC66" i="28"/>
  <c r="AU28" i="28"/>
  <c r="W34" i="28"/>
  <c r="AC59" i="28"/>
  <c r="T13" i="28"/>
  <c r="AU54" i="28"/>
  <c r="Z3" i="28"/>
  <c r="AD55" i="28"/>
  <c r="AH27" i="28"/>
  <c r="AS36" i="28"/>
  <c r="AH21" i="28"/>
  <c r="AO59" i="28"/>
  <c r="AE55" i="28"/>
  <c r="W41" i="28"/>
  <c r="T14" i="28"/>
  <c r="AQ60" i="28"/>
  <c r="Z55" i="28"/>
  <c r="AC61" i="28"/>
  <c r="AW60" i="28"/>
  <c r="AW66" i="28"/>
  <c r="AW26" i="28"/>
  <c r="AC23" i="28"/>
  <c r="U62" i="28"/>
  <c r="AI16" i="28"/>
  <c r="AM22" i="28"/>
  <c r="W59" i="28"/>
  <c r="AR39" i="28"/>
  <c r="AF36" i="28"/>
  <c r="N3" i="28"/>
  <c r="AW23" i="28"/>
  <c r="AM46" i="28"/>
  <c r="AB36" i="28"/>
  <c r="F3" i="28"/>
  <c r="W8" i="28"/>
  <c r="AQ59" i="28"/>
  <c r="K16" i="28"/>
  <c r="AJ22" i="28"/>
  <c r="AB49" i="28"/>
  <c r="AL16" i="28"/>
  <c r="AW49" i="28"/>
  <c r="AQ22" i="28"/>
  <c r="W49" i="28"/>
  <c r="AF16" i="28"/>
  <c r="W33" i="28"/>
  <c r="AE23" i="28"/>
  <c r="Z23" i="28"/>
  <c r="X42" i="28"/>
  <c r="AU48" i="28"/>
  <c r="AI27" i="28"/>
  <c r="AN27" i="28"/>
  <c r="AA49" i="28"/>
  <c r="AH28" i="28"/>
  <c r="W27" i="28"/>
  <c r="S42" i="28"/>
  <c r="W21" i="13" l="1"/>
  <c r="Q13" i="23"/>
  <c r="P15" i="23"/>
  <c r="P8" i="23"/>
  <c r="Q17" i="23"/>
  <c r="P19" i="23"/>
  <c r="Q8" i="23"/>
  <c r="P23" i="23"/>
  <c r="P7" i="23"/>
  <c r="P17" i="23"/>
  <c r="Q13" i="27"/>
  <c r="P14" i="27"/>
  <c r="Q24" i="27"/>
  <c r="T105" i="22"/>
  <c r="V105" i="22" s="1"/>
  <c r="T95" i="22"/>
  <c r="T87" i="22"/>
  <c r="V87" i="22" s="1"/>
  <c r="T91" i="22"/>
  <c r="T93" i="22"/>
  <c r="V93" i="22" s="1"/>
  <c r="Z30" i="12"/>
  <c r="AJ38" i="18"/>
  <c r="AY13" i="18"/>
  <c r="V39" i="19"/>
  <c r="Y39" i="19" s="1"/>
  <c r="AD36" i="19"/>
  <c r="AG36" i="19" s="1"/>
  <c r="AD91" i="19"/>
  <c r="AC97" i="19"/>
  <c r="AF97" i="19" s="1"/>
  <c r="U35" i="19"/>
  <c r="X35" i="19" s="1"/>
  <c r="AC91" i="19"/>
  <c r="AC34" i="19"/>
  <c r="AD97" i="19"/>
  <c r="AG97" i="19" s="1"/>
  <c r="V19" i="13"/>
  <c r="Y19" i="13" s="1"/>
  <c r="P11" i="23"/>
  <c r="P14" i="23"/>
  <c r="Q7" i="23"/>
  <c r="P28" i="23"/>
  <c r="Q23" i="23"/>
  <c r="P12" i="23"/>
  <c r="Q22" i="23"/>
  <c r="Q10" i="23"/>
  <c r="P16" i="23"/>
  <c r="Q9" i="23"/>
  <c r="Q17" i="27"/>
  <c r="P28" i="27"/>
  <c r="T99" i="22"/>
  <c r="T103" i="22"/>
  <c r="T86" i="22"/>
  <c r="T88" i="22"/>
  <c r="T102" i="22"/>
  <c r="AY38" i="18"/>
  <c r="AJ13" i="18"/>
  <c r="AD37" i="19"/>
  <c r="AG37" i="19" s="1"/>
  <c r="AD32" i="19"/>
  <c r="AG32" i="19" s="1"/>
  <c r="U39" i="19"/>
  <c r="X39" i="19" s="1"/>
  <c r="AD35" i="19"/>
  <c r="AD99" i="19"/>
  <c r="AG99" i="19" s="1"/>
  <c r="AD92" i="19"/>
  <c r="AC93" i="19"/>
  <c r="AD93" i="19"/>
  <c r="AG93" i="19" s="1"/>
  <c r="AC38" i="19"/>
  <c r="AD31" i="19"/>
  <c r="AG31" i="19" s="1"/>
  <c r="AC36" i="19"/>
  <c r="AC29" i="12"/>
  <c r="AF29" i="12" s="1"/>
  <c r="AC30" i="12"/>
  <c r="AF30" i="12" s="1"/>
  <c r="W23" i="13"/>
  <c r="Z23" i="13" s="1"/>
  <c r="Q14" i="23"/>
  <c r="P22" i="23"/>
  <c r="P20" i="23"/>
  <c r="Q18" i="23"/>
  <c r="P26" i="23"/>
  <c r="P9" i="23"/>
  <c r="Q27" i="23"/>
  <c r="Q26" i="23"/>
  <c r="P24" i="23"/>
  <c r="P10" i="27"/>
  <c r="P12" i="27"/>
  <c r="Q15" i="27"/>
  <c r="P16" i="27"/>
  <c r="T94" i="22"/>
  <c r="T106" i="22"/>
  <c r="T96" i="22"/>
  <c r="T98" i="22"/>
  <c r="Y30" i="12"/>
  <c r="U54" i="46"/>
  <c r="AJ12" i="18"/>
  <c r="V36" i="19"/>
  <c r="Y36" i="19" s="1"/>
  <c r="AC98" i="19"/>
  <c r="AG39" i="19"/>
  <c r="AC96" i="19"/>
  <c r="AF96" i="19" s="1"/>
  <c r="AD39" i="19"/>
  <c r="AD95" i="19"/>
  <c r="AG95" i="19" s="1"/>
  <c r="AD33" i="19"/>
  <c r="AT42" i="45"/>
  <c r="AD38" i="19"/>
  <c r="AD34" i="19"/>
  <c r="AC39" i="19"/>
  <c r="AC33" i="19"/>
  <c r="W26" i="13"/>
  <c r="V23" i="13"/>
  <c r="Y23" i="13" s="1"/>
  <c r="W22" i="13"/>
  <c r="Z22" i="13" s="1"/>
  <c r="V21" i="13"/>
  <c r="Y21" i="13" s="1"/>
  <c r="V25" i="13"/>
  <c r="W41" i="22"/>
  <c r="W53" i="22"/>
  <c r="V89" i="22"/>
  <c r="Y21" i="12"/>
  <c r="AG21" i="12"/>
  <c r="Q20" i="22"/>
  <c r="Q18" i="22"/>
  <c r="S18" i="22" s="1"/>
  <c r="U76" i="22"/>
  <c r="W76" i="22" s="1"/>
  <c r="AC22" i="12"/>
  <c r="AF22" i="12" s="1"/>
  <c r="AF99" i="13"/>
  <c r="W70" i="13"/>
  <c r="Z70" i="13" s="1"/>
  <c r="W73" i="13"/>
  <c r="Z73" i="13" s="1"/>
  <c r="V27" i="13"/>
  <c r="Y27" i="13" s="1"/>
  <c r="W27" i="13"/>
  <c r="Z27" i="13" s="1"/>
  <c r="V22" i="13"/>
  <c r="Y22" i="13" s="1"/>
  <c r="V24" i="13"/>
  <c r="Y24" i="13" s="1"/>
  <c r="W20" i="13"/>
  <c r="Z20" i="13" s="1"/>
  <c r="AS43" i="45"/>
  <c r="W89" i="22"/>
  <c r="W106" i="22"/>
  <c r="V103" i="22"/>
  <c r="Q17" i="22"/>
  <c r="S17" i="22" s="1"/>
  <c r="Q12" i="22"/>
  <c r="S12" i="22" s="1"/>
  <c r="P13" i="22"/>
  <c r="P18" i="22"/>
  <c r="W24" i="13"/>
  <c r="Z24" i="13" s="1"/>
  <c r="V26" i="13"/>
  <c r="Y26" i="13" s="1"/>
  <c r="W19" i="13"/>
  <c r="Z19" i="13" s="1"/>
  <c r="AJ8" i="18"/>
  <c r="P23" i="22"/>
  <c r="Q27" i="22"/>
  <c r="Q10" i="22"/>
  <c r="S10" i="22" s="1"/>
  <c r="AC77" i="46"/>
  <c r="AT38" i="45"/>
  <c r="U41" i="46"/>
  <c r="V49" i="46" s="1"/>
  <c r="Y49" i="46" s="1"/>
  <c r="AF36" i="19"/>
  <c r="AG34" i="19"/>
  <c r="AU7" i="45"/>
  <c r="AT43" i="45"/>
  <c r="Z69" i="13"/>
  <c r="V69" i="13"/>
  <c r="Y69" i="13" s="1"/>
  <c r="V71" i="13"/>
  <c r="Y71" i="13" s="1"/>
  <c r="V70" i="13"/>
  <c r="Y70" i="13" s="1"/>
  <c r="W72" i="13"/>
  <c r="Z72" i="13" s="1"/>
  <c r="V67" i="13"/>
  <c r="Y67" i="13" s="1"/>
  <c r="V72" i="13"/>
  <c r="Y72" i="13" s="1"/>
  <c r="P7" i="27"/>
  <c r="R7" i="27" s="1"/>
  <c r="Q7" i="27"/>
  <c r="S7" i="27" s="1"/>
  <c r="P24" i="27"/>
  <c r="P11" i="27"/>
  <c r="R11" i="27" s="1"/>
  <c r="Q18" i="27"/>
  <c r="S18" i="27" s="1"/>
  <c r="W45" i="22"/>
  <c r="V99" i="22"/>
  <c r="S19" i="22"/>
  <c r="AK73" i="46"/>
  <c r="AN73" i="46" s="1"/>
  <c r="AK22" i="18"/>
  <c r="AE19" i="13"/>
  <c r="Z25" i="13"/>
  <c r="P8" i="17"/>
  <c r="Q27" i="17"/>
  <c r="Q10" i="27"/>
  <c r="Q26" i="27"/>
  <c r="S26" i="27" s="1"/>
  <c r="Q12" i="27"/>
  <c r="Q22" i="27"/>
  <c r="AJ7" i="18"/>
  <c r="V107" i="22"/>
  <c r="AH16" i="12"/>
  <c r="U68" i="22"/>
  <c r="W68" i="22" s="1"/>
  <c r="T46" i="22"/>
  <c r="AK23" i="18"/>
  <c r="AD85" i="19"/>
  <c r="AG85" i="19" s="1"/>
  <c r="U33" i="19"/>
  <c r="Y68" i="13"/>
  <c r="W68" i="13"/>
  <c r="Z68" i="13" s="1"/>
  <c r="W34" i="22"/>
  <c r="W99" i="22"/>
  <c r="Z21" i="13"/>
  <c r="AF31" i="13"/>
  <c r="P19" i="27"/>
  <c r="R19" i="27" s="1"/>
  <c r="P15" i="27"/>
  <c r="P26" i="27"/>
  <c r="R26" i="27" s="1"/>
  <c r="Q20" i="27"/>
  <c r="S20" i="27" s="1"/>
  <c r="P17" i="27"/>
  <c r="R17" i="27" s="1"/>
  <c r="W54" i="22"/>
  <c r="AU8" i="45"/>
  <c r="AF22" i="13"/>
  <c r="AE31" i="13"/>
  <c r="P20" i="27"/>
  <c r="P23" i="27"/>
  <c r="R23" i="27" s="1"/>
  <c r="Q23" i="27"/>
  <c r="S23" i="27" s="1"/>
  <c r="P18" i="27"/>
  <c r="R18" i="27" s="1"/>
  <c r="Q8" i="27"/>
  <c r="W43" i="22"/>
  <c r="W39" i="22"/>
  <c r="W94" i="22"/>
  <c r="W88" i="22"/>
  <c r="AS23" i="45"/>
  <c r="Y7" i="12"/>
  <c r="AY18" i="18"/>
  <c r="AF16" i="12"/>
  <c r="T41" i="22"/>
  <c r="V41" i="22" s="1"/>
  <c r="AK75" i="46"/>
  <c r="AN75" i="46" s="1"/>
  <c r="AG75" i="19"/>
  <c r="U38" i="19"/>
  <c r="X38" i="19" s="1"/>
  <c r="U32" i="19"/>
  <c r="X32" i="19" s="1"/>
  <c r="AY17" i="18"/>
  <c r="V73" i="13"/>
  <c r="Y73" i="13" s="1"/>
  <c r="V75" i="13"/>
  <c r="W74" i="13"/>
  <c r="Z74" i="13" s="1"/>
  <c r="V74" i="13"/>
  <c r="Y74" i="13" s="1"/>
  <c r="AC6" i="19"/>
  <c r="AK8" i="18"/>
  <c r="AY28" i="18"/>
  <c r="U54" i="19"/>
  <c r="AE33" i="13"/>
  <c r="AF33" i="13"/>
  <c r="Q28" i="27"/>
  <c r="Q27" i="27"/>
  <c r="S27" i="27" s="1"/>
  <c r="Q19" i="27"/>
  <c r="S19" i="27" s="1"/>
  <c r="P8" i="27"/>
  <c r="R8" i="27" s="1"/>
  <c r="Q11" i="27"/>
  <c r="AE16" i="12"/>
  <c r="W35" i="22"/>
  <c r="W86" i="22"/>
  <c r="V91" i="22"/>
  <c r="AS13" i="45"/>
  <c r="W123" i="22"/>
  <c r="Z7" i="12"/>
  <c r="U69" i="22"/>
  <c r="AK5" i="46"/>
  <c r="AK7" i="46" s="1"/>
  <c r="AN7" i="46" s="1"/>
  <c r="W128" i="22"/>
  <c r="AL75" i="46"/>
  <c r="AO75" i="46" s="1"/>
  <c r="V37" i="19"/>
  <c r="Y37" i="19" s="1"/>
  <c r="W71" i="13"/>
  <c r="Z71" i="13" s="1"/>
  <c r="W75" i="13"/>
  <c r="Z75" i="13" s="1"/>
  <c r="AC5" i="19"/>
  <c r="AK7" i="18"/>
  <c r="AJ28" i="18"/>
  <c r="U53" i="19"/>
  <c r="AY27" i="18"/>
  <c r="AJ27" i="18"/>
  <c r="Q16" i="27"/>
  <c r="S16" i="27" s="1"/>
  <c r="AK69" i="46"/>
  <c r="AN69" i="46" s="1"/>
  <c r="AF27" i="13"/>
  <c r="AF19" i="13"/>
  <c r="Z26" i="13"/>
  <c r="Y25" i="13"/>
  <c r="AE35" i="13"/>
  <c r="AF35" i="13"/>
  <c r="P27" i="27"/>
  <c r="R27" i="27" s="1"/>
  <c r="P22" i="27"/>
  <c r="R22" i="27" s="1"/>
  <c r="Q9" i="27"/>
  <c r="W107" i="22"/>
  <c r="V106" i="22"/>
  <c r="Y75" i="13"/>
  <c r="U79" i="22"/>
  <c r="W79" i="22" s="1"/>
  <c r="AK67" i="46"/>
  <c r="AG74" i="19"/>
  <c r="AG31" i="12"/>
  <c r="AC82" i="13"/>
  <c r="AF82" i="13" s="1"/>
  <c r="AC83" i="13"/>
  <c r="AF83" i="13" s="1"/>
  <c r="AD25" i="19"/>
  <c r="AG25" i="19" s="1"/>
  <c r="AB65" i="13"/>
  <c r="AH24" i="12"/>
  <c r="AH23" i="12"/>
  <c r="AT23" i="12"/>
  <c r="AH29" i="12"/>
  <c r="V102" i="22"/>
  <c r="AD79" i="46"/>
  <c r="AG79" i="46" s="1"/>
  <c r="AC85" i="46"/>
  <c r="AF85" i="46" s="1"/>
  <c r="AC87" i="46"/>
  <c r="AF87" i="46" s="1"/>
  <c r="W124" i="22"/>
  <c r="AF28" i="12"/>
  <c r="T60" i="22"/>
  <c r="V60" i="22" s="1"/>
  <c r="T43" i="22"/>
  <c r="V43" i="22" s="1"/>
  <c r="T71" i="22"/>
  <c r="V71" i="22" s="1"/>
  <c r="AT8" i="45"/>
  <c r="BK22" i="45"/>
  <c r="U30" i="46"/>
  <c r="U17" i="46"/>
  <c r="V20" i="46" s="1"/>
  <c r="Y20" i="46" s="1"/>
  <c r="AT28" i="12"/>
  <c r="AF75" i="19"/>
  <c r="AC49" i="19"/>
  <c r="AC19" i="19"/>
  <c r="AF19" i="19" s="1"/>
  <c r="P26" i="22"/>
  <c r="R26" i="22" s="1"/>
  <c r="Q26" i="22"/>
  <c r="S26" i="22" s="1"/>
  <c r="AG71" i="19"/>
  <c r="V5" i="13"/>
  <c r="AR7" i="12"/>
  <c r="AG7" i="12"/>
  <c r="V53" i="13"/>
  <c r="AR21" i="12"/>
  <c r="AG8" i="12"/>
  <c r="AH28" i="12"/>
  <c r="W102" i="22"/>
  <c r="AC86" i="46"/>
  <c r="AF86" i="46" s="1"/>
  <c r="AD87" i="46"/>
  <c r="AG87" i="46" s="1"/>
  <c r="AD81" i="46"/>
  <c r="AG81" i="46" s="1"/>
  <c r="AD83" i="46"/>
  <c r="AG83" i="46" s="1"/>
  <c r="AE28" i="12"/>
  <c r="T66" i="22"/>
  <c r="V66" i="22" s="1"/>
  <c r="T44" i="22"/>
  <c r="V44" i="22" s="1"/>
  <c r="T65" i="22"/>
  <c r="V65" i="22" s="1"/>
  <c r="T75" i="22"/>
  <c r="V75" i="22" s="1"/>
  <c r="AU33" i="45"/>
  <c r="AN67" i="46"/>
  <c r="W67" i="22"/>
  <c r="AD81" i="19"/>
  <c r="AG81" i="19" s="1"/>
  <c r="V71" i="19"/>
  <c r="Y71" i="19" s="1"/>
  <c r="AD27" i="19"/>
  <c r="AG27" i="19" s="1"/>
  <c r="AD23" i="19"/>
  <c r="AG23" i="19" s="1"/>
  <c r="AF38" i="19"/>
  <c r="AC20" i="19"/>
  <c r="AF20" i="19" s="1"/>
  <c r="AC24" i="19"/>
  <c r="AC25" i="19"/>
  <c r="AF25" i="19" s="1"/>
  <c r="Q23" i="22"/>
  <c r="Q28" i="22"/>
  <c r="S28" i="22" s="1"/>
  <c r="AG98" i="19"/>
  <c r="W95" i="22"/>
  <c r="AR28" i="12"/>
  <c r="V77" i="13"/>
  <c r="AG29" i="12"/>
  <c r="AT8" i="12"/>
  <c r="AB6" i="13"/>
  <c r="W118" i="22"/>
  <c r="W37" i="22"/>
  <c r="AC82" i="46"/>
  <c r="AF82" i="46" s="1"/>
  <c r="AC81" i="46"/>
  <c r="AF81" i="46" s="1"/>
  <c r="AC84" i="46"/>
  <c r="AF84" i="46" s="1"/>
  <c r="T55" i="22"/>
  <c r="T67" i="22"/>
  <c r="AU32" i="45"/>
  <c r="AC80" i="19"/>
  <c r="AF98" i="19"/>
  <c r="AD21" i="19"/>
  <c r="AG21" i="19" s="1"/>
  <c r="V27" i="19"/>
  <c r="Y27" i="19" s="1"/>
  <c r="AC44" i="19"/>
  <c r="AF44" i="19" s="1"/>
  <c r="AC50" i="19"/>
  <c r="AF50" i="19" s="1"/>
  <c r="U26" i="19"/>
  <c r="X26" i="19" s="1"/>
  <c r="AD19" i="19"/>
  <c r="AG19" i="19" s="1"/>
  <c r="AC87" i="19"/>
  <c r="AF87" i="19" s="1"/>
  <c r="AO67" i="46"/>
  <c r="P15" i="22"/>
  <c r="R15" i="22" s="1"/>
  <c r="W38" i="22"/>
  <c r="AR30" i="12"/>
  <c r="V89" i="13"/>
  <c r="AT16" i="12"/>
  <c r="AB41" i="13"/>
  <c r="AK18" i="18"/>
  <c r="AC30" i="19"/>
  <c r="AK17" i="18"/>
  <c r="AF92" i="19"/>
  <c r="AG92" i="19"/>
  <c r="AG69" i="19"/>
  <c r="AF69" i="19"/>
  <c r="AF91" i="19"/>
  <c r="AG91" i="19"/>
  <c r="BI8" i="45"/>
  <c r="U6" i="46"/>
  <c r="AS8" i="45"/>
  <c r="R9" i="22"/>
  <c r="U60" i="22"/>
  <c r="W60" i="22" s="1"/>
  <c r="U70" i="22"/>
  <c r="W70" i="22" s="1"/>
  <c r="U61" i="22"/>
  <c r="W61" i="22" s="1"/>
  <c r="U72" i="22"/>
  <c r="W72" i="22" s="1"/>
  <c r="W91" i="22"/>
  <c r="BI32" i="45"/>
  <c r="AK68" i="46"/>
  <c r="AN68" i="46" s="1"/>
  <c r="AL74" i="46"/>
  <c r="AO74" i="46" s="1"/>
  <c r="P7" i="10"/>
  <c r="Y7" i="10"/>
  <c r="T11" i="10"/>
  <c r="AK28" i="18"/>
  <c r="AC54" i="19"/>
  <c r="AK43" i="18"/>
  <c r="AC90" i="19"/>
  <c r="U20" i="24"/>
  <c r="W20" i="24" s="1"/>
  <c r="U21" i="24"/>
  <c r="W21" i="24" s="1"/>
  <c r="U22" i="24"/>
  <c r="W22" i="24" s="1"/>
  <c r="AR49" i="13"/>
  <c r="U56" i="24"/>
  <c r="W56" i="24" s="1"/>
  <c r="U58" i="24"/>
  <c r="W58" i="24" s="1"/>
  <c r="U57" i="24"/>
  <c r="W57" i="24" s="1"/>
  <c r="AF94" i="19"/>
  <c r="AS27" i="45"/>
  <c r="AS28" i="45"/>
  <c r="W46" i="22"/>
  <c r="W36" i="22"/>
  <c r="W42" i="22"/>
  <c r="W51" i="22"/>
  <c r="W97" i="22"/>
  <c r="W98" i="22"/>
  <c r="V86" i="22"/>
  <c r="V88" i="22"/>
  <c r="W131" i="22"/>
  <c r="AS32" i="45"/>
  <c r="W96" i="22"/>
  <c r="U71" i="22"/>
  <c r="W71" i="22" s="1"/>
  <c r="U64" i="22"/>
  <c r="W64" i="22" s="1"/>
  <c r="S20" i="22"/>
  <c r="U63" i="22"/>
  <c r="U66" i="22"/>
  <c r="S27" i="22"/>
  <c r="U73" i="22"/>
  <c r="W73" i="22" s="1"/>
  <c r="U77" i="22"/>
  <c r="U65" i="46"/>
  <c r="U74" i="46" s="1"/>
  <c r="X74" i="46" s="1"/>
  <c r="AT22" i="45"/>
  <c r="AS37" i="45"/>
  <c r="AL73" i="46"/>
  <c r="AO73" i="46" s="1"/>
  <c r="AL71" i="46"/>
  <c r="AO71" i="46" s="1"/>
  <c r="AK72" i="46"/>
  <c r="AN72" i="46" s="1"/>
  <c r="AL72" i="46"/>
  <c r="AO72" i="46" s="1"/>
  <c r="U41" i="19"/>
  <c r="AY22" i="18"/>
  <c r="AJ22" i="18"/>
  <c r="AK27" i="18"/>
  <c r="AC53" i="19"/>
  <c r="T45" i="22"/>
  <c r="V45" i="22" s="1"/>
  <c r="T35" i="22"/>
  <c r="V35" i="22" s="1"/>
  <c r="T36" i="22"/>
  <c r="V36" i="22" s="1"/>
  <c r="T50" i="22"/>
  <c r="T47" i="22"/>
  <c r="T40" i="22"/>
  <c r="V40" i="22" s="1"/>
  <c r="T49" i="22"/>
  <c r="T42" i="22"/>
  <c r="V42" i="22" s="1"/>
  <c r="T38" i="22"/>
  <c r="V38" i="22" s="1"/>
  <c r="T51" i="22"/>
  <c r="V51" i="22" s="1"/>
  <c r="T53" i="22"/>
  <c r="V53" i="22" s="1"/>
  <c r="T39" i="22"/>
  <c r="V39" i="22" s="1"/>
  <c r="T37" i="22"/>
  <c r="V37" i="22" s="1"/>
  <c r="T54" i="22"/>
  <c r="V54" i="22" s="1"/>
  <c r="AB7" i="12"/>
  <c r="AE7" i="12" s="1"/>
  <c r="AB10" i="12"/>
  <c r="AE10" i="12" s="1"/>
  <c r="AC8" i="12"/>
  <c r="AF8" i="12" s="1"/>
  <c r="AB8" i="12"/>
  <c r="AE8" i="12" s="1"/>
  <c r="AC7" i="12"/>
  <c r="AF7" i="12" s="1"/>
  <c r="AC10" i="12"/>
  <c r="AF10" i="12" s="1"/>
  <c r="AC9" i="12"/>
  <c r="AF9" i="12" s="1"/>
  <c r="AB9" i="12"/>
  <c r="AE9" i="12" s="1"/>
  <c r="T69" i="22"/>
  <c r="V69" i="22" s="1"/>
  <c r="T81" i="22"/>
  <c r="V81" i="22" s="1"/>
  <c r="T61" i="22"/>
  <c r="V61" i="22" s="1"/>
  <c r="T80" i="22"/>
  <c r="V80" i="22" s="1"/>
  <c r="T79" i="22"/>
  <c r="T62" i="22"/>
  <c r="V62" i="22" s="1"/>
  <c r="T77" i="22"/>
  <c r="V77" i="22" s="1"/>
  <c r="T76" i="22"/>
  <c r="V76" i="22" s="1"/>
  <c r="T72" i="22"/>
  <c r="V72" i="22" s="1"/>
  <c r="T68" i="22"/>
  <c r="V68" i="22" s="1"/>
  <c r="T73" i="22"/>
  <c r="AJ23" i="18"/>
  <c r="U72" i="19"/>
  <c r="X72" i="19" s="1"/>
  <c r="V70" i="19"/>
  <c r="Y70" i="19" s="1"/>
  <c r="V72" i="19"/>
  <c r="Y72" i="19" s="1"/>
  <c r="V75" i="19"/>
  <c r="Y75" i="19" s="1"/>
  <c r="U71" i="19"/>
  <c r="X71" i="19" s="1"/>
  <c r="U69" i="19"/>
  <c r="X69" i="19" s="1"/>
  <c r="U75" i="19"/>
  <c r="X75" i="19" s="1"/>
  <c r="V69" i="19"/>
  <c r="Y69" i="19" s="1"/>
  <c r="U74" i="19"/>
  <c r="X74" i="19" s="1"/>
  <c r="V67" i="19"/>
  <c r="Y67" i="19" s="1"/>
  <c r="U73" i="19"/>
  <c r="X73" i="19" s="1"/>
  <c r="U67" i="19"/>
  <c r="X67" i="19" s="1"/>
  <c r="V74" i="19"/>
  <c r="Y74" i="19" s="1"/>
  <c r="U68" i="19"/>
  <c r="X68" i="19" s="1"/>
  <c r="V68" i="19"/>
  <c r="Y68" i="19" s="1"/>
  <c r="U70" i="19"/>
  <c r="X70" i="19" s="1"/>
  <c r="AD82" i="19"/>
  <c r="AG82" i="19" s="1"/>
  <c r="AC82" i="19"/>
  <c r="AF82" i="19" s="1"/>
  <c r="AU25" i="19"/>
  <c r="X33" i="19"/>
  <c r="AU33" i="19"/>
  <c r="AC22" i="19"/>
  <c r="AF22" i="19" s="1"/>
  <c r="AF49" i="19"/>
  <c r="AC27" i="19"/>
  <c r="AF27" i="19" s="1"/>
  <c r="AF73" i="19"/>
  <c r="AG73" i="19"/>
  <c r="AU21" i="19"/>
  <c r="AC26" i="19"/>
  <c r="AF26" i="19" s="1"/>
  <c r="V19" i="19"/>
  <c r="Y19" i="19" s="1"/>
  <c r="AG35" i="19"/>
  <c r="AF35" i="19"/>
  <c r="AF34" i="19"/>
  <c r="AG94" i="19"/>
  <c r="AG22" i="19"/>
  <c r="AD24" i="19"/>
  <c r="AG33" i="19"/>
  <c r="AC83" i="19"/>
  <c r="AF83" i="19" s="1"/>
  <c r="AF93" i="19"/>
  <c r="AU49" i="19"/>
  <c r="AK17" i="46"/>
  <c r="AU12" i="45"/>
  <c r="AK41" i="46"/>
  <c r="AU22" i="45"/>
  <c r="AK89" i="46"/>
  <c r="AU42" i="45"/>
  <c r="AU28" i="45"/>
  <c r="AK54" i="46"/>
  <c r="AU43" i="45"/>
  <c r="AK90" i="46"/>
  <c r="U29" i="46"/>
  <c r="BI17" i="45"/>
  <c r="AS18" i="45"/>
  <c r="BI27" i="45"/>
  <c r="U53" i="46"/>
  <c r="U31" i="19"/>
  <c r="X31" i="19" s="1"/>
  <c r="V35" i="19"/>
  <c r="Y35" i="19" s="1"/>
  <c r="U36" i="19"/>
  <c r="X36" i="19" s="1"/>
  <c r="U34" i="19"/>
  <c r="X34" i="19" s="1"/>
  <c r="V38" i="19"/>
  <c r="Y38" i="19" s="1"/>
  <c r="V34" i="19"/>
  <c r="Y34" i="19" s="1"/>
  <c r="U37" i="19"/>
  <c r="X37" i="19" s="1"/>
  <c r="V33" i="19"/>
  <c r="Y33" i="19" s="1"/>
  <c r="Q24" i="22"/>
  <c r="Q15" i="22"/>
  <c r="S15" i="22" s="1"/>
  <c r="AT23" i="45"/>
  <c r="AK42" i="18"/>
  <c r="AF99" i="19"/>
  <c r="Y14" i="10"/>
  <c r="P14" i="10"/>
  <c r="U77" i="19"/>
  <c r="AY37" i="18"/>
  <c r="T125" i="22"/>
  <c r="V125" i="22" s="1"/>
  <c r="T127" i="22"/>
  <c r="V127" i="22" s="1"/>
  <c r="T122" i="22"/>
  <c r="T116" i="22"/>
  <c r="T128" i="22"/>
  <c r="V128" i="22" s="1"/>
  <c r="T120" i="22"/>
  <c r="T118" i="22"/>
  <c r="V118" i="22" s="1"/>
  <c r="T112" i="22"/>
  <c r="V112" i="22" s="1"/>
  <c r="T133" i="22"/>
  <c r="V133" i="22" s="1"/>
  <c r="T117" i="22"/>
  <c r="V117" i="22" s="1"/>
  <c r="T119" i="22"/>
  <c r="T132" i="22"/>
  <c r="T115" i="22"/>
  <c r="V115" i="22" s="1"/>
  <c r="T124" i="22"/>
  <c r="T129" i="22"/>
  <c r="V129" i="22" s="1"/>
  <c r="T123" i="22"/>
  <c r="V123" i="22" s="1"/>
  <c r="T114" i="22"/>
  <c r="V114" i="22" s="1"/>
  <c r="T131" i="22"/>
  <c r="V131" i="22" s="1"/>
  <c r="T113" i="22"/>
  <c r="V113" i="22" s="1"/>
  <c r="AU79" i="19"/>
  <c r="AF80" i="19"/>
  <c r="AG38" i="19"/>
  <c r="W50" i="22"/>
  <c r="W92" i="22"/>
  <c r="V92" i="22"/>
  <c r="V120" i="22"/>
  <c r="V73" i="22"/>
  <c r="T121" i="22"/>
  <c r="V121" i="22" s="1"/>
  <c r="R27" i="22"/>
  <c r="V70" i="22"/>
  <c r="U62" i="22"/>
  <c r="W62" i="22" s="1"/>
  <c r="AK71" i="46"/>
  <c r="AN71" i="46" s="1"/>
  <c r="AK70" i="46"/>
  <c r="AN70" i="46" s="1"/>
  <c r="Y11" i="10"/>
  <c r="P11" i="10"/>
  <c r="Y8" i="10"/>
  <c r="P8" i="10"/>
  <c r="AC79" i="19"/>
  <c r="AF79" i="19" s="1"/>
  <c r="AC81" i="19"/>
  <c r="AF81" i="19" s="1"/>
  <c r="AD83" i="19"/>
  <c r="AG83" i="19" s="1"/>
  <c r="AD86" i="19"/>
  <c r="AG86" i="19" s="1"/>
  <c r="AC84" i="19"/>
  <c r="AF84" i="19" s="1"/>
  <c r="AD80" i="19"/>
  <c r="AG80" i="19" s="1"/>
  <c r="AD84" i="19"/>
  <c r="AG84" i="19" s="1"/>
  <c r="AC86" i="19"/>
  <c r="AF86" i="19" s="1"/>
  <c r="AC81" i="13"/>
  <c r="AF81" i="13" s="1"/>
  <c r="AB83" i="13"/>
  <c r="AE83" i="13" s="1"/>
  <c r="AC87" i="13"/>
  <c r="AF87" i="13" s="1"/>
  <c r="AB79" i="13"/>
  <c r="AE79" i="13" s="1"/>
  <c r="AC79" i="13"/>
  <c r="AF79" i="13" s="1"/>
  <c r="AC80" i="13"/>
  <c r="AF80" i="13" s="1"/>
  <c r="AB85" i="13"/>
  <c r="AE85" i="13" s="1"/>
  <c r="AB87" i="13"/>
  <c r="AE87" i="13" s="1"/>
  <c r="AC86" i="13"/>
  <c r="AF86" i="13" s="1"/>
  <c r="AB80" i="13"/>
  <c r="AE80" i="13" s="1"/>
  <c r="AB82" i="13"/>
  <c r="AE82" i="13" s="1"/>
  <c r="AC85" i="13"/>
  <c r="AF85" i="13" s="1"/>
  <c r="AB84" i="13"/>
  <c r="AE84" i="13" s="1"/>
  <c r="AC84" i="13"/>
  <c r="AF84" i="13" s="1"/>
  <c r="AB81" i="13"/>
  <c r="AE81" i="13" s="1"/>
  <c r="V22" i="19"/>
  <c r="Y22" i="19" s="1"/>
  <c r="V20" i="19"/>
  <c r="Y20" i="19" s="1"/>
  <c r="U25" i="19"/>
  <c r="X25" i="19" s="1"/>
  <c r="V23" i="19"/>
  <c r="Y23" i="19" s="1"/>
  <c r="U24" i="19"/>
  <c r="X24" i="19" s="1"/>
  <c r="U23" i="19"/>
  <c r="X23" i="19" s="1"/>
  <c r="U22" i="19"/>
  <c r="X22" i="19" s="1"/>
  <c r="U21" i="19"/>
  <c r="X21" i="19" s="1"/>
  <c r="V26" i="19"/>
  <c r="Y26" i="19" s="1"/>
  <c r="V24" i="19"/>
  <c r="Y24" i="19" s="1"/>
  <c r="U27" i="19"/>
  <c r="X27" i="19" s="1"/>
  <c r="AB24" i="12"/>
  <c r="AE24" i="12" s="1"/>
  <c r="AC24" i="12"/>
  <c r="AF24" i="12" s="1"/>
  <c r="AB21" i="12"/>
  <c r="AE21" i="12" s="1"/>
  <c r="AC23" i="12"/>
  <c r="AF23" i="12" s="1"/>
  <c r="AB23" i="12"/>
  <c r="AE23" i="12" s="1"/>
  <c r="U45" i="24"/>
  <c r="W45" i="24" s="1"/>
  <c r="U44" i="24"/>
  <c r="W44" i="24" s="1"/>
  <c r="U46" i="24"/>
  <c r="W46" i="24" s="1"/>
  <c r="AU44" i="19"/>
  <c r="U20" i="19"/>
  <c r="X20" i="19" s="1"/>
  <c r="AF68" i="19"/>
  <c r="AG68" i="19"/>
  <c r="AC66" i="46"/>
  <c r="BK33" i="45"/>
  <c r="BK7" i="45"/>
  <c r="AC5" i="46"/>
  <c r="AK18" i="46"/>
  <c r="AU13" i="45"/>
  <c r="P20" i="10"/>
  <c r="R7" i="10"/>
  <c r="T7" i="10" s="1"/>
  <c r="R14" i="10"/>
  <c r="T14" i="10" s="1"/>
  <c r="P27" i="10"/>
  <c r="P21" i="10"/>
  <c r="R10" i="10"/>
  <c r="T10" i="10" s="1"/>
  <c r="Q14" i="10"/>
  <c r="S14" i="10" s="1"/>
  <c r="Q11" i="10"/>
  <c r="S11" i="10" s="1"/>
  <c r="Q10" i="10"/>
  <c r="S10" i="10" s="1"/>
  <c r="Q13" i="10"/>
  <c r="S13" i="10" s="1"/>
  <c r="Q8" i="10"/>
  <c r="S8" i="10" s="1"/>
  <c r="R8" i="10"/>
  <c r="T8" i="10" s="1"/>
  <c r="P28" i="10"/>
  <c r="R13" i="10"/>
  <c r="T13" i="10" s="1"/>
  <c r="P26" i="10"/>
  <c r="P22" i="10"/>
  <c r="Q7" i="10"/>
  <c r="S7" i="10" s="1"/>
  <c r="AF39" i="19"/>
  <c r="V94" i="22"/>
  <c r="V96" i="22"/>
  <c r="V98" i="22"/>
  <c r="V97" i="22"/>
  <c r="AJ37" i="18"/>
  <c r="W127" i="22"/>
  <c r="W120" i="22"/>
  <c r="W114" i="22"/>
  <c r="V116" i="22"/>
  <c r="W105" i="22"/>
  <c r="U65" i="22"/>
  <c r="W65" i="22" s="1"/>
  <c r="U80" i="22"/>
  <c r="W80" i="22" s="1"/>
  <c r="U81" i="22"/>
  <c r="W81" i="22" s="1"/>
  <c r="U75" i="22"/>
  <c r="V46" i="22"/>
  <c r="S23" i="22"/>
  <c r="AT33" i="45"/>
  <c r="AL68" i="46"/>
  <c r="AO68" i="46" s="1"/>
  <c r="AL70" i="46"/>
  <c r="AO70" i="46" s="1"/>
  <c r="AK74" i="46"/>
  <c r="AN74" i="46" s="1"/>
  <c r="AL69" i="46"/>
  <c r="AO69" i="46" s="1"/>
  <c r="Y13" i="10"/>
  <c r="P13" i="10"/>
  <c r="Y10" i="10"/>
  <c r="P10" i="10"/>
  <c r="AK33" i="18"/>
  <c r="AJ33" i="18"/>
  <c r="U66" i="19"/>
  <c r="AY33" i="18"/>
  <c r="AJ32" i="18"/>
  <c r="AK32" i="18"/>
  <c r="U32" i="24"/>
  <c r="W32" i="24" s="1"/>
  <c r="U34" i="24"/>
  <c r="W34" i="24" s="1"/>
  <c r="U33" i="24"/>
  <c r="W33" i="24" s="1"/>
  <c r="T33" i="24"/>
  <c r="V33" i="24" s="1"/>
  <c r="T32" i="24"/>
  <c r="V32" i="24" s="1"/>
  <c r="T34" i="24"/>
  <c r="V34" i="24" s="1"/>
  <c r="AC21" i="12"/>
  <c r="AF21" i="12" s="1"/>
  <c r="AB86" i="13"/>
  <c r="AE86" i="13" s="1"/>
  <c r="AC95" i="13"/>
  <c r="AF95" i="13" s="1"/>
  <c r="AB94" i="13"/>
  <c r="AE94" i="13" s="1"/>
  <c r="AB99" i="13"/>
  <c r="AE99" i="13" s="1"/>
  <c r="AC97" i="13"/>
  <c r="AF97" i="13" s="1"/>
  <c r="AC94" i="13"/>
  <c r="AF94" i="13" s="1"/>
  <c r="AC98" i="13"/>
  <c r="AF98" i="13" s="1"/>
  <c r="AB93" i="13"/>
  <c r="AE93" i="13" s="1"/>
  <c r="AB98" i="13"/>
  <c r="AE98" i="13" s="1"/>
  <c r="AC91" i="13"/>
  <c r="AF91" i="13" s="1"/>
  <c r="AB95" i="13"/>
  <c r="AE95" i="13" s="1"/>
  <c r="AC96" i="13"/>
  <c r="AF96" i="13" s="1"/>
  <c r="AB97" i="13"/>
  <c r="AE97" i="13" s="1"/>
  <c r="AB91" i="13"/>
  <c r="AE91" i="13" s="1"/>
  <c r="AC92" i="13"/>
  <c r="AF92" i="13" s="1"/>
  <c r="AC93" i="13"/>
  <c r="AF93" i="13" s="1"/>
  <c r="AB96" i="13"/>
  <c r="AE96" i="13" s="1"/>
  <c r="AB92" i="13"/>
  <c r="AE92" i="13" s="1"/>
  <c r="AC51" i="19"/>
  <c r="AF51" i="19" s="1"/>
  <c r="AC45" i="19"/>
  <c r="AF45" i="19" s="1"/>
  <c r="AD44" i="19"/>
  <c r="AG44" i="19" s="1"/>
  <c r="AD43" i="19"/>
  <c r="AG43" i="19" s="1"/>
  <c r="AC48" i="19"/>
  <c r="AF48" i="19" s="1"/>
  <c r="AC46" i="19"/>
  <c r="AF46" i="19" s="1"/>
  <c r="AD51" i="19"/>
  <c r="AG51" i="19" s="1"/>
  <c r="AC47" i="19"/>
  <c r="AF47" i="19" s="1"/>
  <c r="AD49" i="19"/>
  <c r="AG49" i="19" s="1"/>
  <c r="AD45" i="19"/>
  <c r="AG45" i="19" s="1"/>
  <c r="AC43" i="19"/>
  <c r="AF43" i="19" s="1"/>
  <c r="AD50" i="19"/>
  <c r="AG50" i="19" s="1"/>
  <c r="AD46" i="19"/>
  <c r="AG46" i="19" s="1"/>
  <c r="AD48" i="19"/>
  <c r="AG48" i="19" s="1"/>
  <c r="AD87" i="19"/>
  <c r="AG87" i="19" s="1"/>
  <c r="AD79" i="19"/>
  <c r="AG79" i="19" s="1"/>
  <c r="AD20" i="19"/>
  <c r="AG20" i="19" s="1"/>
  <c r="AC21" i="19"/>
  <c r="AF21" i="19" s="1"/>
  <c r="AG24" i="19"/>
  <c r="AF24" i="19"/>
  <c r="AD26" i="19"/>
  <c r="AG26" i="19" s="1"/>
  <c r="V21" i="19"/>
  <c r="Y21" i="19" s="1"/>
  <c r="AC23" i="19"/>
  <c r="AF23" i="19" s="1"/>
  <c r="V25" i="19"/>
  <c r="Y25" i="19" s="1"/>
  <c r="U78" i="46"/>
  <c r="BI38" i="45"/>
  <c r="AS38" i="45"/>
  <c r="U90" i="46"/>
  <c r="BI43" i="45"/>
  <c r="AC89" i="46"/>
  <c r="BK42" i="45"/>
  <c r="Q13" i="22"/>
  <c r="S13" i="22" s="1"/>
  <c r="P24" i="22"/>
  <c r="R24" i="22" s="1"/>
  <c r="P14" i="22"/>
  <c r="R14" i="22" s="1"/>
  <c r="P22" i="22"/>
  <c r="Q8" i="22"/>
  <c r="S8" i="22" s="1"/>
  <c r="P11" i="22"/>
  <c r="R11" i="22" s="1"/>
  <c r="Q9" i="22"/>
  <c r="S9" i="22" s="1"/>
  <c r="P17" i="22"/>
  <c r="R17" i="22" s="1"/>
  <c r="Q16" i="22"/>
  <c r="S16" i="22" s="1"/>
  <c r="P8" i="22"/>
  <c r="R8" i="22" s="1"/>
  <c r="Q14" i="22"/>
  <c r="S14" i="22" s="1"/>
  <c r="Q22" i="22"/>
  <c r="S22" i="22" s="1"/>
  <c r="Q11" i="22"/>
  <c r="S11" i="22" s="1"/>
  <c r="P16" i="22"/>
  <c r="R16" i="22" s="1"/>
  <c r="P12" i="22"/>
  <c r="P10" i="22"/>
  <c r="P19" i="22"/>
  <c r="R19" i="22" s="1"/>
  <c r="AF33" i="19"/>
  <c r="P7" i="22"/>
  <c r="R7" i="22" s="1"/>
  <c r="P28" i="22"/>
  <c r="R28" i="22" s="1"/>
  <c r="AF74" i="19"/>
  <c r="AC74" i="46"/>
  <c r="AF74" i="46" s="1"/>
  <c r="AD71" i="46"/>
  <c r="AG71" i="46" s="1"/>
  <c r="AC73" i="46"/>
  <c r="AF73" i="46" s="1"/>
  <c r="AD73" i="46"/>
  <c r="AG73" i="46" s="1"/>
  <c r="AC70" i="46"/>
  <c r="AF70" i="46" s="1"/>
  <c r="AC67" i="46"/>
  <c r="AF67" i="46" s="1"/>
  <c r="AC72" i="46"/>
  <c r="AF72" i="46" s="1"/>
  <c r="AC69" i="46"/>
  <c r="AF69" i="46" s="1"/>
  <c r="AC71" i="46"/>
  <c r="AF71" i="46" s="1"/>
  <c r="AD67" i="46"/>
  <c r="AG67" i="46" s="1"/>
  <c r="AD68" i="46"/>
  <c r="AG68" i="46" s="1"/>
  <c r="AD74" i="46"/>
  <c r="AG74" i="46" s="1"/>
  <c r="AD69" i="46"/>
  <c r="AG69" i="46" s="1"/>
  <c r="AC75" i="46"/>
  <c r="AF75" i="46" s="1"/>
  <c r="AC68" i="46"/>
  <c r="AF68" i="46" s="1"/>
  <c r="AD70" i="46"/>
  <c r="AG70" i="46" s="1"/>
  <c r="AD75" i="46"/>
  <c r="AG75" i="46" s="1"/>
  <c r="AD72" i="46"/>
  <c r="AG72" i="46" s="1"/>
  <c r="AK39" i="46"/>
  <c r="AN39" i="46" s="1"/>
  <c r="AL33" i="46"/>
  <c r="AO33" i="46" s="1"/>
  <c r="AL36" i="46"/>
  <c r="AO36" i="46" s="1"/>
  <c r="AL37" i="46"/>
  <c r="AO37" i="46" s="1"/>
  <c r="AK35" i="46"/>
  <c r="AN35" i="46" s="1"/>
  <c r="AK34" i="46"/>
  <c r="AN34" i="46" s="1"/>
  <c r="AL38" i="46"/>
  <c r="AO38" i="46" s="1"/>
  <c r="AK38" i="46"/>
  <c r="AN38" i="46" s="1"/>
  <c r="AK31" i="46"/>
  <c r="AN31" i="46" s="1"/>
  <c r="AK36" i="46"/>
  <c r="AN36" i="46" s="1"/>
  <c r="AK37" i="46"/>
  <c r="AN37" i="46" s="1"/>
  <c r="AK32" i="46"/>
  <c r="AN32" i="46" s="1"/>
  <c r="AL34" i="46"/>
  <c r="AO34" i="46" s="1"/>
  <c r="AL32" i="46"/>
  <c r="AO32" i="46" s="1"/>
  <c r="AL39" i="46"/>
  <c r="AO39" i="46" s="1"/>
  <c r="AL35" i="46"/>
  <c r="AO35" i="46" s="1"/>
  <c r="AK33" i="46"/>
  <c r="AN33" i="46" s="1"/>
  <c r="AL31" i="46"/>
  <c r="AO31" i="46" s="1"/>
  <c r="AL63" i="46"/>
  <c r="AO63" i="46" s="1"/>
  <c r="AK60" i="46"/>
  <c r="AN60" i="46" s="1"/>
  <c r="AK62" i="46"/>
  <c r="AN62" i="46" s="1"/>
  <c r="AK63" i="46"/>
  <c r="AN63" i="46" s="1"/>
  <c r="AL55" i="46"/>
  <c r="AO55" i="46" s="1"/>
  <c r="AL62" i="46"/>
  <c r="AO62" i="46" s="1"/>
  <c r="AK59" i="46"/>
  <c r="AN59" i="46" s="1"/>
  <c r="AK56" i="46"/>
  <c r="AN56" i="46" s="1"/>
  <c r="AL56" i="46"/>
  <c r="AO56" i="46" s="1"/>
  <c r="AL60" i="46"/>
  <c r="AO60" i="46" s="1"/>
  <c r="AL57" i="46"/>
  <c r="AO57" i="46" s="1"/>
  <c r="AL59" i="46"/>
  <c r="AO59" i="46" s="1"/>
  <c r="AK57" i="46"/>
  <c r="AN57" i="46" s="1"/>
  <c r="AK61" i="46"/>
  <c r="AN61" i="46" s="1"/>
  <c r="AL58" i="46"/>
  <c r="AO58" i="46" s="1"/>
  <c r="AL61" i="46"/>
  <c r="AO61" i="46" s="1"/>
  <c r="AK58" i="46"/>
  <c r="AN58" i="46" s="1"/>
  <c r="AK55" i="46"/>
  <c r="AN55" i="46" s="1"/>
  <c r="AK10" i="46"/>
  <c r="AN10" i="46" s="1"/>
  <c r="AL10" i="46"/>
  <c r="AO10" i="46" s="1"/>
  <c r="AK11" i="46"/>
  <c r="AN11" i="46" s="1"/>
  <c r="AL7" i="46"/>
  <c r="AO7" i="46" s="1"/>
  <c r="AK14" i="46"/>
  <c r="AN14" i="46" s="1"/>
  <c r="V21" i="46"/>
  <c r="Y21" i="46" s="1"/>
  <c r="V24" i="46"/>
  <c r="Y24" i="46" s="1"/>
  <c r="V27" i="46"/>
  <c r="Y27" i="46" s="1"/>
  <c r="U27" i="46"/>
  <c r="X27" i="46" s="1"/>
  <c r="P20" i="17"/>
  <c r="R20" i="17" s="1"/>
  <c r="W121" i="22"/>
  <c r="W55" i="22"/>
  <c r="W101" i="22"/>
  <c r="V101" i="22"/>
  <c r="V79" i="22"/>
  <c r="W115" i="22"/>
  <c r="V14" i="46"/>
  <c r="Y14" i="46" s="1"/>
  <c r="U10" i="46"/>
  <c r="X10" i="46" s="1"/>
  <c r="U13" i="46"/>
  <c r="X13" i="46" s="1"/>
  <c r="V10" i="46"/>
  <c r="Y10" i="46" s="1"/>
  <c r="U9" i="46"/>
  <c r="X9" i="46" s="1"/>
  <c r="V9" i="46"/>
  <c r="Y9" i="46" s="1"/>
  <c r="V13" i="46"/>
  <c r="Y13" i="46" s="1"/>
  <c r="V15" i="46"/>
  <c r="Y15" i="46" s="1"/>
  <c r="V11" i="46"/>
  <c r="Y11" i="46" s="1"/>
  <c r="U7" i="46"/>
  <c r="X7" i="46" s="1"/>
  <c r="U11" i="46"/>
  <c r="X11" i="46" s="1"/>
  <c r="U12" i="46"/>
  <c r="X12" i="46" s="1"/>
  <c r="U14" i="46"/>
  <c r="X14" i="46" s="1"/>
  <c r="U8" i="46"/>
  <c r="X8" i="46" s="1"/>
  <c r="U15" i="46"/>
  <c r="X15" i="46" s="1"/>
  <c r="V12" i="46"/>
  <c r="Y12" i="46" s="1"/>
  <c r="V8" i="46"/>
  <c r="Y8" i="46" s="1"/>
  <c r="V7" i="46"/>
  <c r="Y7" i="46" s="1"/>
  <c r="AL87" i="46"/>
  <c r="AO87" i="46" s="1"/>
  <c r="AK81" i="46"/>
  <c r="AN81" i="46" s="1"/>
  <c r="AK82" i="46"/>
  <c r="AN82" i="46" s="1"/>
  <c r="AL85" i="46"/>
  <c r="AO85" i="46" s="1"/>
  <c r="AL84" i="46"/>
  <c r="AO84" i="46" s="1"/>
  <c r="AK86" i="46"/>
  <c r="AN86" i="46" s="1"/>
  <c r="AK80" i="46"/>
  <c r="AN80" i="46" s="1"/>
  <c r="AL82" i="46"/>
  <c r="AO82" i="46" s="1"/>
  <c r="AK87" i="46"/>
  <c r="AN87" i="46" s="1"/>
  <c r="AK85" i="46"/>
  <c r="AN85" i="46" s="1"/>
  <c r="AL81" i="46"/>
  <c r="AO81" i="46" s="1"/>
  <c r="AK83" i="46"/>
  <c r="AN83" i="46" s="1"/>
  <c r="AL86" i="46"/>
  <c r="AO86" i="46" s="1"/>
  <c r="AL79" i="46"/>
  <c r="AO79" i="46" s="1"/>
  <c r="AL83" i="46"/>
  <c r="AO83" i="46" s="1"/>
  <c r="AK79" i="46"/>
  <c r="AN79" i="46" s="1"/>
  <c r="AK84" i="46"/>
  <c r="AN84" i="46" s="1"/>
  <c r="AL80" i="46"/>
  <c r="AO80" i="46" s="1"/>
  <c r="V46" i="46"/>
  <c r="Y46" i="46" s="1"/>
  <c r="U50" i="46"/>
  <c r="X50" i="46" s="1"/>
  <c r="U49" i="46"/>
  <c r="X49" i="46" s="1"/>
  <c r="V45" i="46"/>
  <c r="Y45" i="46" s="1"/>
  <c r="V44" i="46"/>
  <c r="Y44" i="46" s="1"/>
  <c r="AD43" i="46"/>
  <c r="AG43" i="46" s="1"/>
  <c r="AC49" i="46"/>
  <c r="AF49" i="46" s="1"/>
  <c r="AD45" i="46"/>
  <c r="AG45" i="46" s="1"/>
  <c r="AC43" i="46"/>
  <c r="AF43" i="46" s="1"/>
  <c r="AC47" i="46"/>
  <c r="AF47" i="46" s="1"/>
  <c r="AD47" i="46"/>
  <c r="AG47" i="46" s="1"/>
  <c r="AD44" i="46"/>
  <c r="AG44" i="46" s="1"/>
  <c r="AD49" i="46"/>
  <c r="AG49" i="46" s="1"/>
  <c r="AD46" i="46"/>
  <c r="AG46" i="46" s="1"/>
  <c r="AC51" i="46"/>
  <c r="AF51" i="46" s="1"/>
  <c r="AC45" i="46"/>
  <c r="AF45" i="46" s="1"/>
  <c r="AD51" i="46"/>
  <c r="AG51" i="46" s="1"/>
  <c r="AD48" i="46"/>
  <c r="AG48" i="46" s="1"/>
  <c r="AC48" i="46"/>
  <c r="AF48" i="46" s="1"/>
  <c r="AD50" i="46"/>
  <c r="AG50" i="46" s="1"/>
  <c r="AC44" i="46"/>
  <c r="AF44" i="46" s="1"/>
  <c r="AC46" i="46"/>
  <c r="AF46" i="46" s="1"/>
  <c r="AC50" i="46"/>
  <c r="AF50" i="46" s="1"/>
  <c r="U87" i="46"/>
  <c r="X87" i="46" s="1"/>
  <c r="V87" i="46"/>
  <c r="Y87" i="46" s="1"/>
  <c r="U83" i="46"/>
  <c r="X83" i="46" s="1"/>
  <c r="U80" i="46"/>
  <c r="X80" i="46" s="1"/>
  <c r="U85" i="46"/>
  <c r="X85" i="46" s="1"/>
  <c r="U84" i="46"/>
  <c r="X84" i="46" s="1"/>
  <c r="U79" i="46"/>
  <c r="X79" i="46" s="1"/>
  <c r="V80" i="46"/>
  <c r="Y80" i="46" s="1"/>
  <c r="V79" i="46"/>
  <c r="Y79" i="46" s="1"/>
  <c r="V84" i="46"/>
  <c r="Y84" i="46" s="1"/>
  <c r="V81" i="46"/>
  <c r="Y81" i="46" s="1"/>
  <c r="V86" i="46"/>
  <c r="Y86" i="46" s="1"/>
  <c r="V83" i="46"/>
  <c r="Y83" i="46" s="1"/>
  <c r="U82" i="46"/>
  <c r="X82" i="46" s="1"/>
  <c r="V85" i="46"/>
  <c r="Y85" i="46" s="1"/>
  <c r="U86" i="46"/>
  <c r="X86" i="46" s="1"/>
  <c r="V82" i="46"/>
  <c r="Y82" i="46" s="1"/>
  <c r="U81" i="46"/>
  <c r="X81" i="46" s="1"/>
  <c r="W47" i="22"/>
  <c r="V95" i="22"/>
  <c r="V49" i="22"/>
  <c r="W133" i="22"/>
  <c r="W125" i="22"/>
  <c r="AD84" i="46"/>
  <c r="AG84" i="46" s="1"/>
  <c r="AD86" i="46"/>
  <c r="AG86" i="46" s="1"/>
  <c r="AC83" i="46"/>
  <c r="AF83" i="46" s="1"/>
  <c r="V75" i="46"/>
  <c r="Y75" i="46" s="1"/>
  <c r="U75" i="46"/>
  <c r="X75" i="46" s="1"/>
  <c r="V72" i="46"/>
  <c r="Y72" i="46" s="1"/>
  <c r="U72" i="46"/>
  <c r="X72" i="46" s="1"/>
  <c r="U71" i="46"/>
  <c r="X71" i="46" s="1"/>
  <c r="AC31" i="46"/>
  <c r="AF31" i="46" s="1"/>
  <c r="AD33" i="46"/>
  <c r="AG33" i="46" s="1"/>
  <c r="AC38" i="46"/>
  <c r="AF38" i="46" s="1"/>
  <c r="AD35" i="46"/>
  <c r="AG35" i="46" s="1"/>
  <c r="AD31" i="46"/>
  <c r="AG31" i="46" s="1"/>
  <c r="AC32" i="46"/>
  <c r="AF32" i="46" s="1"/>
  <c r="AC37" i="46"/>
  <c r="AF37" i="46" s="1"/>
  <c r="AC35" i="46"/>
  <c r="AF35" i="46" s="1"/>
  <c r="AC39" i="46"/>
  <c r="AF39" i="46" s="1"/>
  <c r="AD37" i="46"/>
  <c r="AG37" i="46" s="1"/>
  <c r="AD38" i="46"/>
  <c r="AG38" i="46" s="1"/>
  <c r="AD36" i="46"/>
  <c r="AG36" i="46" s="1"/>
  <c r="AC34" i="46"/>
  <c r="AF34" i="46" s="1"/>
  <c r="AD32" i="46"/>
  <c r="AG32" i="46" s="1"/>
  <c r="AC33" i="46"/>
  <c r="AF33" i="46" s="1"/>
  <c r="AC36" i="46"/>
  <c r="AF36" i="46" s="1"/>
  <c r="AD34" i="46"/>
  <c r="AG34" i="46" s="1"/>
  <c r="AD39" i="46"/>
  <c r="AG39" i="46" s="1"/>
  <c r="W113" i="22"/>
  <c r="W49" i="22"/>
  <c r="V55" i="22"/>
  <c r="V67" i="22"/>
  <c r="AI23" i="16"/>
  <c r="X26" i="22"/>
  <c r="S24" i="22"/>
  <c r="X24" i="22"/>
  <c r="R13" i="22"/>
  <c r="X13" i="22"/>
  <c r="W69" i="22"/>
  <c r="AI69" i="22"/>
  <c r="AI34" i="22"/>
  <c r="V34" i="22"/>
  <c r="V124" i="22"/>
  <c r="V50" i="22"/>
  <c r="W117" i="22"/>
  <c r="R22" i="22"/>
  <c r="W51" i="13"/>
  <c r="Z51" i="13" s="1"/>
  <c r="W49" i="13"/>
  <c r="Z49" i="13" s="1"/>
  <c r="W46" i="13"/>
  <c r="Z46" i="13" s="1"/>
  <c r="V46" i="13"/>
  <c r="Y46" i="13" s="1"/>
  <c r="W44" i="13"/>
  <c r="Z44" i="13" s="1"/>
  <c r="V48" i="13"/>
  <c r="Y48" i="13" s="1"/>
  <c r="W45" i="13"/>
  <c r="Z45" i="13" s="1"/>
  <c r="V51" i="13"/>
  <c r="Y51" i="13" s="1"/>
  <c r="W50" i="13"/>
  <c r="Z50" i="13" s="1"/>
  <c r="V49" i="13"/>
  <c r="Y49" i="13" s="1"/>
  <c r="W48" i="13"/>
  <c r="Z48" i="13" s="1"/>
  <c r="V50" i="13"/>
  <c r="Y50" i="13" s="1"/>
  <c r="W43" i="13"/>
  <c r="Z43" i="13" s="1"/>
  <c r="V47" i="13"/>
  <c r="Y47" i="13" s="1"/>
  <c r="W47" i="13"/>
  <c r="Z47" i="13" s="1"/>
  <c r="V44" i="13"/>
  <c r="Y44" i="13" s="1"/>
  <c r="V43" i="13"/>
  <c r="Y43" i="13" s="1"/>
  <c r="V45" i="13"/>
  <c r="Y45" i="13" s="1"/>
  <c r="AI77" i="22"/>
  <c r="W77" i="22"/>
  <c r="AI122" i="22"/>
  <c r="V122" i="22"/>
  <c r="AI35" i="22"/>
  <c r="AI66" i="22"/>
  <c r="W66" i="22"/>
  <c r="W75" i="22"/>
  <c r="AI75" i="22"/>
  <c r="R10" i="22"/>
  <c r="W132" i="22"/>
  <c r="AI80" i="22"/>
  <c r="AI119" i="22"/>
  <c r="V119" i="22"/>
  <c r="X23" i="22"/>
  <c r="R23" i="22"/>
  <c r="AC58" i="13"/>
  <c r="AF58" i="13" s="1"/>
  <c r="AB56" i="13"/>
  <c r="AE56" i="13" s="1"/>
  <c r="AC61" i="13"/>
  <c r="AF61" i="13" s="1"/>
  <c r="AB57" i="13"/>
  <c r="AE57" i="13" s="1"/>
  <c r="AB58" i="13"/>
  <c r="AE58" i="13" s="1"/>
  <c r="AC60" i="13"/>
  <c r="AF60" i="13" s="1"/>
  <c r="AC63" i="13"/>
  <c r="AF63" i="13" s="1"/>
  <c r="AC56" i="13"/>
  <c r="AF56" i="13" s="1"/>
  <c r="AC57" i="13"/>
  <c r="AF57" i="13" s="1"/>
  <c r="AB62" i="13"/>
  <c r="AE62" i="13" s="1"/>
  <c r="AB59" i="13"/>
  <c r="AE59" i="13" s="1"/>
  <c r="AB63" i="13"/>
  <c r="AE63" i="13" s="1"/>
  <c r="AC55" i="13"/>
  <c r="AF55" i="13" s="1"/>
  <c r="AB55" i="13"/>
  <c r="AE55" i="13" s="1"/>
  <c r="AC59" i="13"/>
  <c r="AF59" i="13" s="1"/>
  <c r="AC62" i="13"/>
  <c r="AF62" i="13" s="1"/>
  <c r="AB60" i="13"/>
  <c r="AE60" i="13" s="1"/>
  <c r="AB61" i="13"/>
  <c r="AE61" i="13" s="1"/>
  <c r="V47" i="22"/>
  <c r="W119" i="22"/>
  <c r="W87" i="22"/>
  <c r="AI63" i="22"/>
  <c r="W63" i="22"/>
  <c r="R20" i="22"/>
  <c r="X20" i="22"/>
  <c r="X18" i="22"/>
  <c r="R18" i="22"/>
  <c r="X7" i="22"/>
  <c r="S7" i="22"/>
  <c r="R12" i="22"/>
  <c r="V132" i="22"/>
  <c r="W103" i="22"/>
  <c r="U91" i="19"/>
  <c r="X91" i="19" s="1"/>
  <c r="V93" i="19"/>
  <c r="Y93" i="19" s="1"/>
  <c r="U95" i="19"/>
  <c r="X95" i="19" s="1"/>
  <c r="V97" i="19"/>
  <c r="Y97" i="19" s="1"/>
  <c r="V92" i="19"/>
  <c r="Y92" i="19" s="1"/>
  <c r="U96" i="19"/>
  <c r="X96" i="19" s="1"/>
  <c r="V91" i="19"/>
  <c r="Y91" i="19" s="1"/>
  <c r="U98" i="19"/>
  <c r="X98" i="19" s="1"/>
  <c r="U94" i="19"/>
  <c r="X94" i="19" s="1"/>
  <c r="V98" i="19"/>
  <c r="Y98" i="19" s="1"/>
  <c r="U92" i="19"/>
  <c r="X92" i="19" s="1"/>
  <c r="V99" i="19"/>
  <c r="Y99" i="19" s="1"/>
  <c r="V94" i="19"/>
  <c r="Y94" i="19" s="1"/>
  <c r="V95" i="19"/>
  <c r="Y95" i="19" s="1"/>
  <c r="U93" i="19"/>
  <c r="X93" i="19" s="1"/>
  <c r="U97" i="19"/>
  <c r="X97" i="19" s="1"/>
  <c r="V96" i="19"/>
  <c r="Y96" i="19" s="1"/>
  <c r="U99" i="19"/>
  <c r="X99" i="19" s="1"/>
  <c r="AC62" i="46"/>
  <c r="AF62" i="46" s="1"/>
  <c r="AD63" i="46"/>
  <c r="AG63" i="46" s="1"/>
  <c r="AD55" i="46"/>
  <c r="AG55" i="46" s="1"/>
  <c r="AC56" i="46"/>
  <c r="AF56" i="46" s="1"/>
  <c r="AD60" i="46"/>
  <c r="AG60" i="46" s="1"/>
  <c r="AD57" i="46"/>
  <c r="AG57" i="46" s="1"/>
  <c r="AD59" i="46"/>
  <c r="AG59" i="46" s="1"/>
  <c r="AC59" i="46"/>
  <c r="AF59" i="46" s="1"/>
  <c r="AC60" i="46"/>
  <c r="AF60" i="46" s="1"/>
  <c r="AD56" i="46"/>
  <c r="AG56" i="46" s="1"/>
  <c r="AC63" i="46"/>
  <c r="AF63" i="46" s="1"/>
  <c r="AC57" i="46"/>
  <c r="AF57" i="46" s="1"/>
  <c r="AD58" i="46"/>
  <c r="AG58" i="46" s="1"/>
  <c r="AD61" i="46"/>
  <c r="AG61" i="46" s="1"/>
  <c r="AC61" i="46"/>
  <c r="AF61" i="46" s="1"/>
  <c r="AC55" i="46"/>
  <c r="AF55" i="46" s="1"/>
  <c r="AC58" i="46"/>
  <c r="AF58" i="46" s="1"/>
  <c r="AD62" i="46"/>
  <c r="AG62" i="46" s="1"/>
  <c r="P7" i="28"/>
  <c r="R7" i="28" s="1"/>
  <c r="Q14" i="28"/>
  <c r="S14" i="28" s="1"/>
  <c r="Q7" i="28"/>
  <c r="Q12" i="17"/>
  <c r="Q26" i="17"/>
  <c r="S26" i="17" s="1"/>
  <c r="P17" i="17"/>
  <c r="R17" i="17" s="1"/>
  <c r="P18" i="17"/>
  <c r="U9" i="19"/>
  <c r="X9" i="19" s="1"/>
  <c r="V10" i="19"/>
  <c r="Y10" i="19" s="1"/>
  <c r="U12" i="19"/>
  <c r="X12" i="19" s="1"/>
  <c r="V12" i="19"/>
  <c r="Y12" i="19" s="1"/>
  <c r="U14" i="19"/>
  <c r="X14" i="19" s="1"/>
  <c r="V15" i="19"/>
  <c r="Y15" i="19" s="1"/>
  <c r="U8" i="19"/>
  <c r="X8" i="19" s="1"/>
  <c r="V7" i="19"/>
  <c r="Y7" i="19" s="1"/>
  <c r="U7" i="19"/>
  <c r="X7" i="19" s="1"/>
  <c r="U15" i="19"/>
  <c r="X15" i="19" s="1"/>
  <c r="U10" i="19"/>
  <c r="X10" i="19" s="1"/>
  <c r="V11" i="19"/>
  <c r="Y11" i="19" s="1"/>
  <c r="U13" i="19"/>
  <c r="X13" i="19" s="1"/>
  <c r="V9" i="19"/>
  <c r="Y9" i="19" s="1"/>
  <c r="V14" i="19"/>
  <c r="Y14" i="19" s="1"/>
  <c r="U11" i="19"/>
  <c r="X11" i="19" s="1"/>
  <c r="V8" i="19"/>
  <c r="Y8" i="19" s="1"/>
  <c r="V13" i="19"/>
  <c r="Y13" i="19" s="1"/>
  <c r="Q16" i="17"/>
  <c r="S16" i="17" s="1"/>
  <c r="Q10" i="17"/>
  <c r="P8" i="28"/>
  <c r="R8" i="28" s="1"/>
  <c r="Q14" i="17"/>
  <c r="S14" i="17" s="1"/>
  <c r="Q23" i="17"/>
  <c r="S23" i="17" s="1"/>
  <c r="Q17" i="17"/>
  <c r="AV53" i="28"/>
  <c r="AV54" i="28"/>
  <c r="AX67" i="28"/>
  <c r="AX46" i="28"/>
  <c r="AV60" i="28"/>
  <c r="AX33" i="28"/>
  <c r="X38" i="27"/>
  <c r="Z38" i="27" s="1"/>
  <c r="X40" i="27"/>
  <c r="Z40" i="27" s="1"/>
  <c r="X35" i="27"/>
  <c r="Z35" i="27" s="1"/>
  <c r="X46" i="27"/>
  <c r="Z46" i="27" s="1"/>
  <c r="X49" i="27"/>
  <c r="Z49" i="27" s="1"/>
  <c r="X42" i="27"/>
  <c r="X44" i="27"/>
  <c r="Z44" i="27" s="1"/>
  <c r="X51" i="27"/>
  <c r="Z51" i="27" s="1"/>
  <c r="X54" i="27"/>
  <c r="Z54" i="27" s="1"/>
  <c r="X34" i="27"/>
  <c r="Z34" i="27" s="1"/>
  <c r="X37" i="27"/>
  <c r="Z37" i="27" s="1"/>
  <c r="X39" i="27"/>
  <c r="Z39" i="27" s="1"/>
  <c r="X45" i="27"/>
  <c r="Z45" i="27" s="1"/>
  <c r="X47" i="27"/>
  <c r="Z47" i="27" s="1"/>
  <c r="X36" i="27"/>
  <c r="Z36" i="27" s="1"/>
  <c r="X55" i="27"/>
  <c r="Z55" i="27" s="1"/>
  <c r="X43" i="27"/>
  <c r="Z43" i="27" s="1"/>
  <c r="X53" i="27"/>
  <c r="Z53" i="27" s="1"/>
  <c r="X41" i="27"/>
  <c r="Z41" i="27" s="1"/>
  <c r="X50" i="27"/>
  <c r="Z50" i="27" s="1"/>
  <c r="Y131" i="17"/>
  <c r="AA131" i="17" s="1"/>
  <c r="Y128" i="17"/>
  <c r="AA128" i="17" s="1"/>
  <c r="Y113" i="17"/>
  <c r="AA113" i="17" s="1"/>
  <c r="Y115" i="17"/>
  <c r="AA115" i="17" s="1"/>
  <c r="Y117" i="17"/>
  <c r="AA117" i="17" s="1"/>
  <c r="Y124" i="17"/>
  <c r="AA124" i="17" s="1"/>
  <c r="Y112" i="17"/>
  <c r="AA112" i="17" s="1"/>
  <c r="Y119" i="17"/>
  <c r="AA119" i="17" s="1"/>
  <c r="Y121" i="17"/>
  <c r="AA121" i="17" s="1"/>
  <c r="Y133" i="17"/>
  <c r="AA133" i="17" s="1"/>
  <c r="Y129" i="17"/>
  <c r="AA129" i="17" s="1"/>
  <c r="Y127" i="17"/>
  <c r="AA127" i="17" s="1"/>
  <c r="Y114" i="17"/>
  <c r="AA114" i="17" s="1"/>
  <c r="Y116" i="17"/>
  <c r="AA116" i="17" s="1"/>
  <c r="Y118" i="17"/>
  <c r="AA118" i="17" s="1"/>
  <c r="Y123" i="17"/>
  <c r="AA123" i="17" s="1"/>
  <c r="Y125" i="17"/>
  <c r="AA125" i="17" s="1"/>
  <c r="Y132" i="17"/>
  <c r="AA132" i="17" s="1"/>
  <c r="Y122" i="17"/>
  <c r="AA122" i="17" s="1"/>
  <c r="Y120" i="17"/>
  <c r="AA120" i="17" s="1"/>
  <c r="AB12" i="25"/>
  <c r="AA12" i="25"/>
  <c r="AA13" i="25"/>
  <c r="AB13" i="25"/>
  <c r="AQ37" i="23"/>
  <c r="X12" i="23"/>
  <c r="R12" i="23"/>
  <c r="S12" i="23"/>
  <c r="AS73" i="23"/>
  <c r="AS53" i="23"/>
  <c r="X20" i="23"/>
  <c r="R20" i="23"/>
  <c r="S20" i="23"/>
  <c r="AQ91" i="23"/>
  <c r="AQ90" i="23"/>
  <c r="AS132" i="23"/>
  <c r="AS62" i="23"/>
  <c r="AQ97" i="23"/>
  <c r="AS122" i="23"/>
  <c r="AQ67" i="23"/>
  <c r="AS42" i="23"/>
  <c r="U97" i="23"/>
  <c r="W97" i="23" s="1"/>
  <c r="U89" i="23"/>
  <c r="W89" i="23" s="1"/>
  <c r="U106" i="23"/>
  <c r="W106" i="23" s="1"/>
  <c r="U95" i="23"/>
  <c r="W95" i="23" s="1"/>
  <c r="U94" i="23"/>
  <c r="W94" i="23" s="1"/>
  <c r="U91" i="23"/>
  <c r="W91" i="23" s="1"/>
  <c r="U101" i="23"/>
  <c r="W101" i="23" s="1"/>
  <c r="U87" i="23"/>
  <c r="W87" i="23" s="1"/>
  <c r="U93" i="23"/>
  <c r="U86" i="23"/>
  <c r="U92" i="23"/>
  <c r="W92" i="23" s="1"/>
  <c r="U107" i="23"/>
  <c r="W107" i="23" s="1"/>
  <c r="U96" i="23"/>
  <c r="W96" i="23" s="1"/>
  <c r="U88" i="23"/>
  <c r="W88" i="23" s="1"/>
  <c r="U105" i="23"/>
  <c r="W105" i="23" s="1"/>
  <c r="U103" i="23"/>
  <c r="W103" i="23" s="1"/>
  <c r="U90" i="23"/>
  <c r="W90" i="23" s="1"/>
  <c r="U99" i="23"/>
  <c r="U102" i="23"/>
  <c r="W102" i="23" s="1"/>
  <c r="U98" i="23"/>
  <c r="W98" i="23" s="1"/>
  <c r="AX92" i="27"/>
  <c r="AV96" i="27"/>
  <c r="AV106" i="27"/>
  <c r="AV33" i="28"/>
  <c r="AV65" i="28"/>
  <c r="AX41" i="28"/>
  <c r="X7" i="28"/>
  <c r="S7" i="28"/>
  <c r="AV67" i="28"/>
  <c r="X14" i="28"/>
  <c r="AA32" i="25"/>
  <c r="AB32" i="25"/>
  <c r="AB33" i="25"/>
  <c r="AA33" i="25"/>
  <c r="AA105" i="23"/>
  <c r="AC105" i="23" s="1"/>
  <c r="AA87" i="23"/>
  <c r="AC87" i="23" s="1"/>
  <c r="AA96" i="23"/>
  <c r="AC96" i="23" s="1"/>
  <c r="AA107" i="23"/>
  <c r="AC107" i="23" s="1"/>
  <c r="AA89" i="23"/>
  <c r="AC89" i="23" s="1"/>
  <c r="AA94" i="23"/>
  <c r="AC94" i="23" s="1"/>
  <c r="AA91" i="23"/>
  <c r="AC91" i="23" s="1"/>
  <c r="AA92" i="23"/>
  <c r="AC92" i="23" s="1"/>
  <c r="AA93" i="23"/>
  <c r="AC93" i="23" s="1"/>
  <c r="AA98" i="23"/>
  <c r="AC98" i="23" s="1"/>
  <c r="AA95" i="23"/>
  <c r="AA103" i="23"/>
  <c r="AC103" i="23" s="1"/>
  <c r="AA86" i="23"/>
  <c r="AC86" i="23" s="1"/>
  <c r="AA97" i="23"/>
  <c r="AC97" i="23" s="1"/>
  <c r="AA102" i="23"/>
  <c r="AC102" i="23" s="1"/>
  <c r="AA88" i="23"/>
  <c r="AC88" i="23" s="1"/>
  <c r="AA101" i="23"/>
  <c r="AC101" i="23" s="1"/>
  <c r="AA106" i="23"/>
  <c r="AC106" i="23" s="1"/>
  <c r="AA99" i="23"/>
  <c r="AC99" i="23" s="1"/>
  <c r="AA90" i="23"/>
  <c r="AC90" i="23" s="1"/>
  <c r="AD27" i="18"/>
  <c r="AG27" i="18" s="1"/>
  <c r="AD28" i="18"/>
  <c r="AG28" i="18" s="1"/>
  <c r="AE28" i="18"/>
  <c r="AH28" i="18" s="1"/>
  <c r="AE27" i="18"/>
  <c r="AH27" i="18" s="1"/>
  <c r="Y20" i="10"/>
  <c r="AA20" i="10" s="1"/>
  <c r="X20" i="10"/>
  <c r="Z20" i="10" s="1"/>
  <c r="X22" i="10"/>
  <c r="Z22" i="10" s="1"/>
  <c r="X21" i="10"/>
  <c r="Z21" i="10" s="1"/>
  <c r="Y28" i="10"/>
  <c r="AA28" i="10" s="1"/>
  <c r="Y26" i="10"/>
  <c r="AA26" i="10" s="1"/>
  <c r="X27" i="10"/>
  <c r="Z27" i="10" s="1"/>
  <c r="X26" i="10"/>
  <c r="Z26" i="10" s="1"/>
  <c r="X28" i="10"/>
  <c r="Z28" i="10" s="1"/>
  <c r="Y27" i="10"/>
  <c r="AA27" i="10" s="1"/>
  <c r="Y21" i="10"/>
  <c r="AA21" i="10" s="1"/>
  <c r="Y22" i="10"/>
  <c r="AA22" i="10" s="1"/>
  <c r="Y37" i="27"/>
  <c r="AA37" i="27" s="1"/>
  <c r="Y41" i="27"/>
  <c r="AA41" i="27" s="1"/>
  <c r="Y46" i="27"/>
  <c r="Y40" i="27"/>
  <c r="AA40" i="27" s="1"/>
  <c r="Y45" i="27"/>
  <c r="Y50" i="27"/>
  <c r="AA50" i="27" s="1"/>
  <c r="Y55" i="27"/>
  <c r="Y51" i="27"/>
  <c r="AA51" i="27" s="1"/>
  <c r="Y34" i="27"/>
  <c r="AA34" i="27" s="1"/>
  <c r="Y44" i="27"/>
  <c r="AA44" i="27" s="1"/>
  <c r="Y35" i="27"/>
  <c r="AA35" i="27" s="1"/>
  <c r="Y39" i="27"/>
  <c r="AA39" i="27" s="1"/>
  <c r="Y43" i="27"/>
  <c r="Y49" i="27"/>
  <c r="Y38" i="27"/>
  <c r="Y47" i="27"/>
  <c r="AA47" i="27" s="1"/>
  <c r="Y53" i="27"/>
  <c r="AA53" i="27" s="1"/>
  <c r="Y36" i="27"/>
  <c r="AA36" i="27" s="1"/>
  <c r="Y54" i="27"/>
  <c r="AA54" i="27" s="1"/>
  <c r="Y42" i="27"/>
  <c r="AA42" i="27" s="1"/>
  <c r="U49" i="23"/>
  <c r="W49" i="23" s="1"/>
  <c r="U37" i="23"/>
  <c r="W37" i="23" s="1"/>
  <c r="U43" i="23"/>
  <c r="W43" i="23" s="1"/>
  <c r="U51" i="23"/>
  <c r="W51" i="23" s="1"/>
  <c r="U41" i="23"/>
  <c r="W41" i="23" s="1"/>
  <c r="U40" i="23"/>
  <c r="W40" i="23" s="1"/>
  <c r="U34" i="23"/>
  <c r="W34" i="23" s="1"/>
  <c r="U54" i="23"/>
  <c r="W54" i="23" s="1"/>
  <c r="U35" i="23"/>
  <c r="W35" i="23" s="1"/>
  <c r="U42" i="23"/>
  <c r="W42" i="23" s="1"/>
  <c r="U47" i="23"/>
  <c r="U46" i="23"/>
  <c r="W46" i="23" s="1"/>
  <c r="U55" i="23"/>
  <c r="W55" i="23" s="1"/>
  <c r="U44" i="23"/>
  <c r="W44" i="23" s="1"/>
  <c r="U39" i="23"/>
  <c r="W39" i="23" s="1"/>
  <c r="U36" i="23"/>
  <c r="W36" i="23" s="1"/>
  <c r="U38" i="23"/>
  <c r="W38" i="23" s="1"/>
  <c r="U53" i="23"/>
  <c r="W53" i="23" s="1"/>
  <c r="U50" i="23"/>
  <c r="W50" i="23" s="1"/>
  <c r="U45" i="23"/>
  <c r="W45" i="23" s="1"/>
  <c r="AB7" i="25"/>
  <c r="AB8" i="25"/>
  <c r="AA7" i="25"/>
  <c r="AA8" i="25"/>
  <c r="X24" i="17"/>
  <c r="X17" i="17"/>
  <c r="S17" i="17"/>
  <c r="X28" i="17"/>
  <c r="X20" i="17"/>
  <c r="X16" i="17"/>
  <c r="X131" i="17"/>
  <c r="Z131" i="17" s="1"/>
  <c r="X128" i="17"/>
  <c r="Z128" i="17" s="1"/>
  <c r="X113" i="17"/>
  <c r="Z113" i="17" s="1"/>
  <c r="X115" i="17"/>
  <c r="Z115" i="17" s="1"/>
  <c r="X117" i="17"/>
  <c r="Z117" i="17" s="1"/>
  <c r="X124" i="17"/>
  <c r="Z124" i="17" s="1"/>
  <c r="X112" i="17"/>
  <c r="Z112" i="17" s="1"/>
  <c r="X132" i="17"/>
  <c r="Z132" i="17" s="1"/>
  <c r="X119" i="17"/>
  <c r="Z119" i="17" s="1"/>
  <c r="X121" i="17"/>
  <c r="Z121" i="17" s="1"/>
  <c r="X129" i="17"/>
  <c r="Z129" i="17" s="1"/>
  <c r="X127" i="17"/>
  <c r="Z127" i="17" s="1"/>
  <c r="X114" i="17"/>
  <c r="Z114" i="17" s="1"/>
  <c r="X116" i="17"/>
  <c r="Z116" i="17" s="1"/>
  <c r="X118" i="17"/>
  <c r="Z118" i="17" s="1"/>
  <c r="X123" i="17"/>
  <c r="Z123" i="17" s="1"/>
  <c r="X125" i="17"/>
  <c r="Z125" i="17" s="1"/>
  <c r="X133" i="17"/>
  <c r="Z133" i="17" s="1"/>
  <c r="X122" i="17"/>
  <c r="Z122" i="17" s="1"/>
  <c r="X120" i="17"/>
  <c r="Z120" i="17" s="1"/>
  <c r="Y114" i="27"/>
  <c r="AA114" i="27" s="1"/>
  <c r="Y116" i="27"/>
  <c r="AA116" i="27" s="1"/>
  <c r="Y118" i="27"/>
  <c r="AA118" i="27" s="1"/>
  <c r="Y121" i="27"/>
  <c r="AA121" i="27" s="1"/>
  <c r="Y123" i="27"/>
  <c r="AA123" i="27" s="1"/>
  <c r="Y125" i="27"/>
  <c r="Y133" i="27"/>
  <c r="AA133" i="27" s="1"/>
  <c r="Y131" i="27"/>
  <c r="AA131" i="27" s="1"/>
  <c r="Y128" i="27"/>
  <c r="AA128" i="27" s="1"/>
  <c r="Y120" i="27"/>
  <c r="AA120" i="27" s="1"/>
  <c r="Y113" i="27"/>
  <c r="AA113" i="27" s="1"/>
  <c r="Y115" i="27"/>
  <c r="AA115" i="27" s="1"/>
  <c r="Y117" i="27"/>
  <c r="AA117" i="27" s="1"/>
  <c r="Y122" i="27"/>
  <c r="Y124" i="27"/>
  <c r="AA124" i="27" s="1"/>
  <c r="Y112" i="27"/>
  <c r="Y129" i="27"/>
  <c r="AA129" i="27" s="1"/>
  <c r="Y119" i="27"/>
  <c r="AA119" i="27" s="1"/>
  <c r="Y132" i="27"/>
  <c r="AA132" i="27" s="1"/>
  <c r="Y127" i="27"/>
  <c r="AA127" i="27" s="1"/>
  <c r="Y60" i="28"/>
  <c r="AA60" i="28" s="1"/>
  <c r="Y66" i="28"/>
  <c r="Y67" i="28"/>
  <c r="AA67" i="28" s="1"/>
  <c r="Y65" i="28"/>
  <c r="AA65" i="28" s="1"/>
  <c r="Y61" i="28"/>
  <c r="AA61" i="28" s="1"/>
  <c r="Y59" i="28"/>
  <c r="AA59" i="28" s="1"/>
  <c r="AD27" i="28"/>
  <c r="AF27" i="28" s="1"/>
  <c r="AD28" i="28"/>
  <c r="AF28" i="28" s="1"/>
  <c r="AD21" i="28"/>
  <c r="AF21" i="28" s="1"/>
  <c r="AD26" i="28"/>
  <c r="AD20" i="28"/>
  <c r="AF20" i="28" s="1"/>
  <c r="AD22" i="28"/>
  <c r="AF22" i="28" s="1"/>
  <c r="AE27" i="28"/>
  <c r="AG27" i="28" s="1"/>
  <c r="AE20" i="28"/>
  <c r="AG20" i="28" s="1"/>
  <c r="AE22" i="28"/>
  <c r="AG22" i="28" s="1"/>
  <c r="AE21" i="28"/>
  <c r="AG21" i="28" s="1"/>
  <c r="AE26" i="28"/>
  <c r="AG26" i="28" s="1"/>
  <c r="AE28" i="28"/>
  <c r="AE7" i="18"/>
  <c r="AH7" i="18" s="1"/>
  <c r="AE8" i="18"/>
  <c r="AH8" i="18" s="1"/>
  <c r="AD8" i="18"/>
  <c r="AG8" i="18" s="1"/>
  <c r="AD7" i="18"/>
  <c r="AG7" i="18" s="1"/>
  <c r="AQ89" i="23"/>
  <c r="W47" i="23"/>
  <c r="AQ47" i="23"/>
  <c r="AS70" i="23"/>
  <c r="AQ92" i="23"/>
  <c r="AQ116" i="23"/>
  <c r="AS39" i="23"/>
  <c r="AS63" i="23"/>
  <c r="AQ125" i="23"/>
  <c r="AS93" i="23"/>
  <c r="AQ77" i="23"/>
  <c r="AS115" i="23"/>
  <c r="S15" i="23"/>
  <c r="R15" i="23"/>
  <c r="X15" i="23"/>
  <c r="AS99" i="23"/>
  <c r="AQ45" i="23"/>
  <c r="AS119" i="23"/>
  <c r="AQ128" i="23"/>
  <c r="AS51" i="23"/>
  <c r="AS87" i="23"/>
  <c r="AS91" i="23"/>
  <c r="AQ122" i="23"/>
  <c r="AS67" i="23"/>
  <c r="AS88" i="23"/>
  <c r="AQ117" i="23"/>
  <c r="AS76" i="23"/>
  <c r="AQ101" i="23"/>
  <c r="AQ71" i="23"/>
  <c r="AS118" i="23"/>
  <c r="AS69" i="23"/>
  <c r="AQ124" i="23"/>
  <c r="AQ43" i="23"/>
  <c r="AQ39" i="23"/>
  <c r="AQ119" i="23"/>
  <c r="AS60" i="23"/>
  <c r="AQ38" i="23"/>
  <c r="AS112" i="23"/>
  <c r="AQ50" i="23"/>
  <c r="AS98" i="23"/>
  <c r="AS103" i="23"/>
  <c r="AS66" i="23"/>
  <c r="AQ103" i="23"/>
  <c r="AS75" i="23"/>
  <c r="AS71" i="23"/>
  <c r="AS72" i="23"/>
  <c r="AQ54" i="23"/>
  <c r="AQ80" i="23"/>
  <c r="AS54" i="23"/>
  <c r="AQ87" i="23"/>
  <c r="R23" i="23"/>
  <c r="S23" i="23"/>
  <c r="X23" i="23"/>
  <c r="AQ42" i="23"/>
  <c r="AS68" i="23"/>
  <c r="AS34" i="23"/>
  <c r="AS81" i="23"/>
  <c r="AS37" i="23"/>
  <c r="AE22" i="45"/>
  <c r="AH22" i="45" s="1"/>
  <c r="AF22" i="45"/>
  <c r="AI22" i="45" s="1"/>
  <c r="AE23" i="45"/>
  <c r="AH23" i="45" s="1"/>
  <c r="AF23" i="45"/>
  <c r="AI23" i="45" s="1"/>
  <c r="V64" i="23"/>
  <c r="X64" i="23" s="1"/>
  <c r="V70" i="23"/>
  <c r="V63" i="23"/>
  <c r="V75" i="23"/>
  <c r="X75" i="23" s="1"/>
  <c r="V67" i="23"/>
  <c r="X67" i="23" s="1"/>
  <c r="V62" i="23"/>
  <c r="X62" i="23" s="1"/>
  <c r="V73" i="23"/>
  <c r="V76" i="23"/>
  <c r="X76" i="23" s="1"/>
  <c r="V81" i="23"/>
  <c r="X81" i="23" s="1"/>
  <c r="V65" i="23"/>
  <c r="X65" i="23" s="1"/>
  <c r="V68" i="23"/>
  <c r="V79" i="23"/>
  <c r="X79" i="23" s="1"/>
  <c r="V80" i="23"/>
  <c r="X80" i="23" s="1"/>
  <c r="V60" i="23"/>
  <c r="V66" i="23"/>
  <c r="V72" i="23"/>
  <c r="X72" i="23" s="1"/>
  <c r="V69" i="23"/>
  <c r="X69" i="23" s="1"/>
  <c r="V61" i="23"/>
  <c r="V71" i="23"/>
  <c r="X71" i="23" s="1"/>
  <c r="V77" i="23"/>
  <c r="X77" i="23" s="1"/>
  <c r="Y81" i="27"/>
  <c r="AA81" i="27" s="1"/>
  <c r="Y61" i="27"/>
  <c r="AA61" i="27" s="1"/>
  <c r="Y63" i="27"/>
  <c r="Y67" i="27"/>
  <c r="AA67" i="27" s="1"/>
  <c r="Y73" i="27"/>
  <c r="AA73" i="27" s="1"/>
  <c r="Y76" i="27"/>
  <c r="AA76" i="27" s="1"/>
  <c r="Y66" i="27"/>
  <c r="Y71" i="27"/>
  <c r="AA71" i="27" s="1"/>
  <c r="Y77" i="27"/>
  <c r="AA77" i="27" s="1"/>
  <c r="Y62" i="27"/>
  <c r="Y65" i="27"/>
  <c r="Y70" i="27"/>
  <c r="AA70" i="27" s="1"/>
  <c r="Y68" i="27"/>
  <c r="AA68" i="27" s="1"/>
  <c r="Y79" i="27"/>
  <c r="Y60" i="27"/>
  <c r="Y80" i="27"/>
  <c r="AA80" i="27" s="1"/>
  <c r="Y69" i="27"/>
  <c r="AA69" i="27" s="1"/>
  <c r="Y64" i="27"/>
  <c r="AA64" i="27" s="1"/>
  <c r="Y72" i="27"/>
  <c r="Y75" i="27"/>
  <c r="AA75" i="27" s="1"/>
  <c r="Y47" i="28"/>
  <c r="AA47" i="28" s="1"/>
  <c r="Y52" i="28"/>
  <c r="Y54" i="28"/>
  <c r="AA54" i="28" s="1"/>
  <c r="Y46" i="28"/>
  <c r="AA46" i="28" s="1"/>
  <c r="Y53" i="28"/>
  <c r="AA53" i="28" s="1"/>
  <c r="Y48" i="28"/>
  <c r="AA48" i="28" s="1"/>
  <c r="V27" i="18"/>
  <c r="Y27" i="18" s="1"/>
  <c r="W28" i="18"/>
  <c r="Z28" i="18" s="1"/>
  <c r="W27" i="18"/>
  <c r="Z27" i="18" s="1"/>
  <c r="V28" i="18"/>
  <c r="Y28" i="18" s="1"/>
  <c r="X106" i="17"/>
  <c r="Z106" i="17" s="1"/>
  <c r="X91" i="17"/>
  <c r="Z91" i="17" s="1"/>
  <c r="X93" i="17"/>
  <c r="Z93" i="17" s="1"/>
  <c r="X86" i="17"/>
  <c r="Z86" i="17" s="1"/>
  <c r="X103" i="17"/>
  <c r="Z103" i="17" s="1"/>
  <c r="X101" i="17"/>
  <c r="Z101" i="17" s="1"/>
  <c r="X88" i="17"/>
  <c r="Z88" i="17" s="1"/>
  <c r="X90" i="17"/>
  <c r="Z90" i="17" s="1"/>
  <c r="X95" i="17"/>
  <c r="Z95" i="17" s="1"/>
  <c r="X97" i="17"/>
  <c r="Z97" i="17" s="1"/>
  <c r="X107" i="17"/>
  <c r="Z107" i="17" s="1"/>
  <c r="X105" i="17"/>
  <c r="Z105" i="17" s="1"/>
  <c r="X92" i="17"/>
  <c r="Z92" i="17" s="1"/>
  <c r="X94" i="17"/>
  <c r="Z94" i="17" s="1"/>
  <c r="X99" i="17"/>
  <c r="Z99" i="17" s="1"/>
  <c r="X87" i="17"/>
  <c r="Z87" i="17" s="1"/>
  <c r="X96" i="17"/>
  <c r="Z96" i="17" s="1"/>
  <c r="X102" i="17"/>
  <c r="Z102" i="17" s="1"/>
  <c r="X98" i="17"/>
  <c r="Z98" i="17" s="1"/>
  <c r="X89" i="17"/>
  <c r="Z89" i="17" s="1"/>
  <c r="X52" i="10"/>
  <c r="Z52" i="10" s="1"/>
  <c r="Y51" i="10"/>
  <c r="AA51" i="10" s="1"/>
  <c r="Y50" i="10"/>
  <c r="AA50" i="10" s="1"/>
  <c r="X44" i="10"/>
  <c r="Z44" i="10" s="1"/>
  <c r="X46" i="10"/>
  <c r="Z46" i="10" s="1"/>
  <c r="Y44" i="10"/>
  <c r="AA44" i="10" s="1"/>
  <c r="Y52" i="10"/>
  <c r="AA52" i="10" s="1"/>
  <c r="X50" i="10"/>
  <c r="Z50" i="10" s="1"/>
  <c r="Y45" i="10"/>
  <c r="AA45" i="10" s="1"/>
  <c r="X51" i="10"/>
  <c r="Z51" i="10" s="1"/>
  <c r="Y46" i="10"/>
  <c r="AA46" i="10" s="1"/>
  <c r="X45" i="10"/>
  <c r="Z45" i="10" s="1"/>
  <c r="AX55" i="27"/>
  <c r="AV80" i="27"/>
  <c r="AX38" i="27"/>
  <c r="S14" i="27"/>
  <c r="X14" i="27"/>
  <c r="R14" i="27"/>
  <c r="AX116" i="27"/>
  <c r="AV118" i="27"/>
  <c r="AV77" i="27"/>
  <c r="AX112" i="27"/>
  <c r="AX49" i="27"/>
  <c r="AV71" i="27"/>
  <c r="AV98" i="27"/>
  <c r="AX93" i="27"/>
  <c r="AV46" i="27"/>
  <c r="AA46" i="27"/>
  <c r="AV81" i="27"/>
  <c r="AV120" i="27"/>
  <c r="X18" i="27"/>
  <c r="AV76" i="27"/>
  <c r="AV133" i="27"/>
  <c r="AV114" i="27"/>
  <c r="AA65" i="27"/>
  <c r="AV65" i="27"/>
  <c r="AX107" i="27"/>
  <c r="AX76" i="27"/>
  <c r="X26" i="27"/>
  <c r="AV123" i="27"/>
  <c r="AX41" i="27"/>
  <c r="AX133" i="27"/>
  <c r="AV102" i="27"/>
  <c r="AX73" i="27"/>
  <c r="AV53" i="27"/>
  <c r="AX125" i="27"/>
  <c r="AV131" i="27"/>
  <c r="AV113" i="27"/>
  <c r="AX91" i="27"/>
  <c r="AV95" i="27"/>
  <c r="AX45" i="27"/>
  <c r="AX72" i="27"/>
  <c r="AX118" i="27"/>
  <c r="X19" i="27"/>
  <c r="AV61" i="27"/>
  <c r="AX88" i="27"/>
  <c r="AX75" i="27"/>
  <c r="AV60" i="27"/>
  <c r="AA60" i="27"/>
  <c r="AV64" i="27"/>
  <c r="AX36" i="27"/>
  <c r="AV124" i="27"/>
  <c r="X16" i="27"/>
  <c r="R16" i="27"/>
  <c r="AV72" i="27"/>
  <c r="AA72" i="27"/>
  <c r="AE59" i="28"/>
  <c r="AG59" i="28" s="1"/>
  <c r="AE67" i="28"/>
  <c r="AG67" i="28" s="1"/>
  <c r="AE65" i="28"/>
  <c r="AE66" i="28"/>
  <c r="AG66" i="28" s="1"/>
  <c r="AE61" i="28"/>
  <c r="AG61" i="28" s="1"/>
  <c r="AE60" i="28"/>
  <c r="AG60" i="28" s="1"/>
  <c r="AD42" i="18"/>
  <c r="AG42" i="18" s="1"/>
  <c r="AE43" i="18"/>
  <c r="AH43" i="18" s="1"/>
  <c r="AD43" i="18"/>
  <c r="AG43" i="18" s="1"/>
  <c r="AE42" i="18"/>
  <c r="AH42" i="18" s="1"/>
  <c r="AA120" i="23"/>
  <c r="AA117" i="23"/>
  <c r="AC117" i="23" s="1"/>
  <c r="AA127" i="23"/>
  <c r="AC127" i="23" s="1"/>
  <c r="AA128" i="23"/>
  <c r="AA124" i="23"/>
  <c r="AC124" i="23" s="1"/>
  <c r="AA121" i="23"/>
  <c r="AC121" i="23" s="1"/>
  <c r="AA132" i="23"/>
  <c r="AC132" i="23" s="1"/>
  <c r="AA114" i="23"/>
  <c r="AC114" i="23" s="1"/>
  <c r="AA115" i="23"/>
  <c r="AC115" i="23" s="1"/>
  <c r="AA129" i="23"/>
  <c r="AC129" i="23" s="1"/>
  <c r="AA125" i="23"/>
  <c r="AC125" i="23" s="1"/>
  <c r="AA118" i="23"/>
  <c r="AC118" i="23" s="1"/>
  <c r="AA133" i="23"/>
  <c r="AC133" i="23" s="1"/>
  <c r="AA119" i="23"/>
  <c r="AC119" i="23" s="1"/>
  <c r="AA113" i="23"/>
  <c r="AC113" i="23" s="1"/>
  <c r="AA122" i="23"/>
  <c r="AC122" i="23" s="1"/>
  <c r="AA116" i="23"/>
  <c r="AC116" i="23" s="1"/>
  <c r="AA131" i="23"/>
  <c r="AC131" i="23" s="1"/>
  <c r="AA123" i="23"/>
  <c r="AC123" i="23" s="1"/>
  <c r="AA112" i="23"/>
  <c r="AC112" i="23" s="1"/>
  <c r="AN38" i="45"/>
  <c r="AQ38" i="45" s="1"/>
  <c r="AM38" i="45"/>
  <c r="AP38" i="45" s="1"/>
  <c r="AN37" i="45"/>
  <c r="AQ37" i="45" s="1"/>
  <c r="AM37" i="45"/>
  <c r="AP37" i="45" s="1"/>
  <c r="AB114" i="23"/>
  <c r="AD114" i="23" s="1"/>
  <c r="AB132" i="23"/>
  <c r="AD132" i="23" s="1"/>
  <c r="AB113" i="23"/>
  <c r="AD113" i="23" s="1"/>
  <c r="AB131" i="23"/>
  <c r="AD131" i="23" s="1"/>
  <c r="AB120" i="23"/>
  <c r="AD120" i="23" s="1"/>
  <c r="AB123" i="23"/>
  <c r="AD123" i="23" s="1"/>
  <c r="AB127" i="23"/>
  <c r="AD127" i="23" s="1"/>
  <c r="AB125" i="23"/>
  <c r="AD125" i="23" s="1"/>
  <c r="AB116" i="23"/>
  <c r="AD116" i="23" s="1"/>
  <c r="AB119" i="23"/>
  <c r="AD119" i="23" s="1"/>
  <c r="AB122" i="23"/>
  <c r="AD122" i="23" s="1"/>
  <c r="AB121" i="23"/>
  <c r="AD121" i="23" s="1"/>
  <c r="AB112" i="23"/>
  <c r="AD112" i="23" s="1"/>
  <c r="AB129" i="23"/>
  <c r="AD129" i="23" s="1"/>
  <c r="AB115" i="23"/>
  <c r="AD115" i="23" s="1"/>
  <c r="AB133" i="23"/>
  <c r="AD133" i="23" s="1"/>
  <c r="AB124" i="23"/>
  <c r="AD124" i="23" s="1"/>
  <c r="AB117" i="23"/>
  <c r="AD117" i="23" s="1"/>
  <c r="AB128" i="23"/>
  <c r="AD128" i="23" s="1"/>
  <c r="AB118" i="23"/>
  <c r="AD118" i="23" s="1"/>
  <c r="AD61" i="17"/>
  <c r="AF61" i="17" s="1"/>
  <c r="AD65" i="17"/>
  <c r="AF65" i="17" s="1"/>
  <c r="AD69" i="17"/>
  <c r="AF69" i="17" s="1"/>
  <c r="AD73" i="17"/>
  <c r="AF73" i="17" s="1"/>
  <c r="AD79" i="17"/>
  <c r="AF79" i="17" s="1"/>
  <c r="AD60" i="17"/>
  <c r="AF60" i="17" s="1"/>
  <c r="AD64" i="17"/>
  <c r="AF64" i="17" s="1"/>
  <c r="AD68" i="17"/>
  <c r="AF68" i="17" s="1"/>
  <c r="AD72" i="17"/>
  <c r="AF72" i="17" s="1"/>
  <c r="AD77" i="17"/>
  <c r="AF77" i="17" s="1"/>
  <c r="AD63" i="17"/>
  <c r="AF63" i="17" s="1"/>
  <c r="AD81" i="17"/>
  <c r="AF81" i="17" s="1"/>
  <c r="AD75" i="17"/>
  <c r="AF75" i="17" s="1"/>
  <c r="AD76" i="17"/>
  <c r="AF76" i="17" s="1"/>
  <c r="AD70" i="17"/>
  <c r="AF70" i="17" s="1"/>
  <c r="AD71" i="17"/>
  <c r="AF71" i="17" s="1"/>
  <c r="AD66" i="17"/>
  <c r="AF66" i="17" s="1"/>
  <c r="AD80" i="17"/>
  <c r="AF80" i="17" s="1"/>
  <c r="AD62" i="17"/>
  <c r="AF62" i="17" s="1"/>
  <c r="AD67" i="17"/>
  <c r="AF67" i="17" s="1"/>
  <c r="AD18" i="18"/>
  <c r="AG18" i="18" s="1"/>
  <c r="AE17" i="18"/>
  <c r="AH17" i="18" s="1"/>
  <c r="AE18" i="18"/>
  <c r="AH18" i="18" s="1"/>
  <c r="AD17" i="18"/>
  <c r="AG17" i="18" s="1"/>
  <c r="AD23" i="18"/>
  <c r="AG23" i="18" s="1"/>
  <c r="AE22" i="18"/>
  <c r="AH22" i="18" s="1"/>
  <c r="AE23" i="18"/>
  <c r="AH23" i="18" s="1"/>
  <c r="AD22" i="18"/>
  <c r="AG22" i="18" s="1"/>
  <c r="T40" i="24"/>
  <c r="V40" i="24" s="1"/>
  <c r="T39" i="24"/>
  <c r="V39" i="24" s="1"/>
  <c r="T38" i="24"/>
  <c r="V38" i="24" s="1"/>
  <c r="P10" i="28"/>
  <c r="R10" i="28" s="1"/>
  <c r="P11" i="28"/>
  <c r="R11" i="28" s="1"/>
  <c r="Q10" i="28"/>
  <c r="S10" i="28" s="1"/>
  <c r="Q11" i="28"/>
  <c r="S11" i="28" s="1"/>
  <c r="P11" i="17"/>
  <c r="R11" i="17" s="1"/>
  <c r="Q18" i="17"/>
  <c r="S18" i="17" s="1"/>
  <c r="P26" i="17"/>
  <c r="R26" i="17" s="1"/>
  <c r="Q7" i="17"/>
  <c r="Q9" i="17"/>
  <c r="S9" i="17" s="1"/>
  <c r="P22" i="17"/>
  <c r="R22" i="17" s="1"/>
  <c r="P16" i="17"/>
  <c r="R16" i="17" s="1"/>
  <c r="P15" i="17"/>
  <c r="P9" i="17"/>
  <c r="R9" i="17" s="1"/>
  <c r="P24" i="17"/>
  <c r="R24" i="17" s="1"/>
  <c r="Q15" i="17"/>
  <c r="S15" i="17" s="1"/>
  <c r="P14" i="17"/>
  <c r="R14" i="17" s="1"/>
  <c r="X13" i="28"/>
  <c r="X10" i="17"/>
  <c r="S10" i="17"/>
  <c r="R10" i="17"/>
  <c r="V43" i="18"/>
  <c r="Y43" i="18" s="1"/>
  <c r="W42" i="18"/>
  <c r="Z42" i="18" s="1"/>
  <c r="W43" i="18"/>
  <c r="Z43" i="18" s="1"/>
  <c r="V42" i="18"/>
  <c r="Y42" i="18" s="1"/>
  <c r="AM13" i="45"/>
  <c r="AP13" i="45" s="1"/>
  <c r="AN13" i="45"/>
  <c r="AQ13" i="45" s="1"/>
  <c r="AM12" i="45"/>
  <c r="AP12" i="45" s="1"/>
  <c r="AN12" i="45"/>
  <c r="AQ12" i="45" s="1"/>
  <c r="AS107" i="23"/>
  <c r="AS116" i="23"/>
  <c r="AS64" i="23"/>
  <c r="AQ133" i="23"/>
  <c r="AS46" i="23"/>
  <c r="AQ112" i="23"/>
  <c r="AS79" i="23"/>
  <c r="AS77" i="23"/>
  <c r="AS113" i="23"/>
  <c r="AS124" i="23"/>
  <c r="AS45" i="23"/>
  <c r="AQ63" i="23"/>
  <c r="X63" i="23"/>
  <c r="AS117" i="23"/>
  <c r="AQ114" i="23"/>
  <c r="AS38" i="23"/>
  <c r="X10" i="23"/>
  <c r="R10" i="23"/>
  <c r="S10" i="23"/>
  <c r="AQ61" i="23"/>
  <c r="X61" i="23"/>
  <c r="S24" i="23"/>
  <c r="X24" i="23"/>
  <c r="R24" i="23"/>
  <c r="X47" i="28"/>
  <c r="Z47" i="28" s="1"/>
  <c r="X52" i="28"/>
  <c r="Z52" i="28" s="1"/>
  <c r="X54" i="28"/>
  <c r="Z54" i="28" s="1"/>
  <c r="X46" i="28"/>
  <c r="X48" i="28"/>
  <c r="Z48" i="28" s="1"/>
  <c r="X53" i="28"/>
  <c r="Z53" i="28" s="1"/>
  <c r="Y105" i="27"/>
  <c r="AA105" i="27" s="1"/>
  <c r="Y102" i="27"/>
  <c r="AA102" i="27" s="1"/>
  <c r="Y87" i="27"/>
  <c r="AA87" i="27" s="1"/>
  <c r="Y89" i="27"/>
  <c r="AA89" i="27" s="1"/>
  <c r="Y91" i="27"/>
  <c r="AA91" i="27" s="1"/>
  <c r="Y93" i="27"/>
  <c r="AA93" i="27" s="1"/>
  <c r="Y98" i="27"/>
  <c r="AA98" i="27" s="1"/>
  <c r="Y86" i="27"/>
  <c r="AA86" i="27" s="1"/>
  <c r="Y106" i="27"/>
  <c r="AA106" i="27" s="1"/>
  <c r="Y95" i="27"/>
  <c r="AA95" i="27" s="1"/>
  <c r="Y103" i="27"/>
  <c r="AA103" i="27" s="1"/>
  <c r="Y101" i="27"/>
  <c r="AA101" i="27" s="1"/>
  <c r="Y88" i="27"/>
  <c r="AA88" i="27" s="1"/>
  <c r="Y90" i="27"/>
  <c r="AA90" i="27" s="1"/>
  <c r="Y92" i="27"/>
  <c r="AA92" i="27" s="1"/>
  <c r="Y94" i="27"/>
  <c r="Y97" i="27"/>
  <c r="AA97" i="27" s="1"/>
  <c r="Y107" i="27"/>
  <c r="Y99" i="27"/>
  <c r="AA99" i="27" s="1"/>
  <c r="Y96" i="27"/>
  <c r="AA96" i="27" s="1"/>
  <c r="AV44" i="27"/>
  <c r="AX81" i="27"/>
  <c r="AX124" i="27"/>
  <c r="AV68" i="27"/>
  <c r="AV115" i="27"/>
  <c r="X10" i="27"/>
  <c r="R10" i="27"/>
  <c r="S10" i="27"/>
  <c r="AX71" i="27"/>
  <c r="AX115" i="27"/>
  <c r="AX113" i="27"/>
  <c r="AX60" i="27"/>
  <c r="AX50" i="27"/>
  <c r="X9" i="27"/>
  <c r="S9" i="27"/>
  <c r="R9" i="27"/>
  <c r="AX62" i="27"/>
  <c r="AX43" i="27"/>
  <c r="AX39" i="27"/>
  <c r="T62" i="24"/>
  <c r="V62" i="24" s="1"/>
  <c r="T64" i="24"/>
  <c r="V64" i="24" s="1"/>
  <c r="T63" i="24"/>
  <c r="V63" i="24" s="1"/>
  <c r="AN23" i="45"/>
  <c r="AQ23" i="45" s="1"/>
  <c r="AM22" i="45"/>
  <c r="AP22" i="45" s="1"/>
  <c r="AN22" i="45"/>
  <c r="AQ22" i="45" s="1"/>
  <c r="AM23" i="45"/>
  <c r="AP23" i="45" s="1"/>
  <c r="S7" i="25"/>
  <c r="T17" i="25"/>
  <c r="T27" i="25"/>
  <c r="S38" i="25"/>
  <c r="S32" i="25"/>
  <c r="S13" i="25"/>
  <c r="S23" i="25"/>
  <c r="T38" i="25"/>
  <c r="T37" i="25"/>
  <c r="T13" i="25"/>
  <c r="T23" i="25"/>
  <c r="S37" i="25"/>
  <c r="T32" i="25"/>
  <c r="S12" i="25"/>
  <c r="S22" i="25"/>
  <c r="S33" i="25"/>
  <c r="T12" i="25"/>
  <c r="T22" i="25"/>
  <c r="T33" i="25"/>
  <c r="S43" i="25"/>
  <c r="S8" i="25"/>
  <c r="S18" i="25"/>
  <c r="S28" i="25"/>
  <c r="T43" i="25"/>
  <c r="T42" i="25"/>
  <c r="S42" i="25"/>
  <c r="T28" i="25"/>
  <c r="S27" i="25"/>
  <c r="T18" i="25"/>
  <c r="S17" i="25"/>
  <c r="T8" i="25"/>
  <c r="T7" i="25"/>
  <c r="W37" i="45"/>
  <c r="Z37" i="45" s="1"/>
  <c r="W42" i="45"/>
  <c r="Z42" i="45" s="1"/>
  <c r="X7" i="45"/>
  <c r="AA7" i="45" s="1"/>
  <c r="X38" i="45"/>
  <c r="AA38" i="45" s="1"/>
  <c r="X32" i="45"/>
  <c r="AA32" i="45" s="1"/>
  <c r="X27" i="45"/>
  <c r="AA27" i="45" s="1"/>
  <c r="X22" i="45"/>
  <c r="AA22" i="45" s="1"/>
  <c r="X17" i="45"/>
  <c r="AA17" i="45" s="1"/>
  <c r="W12" i="45"/>
  <c r="Z12" i="45" s="1"/>
  <c r="X42" i="45"/>
  <c r="AA42" i="45" s="1"/>
  <c r="W33" i="45"/>
  <c r="Z33" i="45" s="1"/>
  <c r="W28" i="45"/>
  <c r="Z28" i="45" s="1"/>
  <c r="W23" i="45"/>
  <c r="Z23" i="45" s="1"/>
  <c r="W18" i="45"/>
  <c r="Z18" i="45" s="1"/>
  <c r="W13" i="45"/>
  <c r="Z13" i="45" s="1"/>
  <c r="X8" i="45"/>
  <c r="AA8" i="45" s="1"/>
  <c r="X43" i="45"/>
  <c r="AA43" i="45" s="1"/>
  <c r="W7" i="45"/>
  <c r="Z7" i="45" s="1"/>
  <c r="W38" i="45"/>
  <c r="Z38" i="45" s="1"/>
  <c r="W43" i="45"/>
  <c r="Z43" i="45" s="1"/>
  <c r="X33" i="45"/>
  <c r="AA33" i="45" s="1"/>
  <c r="X13" i="45"/>
  <c r="AA13" i="45" s="1"/>
  <c r="X37" i="45"/>
  <c r="AA37" i="45" s="1"/>
  <c r="W17" i="45"/>
  <c r="Z17" i="45" s="1"/>
  <c r="X18" i="45"/>
  <c r="AA18" i="45" s="1"/>
  <c r="W22" i="45"/>
  <c r="Z22" i="45" s="1"/>
  <c r="X23" i="45"/>
  <c r="AA23" i="45" s="1"/>
  <c r="W27" i="45"/>
  <c r="Z27" i="45" s="1"/>
  <c r="X12" i="45"/>
  <c r="AA12" i="45" s="1"/>
  <c r="W32" i="45"/>
  <c r="Z32" i="45" s="1"/>
  <c r="W8" i="45"/>
  <c r="Z8" i="45" s="1"/>
  <c r="X28" i="45"/>
  <c r="AA28" i="45" s="1"/>
  <c r="AX59" i="28"/>
  <c r="AX65" i="28"/>
  <c r="AG65" i="28"/>
  <c r="AX35" i="28"/>
  <c r="AX26" i="28"/>
  <c r="AF26" i="28"/>
  <c r="AX40" i="28"/>
  <c r="AX20" i="28"/>
  <c r="AD86" i="17"/>
  <c r="AF86" i="17" s="1"/>
  <c r="AD90" i="17"/>
  <c r="AF90" i="17" s="1"/>
  <c r="AD94" i="17"/>
  <c r="AF94" i="17" s="1"/>
  <c r="AD98" i="17"/>
  <c r="AF98" i="17" s="1"/>
  <c r="AD103" i="17"/>
  <c r="AF103" i="17" s="1"/>
  <c r="AD88" i="17"/>
  <c r="AF88" i="17" s="1"/>
  <c r="AD92" i="17"/>
  <c r="AF92" i="17" s="1"/>
  <c r="AD96" i="17"/>
  <c r="AF96" i="17" s="1"/>
  <c r="AD101" i="17"/>
  <c r="AF101" i="17" s="1"/>
  <c r="AD106" i="17"/>
  <c r="AF106" i="17" s="1"/>
  <c r="AD99" i="17"/>
  <c r="AF99" i="17" s="1"/>
  <c r="AD97" i="17"/>
  <c r="AF97" i="17" s="1"/>
  <c r="AD95" i="17"/>
  <c r="AF95" i="17" s="1"/>
  <c r="AD93" i="17"/>
  <c r="AF93" i="17" s="1"/>
  <c r="AD91" i="17"/>
  <c r="AF91" i="17" s="1"/>
  <c r="AD89" i="17"/>
  <c r="AF89" i="17" s="1"/>
  <c r="AD107" i="17"/>
  <c r="AF107" i="17" s="1"/>
  <c r="AD87" i="17"/>
  <c r="AF87" i="17" s="1"/>
  <c r="AD105" i="17"/>
  <c r="AF105" i="17" s="1"/>
  <c r="AD102" i="17"/>
  <c r="AF102" i="17" s="1"/>
  <c r="X7" i="17"/>
  <c r="S7" i="17"/>
  <c r="R8" i="17"/>
  <c r="X8" i="17"/>
  <c r="X23" i="17"/>
  <c r="X13" i="17"/>
  <c r="X14" i="17"/>
  <c r="X12" i="17"/>
  <c r="S12" i="17"/>
  <c r="AB38" i="25"/>
  <c r="AA37" i="25"/>
  <c r="AA38" i="25"/>
  <c r="AB37" i="25"/>
  <c r="X63" i="10"/>
  <c r="Z63" i="10" s="1"/>
  <c r="Y62" i="10"/>
  <c r="AA62" i="10" s="1"/>
  <c r="X56" i="10"/>
  <c r="Z56" i="10" s="1"/>
  <c r="Y64" i="10"/>
  <c r="AA64" i="10" s="1"/>
  <c r="X57" i="10"/>
  <c r="Z57" i="10" s="1"/>
  <c r="Y58" i="10"/>
  <c r="AA58" i="10" s="1"/>
  <c r="X62" i="10"/>
  <c r="Z62" i="10" s="1"/>
  <c r="Y57" i="10"/>
  <c r="AA57" i="10" s="1"/>
  <c r="X64" i="10"/>
  <c r="Z64" i="10" s="1"/>
  <c r="Y63" i="10"/>
  <c r="AA63" i="10" s="1"/>
  <c r="X58" i="10"/>
  <c r="Z58" i="10" s="1"/>
  <c r="Y56" i="10"/>
  <c r="AA56" i="10" s="1"/>
  <c r="U26" i="24"/>
  <c r="W26" i="24" s="1"/>
  <c r="U27" i="24"/>
  <c r="W27" i="24" s="1"/>
  <c r="U28" i="24"/>
  <c r="W28" i="24" s="1"/>
  <c r="AA51" i="23"/>
  <c r="AC51" i="23" s="1"/>
  <c r="AA47" i="23"/>
  <c r="AC47" i="23" s="1"/>
  <c r="AA44" i="23"/>
  <c r="AC44" i="23" s="1"/>
  <c r="AA55" i="23"/>
  <c r="AC55" i="23" s="1"/>
  <c r="AA41" i="23"/>
  <c r="AC41" i="23" s="1"/>
  <c r="AA34" i="23"/>
  <c r="AC34" i="23" s="1"/>
  <c r="AA42" i="23"/>
  <c r="AC42" i="23" s="1"/>
  <c r="AA53" i="23"/>
  <c r="AC53" i="23" s="1"/>
  <c r="AA35" i="23"/>
  <c r="AC35" i="23" s="1"/>
  <c r="AA49" i="23"/>
  <c r="AA36" i="23"/>
  <c r="AC36" i="23" s="1"/>
  <c r="AA45" i="23"/>
  <c r="AC45" i="23" s="1"/>
  <c r="AA39" i="23"/>
  <c r="AC39" i="23" s="1"/>
  <c r="AA50" i="23"/>
  <c r="AC50" i="23" s="1"/>
  <c r="AA43" i="23"/>
  <c r="AC43" i="23" s="1"/>
  <c r="AA40" i="23"/>
  <c r="AC40" i="23" s="1"/>
  <c r="AA38" i="23"/>
  <c r="AC38" i="23" s="1"/>
  <c r="AA54" i="23"/>
  <c r="AC54" i="23" s="1"/>
  <c r="AA46" i="23"/>
  <c r="AC46" i="23" s="1"/>
  <c r="AA37" i="23"/>
  <c r="AC37" i="23" s="1"/>
  <c r="AN8" i="45"/>
  <c r="AQ8" i="45" s="1"/>
  <c r="AN7" i="45"/>
  <c r="AQ7" i="45" s="1"/>
  <c r="AM8" i="45"/>
  <c r="AP8" i="45" s="1"/>
  <c r="AM7" i="45"/>
  <c r="AP7" i="45" s="1"/>
  <c r="AQ64" i="23"/>
  <c r="AQ55" i="23"/>
  <c r="AQ34" i="23"/>
  <c r="AQ106" i="23"/>
  <c r="AQ60" i="23"/>
  <c r="X60" i="23"/>
  <c r="AQ62" i="23"/>
  <c r="AS50" i="23"/>
  <c r="AS133" i="23"/>
  <c r="AQ46" i="23"/>
  <c r="AQ44" i="23"/>
  <c r="AS47" i="23"/>
  <c r="S8" i="23"/>
  <c r="X8" i="23"/>
  <c r="R8" i="23"/>
  <c r="AQ51" i="23"/>
  <c r="W99" i="23"/>
  <c r="AQ99" i="23"/>
  <c r="AQ115" i="23"/>
  <c r="AQ86" i="23"/>
  <c r="W86" i="23"/>
  <c r="AQ76" i="23"/>
  <c r="S14" i="23"/>
  <c r="X14" i="23"/>
  <c r="R14" i="23"/>
  <c r="AS120" i="23"/>
  <c r="AC120" i="23"/>
  <c r="AQ123" i="23"/>
  <c r="R19" i="23"/>
  <c r="X19" i="23"/>
  <c r="S19" i="23"/>
  <c r="AQ102" i="23"/>
  <c r="AS101" i="23"/>
  <c r="X73" i="23"/>
  <c r="AQ73" i="23"/>
  <c r="AQ65" i="23"/>
  <c r="AQ81" i="23"/>
  <c r="AS92" i="23"/>
  <c r="R11" i="23"/>
  <c r="S11" i="23"/>
  <c r="X11" i="23"/>
  <c r="AS125" i="23"/>
  <c r="S27" i="23"/>
  <c r="X27" i="23"/>
  <c r="R27" i="23"/>
  <c r="AS96" i="23"/>
  <c r="S16" i="23"/>
  <c r="X16" i="23"/>
  <c r="R16" i="23"/>
  <c r="AQ118" i="23"/>
  <c r="AQ131" i="23"/>
  <c r="Y81" i="17"/>
  <c r="AA81" i="17" s="1"/>
  <c r="Y77" i="17"/>
  <c r="AA77" i="17" s="1"/>
  <c r="Y61" i="17"/>
  <c r="AA61" i="17" s="1"/>
  <c r="Y63" i="17"/>
  <c r="AA63" i="17" s="1"/>
  <c r="Y66" i="17"/>
  <c r="AA66" i="17" s="1"/>
  <c r="Y69" i="17"/>
  <c r="AA69" i="17" s="1"/>
  <c r="Y71" i="17"/>
  <c r="AA71" i="17" s="1"/>
  <c r="Y60" i="17"/>
  <c r="AA60" i="17" s="1"/>
  <c r="Y80" i="17"/>
  <c r="AA80" i="17" s="1"/>
  <c r="Y79" i="17"/>
  <c r="AA79" i="17" s="1"/>
  <c r="Y76" i="17"/>
  <c r="AA76" i="17" s="1"/>
  <c r="Y62" i="17"/>
  <c r="AA62" i="17" s="1"/>
  <c r="Y72" i="17"/>
  <c r="AA72" i="17" s="1"/>
  <c r="Y64" i="17"/>
  <c r="AA64" i="17" s="1"/>
  <c r="Y65" i="17"/>
  <c r="AA65" i="17" s="1"/>
  <c r="Y73" i="17"/>
  <c r="AA73" i="17" s="1"/>
  <c r="Y68" i="17"/>
  <c r="AA68" i="17" s="1"/>
  <c r="Y70" i="17"/>
  <c r="AA70" i="17" s="1"/>
  <c r="Y75" i="17"/>
  <c r="AA75" i="17" s="1"/>
  <c r="Y67" i="17"/>
  <c r="AA67" i="17" s="1"/>
  <c r="Y40" i="28"/>
  <c r="AA40" i="28" s="1"/>
  <c r="Y39" i="28"/>
  <c r="AA39" i="28" s="1"/>
  <c r="Y34" i="28"/>
  <c r="AA34" i="28" s="1"/>
  <c r="Y35" i="28"/>
  <c r="Y41" i="28"/>
  <c r="AA41" i="28" s="1"/>
  <c r="Y33" i="28"/>
  <c r="AA33" i="28" s="1"/>
  <c r="V22" i="18"/>
  <c r="Y22" i="18" s="1"/>
  <c r="W23" i="18"/>
  <c r="Z23" i="18" s="1"/>
  <c r="W22" i="18"/>
  <c r="Z22" i="18" s="1"/>
  <c r="V23" i="18"/>
  <c r="Y23" i="18" s="1"/>
  <c r="Y38" i="10"/>
  <c r="AA38" i="10" s="1"/>
  <c r="Y32" i="10"/>
  <c r="AA32" i="10" s="1"/>
  <c r="X33" i="10"/>
  <c r="Z33" i="10" s="1"/>
  <c r="X39" i="10"/>
  <c r="Z39" i="10" s="1"/>
  <c r="X38" i="10"/>
  <c r="Z38" i="10" s="1"/>
  <c r="X40" i="10"/>
  <c r="Z40" i="10" s="1"/>
  <c r="X34" i="10"/>
  <c r="Z34" i="10" s="1"/>
  <c r="Y33" i="10"/>
  <c r="AA33" i="10" s="1"/>
  <c r="Y39" i="10"/>
  <c r="AA39" i="10" s="1"/>
  <c r="Y40" i="10"/>
  <c r="AA40" i="10" s="1"/>
  <c r="Y34" i="10"/>
  <c r="AA34" i="10" s="1"/>
  <c r="X32" i="10"/>
  <c r="Z32" i="10" s="1"/>
  <c r="AA27" i="25"/>
  <c r="AB28" i="25"/>
  <c r="AB27" i="25"/>
  <c r="AA28" i="25"/>
  <c r="AE27" i="45"/>
  <c r="AH27" i="45" s="1"/>
  <c r="AF27" i="45"/>
  <c r="AI27" i="45" s="1"/>
  <c r="AE28" i="45"/>
  <c r="AH28" i="45" s="1"/>
  <c r="AF28" i="45"/>
  <c r="AI28" i="45" s="1"/>
  <c r="Y103" i="17"/>
  <c r="AA103" i="17" s="1"/>
  <c r="Y101" i="17"/>
  <c r="AA101" i="17" s="1"/>
  <c r="Y88" i="17"/>
  <c r="AA88" i="17" s="1"/>
  <c r="Y90" i="17"/>
  <c r="AA90" i="17" s="1"/>
  <c r="Y95" i="17"/>
  <c r="AA95" i="17" s="1"/>
  <c r="Y97" i="17"/>
  <c r="AA97" i="17" s="1"/>
  <c r="Y107" i="17"/>
  <c r="AA107" i="17" s="1"/>
  <c r="Y105" i="17"/>
  <c r="AA105" i="17" s="1"/>
  <c r="Y92" i="17"/>
  <c r="AA92" i="17" s="1"/>
  <c r="Y94" i="17"/>
  <c r="AA94" i="17" s="1"/>
  <c r="Y99" i="17"/>
  <c r="AA99" i="17" s="1"/>
  <c r="Y102" i="17"/>
  <c r="AA102" i="17" s="1"/>
  <c r="Y87" i="17"/>
  <c r="AA87" i="17" s="1"/>
  <c r="Y89" i="17"/>
  <c r="AA89" i="17" s="1"/>
  <c r="Y96" i="17"/>
  <c r="AA96" i="17" s="1"/>
  <c r="Y98" i="17"/>
  <c r="AA98" i="17" s="1"/>
  <c r="Y93" i="17"/>
  <c r="AA93" i="17" s="1"/>
  <c r="Y106" i="17"/>
  <c r="AA106" i="17" s="1"/>
  <c r="Y91" i="17"/>
  <c r="AA91" i="17" s="1"/>
  <c r="Y86" i="17"/>
  <c r="AA86" i="17" s="1"/>
  <c r="AX47" i="27"/>
  <c r="AX120" i="27"/>
  <c r="AV127" i="27"/>
  <c r="AA94" i="27"/>
  <c r="AV94" i="27"/>
  <c r="AV36" i="27"/>
  <c r="AX94" i="27"/>
  <c r="AX98" i="27"/>
  <c r="AX129" i="27"/>
  <c r="S8" i="27"/>
  <c r="X8" i="27"/>
  <c r="AV49" i="27"/>
  <c r="AA49" i="27"/>
  <c r="AV40" i="27"/>
  <c r="AX63" i="27"/>
  <c r="X24" i="27"/>
  <c r="S24" i="27"/>
  <c r="R24" i="27"/>
  <c r="AX128" i="27"/>
  <c r="AX69" i="27"/>
  <c r="AV67" i="27"/>
  <c r="AV69" i="27"/>
  <c r="AX123" i="27"/>
  <c r="AV93" i="27"/>
  <c r="AX65" i="27"/>
  <c r="AV92" i="27"/>
  <c r="AV107" i="27"/>
  <c r="AA107" i="27"/>
  <c r="AX79" i="27"/>
  <c r="AV119" i="27"/>
  <c r="AX117" i="27"/>
  <c r="AV121" i="27"/>
  <c r="AX99" i="27"/>
  <c r="AV105" i="27"/>
  <c r="AV87" i="27"/>
  <c r="AV37" i="27"/>
  <c r="AX64" i="27"/>
  <c r="AX106" i="27"/>
  <c r="AV122" i="27"/>
  <c r="AA122" i="27"/>
  <c r="AX127" i="27"/>
  <c r="AV45" i="27"/>
  <c r="AA45" i="27"/>
  <c r="AX66" i="27"/>
  <c r="AV54" i="27"/>
  <c r="AX40" i="27"/>
  <c r="AX35" i="27"/>
  <c r="AX51" i="27"/>
  <c r="AE115" i="17"/>
  <c r="AG115" i="17" s="1"/>
  <c r="AE123" i="17"/>
  <c r="AG123" i="17" s="1"/>
  <c r="AE133" i="17"/>
  <c r="AG133" i="17" s="1"/>
  <c r="AE113" i="17"/>
  <c r="AG113" i="17" s="1"/>
  <c r="AE121" i="17"/>
  <c r="AG121" i="17" s="1"/>
  <c r="AE131" i="17"/>
  <c r="AG131" i="17" s="1"/>
  <c r="AE129" i="17"/>
  <c r="AG129" i="17" s="1"/>
  <c r="AE124" i="17"/>
  <c r="AG124" i="17" s="1"/>
  <c r="AE120" i="17"/>
  <c r="AG120" i="17" s="1"/>
  <c r="AE116" i="17"/>
  <c r="AG116" i="17" s="1"/>
  <c r="AE119" i="17"/>
  <c r="AG119" i="17" s="1"/>
  <c r="AE128" i="17"/>
  <c r="AG128" i="17" s="1"/>
  <c r="AE112" i="17"/>
  <c r="AG112" i="17" s="1"/>
  <c r="AE117" i="17"/>
  <c r="AG117" i="17" s="1"/>
  <c r="AE125" i="17"/>
  <c r="AG125" i="17" s="1"/>
  <c r="AE132" i="17"/>
  <c r="AG132" i="17" s="1"/>
  <c r="AE127" i="17"/>
  <c r="AG127" i="17" s="1"/>
  <c r="AE122" i="17"/>
  <c r="AG122" i="17" s="1"/>
  <c r="AE118" i="17"/>
  <c r="AG118" i="17" s="1"/>
  <c r="AE114" i="17"/>
  <c r="AG114" i="17" s="1"/>
  <c r="AD127" i="27"/>
  <c r="AF127" i="27" s="1"/>
  <c r="AD114" i="27"/>
  <c r="AD117" i="27"/>
  <c r="AF117" i="27" s="1"/>
  <c r="AD119" i="27"/>
  <c r="AF119" i="27" s="1"/>
  <c r="AD124" i="27"/>
  <c r="AF124" i="27" s="1"/>
  <c r="AD133" i="27"/>
  <c r="AF133" i="27" s="1"/>
  <c r="AD132" i="27"/>
  <c r="AF132" i="27" s="1"/>
  <c r="AD128" i="27"/>
  <c r="AF128" i="27" s="1"/>
  <c r="AD120" i="27"/>
  <c r="AF120" i="27" s="1"/>
  <c r="AD129" i="27"/>
  <c r="AF129" i="27" s="1"/>
  <c r="AD113" i="27"/>
  <c r="AF113" i="27" s="1"/>
  <c r="AD116" i="27"/>
  <c r="AF116" i="27" s="1"/>
  <c r="AD123" i="27"/>
  <c r="AF123" i="27" s="1"/>
  <c r="AD112" i="27"/>
  <c r="AF112" i="27" s="1"/>
  <c r="AD131" i="27"/>
  <c r="AF131" i="27" s="1"/>
  <c r="AD122" i="27"/>
  <c r="AF122" i="27" s="1"/>
  <c r="AD121" i="27"/>
  <c r="AF121" i="27" s="1"/>
  <c r="AD118" i="27"/>
  <c r="AF118" i="27" s="1"/>
  <c r="AD115" i="27"/>
  <c r="AF115" i="27" s="1"/>
  <c r="AD125" i="27"/>
  <c r="AF125" i="27" s="1"/>
  <c r="U63" i="24"/>
  <c r="W63" i="24" s="1"/>
  <c r="U64" i="24"/>
  <c r="W64" i="24" s="1"/>
  <c r="U62" i="24"/>
  <c r="W62" i="24" s="1"/>
  <c r="AE33" i="28"/>
  <c r="AG33" i="28" s="1"/>
  <c r="AE39" i="28"/>
  <c r="AE40" i="28"/>
  <c r="AG40" i="28" s="1"/>
  <c r="AE41" i="28"/>
  <c r="AG41" i="28" s="1"/>
  <c r="AE34" i="28"/>
  <c r="AG34" i="28" s="1"/>
  <c r="AE35" i="28"/>
  <c r="AG35" i="28" s="1"/>
  <c r="AD60" i="27"/>
  <c r="AF60" i="27" s="1"/>
  <c r="AD80" i="27"/>
  <c r="AF80" i="27" s="1"/>
  <c r="AD77" i="27"/>
  <c r="AF77" i="27" s="1"/>
  <c r="AD75" i="27"/>
  <c r="AF75" i="27" s="1"/>
  <c r="AD62" i="27"/>
  <c r="AF62" i="27" s="1"/>
  <c r="AD64" i="27"/>
  <c r="AF64" i="27" s="1"/>
  <c r="AD66" i="27"/>
  <c r="AF66" i="27" s="1"/>
  <c r="AD68" i="27"/>
  <c r="AF68" i="27" s="1"/>
  <c r="AD70" i="27"/>
  <c r="AF70" i="27" s="1"/>
  <c r="AD72" i="27"/>
  <c r="AF72" i="27" s="1"/>
  <c r="AD81" i="27"/>
  <c r="AF81" i="27" s="1"/>
  <c r="AD63" i="27"/>
  <c r="AF63" i="27" s="1"/>
  <c r="AD71" i="27"/>
  <c r="AF71" i="27" s="1"/>
  <c r="AD61" i="27"/>
  <c r="AF61" i="27" s="1"/>
  <c r="AD69" i="27"/>
  <c r="AF69" i="27" s="1"/>
  <c r="AD76" i="27"/>
  <c r="AF76" i="27" s="1"/>
  <c r="AD67" i="27"/>
  <c r="AF67" i="27" s="1"/>
  <c r="AD73" i="27"/>
  <c r="AF73" i="27" s="1"/>
  <c r="AD65" i="27"/>
  <c r="AF65" i="27" s="1"/>
  <c r="AD79" i="27"/>
  <c r="AF79" i="27" s="1"/>
  <c r="U39" i="24"/>
  <c r="W39" i="24" s="1"/>
  <c r="U40" i="24"/>
  <c r="W40" i="24" s="1"/>
  <c r="U38" i="24"/>
  <c r="W38" i="24" s="1"/>
  <c r="AA76" i="23"/>
  <c r="AC76" i="23" s="1"/>
  <c r="AA77" i="23"/>
  <c r="AC77" i="23" s="1"/>
  <c r="AA73" i="23"/>
  <c r="AC73" i="23" s="1"/>
  <c r="AA80" i="23"/>
  <c r="AC80" i="23" s="1"/>
  <c r="AA62" i="23"/>
  <c r="AC62" i="23" s="1"/>
  <c r="AA71" i="23"/>
  <c r="AC71" i="23" s="1"/>
  <c r="AA60" i="23"/>
  <c r="AC60" i="23" s="1"/>
  <c r="AA64" i="23"/>
  <c r="AC64" i="23" s="1"/>
  <c r="AA69" i="23"/>
  <c r="AC69" i="23" s="1"/>
  <c r="AA75" i="23"/>
  <c r="AC75" i="23" s="1"/>
  <c r="AA65" i="23"/>
  <c r="AC65" i="23" s="1"/>
  <c r="AA72" i="23"/>
  <c r="AC72" i="23" s="1"/>
  <c r="AA68" i="23"/>
  <c r="AC68" i="23" s="1"/>
  <c r="AA63" i="23"/>
  <c r="AC63" i="23" s="1"/>
  <c r="AA66" i="23"/>
  <c r="AC66" i="23" s="1"/>
  <c r="AA67" i="23"/>
  <c r="AC67" i="23" s="1"/>
  <c r="AA81" i="23"/>
  <c r="AC81" i="23" s="1"/>
  <c r="AA61" i="23"/>
  <c r="AC61" i="23" s="1"/>
  <c r="AA70" i="23"/>
  <c r="AC70" i="23" s="1"/>
  <c r="AA79" i="23"/>
  <c r="AC79" i="23" s="1"/>
  <c r="AE81" i="27"/>
  <c r="AG81" i="27" s="1"/>
  <c r="AE79" i="27"/>
  <c r="AG79" i="27" s="1"/>
  <c r="AE76" i="27"/>
  <c r="AG76" i="27" s="1"/>
  <c r="AE61" i="27"/>
  <c r="AG61" i="27" s="1"/>
  <c r="AE63" i="27"/>
  <c r="AG63" i="27" s="1"/>
  <c r="AE65" i="27"/>
  <c r="AG65" i="27" s="1"/>
  <c r="AE67" i="27"/>
  <c r="AG67" i="27" s="1"/>
  <c r="AE69" i="27"/>
  <c r="AG69" i="27" s="1"/>
  <c r="AE71" i="27"/>
  <c r="AG71" i="27" s="1"/>
  <c r="AE73" i="27"/>
  <c r="AG73" i="27" s="1"/>
  <c r="AE75" i="27"/>
  <c r="AG75" i="27" s="1"/>
  <c r="AE68" i="27"/>
  <c r="AG68" i="27" s="1"/>
  <c r="AE77" i="27"/>
  <c r="AG77" i="27" s="1"/>
  <c r="AE66" i="27"/>
  <c r="AG66" i="27" s="1"/>
  <c r="AE60" i="27"/>
  <c r="AG60" i="27" s="1"/>
  <c r="AE80" i="27"/>
  <c r="AG80" i="27" s="1"/>
  <c r="AE64" i="27"/>
  <c r="AG64" i="27" s="1"/>
  <c r="AE72" i="27"/>
  <c r="AG72" i="27" s="1"/>
  <c r="AE62" i="27"/>
  <c r="AG62" i="27" s="1"/>
  <c r="AE70" i="27"/>
  <c r="AG70" i="27" s="1"/>
  <c r="AC26" i="46"/>
  <c r="AF26" i="46" s="1"/>
  <c r="AD23" i="46"/>
  <c r="AG23" i="46" s="1"/>
  <c r="AD25" i="46"/>
  <c r="AG25" i="46" s="1"/>
  <c r="AD19" i="46"/>
  <c r="AG19" i="46" s="1"/>
  <c r="AC21" i="46"/>
  <c r="AF21" i="46" s="1"/>
  <c r="AC20" i="46"/>
  <c r="AF20" i="46" s="1"/>
  <c r="AD22" i="46"/>
  <c r="AG22" i="46" s="1"/>
  <c r="AD20" i="46"/>
  <c r="AG20" i="46" s="1"/>
  <c r="AC22" i="46"/>
  <c r="AF22" i="46" s="1"/>
  <c r="AC25" i="46"/>
  <c r="AF25" i="46" s="1"/>
  <c r="AC27" i="46"/>
  <c r="AF27" i="46" s="1"/>
  <c r="AD27" i="46"/>
  <c r="AG27" i="46" s="1"/>
  <c r="AC19" i="46"/>
  <c r="AF19" i="46" s="1"/>
  <c r="AD26" i="46"/>
  <c r="AG26" i="46" s="1"/>
  <c r="AC23" i="46"/>
  <c r="AF23" i="46" s="1"/>
  <c r="AD24" i="46"/>
  <c r="AG24" i="46" s="1"/>
  <c r="AD21" i="46"/>
  <c r="AG21" i="46" s="1"/>
  <c r="AC24" i="46"/>
  <c r="AF24" i="46" s="1"/>
  <c r="AC7" i="13"/>
  <c r="AF7" i="13" s="1"/>
  <c r="AB12" i="13"/>
  <c r="AE12" i="13" s="1"/>
  <c r="AB8" i="13"/>
  <c r="AE8" i="13" s="1"/>
  <c r="AB9" i="13"/>
  <c r="AE9" i="13" s="1"/>
  <c r="AB11" i="13"/>
  <c r="AE11" i="13" s="1"/>
  <c r="AC13" i="13"/>
  <c r="AF13" i="13" s="1"/>
  <c r="AC11" i="13"/>
  <c r="AF11" i="13" s="1"/>
  <c r="AC14" i="13"/>
  <c r="AF14" i="13" s="1"/>
  <c r="AC15" i="13"/>
  <c r="AF15" i="13" s="1"/>
  <c r="AB10" i="13"/>
  <c r="AE10" i="13" s="1"/>
  <c r="AC9" i="13"/>
  <c r="AF9" i="13" s="1"/>
  <c r="AC8" i="13"/>
  <c r="AF8" i="13" s="1"/>
  <c r="AB15" i="13"/>
  <c r="AE15" i="13" s="1"/>
  <c r="AC12" i="13"/>
  <c r="AF12" i="13" s="1"/>
  <c r="AB13" i="13"/>
  <c r="AE13" i="13" s="1"/>
  <c r="AC10" i="13"/>
  <c r="AF10" i="13" s="1"/>
  <c r="AB7" i="13"/>
  <c r="AE7" i="13" s="1"/>
  <c r="AB14" i="13"/>
  <c r="AE14" i="13" s="1"/>
  <c r="P13" i="28"/>
  <c r="R13" i="28" s="1"/>
  <c r="Q13" i="28"/>
  <c r="S13" i="28" s="1"/>
  <c r="AI24" i="16"/>
  <c r="Q24" i="17"/>
  <c r="S24" i="17" s="1"/>
  <c r="P27" i="17"/>
  <c r="R27" i="17" s="1"/>
  <c r="Q8" i="17"/>
  <c r="S8" i="17" s="1"/>
  <c r="P7" i="17"/>
  <c r="R7" i="17" s="1"/>
  <c r="Q19" i="17"/>
  <c r="S19" i="17" s="1"/>
  <c r="Q11" i="17"/>
  <c r="S11" i="17" s="1"/>
  <c r="P23" i="17"/>
  <c r="R23" i="17" s="1"/>
  <c r="Q20" i="17"/>
  <c r="S20" i="17" s="1"/>
  <c r="Q28" i="17"/>
  <c r="S28" i="17" s="1"/>
  <c r="AI22" i="16"/>
  <c r="AV27" i="28"/>
  <c r="AV59" i="28"/>
  <c r="AV34" i="28"/>
  <c r="AV22" i="28"/>
  <c r="X8" i="28"/>
  <c r="S8" i="28"/>
  <c r="AV26" i="28"/>
  <c r="AX21" i="28"/>
  <c r="X11" i="28"/>
  <c r="AV35" i="28"/>
  <c r="AA35" i="28"/>
  <c r="AD32" i="18"/>
  <c r="AG32" i="18" s="1"/>
  <c r="AE33" i="18"/>
  <c r="AH33" i="18" s="1"/>
  <c r="AD33" i="18"/>
  <c r="AG33" i="18" s="1"/>
  <c r="AE32" i="18"/>
  <c r="AH32" i="18" s="1"/>
  <c r="AE52" i="28"/>
  <c r="AG52" i="28" s="1"/>
  <c r="AE54" i="28"/>
  <c r="AG54" i="28" s="1"/>
  <c r="AE47" i="28"/>
  <c r="AG47" i="28" s="1"/>
  <c r="AE48" i="28"/>
  <c r="AG48" i="28" s="1"/>
  <c r="AE46" i="28"/>
  <c r="AG46" i="28" s="1"/>
  <c r="AE53" i="28"/>
  <c r="AB87" i="23"/>
  <c r="AD87" i="23" s="1"/>
  <c r="AB105" i="23"/>
  <c r="AD105" i="23" s="1"/>
  <c r="AB94" i="23"/>
  <c r="AD94" i="23" s="1"/>
  <c r="AB89" i="23"/>
  <c r="AD89" i="23" s="1"/>
  <c r="AB107" i="23"/>
  <c r="AD107" i="23" s="1"/>
  <c r="AB96" i="23"/>
  <c r="AD96" i="23" s="1"/>
  <c r="AB91" i="23"/>
  <c r="AD91" i="23" s="1"/>
  <c r="AB90" i="23"/>
  <c r="AB93" i="23"/>
  <c r="AD93" i="23" s="1"/>
  <c r="AB92" i="23"/>
  <c r="AD92" i="23" s="1"/>
  <c r="AB97" i="23"/>
  <c r="AD97" i="23" s="1"/>
  <c r="AB98" i="23"/>
  <c r="AD98" i="23" s="1"/>
  <c r="AB103" i="23"/>
  <c r="AD103" i="23" s="1"/>
  <c r="AB99" i="23"/>
  <c r="AD99" i="23" s="1"/>
  <c r="AB86" i="23"/>
  <c r="AD86" i="23" s="1"/>
  <c r="AB106" i="23"/>
  <c r="AB101" i="23"/>
  <c r="AD101" i="23" s="1"/>
  <c r="AB95" i="23"/>
  <c r="AD95" i="23" s="1"/>
  <c r="AB102" i="23"/>
  <c r="AB88" i="23"/>
  <c r="AD88" i="23" s="1"/>
  <c r="AN33" i="45"/>
  <c r="AQ33" i="45" s="1"/>
  <c r="AM32" i="45"/>
  <c r="AP32" i="45" s="1"/>
  <c r="AM33" i="45"/>
  <c r="AP33" i="45" s="1"/>
  <c r="AN32" i="45"/>
  <c r="AQ32" i="45" s="1"/>
  <c r="V46" i="23"/>
  <c r="X46" i="23" s="1"/>
  <c r="V45" i="23"/>
  <c r="X45" i="23" s="1"/>
  <c r="V42" i="23"/>
  <c r="X42" i="23" s="1"/>
  <c r="V40" i="23"/>
  <c r="X40" i="23" s="1"/>
  <c r="V38" i="23"/>
  <c r="X38" i="23" s="1"/>
  <c r="V37" i="23"/>
  <c r="X37" i="23" s="1"/>
  <c r="V53" i="23"/>
  <c r="V54" i="23"/>
  <c r="X54" i="23" s="1"/>
  <c r="V51" i="23"/>
  <c r="X51" i="23" s="1"/>
  <c r="V49" i="23"/>
  <c r="X49" i="23" s="1"/>
  <c r="V44" i="23"/>
  <c r="X44" i="23" s="1"/>
  <c r="V43" i="23"/>
  <c r="X43" i="23" s="1"/>
  <c r="V41" i="23"/>
  <c r="X41" i="23" s="1"/>
  <c r="V34" i="23"/>
  <c r="X34" i="23" s="1"/>
  <c r="V39" i="23"/>
  <c r="X39" i="23" s="1"/>
  <c r="V47" i="23"/>
  <c r="X47" i="23" s="1"/>
  <c r="V36" i="23"/>
  <c r="X36" i="23" s="1"/>
  <c r="V50" i="23"/>
  <c r="X50" i="23" s="1"/>
  <c r="V35" i="23"/>
  <c r="X35" i="23" s="1"/>
  <c r="V55" i="23"/>
  <c r="X55" i="23" s="1"/>
  <c r="Y47" i="17"/>
  <c r="AA47" i="17" s="1"/>
  <c r="Y55" i="17"/>
  <c r="AA55" i="17" s="1"/>
  <c r="Y40" i="17"/>
  <c r="AA40" i="17" s="1"/>
  <c r="Y35" i="17"/>
  <c r="AA35" i="17" s="1"/>
  <c r="Y45" i="17"/>
  <c r="AA45" i="17" s="1"/>
  <c r="Y53" i="17"/>
  <c r="AA53" i="17" s="1"/>
  <c r="Y38" i="17"/>
  <c r="AA38" i="17" s="1"/>
  <c r="Y44" i="17"/>
  <c r="AA44" i="17" s="1"/>
  <c r="Y49" i="17"/>
  <c r="AA49" i="17" s="1"/>
  <c r="Y39" i="17"/>
  <c r="AA39" i="17" s="1"/>
  <c r="Y43" i="17"/>
  <c r="AA43" i="17" s="1"/>
  <c r="Y34" i="17"/>
  <c r="AA34" i="17" s="1"/>
  <c r="Y42" i="17"/>
  <c r="AA42" i="17" s="1"/>
  <c r="Y54" i="17"/>
  <c r="AA54" i="17" s="1"/>
  <c r="Y37" i="17"/>
  <c r="AA37" i="17" s="1"/>
  <c r="Y50" i="17"/>
  <c r="AA50" i="17" s="1"/>
  <c r="Y51" i="17"/>
  <c r="AA51" i="17" s="1"/>
  <c r="Y46" i="17"/>
  <c r="AA46" i="17" s="1"/>
  <c r="Y41" i="17"/>
  <c r="AA41" i="17" s="1"/>
  <c r="Y36" i="17"/>
  <c r="AA36" i="17" s="1"/>
  <c r="Y22" i="28"/>
  <c r="AA22" i="28" s="1"/>
  <c r="Y26" i="28"/>
  <c r="AA26" i="28" s="1"/>
  <c r="Y20" i="28"/>
  <c r="AA20" i="28" s="1"/>
  <c r="Y21" i="28"/>
  <c r="AA21" i="28" s="1"/>
  <c r="Y27" i="28"/>
  <c r="AA27" i="28" s="1"/>
  <c r="Y28" i="28"/>
  <c r="AA28" i="28" s="1"/>
  <c r="AE43" i="45"/>
  <c r="AH43" i="45" s="1"/>
  <c r="AE42" i="45"/>
  <c r="AH42" i="45" s="1"/>
  <c r="AF43" i="45"/>
  <c r="AI43" i="45" s="1"/>
  <c r="AF42" i="45"/>
  <c r="AI42" i="45" s="1"/>
  <c r="AE38" i="45"/>
  <c r="AH38" i="45" s="1"/>
  <c r="AE37" i="45"/>
  <c r="AH37" i="45" s="1"/>
  <c r="AF37" i="45"/>
  <c r="AI37" i="45" s="1"/>
  <c r="AF38" i="45"/>
  <c r="AI38" i="45" s="1"/>
  <c r="U113" i="23"/>
  <c r="U131" i="23"/>
  <c r="W131" i="23" s="1"/>
  <c r="U116" i="23"/>
  <c r="W116" i="23" s="1"/>
  <c r="U112" i="23"/>
  <c r="W112" i="23" s="1"/>
  <c r="U123" i="23"/>
  <c r="W123" i="23" s="1"/>
  <c r="U127" i="23"/>
  <c r="W127" i="23" s="1"/>
  <c r="U125" i="23"/>
  <c r="W125" i="23" s="1"/>
  <c r="U129" i="23"/>
  <c r="W129" i="23" s="1"/>
  <c r="U119" i="23"/>
  <c r="W119" i="23" s="1"/>
  <c r="U122" i="23"/>
  <c r="W122" i="23" s="1"/>
  <c r="U121" i="23"/>
  <c r="W121" i="23" s="1"/>
  <c r="U124" i="23"/>
  <c r="W124" i="23" s="1"/>
  <c r="U115" i="23"/>
  <c r="W115" i="23" s="1"/>
  <c r="U133" i="23"/>
  <c r="W133" i="23" s="1"/>
  <c r="U118" i="23"/>
  <c r="W118" i="23" s="1"/>
  <c r="U117" i="23"/>
  <c r="W117" i="23" s="1"/>
  <c r="U114" i="23"/>
  <c r="W114" i="23" s="1"/>
  <c r="U128" i="23"/>
  <c r="W128" i="23" s="1"/>
  <c r="U120" i="23"/>
  <c r="W120" i="23" s="1"/>
  <c r="U132" i="23"/>
  <c r="W132" i="23" s="1"/>
  <c r="AD38" i="27"/>
  <c r="AF38" i="27" s="1"/>
  <c r="AD45" i="27"/>
  <c r="AF45" i="27" s="1"/>
  <c r="AD55" i="27"/>
  <c r="AF55" i="27" s="1"/>
  <c r="AD41" i="27"/>
  <c r="AF41" i="27" s="1"/>
  <c r="AD49" i="27"/>
  <c r="AF49" i="27" s="1"/>
  <c r="AD39" i="27"/>
  <c r="AF39" i="27" s="1"/>
  <c r="AD46" i="27"/>
  <c r="AF46" i="27" s="1"/>
  <c r="AD34" i="27"/>
  <c r="AF34" i="27" s="1"/>
  <c r="AD36" i="27"/>
  <c r="AF36" i="27" s="1"/>
  <c r="AD44" i="27"/>
  <c r="AF44" i="27" s="1"/>
  <c r="AD42" i="27"/>
  <c r="AF42" i="27" s="1"/>
  <c r="AD50" i="27"/>
  <c r="AF50" i="27" s="1"/>
  <c r="AD37" i="27"/>
  <c r="AF37" i="27" s="1"/>
  <c r="AD35" i="27"/>
  <c r="AF35" i="27" s="1"/>
  <c r="AD54" i="27"/>
  <c r="AF54" i="27" s="1"/>
  <c r="AD53" i="27"/>
  <c r="AF53" i="27" s="1"/>
  <c r="AD43" i="27"/>
  <c r="AF43" i="27" s="1"/>
  <c r="AD51" i="27"/>
  <c r="AF51" i="27" s="1"/>
  <c r="AD47" i="27"/>
  <c r="AF47" i="27" s="1"/>
  <c r="AD40" i="27"/>
  <c r="AF40" i="27" s="1"/>
  <c r="AQ35" i="23"/>
  <c r="AQ68" i="23"/>
  <c r="X68" i="23"/>
  <c r="AS123" i="23"/>
  <c r="AQ40" i="23"/>
  <c r="S26" i="23"/>
  <c r="X26" i="23"/>
  <c r="R26" i="23"/>
  <c r="AC49" i="23"/>
  <c r="AS49" i="23"/>
  <c r="AS86" i="23"/>
  <c r="AQ88" i="23"/>
  <c r="AS35" i="23"/>
  <c r="X7" i="23"/>
  <c r="R7" i="23"/>
  <c r="S7" i="23"/>
  <c r="X22" i="23"/>
  <c r="R22" i="23"/>
  <c r="S22" i="23"/>
  <c r="AS80" i="23"/>
  <c r="X13" i="23"/>
  <c r="R13" i="23"/>
  <c r="S13" i="23"/>
  <c r="X70" i="23"/>
  <c r="AQ70" i="23"/>
  <c r="AQ105" i="23"/>
  <c r="R9" i="23"/>
  <c r="X9" i="23"/>
  <c r="S9" i="23"/>
  <c r="AQ75" i="23"/>
  <c r="AQ98" i="23"/>
  <c r="U63" i="23"/>
  <c r="W63" i="23" s="1"/>
  <c r="U66" i="23"/>
  <c r="W66" i="23" s="1"/>
  <c r="U77" i="23"/>
  <c r="W77" i="23" s="1"/>
  <c r="U73" i="23"/>
  <c r="W73" i="23" s="1"/>
  <c r="U76" i="23"/>
  <c r="W76" i="23" s="1"/>
  <c r="U72" i="23"/>
  <c r="W72" i="23" s="1"/>
  <c r="U80" i="23"/>
  <c r="W80" i="23" s="1"/>
  <c r="U62" i="23"/>
  <c r="W62" i="23" s="1"/>
  <c r="U69" i="23"/>
  <c r="W69" i="23" s="1"/>
  <c r="U68" i="23"/>
  <c r="W68" i="23" s="1"/>
  <c r="U75" i="23"/>
  <c r="W75" i="23" s="1"/>
  <c r="U71" i="23"/>
  <c r="W71" i="23" s="1"/>
  <c r="U79" i="23"/>
  <c r="W79" i="23" s="1"/>
  <c r="U60" i="23"/>
  <c r="W60" i="23" s="1"/>
  <c r="U65" i="23"/>
  <c r="W65" i="23" s="1"/>
  <c r="U64" i="23"/>
  <c r="W64" i="23" s="1"/>
  <c r="U70" i="23"/>
  <c r="W70" i="23" s="1"/>
  <c r="U61" i="23"/>
  <c r="W61" i="23" s="1"/>
  <c r="U67" i="23"/>
  <c r="W67" i="23" s="1"/>
  <c r="U81" i="23"/>
  <c r="W81" i="23" s="1"/>
  <c r="AA18" i="25"/>
  <c r="AA17" i="25"/>
  <c r="AB18" i="25"/>
  <c r="AB17" i="25"/>
  <c r="X81" i="17"/>
  <c r="Z81" i="17" s="1"/>
  <c r="X79" i="17"/>
  <c r="Z79" i="17" s="1"/>
  <c r="X76" i="17"/>
  <c r="Z76" i="17" s="1"/>
  <c r="X61" i="17"/>
  <c r="Z61" i="17" s="1"/>
  <c r="X63" i="17"/>
  <c r="Z63" i="17" s="1"/>
  <c r="X65" i="17"/>
  <c r="Z65" i="17" s="1"/>
  <c r="X67" i="17"/>
  <c r="Z67" i="17" s="1"/>
  <c r="X69" i="17"/>
  <c r="Z69" i="17" s="1"/>
  <c r="X71" i="17"/>
  <c r="Z71" i="17" s="1"/>
  <c r="X73" i="17"/>
  <c r="Z73" i="17" s="1"/>
  <c r="X80" i="17"/>
  <c r="Z80" i="17" s="1"/>
  <c r="X77" i="17"/>
  <c r="Z77" i="17" s="1"/>
  <c r="X75" i="17"/>
  <c r="Z75" i="17" s="1"/>
  <c r="X62" i="17"/>
  <c r="Z62" i="17" s="1"/>
  <c r="X70" i="17"/>
  <c r="Z70" i="17" s="1"/>
  <c r="X68" i="17"/>
  <c r="Z68" i="17" s="1"/>
  <c r="X66" i="17"/>
  <c r="Z66" i="17" s="1"/>
  <c r="X60" i="17"/>
  <c r="Z60" i="17" s="1"/>
  <c r="X72" i="17"/>
  <c r="Z72" i="17" s="1"/>
  <c r="X64" i="17"/>
  <c r="Z64" i="17" s="1"/>
  <c r="V89" i="23"/>
  <c r="X89" i="23" s="1"/>
  <c r="V92" i="23"/>
  <c r="X92" i="23" s="1"/>
  <c r="V93" i="23"/>
  <c r="X93" i="23" s="1"/>
  <c r="V106" i="23"/>
  <c r="X106" i="23" s="1"/>
  <c r="V86" i="23"/>
  <c r="X86" i="23" s="1"/>
  <c r="V95" i="23"/>
  <c r="X95" i="23" s="1"/>
  <c r="V88" i="23"/>
  <c r="X88" i="23" s="1"/>
  <c r="V96" i="23"/>
  <c r="X96" i="23" s="1"/>
  <c r="V90" i="23"/>
  <c r="X90" i="23" s="1"/>
  <c r="V87" i="23"/>
  <c r="X87" i="23" s="1"/>
  <c r="V103" i="23"/>
  <c r="X103" i="23" s="1"/>
  <c r="V105" i="23"/>
  <c r="X105" i="23" s="1"/>
  <c r="V94" i="23"/>
  <c r="X94" i="23" s="1"/>
  <c r="V99" i="23"/>
  <c r="X99" i="23" s="1"/>
  <c r="V98" i="23"/>
  <c r="X98" i="23" s="1"/>
  <c r="V102" i="23"/>
  <c r="X102" i="23" s="1"/>
  <c r="V91" i="23"/>
  <c r="X91" i="23" s="1"/>
  <c r="V97" i="23"/>
  <c r="X97" i="23" s="1"/>
  <c r="V101" i="23"/>
  <c r="X101" i="23" s="1"/>
  <c r="V107" i="23"/>
  <c r="X107" i="23" s="1"/>
  <c r="AF114" i="27"/>
  <c r="AX114" i="27"/>
  <c r="X27" i="27"/>
  <c r="X20" i="27"/>
  <c r="R20" i="27"/>
  <c r="AX90" i="27"/>
  <c r="AV75" i="27"/>
  <c r="S13" i="27"/>
  <c r="R13" i="27"/>
  <c r="X13" i="27"/>
  <c r="X7" i="27"/>
  <c r="AX89" i="27"/>
  <c r="AX102" i="27"/>
  <c r="AX131" i="27"/>
  <c r="AV117" i="27"/>
  <c r="AX95" i="27"/>
  <c r="AV99" i="27"/>
  <c r="AX77" i="27"/>
  <c r="AV38" i="27"/>
  <c r="AA38" i="27"/>
  <c r="AV101" i="27"/>
  <c r="AX80" i="27"/>
  <c r="AX96" i="27"/>
  <c r="AV51" i="27"/>
  <c r="AX53" i="27"/>
  <c r="AV103" i="27"/>
  <c r="AD60" i="28"/>
  <c r="AF60" i="28" s="1"/>
  <c r="AD66" i="28"/>
  <c r="AF66" i="28" s="1"/>
  <c r="AD59" i="28"/>
  <c r="AF59" i="28" s="1"/>
  <c r="AD61" i="28"/>
  <c r="AF61" i="28" s="1"/>
  <c r="AD67" i="28"/>
  <c r="AF67" i="28" s="1"/>
  <c r="AD65" i="28"/>
  <c r="AF65" i="28" s="1"/>
  <c r="AE60" i="17"/>
  <c r="AG60" i="17" s="1"/>
  <c r="AE80" i="17"/>
  <c r="AG80" i="17" s="1"/>
  <c r="AE77" i="17"/>
  <c r="AG77" i="17" s="1"/>
  <c r="AE75" i="17"/>
  <c r="AG75" i="17" s="1"/>
  <c r="AE72" i="17"/>
  <c r="AG72" i="17" s="1"/>
  <c r="AE70" i="17"/>
  <c r="AG70" i="17" s="1"/>
  <c r="AE68" i="17"/>
  <c r="AG68" i="17" s="1"/>
  <c r="AE66" i="17"/>
  <c r="AG66" i="17" s="1"/>
  <c r="AE64" i="17"/>
  <c r="AG64" i="17" s="1"/>
  <c r="AE62" i="17"/>
  <c r="AG62" i="17" s="1"/>
  <c r="AE81" i="17"/>
  <c r="AG81" i="17" s="1"/>
  <c r="AE71" i="17"/>
  <c r="AG71" i="17" s="1"/>
  <c r="AE63" i="17"/>
  <c r="AG63" i="17" s="1"/>
  <c r="AE73" i="17"/>
  <c r="AG73" i="17" s="1"/>
  <c r="AE65" i="17"/>
  <c r="AG65" i="17" s="1"/>
  <c r="AE76" i="17"/>
  <c r="AG76" i="17" s="1"/>
  <c r="AE67" i="17"/>
  <c r="AG67" i="17" s="1"/>
  <c r="AE61" i="17"/>
  <c r="AG61" i="17" s="1"/>
  <c r="AE69" i="17"/>
  <c r="AG69" i="17" s="1"/>
  <c r="AE79" i="17"/>
  <c r="AG79" i="17" s="1"/>
  <c r="AN18" i="45"/>
  <c r="AQ18" i="45" s="1"/>
  <c r="AM17" i="45"/>
  <c r="AP17" i="45" s="1"/>
  <c r="AM18" i="45"/>
  <c r="AP18" i="45" s="1"/>
  <c r="AN17" i="45"/>
  <c r="AQ17" i="45" s="1"/>
  <c r="AX61" i="28"/>
  <c r="AV41" i="28"/>
  <c r="AV20" i="28"/>
  <c r="AV47" i="28"/>
  <c r="AX53" i="28"/>
  <c r="AG53" i="28"/>
  <c r="AV40" i="28"/>
  <c r="AA52" i="28"/>
  <c r="AV52" i="28"/>
  <c r="AV39" i="28"/>
  <c r="AX39" i="28"/>
  <c r="AG39" i="28"/>
  <c r="AV48" i="28"/>
  <c r="T50" i="24"/>
  <c r="V50" i="24" s="1"/>
  <c r="T51" i="24"/>
  <c r="V51" i="24" s="1"/>
  <c r="T52" i="24"/>
  <c r="V52" i="24" s="1"/>
  <c r="AE86" i="17"/>
  <c r="AG86" i="17" s="1"/>
  <c r="AE91" i="17"/>
  <c r="AG91" i="17" s="1"/>
  <c r="AE99" i="17"/>
  <c r="AG99" i="17" s="1"/>
  <c r="AE89" i="17"/>
  <c r="AG89" i="17" s="1"/>
  <c r="AE97" i="17"/>
  <c r="AG97" i="17" s="1"/>
  <c r="AE107" i="17"/>
  <c r="AG107" i="17" s="1"/>
  <c r="AE103" i="17"/>
  <c r="AG103" i="17" s="1"/>
  <c r="AE98" i="17"/>
  <c r="AG98" i="17" s="1"/>
  <c r="AE94" i="17"/>
  <c r="AG94" i="17" s="1"/>
  <c r="AE90" i="17"/>
  <c r="AG90" i="17" s="1"/>
  <c r="AE93" i="17"/>
  <c r="AG93" i="17" s="1"/>
  <c r="AE96" i="17"/>
  <c r="AG96" i="17" s="1"/>
  <c r="AE105" i="17"/>
  <c r="AG105" i="17" s="1"/>
  <c r="AE101" i="17"/>
  <c r="AG101" i="17" s="1"/>
  <c r="AE95" i="17"/>
  <c r="AG95" i="17" s="1"/>
  <c r="AE106" i="17"/>
  <c r="AG106" i="17" s="1"/>
  <c r="AE88" i="17"/>
  <c r="AG88" i="17" s="1"/>
  <c r="AE92" i="17"/>
  <c r="AG92" i="17" s="1"/>
  <c r="AE102" i="17"/>
  <c r="AG102" i="17" s="1"/>
  <c r="AE87" i="17"/>
  <c r="AG87" i="17" s="1"/>
  <c r="X21" i="28"/>
  <c r="Z21" i="28" s="1"/>
  <c r="X26" i="28"/>
  <c r="Z26" i="28" s="1"/>
  <c r="X20" i="28"/>
  <c r="Z20" i="28" s="1"/>
  <c r="X27" i="28"/>
  <c r="Z27" i="28" s="1"/>
  <c r="X22" i="28"/>
  <c r="Z22" i="28" s="1"/>
  <c r="X28" i="28"/>
  <c r="Z28" i="28" s="1"/>
  <c r="AE13" i="45"/>
  <c r="AH13" i="45" s="1"/>
  <c r="AE12" i="45"/>
  <c r="AH12" i="45" s="1"/>
  <c r="AF12" i="45"/>
  <c r="AI12" i="45" s="1"/>
  <c r="AF13" i="45"/>
  <c r="AI13" i="45" s="1"/>
  <c r="X50" i="17"/>
  <c r="Z50" i="17" s="1"/>
  <c r="X36" i="17"/>
  <c r="Z36" i="17" s="1"/>
  <c r="X46" i="17"/>
  <c r="Z46" i="17" s="1"/>
  <c r="X51" i="17"/>
  <c r="Z51" i="17" s="1"/>
  <c r="X41" i="17"/>
  <c r="Z41" i="17" s="1"/>
  <c r="X47" i="17"/>
  <c r="Z47" i="17" s="1"/>
  <c r="X55" i="17"/>
  <c r="Z55" i="17" s="1"/>
  <c r="X40" i="17"/>
  <c r="Z40" i="17" s="1"/>
  <c r="X35" i="17"/>
  <c r="Z35" i="17" s="1"/>
  <c r="X45" i="17"/>
  <c r="Z45" i="17" s="1"/>
  <c r="X53" i="17"/>
  <c r="Z53" i="17" s="1"/>
  <c r="X38" i="17"/>
  <c r="Z38" i="17" s="1"/>
  <c r="X44" i="17"/>
  <c r="Z44" i="17" s="1"/>
  <c r="X49" i="17"/>
  <c r="Z49" i="17" s="1"/>
  <c r="X39" i="17"/>
  <c r="Z39" i="17" s="1"/>
  <c r="X43" i="17"/>
  <c r="Z43" i="17" s="1"/>
  <c r="X54" i="17"/>
  <c r="Z54" i="17" s="1"/>
  <c r="X34" i="17"/>
  <c r="Z34" i="17" s="1"/>
  <c r="X42" i="17"/>
  <c r="Z42" i="17" s="1"/>
  <c r="X37" i="17"/>
  <c r="Z37" i="17" s="1"/>
  <c r="AX66" i="28"/>
  <c r="AX22" i="28"/>
  <c r="AV28" i="28"/>
  <c r="AX47" i="28"/>
  <c r="X10" i="28"/>
  <c r="AX60" i="28"/>
  <c r="AX54" i="28"/>
  <c r="AV66" i="28"/>
  <c r="AA66" i="28"/>
  <c r="AX52" i="28"/>
  <c r="AX28" i="28"/>
  <c r="AG28" i="28"/>
  <c r="AX34" i="28"/>
  <c r="AX48" i="28"/>
  <c r="AV21" i="28"/>
  <c r="AV46" i="28"/>
  <c r="Z46" i="28"/>
  <c r="AD91" i="27"/>
  <c r="AF91" i="27" s="1"/>
  <c r="AD93" i="27"/>
  <c r="AF93" i="27" s="1"/>
  <c r="AD107" i="27"/>
  <c r="AF107" i="27" s="1"/>
  <c r="AD105" i="27"/>
  <c r="AF105" i="27" s="1"/>
  <c r="AD102" i="27"/>
  <c r="AF102" i="27" s="1"/>
  <c r="AD87" i="27"/>
  <c r="AF87" i="27" s="1"/>
  <c r="AD89" i="27"/>
  <c r="AF89" i="27" s="1"/>
  <c r="AD95" i="27"/>
  <c r="AF95" i="27" s="1"/>
  <c r="AD97" i="27"/>
  <c r="AF97" i="27" s="1"/>
  <c r="AD99" i="27"/>
  <c r="AF99" i="27" s="1"/>
  <c r="AD94" i="27"/>
  <c r="AF94" i="27" s="1"/>
  <c r="AD88" i="27"/>
  <c r="AF88" i="27" s="1"/>
  <c r="AD86" i="27"/>
  <c r="AF86" i="27" s="1"/>
  <c r="AD92" i="27"/>
  <c r="AF92" i="27" s="1"/>
  <c r="AD101" i="27"/>
  <c r="AF101" i="27" s="1"/>
  <c r="AD98" i="27"/>
  <c r="AF98" i="27" s="1"/>
  <c r="AD103" i="27"/>
  <c r="AF103" i="27" s="1"/>
  <c r="AD96" i="27"/>
  <c r="AF96" i="27" s="1"/>
  <c r="AD106" i="27"/>
  <c r="AF106" i="27" s="1"/>
  <c r="AD90" i="27"/>
  <c r="AF90" i="27" s="1"/>
  <c r="AN28" i="45"/>
  <c r="AQ28" i="45" s="1"/>
  <c r="AM27" i="45"/>
  <c r="AP27" i="45" s="1"/>
  <c r="AN27" i="45"/>
  <c r="AQ27" i="45" s="1"/>
  <c r="AM28" i="45"/>
  <c r="AP28" i="45" s="1"/>
  <c r="AD46" i="28"/>
  <c r="AF46" i="28" s="1"/>
  <c r="AD48" i="28"/>
  <c r="AF48" i="28" s="1"/>
  <c r="AD53" i="28"/>
  <c r="AF53" i="28" s="1"/>
  <c r="AD52" i="28"/>
  <c r="AF52" i="28" s="1"/>
  <c r="AD47" i="28"/>
  <c r="AF47" i="28" s="1"/>
  <c r="AD54" i="28"/>
  <c r="AF54" i="28" s="1"/>
  <c r="U51" i="24"/>
  <c r="W51" i="24" s="1"/>
  <c r="U52" i="24"/>
  <c r="W52" i="24" s="1"/>
  <c r="U50" i="24"/>
  <c r="W50" i="24" s="1"/>
  <c r="AE86" i="27"/>
  <c r="AG86" i="27" s="1"/>
  <c r="AE106" i="27"/>
  <c r="AG106" i="27" s="1"/>
  <c r="AE103" i="27"/>
  <c r="AG103" i="27" s="1"/>
  <c r="AE101" i="27"/>
  <c r="AG101" i="27" s="1"/>
  <c r="AE88" i="27"/>
  <c r="AG88" i="27" s="1"/>
  <c r="AE90" i="27"/>
  <c r="AG90" i="27" s="1"/>
  <c r="AE96" i="27"/>
  <c r="AG96" i="27" s="1"/>
  <c r="AE98" i="27"/>
  <c r="AG98" i="27" s="1"/>
  <c r="AE91" i="27"/>
  <c r="AG91" i="27" s="1"/>
  <c r="AE93" i="27"/>
  <c r="AG93" i="27" s="1"/>
  <c r="AE105" i="27"/>
  <c r="AG105" i="27" s="1"/>
  <c r="AE95" i="27"/>
  <c r="AG95" i="27" s="1"/>
  <c r="AE94" i="27"/>
  <c r="AG94" i="27" s="1"/>
  <c r="AE107" i="27"/>
  <c r="AG107" i="27" s="1"/>
  <c r="AE89" i="27"/>
  <c r="AG89" i="27" s="1"/>
  <c r="AE92" i="27"/>
  <c r="AG92" i="27" s="1"/>
  <c r="AE87" i="27"/>
  <c r="AG87" i="27" s="1"/>
  <c r="AE99" i="27"/>
  <c r="AG99" i="27" s="1"/>
  <c r="AE97" i="27"/>
  <c r="AG97" i="27" s="1"/>
  <c r="AE102" i="27"/>
  <c r="AG102" i="27" s="1"/>
  <c r="W38" i="13"/>
  <c r="Z38" i="13" s="1"/>
  <c r="V34" i="13"/>
  <c r="Y34" i="13" s="1"/>
  <c r="V36" i="13"/>
  <c r="Y36" i="13" s="1"/>
  <c r="W31" i="13"/>
  <c r="Z31" i="13" s="1"/>
  <c r="W33" i="13"/>
  <c r="Z33" i="13" s="1"/>
  <c r="W35" i="13"/>
  <c r="Z35" i="13" s="1"/>
  <c r="W37" i="13"/>
  <c r="Z37" i="13" s="1"/>
  <c r="W39" i="13"/>
  <c r="Z39" i="13" s="1"/>
  <c r="W32" i="13"/>
  <c r="Z32" i="13" s="1"/>
  <c r="V32" i="13"/>
  <c r="Y32" i="13" s="1"/>
  <c r="V38" i="13"/>
  <c r="Y38" i="13" s="1"/>
  <c r="W34" i="13"/>
  <c r="Z34" i="13" s="1"/>
  <c r="V35" i="13"/>
  <c r="Y35" i="13" s="1"/>
  <c r="V33" i="13"/>
  <c r="Y33" i="13" s="1"/>
  <c r="V31" i="13"/>
  <c r="Y31" i="13" s="1"/>
  <c r="V39" i="13"/>
  <c r="Y39" i="13" s="1"/>
  <c r="W36" i="13"/>
  <c r="Z36" i="13" s="1"/>
  <c r="V37" i="13"/>
  <c r="Y37" i="13" s="1"/>
  <c r="V12" i="18"/>
  <c r="Y12" i="18" s="1"/>
  <c r="W13" i="18"/>
  <c r="Z13" i="18" s="1"/>
  <c r="W12" i="18"/>
  <c r="Z12" i="18" s="1"/>
  <c r="V13" i="18"/>
  <c r="Y13" i="18" s="1"/>
  <c r="AF8" i="45"/>
  <c r="AI8" i="45" s="1"/>
  <c r="AE8" i="45"/>
  <c r="AH8" i="45" s="1"/>
  <c r="AE7" i="45"/>
  <c r="AH7" i="45" s="1"/>
  <c r="AF7" i="45"/>
  <c r="AI7" i="45" s="1"/>
  <c r="V8" i="18"/>
  <c r="Y8" i="18" s="1"/>
  <c r="W7" i="18"/>
  <c r="Z7" i="18" s="1"/>
  <c r="V7" i="18"/>
  <c r="Y7" i="18" s="1"/>
  <c r="W8" i="18"/>
  <c r="Z8" i="18" s="1"/>
  <c r="R15" i="17"/>
  <c r="X15" i="17"/>
  <c r="X19" i="17"/>
  <c r="X26" i="17"/>
  <c r="X27" i="17"/>
  <c r="S27" i="17"/>
  <c r="R18" i="17"/>
  <c r="X18" i="17"/>
  <c r="X9" i="17"/>
  <c r="X11" i="17"/>
  <c r="X22" i="17"/>
  <c r="X131" i="27"/>
  <c r="Z131" i="27" s="1"/>
  <c r="X128" i="27"/>
  <c r="Z128" i="27" s="1"/>
  <c r="X120" i="27"/>
  <c r="Z120" i="27" s="1"/>
  <c r="X133" i="27"/>
  <c r="Z133" i="27" s="1"/>
  <c r="X113" i="27"/>
  <c r="Z113" i="27" s="1"/>
  <c r="X115" i="27"/>
  <c r="Z115" i="27" s="1"/>
  <c r="X117" i="27"/>
  <c r="Z117" i="27" s="1"/>
  <c r="X122" i="27"/>
  <c r="Z122" i="27" s="1"/>
  <c r="X124" i="27"/>
  <c r="Z124" i="27" s="1"/>
  <c r="X112" i="27"/>
  <c r="Z112" i="27" s="1"/>
  <c r="X132" i="27"/>
  <c r="X129" i="27"/>
  <c r="Z129" i="27" s="1"/>
  <c r="X127" i="27"/>
  <c r="Z127" i="27" s="1"/>
  <c r="X119" i="27"/>
  <c r="Z119" i="27" s="1"/>
  <c r="X114" i="27"/>
  <c r="Z114" i="27" s="1"/>
  <c r="X123" i="27"/>
  <c r="Z123" i="27" s="1"/>
  <c r="X121" i="27"/>
  <c r="Z121" i="27" s="1"/>
  <c r="X118" i="27"/>
  <c r="Z118" i="27" s="1"/>
  <c r="X125" i="27"/>
  <c r="Z125" i="27" s="1"/>
  <c r="X116" i="27"/>
  <c r="Z116" i="27" s="1"/>
  <c r="W38" i="18"/>
  <c r="Z38" i="18" s="1"/>
  <c r="V37" i="18"/>
  <c r="Y37" i="18" s="1"/>
  <c r="V38" i="18"/>
  <c r="Y38" i="18" s="1"/>
  <c r="W37" i="18"/>
  <c r="Z37" i="18" s="1"/>
  <c r="X60" i="28"/>
  <c r="Z60" i="28" s="1"/>
  <c r="X59" i="28"/>
  <c r="Z59" i="28" s="1"/>
  <c r="X67" i="28"/>
  <c r="Z67" i="28" s="1"/>
  <c r="X66" i="28"/>
  <c r="Z66" i="28" s="1"/>
  <c r="X65" i="28"/>
  <c r="Z65" i="28" s="1"/>
  <c r="X61" i="28"/>
  <c r="Z61" i="28" s="1"/>
  <c r="V118" i="23"/>
  <c r="X118" i="23" s="1"/>
  <c r="V117" i="23"/>
  <c r="X117" i="23" s="1"/>
  <c r="V124" i="23"/>
  <c r="X124" i="23" s="1"/>
  <c r="V128" i="23"/>
  <c r="X128" i="23" s="1"/>
  <c r="V114" i="23"/>
  <c r="X114" i="23" s="1"/>
  <c r="V132" i="23"/>
  <c r="X132" i="23" s="1"/>
  <c r="V113" i="23"/>
  <c r="X113" i="23" s="1"/>
  <c r="V131" i="23"/>
  <c r="X131" i="23" s="1"/>
  <c r="V120" i="23"/>
  <c r="X120" i="23" s="1"/>
  <c r="V123" i="23"/>
  <c r="X123" i="23" s="1"/>
  <c r="V127" i="23"/>
  <c r="X127" i="23" s="1"/>
  <c r="V125" i="23"/>
  <c r="X125" i="23" s="1"/>
  <c r="V116" i="23"/>
  <c r="X116" i="23" s="1"/>
  <c r="V119" i="23"/>
  <c r="X119" i="23" s="1"/>
  <c r="V122" i="23"/>
  <c r="X122" i="23" s="1"/>
  <c r="V115" i="23"/>
  <c r="X115" i="23" s="1"/>
  <c r="V129" i="23"/>
  <c r="V112" i="23"/>
  <c r="X112" i="23" s="1"/>
  <c r="V133" i="23"/>
  <c r="X133" i="23" s="1"/>
  <c r="V121" i="23"/>
  <c r="X121" i="23" s="1"/>
  <c r="AE53" i="27"/>
  <c r="AG53" i="27" s="1"/>
  <c r="AE36" i="27"/>
  <c r="AG36" i="27" s="1"/>
  <c r="AE54" i="27"/>
  <c r="AG54" i="27" s="1"/>
  <c r="AE41" i="27"/>
  <c r="AG41" i="27" s="1"/>
  <c r="AE49" i="27"/>
  <c r="AG49" i="27" s="1"/>
  <c r="AE55" i="27"/>
  <c r="AG55" i="27" s="1"/>
  <c r="AE38" i="27"/>
  <c r="AG38" i="27" s="1"/>
  <c r="AE34" i="27"/>
  <c r="AG34" i="27" s="1"/>
  <c r="AE35" i="27"/>
  <c r="AG35" i="27" s="1"/>
  <c r="AE42" i="27"/>
  <c r="AG42" i="27" s="1"/>
  <c r="AE47" i="27"/>
  <c r="AG47" i="27" s="1"/>
  <c r="AE37" i="27"/>
  <c r="AG37" i="27" s="1"/>
  <c r="AE44" i="27"/>
  <c r="AG44" i="27" s="1"/>
  <c r="AE40" i="27"/>
  <c r="AG40" i="27" s="1"/>
  <c r="AE45" i="27"/>
  <c r="AG45" i="27" s="1"/>
  <c r="AE51" i="27"/>
  <c r="AG51" i="27" s="1"/>
  <c r="AE46" i="27"/>
  <c r="AG46" i="27" s="1"/>
  <c r="AE43" i="27"/>
  <c r="AG43" i="27" s="1"/>
  <c r="AE50" i="27"/>
  <c r="AG50" i="27" s="1"/>
  <c r="AE39" i="27"/>
  <c r="AG39" i="27" s="1"/>
  <c r="AB40" i="23"/>
  <c r="AD40" i="23" s="1"/>
  <c r="AB54" i="23"/>
  <c r="AD54" i="23" s="1"/>
  <c r="AB39" i="23"/>
  <c r="AD39" i="23" s="1"/>
  <c r="AB53" i="23"/>
  <c r="AD53" i="23" s="1"/>
  <c r="AB38" i="23"/>
  <c r="AD38" i="23" s="1"/>
  <c r="AB46" i="23"/>
  <c r="AD46" i="23" s="1"/>
  <c r="AB41" i="23"/>
  <c r="AD41" i="23" s="1"/>
  <c r="AB50" i="23"/>
  <c r="AD50" i="23" s="1"/>
  <c r="AB43" i="23"/>
  <c r="AD43" i="23" s="1"/>
  <c r="AB51" i="23"/>
  <c r="AD51" i="23" s="1"/>
  <c r="AB49" i="23"/>
  <c r="AD49" i="23" s="1"/>
  <c r="AB35" i="23"/>
  <c r="AD35" i="23" s="1"/>
  <c r="AB47" i="23"/>
  <c r="AD47" i="23" s="1"/>
  <c r="AB34" i="23"/>
  <c r="AD34" i="23" s="1"/>
  <c r="AB44" i="23"/>
  <c r="AD44" i="23" s="1"/>
  <c r="AB55" i="23"/>
  <c r="AD55" i="23" s="1"/>
  <c r="AB45" i="23"/>
  <c r="AD45" i="23" s="1"/>
  <c r="AB37" i="23"/>
  <c r="AD37" i="23" s="1"/>
  <c r="AB36" i="23"/>
  <c r="AD36" i="23" s="1"/>
  <c r="AB42" i="23"/>
  <c r="AD42" i="23" s="1"/>
  <c r="T26" i="24"/>
  <c r="V26" i="24" s="1"/>
  <c r="T28" i="24"/>
  <c r="V28" i="24" s="1"/>
  <c r="T27" i="24"/>
  <c r="V27" i="24" s="1"/>
  <c r="AE41" i="17"/>
  <c r="AG41" i="17" s="1"/>
  <c r="AE40" i="17"/>
  <c r="AG40" i="17" s="1"/>
  <c r="AE39" i="17"/>
  <c r="AG39" i="17" s="1"/>
  <c r="AE38" i="17"/>
  <c r="AG38" i="17" s="1"/>
  <c r="AE37" i="17"/>
  <c r="AG37" i="17" s="1"/>
  <c r="AE55" i="17"/>
  <c r="AG55" i="17" s="1"/>
  <c r="AE44" i="17"/>
  <c r="AG44" i="17" s="1"/>
  <c r="AE35" i="17"/>
  <c r="AG35" i="17" s="1"/>
  <c r="AE53" i="17"/>
  <c r="AG53" i="17" s="1"/>
  <c r="AE42" i="17"/>
  <c r="AG42" i="17" s="1"/>
  <c r="AE47" i="17"/>
  <c r="AG47" i="17" s="1"/>
  <c r="AE54" i="17"/>
  <c r="AG54" i="17" s="1"/>
  <c r="AE49" i="17"/>
  <c r="AG49" i="17" s="1"/>
  <c r="AE36" i="17"/>
  <c r="AG36" i="17" s="1"/>
  <c r="AE51" i="17"/>
  <c r="AG51" i="17" s="1"/>
  <c r="AE50" i="17"/>
  <c r="AG50" i="17" s="1"/>
  <c r="AE45" i="17"/>
  <c r="AG45" i="17" s="1"/>
  <c r="AE34" i="17"/>
  <c r="AG34" i="17" s="1"/>
  <c r="AE43" i="17"/>
  <c r="AG43" i="17" s="1"/>
  <c r="AE46" i="17"/>
  <c r="AG46" i="17" s="1"/>
  <c r="AE13" i="18"/>
  <c r="AH13" i="18" s="1"/>
  <c r="AE12" i="18"/>
  <c r="AH12" i="18" s="1"/>
  <c r="AD13" i="18"/>
  <c r="AG13" i="18" s="1"/>
  <c r="AD12" i="18"/>
  <c r="AG12" i="18" s="1"/>
  <c r="AD45" i="17"/>
  <c r="AF45" i="17" s="1"/>
  <c r="AD36" i="17"/>
  <c r="AF36" i="17" s="1"/>
  <c r="AD54" i="17"/>
  <c r="AF54" i="17" s="1"/>
  <c r="AD43" i="17"/>
  <c r="AF43" i="17" s="1"/>
  <c r="AD34" i="17"/>
  <c r="AF34" i="17" s="1"/>
  <c r="AD51" i="17"/>
  <c r="AF51" i="17" s="1"/>
  <c r="AD50" i="17"/>
  <c r="AF50" i="17" s="1"/>
  <c r="AD49" i="17"/>
  <c r="AF49" i="17" s="1"/>
  <c r="AD47" i="17"/>
  <c r="AF47" i="17" s="1"/>
  <c r="AD46" i="17"/>
  <c r="AF46" i="17" s="1"/>
  <c r="AD44" i="17"/>
  <c r="AF44" i="17" s="1"/>
  <c r="AD41" i="17"/>
  <c r="AF41" i="17" s="1"/>
  <c r="AD55" i="17"/>
  <c r="AF55" i="17" s="1"/>
  <c r="AD42" i="17"/>
  <c r="AF42" i="17" s="1"/>
  <c r="AD38" i="17"/>
  <c r="AF38" i="17" s="1"/>
  <c r="AD37" i="17"/>
  <c r="AF37" i="17" s="1"/>
  <c r="AD53" i="17"/>
  <c r="AF53" i="17" s="1"/>
  <c r="AD39" i="17"/>
  <c r="AF39" i="17" s="1"/>
  <c r="AD40" i="17"/>
  <c r="AF40" i="17" s="1"/>
  <c r="AD35" i="17"/>
  <c r="AF35" i="17" s="1"/>
  <c r="AS131" i="23"/>
  <c r="AQ127" i="23"/>
  <c r="AS97" i="23"/>
  <c r="AQ95" i="23"/>
  <c r="AQ132" i="23"/>
  <c r="X53" i="23"/>
  <c r="AQ53" i="23"/>
  <c r="AS44" i="23"/>
  <c r="AS89" i="23"/>
  <c r="AS121" i="23"/>
  <c r="AS114" i="23"/>
  <c r="R18" i="23"/>
  <c r="S18" i="23"/>
  <c r="X18" i="23"/>
  <c r="X28" i="23"/>
  <c r="R28" i="23"/>
  <c r="S28" i="23"/>
  <c r="AQ113" i="23"/>
  <c r="W113" i="23"/>
  <c r="AQ69" i="23"/>
  <c r="AQ94" i="23"/>
  <c r="AQ120" i="23"/>
  <c r="S17" i="23"/>
  <c r="X17" i="23"/>
  <c r="R17" i="23"/>
  <c r="AQ107" i="23"/>
  <c r="AS40" i="23"/>
  <c r="AC128" i="23"/>
  <c r="AS128" i="23"/>
  <c r="AS95" i="23"/>
  <c r="AC95" i="23"/>
  <c r="AQ96" i="23"/>
  <c r="AQ72" i="23"/>
  <c r="AQ36" i="23"/>
  <c r="AS65" i="23"/>
  <c r="AQ93" i="23"/>
  <c r="W93" i="23"/>
  <c r="AS36" i="23"/>
  <c r="AS105" i="23"/>
  <c r="X66" i="23"/>
  <c r="AQ66" i="23"/>
  <c r="AS43" i="23"/>
  <c r="AD90" i="23"/>
  <c r="AS90" i="23"/>
  <c r="X129" i="23"/>
  <c r="AQ129" i="23"/>
  <c r="AS41" i="23"/>
  <c r="AQ121" i="23"/>
  <c r="AS127" i="23"/>
  <c r="AQ41" i="23"/>
  <c r="AS102" i="23"/>
  <c r="AD102" i="23"/>
  <c r="AQ49" i="23"/>
  <c r="AS129" i="23"/>
  <c r="AQ79" i="23"/>
  <c r="AS61" i="23"/>
  <c r="AS94" i="23"/>
  <c r="AS55" i="23"/>
  <c r="AS106" i="23"/>
  <c r="AD106" i="23"/>
  <c r="X33" i="28"/>
  <c r="Z33" i="28" s="1"/>
  <c r="X35" i="28"/>
  <c r="Z35" i="28" s="1"/>
  <c r="X39" i="28"/>
  <c r="Z39" i="28" s="1"/>
  <c r="X40" i="28"/>
  <c r="Z40" i="28" s="1"/>
  <c r="X34" i="28"/>
  <c r="Z34" i="28" s="1"/>
  <c r="X41" i="28"/>
  <c r="Z41" i="28" s="1"/>
  <c r="V17" i="18"/>
  <c r="Y17" i="18" s="1"/>
  <c r="W18" i="18"/>
  <c r="Z18" i="18" s="1"/>
  <c r="W17" i="18"/>
  <c r="Z17" i="18" s="1"/>
  <c r="V18" i="18"/>
  <c r="Y18" i="18" s="1"/>
  <c r="AF17" i="45"/>
  <c r="AI17" i="45" s="1"/>
  <c r="AE18" i="45"/>
  <c r="AH18" i="45" s="1"/>
  <c r="AE17" i="45"/>
  <c r="AH17" i="45" s="1"/>
  <c r="AF18" i="45"/>
  <c r="AI18" i="45" s="1"/>
  <c r="X81" i="27"/>
  <c r="Z81" i="27" s="1"/>
  <c r="X76" i="27"/>
  <c r="Z76" i="27" s="1"/>
  <c r="X62" i="27"/>
  <c r="Z62" i="27" s="1"/>
  <c r="X65" i="27"/>
  <c r="Z65" i="27" s="1"/>
  <c r="X69" i="27"/>
  <c r="Z69" i="27" s="1"/>
  <c r="X77" i="27"/>
  <c r="Z77" i="27" s="1"/>
  <c r="X68" i="27"/>
  <c r="Z68" i="27" s="1"/>
  <c r="X72" i="27"/>
  <c r="Z72" i="27" s="1"/>
  <c r="X60" i="27"/>
  <c r="Z60" i="27" s="1"/>
  <c r="X79" i="27"/>
  <c r="Z79" i="27" s="1"/>
  <c r="X61" i="27"/>
  <c r="Z61" i="27" s="1"/>
  <c r="X64" i="27"/>
  <c r="Z64" i="27" s="1"/>
  <c r="X67" i="27"/>
  <c r="Z67" i="27" s="1"/>
  <c r="X71" i="27"/>
  <c r="Z71" i="27" s="1"/>
  <c r="X63" i="27"/>
  <c r="Z63" i="27" s="1"/>
  <c r="X75" i="27"/>
  <c r="Z75" i="27" s="1"/>
  <c r="X73" i="27"/>
  <c r="Z73" i="27" s="1"/>
  <c r="X80" i="27"/>
  <c r="Z80" i="27" s="1"/>
  <c r="X70" i="27"/>
  <c r="Z70" i="27" s="1"/>
  <c r="X66" i="27"/>
  <c r="Z66" i="27" s="1"/>
  <c r="V33" i="18"/>
  <c r="Y33" i="18" s="1"/>
  <c r="W32" i="18"/>
  <c r="Z32" i="18" s="1"/>
  <c r="W33" i="18"/>
  <c r="Z33" i="18" s="1"/>
  <c r="V32" i="18"/>
  <c r="Y32" i="18" s="1"/>
  <c r="AE32" i="45"/>
  <c r="AH32" i="45" s="1"/>
  <c r="AF32" i="45"/>
  <c r="AI32" i="45" s="1"/>
  <c r="AE33" i="45"/>
  <c r="AH33" i="45" s="1"/>
  <c r="AF33" i="45"/>
  <c r="AI33" i="45" s="1"/>
  <c r="X107" i="27"/>
  <c r="Z107" i="27" s="1"/>
  <c r="X96" i="27"/>
  <c r="Z96" i="27" s="1"/>
  <c r="X99" i="27"/>
  <c r="Z99" i="27" s="1"/>
  <c r="X105" i="27"/>
  <c r="Z105" i="27" s="1"/>
  <c r="X102" i="27"/>
  <c r="Z102" i="27" s="1"/>
  <c r="X87" i="27"/>
  <c r="Z87" i="27" s="1"/>
  <c r="X89" i="27"/>
  <c r="Z89" i="27" s="1"/>
  <c r="X91" i="27"/>
  <c r="Z91" i="27" s="1"/>
  <c r="X93" i="27"/>
  <c r="Z93" i="27" s="1"/>
  <c r="X98" i="27"/>
  <c r="Z98" i="27" s="1"/>
  <c r="X86" i="27"/>
  <c r="Z86" i="27" s="1"/>
  <c r="X106" i="27"/>
  <c r="Z106" i="27" s="1"/>
  <c r="X95" i="27"/>
  <c r="Z95" i="27" s="1"/>
  <c r="X103" i="27"/>
  <c r="Z103" i="27" s="1"/>
  <c r="X92" i="27"/>
  <c r="Z92" i="27" s="1"/>
  <c r="X90" i="27"/>
  <c r="Z90" i="27" s="1"/>
  <c r="X88" i="27"/>
  <c r="Z88" i="27" s="1"/>
  <c r="X97" i="27"/>
  <c r="Z97" i="27" s="1"/>
  <c r="X94" i="27"/>
  <c r="Z94" i="27" s="1"/>
  <c r="X101" i="27"/>
  <c r="Z101" i="27" s="1"/>
  <c r="AX54" i="27"/>
  <c r="AX86" i="27"/>
  <c r="R15" i="27"/>
  <c r="X15" i="27"/>
  <c r="S15" i="27"/>
  <c r="AV79" i="27"/>
  <c r="AA79" i="27"/>
  <c r="AV63" i="27"/>
  <c r="AA63" i="27"/>
  <c r="AX122" i="27"/>
  <c r="AX101" i="27"/>
  <c r="AV112" i="27"/>
  <c r="AA112" i="27"/>
  <c r="AX34" i="27"/>
  <c r="X11" i="27"/>
  <c r="S11" i="27"/>
  <c r="X23" i="27"/>
  <c r="AA66" i="27"/>
  <c r="AV66" i="27"/>
  <c r="X22" i="27"/>
  <c r="S22" i="27"/>
  <c r="AV73" i="27"/>
  <c r="AV97" i="27"/>
  <c r="AV70" i="27"/>
  <c r="AV128" i="27"/>
  <c r="AX119" i="27"/>
  <c r="AV89" i="27"/>
  <c r="AX61" i="27"/>
  <c r="AX97" i="27"/>
  <c r="AX67" i="27"/>
  <c r="AX121" i="27"/>
  <c r="AV125" i="27"/>
  <c r="AA125" i="27"/>
  <c r="AX105" i="27"/>
  <c r="AX87" i="27"/>
  <c r="AV91" i="27"/>
  <c r="AV55" i="27"/>
  <c r="AA55" i="27"/>
  <c r="AX68" i="27"/>
  <c r="AV50" i="27"/>
  <c r="AV43" i="27"/>
  <c r="AA43" i="27"/>
  <c r="AV62" i="27"/>
  <c r="AA62" i="27"/>
  <c r="AX37" i="27"/>
  <c r="AX70" i="27"/>
  <c r="AV41" i="27"/>
  <c r="Z132" i="27"/>
  <c r="AV132" i="27"/>
  <c r="X28" i="27"/>
  <c r="R28" i="27"/>
  <c r="S28" i="27"/>
  <c r="AV42" i="27"/>
  <c r="Z42" i="27"/>
  <c r="X17" i="27"/>
  <c r="S17" i="27"/>
  <c r="AV35" i="27"/>
  <c r="AV34" i="27"/>
  <c r="AX42" i="27"/>
  <c r="X12" i="27"/>
  <c r="S12" i="27"/>
  <c r="R12" i="27"/>
  <c r="AD38" i="18"/>
  <c r="AG38" i="18" s="1"/>
  <c r="AD37" i="18"/>
  <c r="AG37" i="18" s="1"/>
  <c r="AE38" i="18"/>
  <c r="AH38" i="18" s="1"/>
  <c r="AE37" i="18"/>
  <c r="AH37" i="18" s="1"/>
  <c r="AD114" i="17"/>
  <c r="AF114" i="17" s="1"/>
  <c r="AD118" i="17"/>
  <c r="AF118" i="17" s="1"/>
  <c r="AD122" i="17"/>
  <c r="AF122" i="17" s="1"/>
  <c r="AD127" i="17"/>
  <c r="AF127" i="17" s="1"/>
  <c r="AD123" i="17"/>
  <c r="AF123" i="17" s="1"/>
  <c r="AD133" i="17"/>
  <c r="AF133" i="17" s="1"/>
  <c r="AD116" i="17"/>
  <c r="AF116" i="17" s="1"/>
  <c r="AD125" i="17"/>
  <c r="AF125" i="17" s="1"/>
  <c r="AD119" i="17"/>
  <c r="AF119" i="17" s="1"/>
  <c r="AD113" i="17"/>
  <c r="AF113" i="17" s="1"/>
  <c r="AD120" i="17"/>
  <c r="AF120" i="17" s="1"/>
  <c r="AD131" i="17"/>
  <c r="AF131" i="17" s="1"/>
  <c r="AD115" i="17"/>
  <c r="AF115" i="17" s="1"/>
  <c r="AD132" i="17"/>
  <c r="AF132" i="17" s="1"/>
  <c r="AD117" i="17"/>
  <c r="AF117" i="17" s="1"/>
  <c r="AD124" i="17"/>
  <c r="AF124" i="17" s="1"/>
  <c r="AD112" i="17"/>
  <c r="AF112" i="17" s="1"/>
  <c r="AD128" i="17"/>
  <c r="AF128" i="17" s="1"/>
  <c r="AD129" i="17"/>
  <c r="AF129" i="17" s="1"/>
  <c r="AD121" i="17"/>
  <c r="AF121" i="17" s="1"/>
  <c r="AM42" i="45"/>
  <c r="AP42" i="45" s="1"/>
  <c r="AN43" i="45"/>
  <c r="AQ43" i="45" s="1"/>
  <c r="AN42" i="45"/>
  <c r="AQ42" i="45" s="1"/>
  <c r="AM43" i="45"/>
  <c r="AP43" i="45" s="1"/>
  <c r="AE133" i="27"/>
  <c r="AG133" i="27" s="1"/>
  <c r="AE131" i="27"/>
  <c r="AG131" i="27" s="1"/>
  <c r="AE116" i="27"/>
  <c r="AG116" i="27" s="1"/>
  <c r="AE121" i="27"/>
  <c r="AG121" i="27" s="1"/>
  <c r="AE112" i="27"/>
  <c r="AG112" i="27" s="1"/>
  <c r="AE128" i="27"/>
  <c r="AG128" i="27" s="1"/>
  <c r="AE113" i="27"/>
  <c r="AG113" i="27" s="1"/>
  <c r="AE118" i="27"/>
  <c r="AG118" i="27" s="1"/>
  <c r="AE120" i="27"/>
  <c r="AG120" i="27" s="1"/>
  <c r="AE123" i="27"/>
  <c r="AG123" i="27" s="1"/>
  <c r="AE132" i="27"/>
  <c r="AG132" i="27" s="1"/>
  <c r="AE129" i="27"/>
  <c r="AG129" i="27" s="1"/>
  <c r="AE115" i="27"/>
  <c r="AG115" i="27" s="1"/>
  <c r="AE122" i="27"/>
  <c r="AG122" i="27" s="1"/>
  <c r="AE125" i="27"/>
  <c r="AG125" i="27" s="1"/>
  <c r="AE117" i="27"/>
  <c r="AG117" i="27" s="1"/>
  <c r="AE114" i="27"/>
  <c r="AG114" i="27" s="1"/>
  <c r="AE124" i="27"/>
  <c r="AG124" i="27" s="1"/>
  <c r="AE127" i="27"/>
  <c r="AG127" i="27" s="1"/>
  <c r="AE119" i="27"/>
  <c r="AG119" i="27" s="1"/>
  <c r="AB43" i="25"/>
  <c r="AA42" i="25"/>
  <c r="AA43" i="25"/>
  <c r="AB42" i="25"/>
  <c r="AA22" i="25"/>
  <c r="AB22" i="25"/>
  <c r="AA23" i="25"/>
  <c r="AB23" i="25"/>
  <c r="AD35" i="28"/>
  <c r="AF35" i="28" s="1"/>
  <c r="AD41" i="28"/>
  <c r="AF41" i="28" s="1"/>
  <c r="AD34" i="28"/>
  <c r="AF34" i="28" s="1"/>
  <c r="AD39" i="28"/>
  <c r="AF39" i="28" s="1"/>
  <c r="AD33" i="28"/>
  <c r="AF33" i="28" s="1"/>
  <c r="AD40" i="28"/>
  <c r="AF40" i="28" s="1"/>
  <c r="AB67" i="23"/>
  <c r="AD67" i="23" s="1"/>
  <c r="AB66" i="23"/>
  <c r="AD66" i="23" s="1"/>
  <c r="AB65" i="23"/>
  <c r="AD65" i="23" s="1"/>
  <c r="AB64" i="23"/>
  <c r="AD64" i="23" s="1"/>
  <c r="AB63" i="23"/>
  <c r="AD63" i="23" s="1"/>
  <c r="AB81" i="23"/>
  <c r="AD81" i="23" s="1"/>
  <c r="AB70" i="23"/>
  <c r="AD70" i="23" s="1"/>
  <c r="AB61" i="23"/>
  <c r="AD61" i="23" s="1"/>
  <c r="AB79" i="23"/>
  <c r="AD79" i="23" s="1"/>
  <c r="AB68" i="23"/>
  <c r="AD68" i="23" s="1"/>
  <c r="AB75" i="23"/>
  <c r="AD75" i="23" s="1"/>
  <c r="AB62" i="23"/>
  <c r="AD62" i="23" s="1"/>
  <c r="AB77" i="23"/>
  <c r="AD77" i="23" s="1"/>
  <c r="AB76" i="23"/>
  <c r="AD76" i="23" s="1"/>
  <c r="AB71" i="23"/>
  <c r="AD71" i="23" s="1"/>
  <c r="AB60" i="23"/>
  <c r="AD60" i="23" s="1"/>
  <c r="AB72" i="23"/>
  <c r="AD72" i="23" s="1"/>
  <c r="AB69" i="23"/>
  <c r="AD69" i="23" s="1"/>
  <c r="AB80" i="23"/>
  <c r="AD80" i="23" s="1"/>
  <c r="AB73" i="23"/>
  <c r="AD73" i="23" s="1"/>
  <c r="V97" i="46"/>
  <c r="Y97" i="46" s="1"/>
  <c r="U99" i="46"/>
  <c r="X99" i="46" s="1"/>
  <c r="V99" i="46"/>
  <c r="Y99" i="46" s="1"/>
  <c r="U97" i="46"/>
  <c r="X97" i="46" s="1"/>
  <c r="V92" i="46"/>
  <c r="Y92" i="46" s="1"/>
  <c r="U95" i="46"/>
  <c r="X95" i="46" s="1"/>
  <c r="U96" i="46"/>
  <c r="X96" i="46" s="1"/>
  <c r="U94" i="46"/>
  <c r="X94" i="46" s="1"/>
  <c r="V94" i="46"/>
  <c r="Y94" i="46" s="1"/>
  <c r="U93" i="46"/>
  <c r="X93" i="46" s="1"/>
  <c r="V93" i="46"/>
  <c r="Y93" i="46" s="1"/>
  <c r="U91" i="46"/>
  <c r="X91" i="46" s="1"/>
  <c r="V91" i="46"/>
  <c r="Y91" i="46" s="1"/>
  <c r="V96" i="46"/>
  <c r="Y96" i="46" s="1"/>
  <c r="U92" i="46"/>
  <c r="X92" i="46" s="1"/>
  <c r="V95" i="46"/>
  <c r="Y95" i="46" s="1"/>
  <c r="U98" i="46"/>
  <c r="X98" i="46" s="1"/>
  <c r="V98" i="46"/>
  <c r="Y98" i="46" s="1"/>
  <c r="P14" i="28"/>
  <c r="R14" i="28" s="1"/>
  <c r="P19" i="17"/>
  <c r="R19" i="17" s="1"/>
  <c r="P12" i="17"/>
  <c r="R12" i="17" s="1"/>
  <c r="P13" i="17"/>
  <c r="R13" i="17" s="1"/>
  <c r="P28" i="17"/>
  <c r="R28" i="17" s="1"/>
  <c r="Q22" i="17"/>
  <c r="S22" i="17" s="1"/>
  <c r="Q13" i="17"/>
  <c r="S13" i="17" s="1"/>
  <c r="AI25" i="16"/>
  <c r="V43" i="46" l="1"/>
  <c r="Y43" i="46" s="1"/>
  <c r="U51" i="46"/>
  <c r="X51" i="46" s="1"/>
  <c r="V50" i="46"/>
  <c r="Y50" i="46" s="1"/>
  <c r="U47" i="46"/>
  <c r="X47" i="46" s="1"/>
  <c r="AK8" i="46"/>
  <c r="AN8" i="46" s="1"/>
  <c r="AL14" i="46"/>
  <c r="AO14" i="46" s="1"/>
  <c r="AL12" i="46"/>
  <c r="AO12" i="46" s="1"/>
  <c r="AK15" i="46"/>
  <c r="AN15" i="46" s="1"/>
  <c r="AL11" i="46"/>
  <c r="AO11" i="46" s="1"/>
  <c r="U44" i="46"/>
  <c r="X44" i="46" s="1"/>
  <c r="U46" i="46"/>
  <c r="X46" i="46" s="1"/>
  <c r="V47" i="46"/>
  <c r="Y47" i="46" s="1"/>
  <c r="U45" i="46"/>
  <c r="X45" i="46" s="1"/>
  <c r="AK9" i="46"/>
  <c r="AN9" i="46" s="1"/>
  <c r="AK13" i="46"/>
  <c r="AN13" i="46" s="1"/>
  <c r="AL8" i="46"/>
  <c r="AO8" i="46" s="1"/>
  <c r="AL9" i="46"/>
  <c r="AO9" i="46" s="1"/>
  <c r="AD80" i="46"/>
  <c r="AG80" i="46" s="1"/>
  <c r="AD82" i="46"/>
  <c r="AG82" i="46" s="1"/>
  <c r="AD85" i="46"/>
  <c r="AG85" i="46" s="1"/>
  <c r="AC79" i="46"/>
  <c r="AF79" i="46" s="1"/>
  <c r="AC80" i="46"/>
  <c r="AF80" i="46" s="1"/>
  <c r="U43" i="46"/>
  <c r="X43" i="46" s="1"/>
  <c r="V51" i="46"/>
  <c r="Y51" i="46" s="1"/>
  <c r="U48" i="46"/>
  <c r="X48" i="46" s="1"/>
  <c r="V48" i="46"/>
  <c r="Y48" i="46" s="1"/>
  <c r="AL15" i="46"/>
  <c r="AO15" i="46" s="1"/>
  <c r="AL13" i="46"/>
  <c r="AO13" i="46" s="1"/>
  <c r="AK12" i="46"/>
  <c r="AN12" i="46" s="1"/>
  <c r="U24" i="46"/>
  <c r="X24" i="46" s="1"/>
  <c r="U26" i="46"/>
  <c r="X26" i="46" s="1"/>
  <c r="V19" i="46"/>
  <c r="Y19" i="46" s="1"/>
  <c r="V26" i="46"/>
  <c r="Y26" i="46" s="1"/>
  <c r="AC11" i="19"/>
  <c r="AF11" i="19" s="1"/>
  <c r="AD12" i="19"/>
  <c r="AG12" i="19" s="1"/>
  <c r="AD14" i="19"/>
  <c r="AG14" i="19" s="1"/>
  <c r="AD15" i="19"/>
  <c r="AG15" i="19" s="1"/>
  <c r="AC9" i="19"/>
  <c r="AF9" i="19" s="1"/>
  <c r="AD9" i="19"/>
  <c r="AG9" i="19" s="1"/>
  <c r="AD13" i="19"/>
  <c r="AG13" i="19" s="1"/>
  <c r="AC13" i="19"/>
  <c r="AF13" i="19" s="1"/>
  <c r="AC15" i="19"/>
  <c r="AF15" i="19" s="1"/>
  <c r="AC10" i="19"/>
  <c r="AF10" i="19" s="1"/>
  <c r="AC14" i="19"/>
  <c r="AF14" i="19" s="1"/>
  <c r="AC12" i="19"/>
  <c r="AF12" i="19" s="1"/>
  <c r="AD11" i="19"/>
  <c r="AG11" i="19" s="1"/>
  <c r="AD8" i="19"/>
  <c r="AG8" i="19" s="1"/>
  <c r="AD7" i="19"/>
  <c r="AG7" i="19" s="1"/>
  <c r="AC8" i="19"/>
  <c r="AF8" i="19" s="1"/>
  <c r="AD10" i="19"/>
  <c r="AG10" i="19" s="1"/>
  <c r="AC7" i="19"/>
  <c r="AF7" i="19" s="1"/>
  <c r="U22" i="46"/>
  <c r="X22" i="46" s="1"/>
  <c r="U25" i="46"/>
  <c r="X25" i="46" s="1"/>
  <c r="V23" i="46"/>
  <c r="Y23" i="46" s="1"/>
  <c r="V25" i="46"/>
  <c r="Y25" i="46" s="1"/>
  <c r="U20" i="46"/>
  <c r="X20" i="46" s="1"/>
  <c r="U19" i="46"/>
  <c r="X19" i="46" s="1"/>
  <c r="V22" i="46"/>
  <c r="Y22" i="46" s="1"/>
  <c r="V58" i="19"/>
  <c r="Y58" i="19" s="1"/>
  <c r="V57" i="19"/>
  <c r="Y57" i="19" s="1"/>
  <c r="V63" i="19"/>
  <c r="Y63" i="19" s="1"/>
  <c r="V55" i="19"/>
  <c r="Y55" i="19" s="1"/>
  <c r="U59" i="19"/>
  <c r="X59" i="19" s="1"/>
  <c r="U62" i="19"/>
  <c r="X62" i="19" s="1"/>
  <c r="U61" i="19"/>
  <c r="X61" i="19" s="1"/>
  <c r="U55" i="19"/>
  <c r="X55" i="19" s="1"/>
  <c r="U60" i="19"/>
  <c r="X60" i="19" s="1"/>
  <c r="U58" i="19"/>
  <c r="X58" i="19" s="1"/>
  <c r="V56" i="19"/>
  <c r="Y56" i="19" s="1"/>
  <c r="U57" i="19"/>
  <c r="X57" i="19" s="1"/>
  <c r="V59" i="19"/>
  <c r="Y59" i="19" s="1"/>
  <c r="U63" i="19"/>
  <c r="X63" i="19" s="1"/>
  <c r="U56" i="19"/>
  <c r="X56" i="19" s="1"/>
  <c r="V62" i="19"/>
  <c r="Y62" i="19" s="1"/>
  <c r="V61" i="19"/>
  <c r="Y61" i="19" s="1"/>
  <c r="V60" i="19"/>
  <c r="Y60" i="19" s="1"/>
  <c r="U23" i="46"/>
  <c r="X23" i="46" s="1"/>
  <c r="U21" i="46"/>
  <c r="X21" i="46" s="1"/>
  <c r="V96" i="13"/>
  <c r="Y96" i="13" s="1"/>
  <c r="V91" i="13"/>
  <c r="Y91" i="13" s="1"/>
  <c r="W97" i="13"/>
  <c r="Z97" i="13" s="1"/>
  <c r="W95" i="13"/>
  <c r="Z95" i="13" s="1"/>
  <c r="V98" i="13"/>
  <c r="Y98" i="13" s="1"/>
  <c r="W91" i="13"/>
  <c r="Z91" i="13" s="1"/>
  <c r="V99" i="13"/>
  <c r="Y99" i="13" s="1"/>
  <c r="W93" i="13"/>
  <c r="Z93" i="13" s="1"/>
  <c r="V95" i="13"/>
  <c r="Y95" i="13" s="1"/>
  <c r="W99" i="13"/>
  <c r="Z99" i="13" s="1"/>
  <c r="V94" i="13"/>
  <c r="Y94" i="13" s="1"/>
  <c r="W92" i="13"/>
  <c r="Z92" i="13" s="1"/>
  <c r="V92" i="13"/>
  <c r="Y92" i="13" s="1"/>
  <c r="V97" i="13"/>
  <c r="Y97" i="13" s="1"/>
  <c r="W98" i="13"/>
  <c r="Z98" i="13" s="1"/>
  <c r="W94" i="13"/>
  <c r="Z94" i="13" s="1"/>
  <c r="V93" i="13"/>
  <c r="Y93" i="13" s="1"/>
  <c r="W96" i="13"/>
  <c r="Z96" i="13" s="1"/>
  <c r="V81" i="13"/>
  <c r="Y81" i="13" s="1"/>
  <c r="V82" i="13"/>
  <c r="Y82" i="13" s="1"/>
  <c r="V85" i="13"/>
  <c r="Y85" i="13" s="1"/>
  <c r="W79" i="13"/>
  <c r="Z79" i="13" s="1"/>
  <c r="W82" i="13"/>
  <c r="Z82" i="13" s="1"/>
  <c r="W85" i="13"/>
  <c r="Z85" i="13" s="1"/>
  <c r="W86" i="13"/>
  <c r="Z86" i="13" s="1"/>
  <c r="V84" i="13"/>
  <c r="Y84" i="13" s="1"/>
  <c r="V86" i="13"/>
  <c r="Y86" i="13" s="1"/>
  <c r="V83" i="13"/>
  <c r="Y83" i="13" s="1"/>
  <c r="W80" i="13"/>
  <c r="Z80" i="13" s="1"/>
  <c r="V87" i="13"/>
  <c r="Y87" i="13" s="1"/>
  <c r="W81" i="13"/>
  <c r="Z81" i="13" s="1"/>
  <c r="V79" i="13"/>
  <c r="Y79" i="13" s="1"/>
  <c r="V80" i="13"/>
  <c r="Y80" i="13" s="1"/>
  <c r="W83" i="13"/>
  <c r="Z83" i="13" s="1"/>
  <c r="W84" i="13"/>
  <c r="Z84" i="13" s="1"/>
  <c r="W87" i="13"/>
  <c r="Z87" i="13" s="1"/>
  <c r="W59" i="13"/>
  <c r="Z59" i="13" s="1"/>
  <c r="W62" i="13"/>
  <c r="Z62" i="13" s="1"/>
  <c r="V55" i="13"/>
  <c r="Y55" i="13" s="1"/>
  <c r="V60" i="13"/>
  <c r="Y60" i="13" s="1"/>
  <c r="V56" i="13"/>
  <c r="Y56" i="13" s="1"/>
  <c r="V59" i="13"/>
  <c r="Y59" i="13" s="1"/>
  <c r="V58" i="13"/>
  <c r="Y58" i="13" s="1"/>
  <c r="V62" i="13"/>
  <c r="Y62" i="13" s="1"/>
  <c r="W63" i="13"/>
  <c r="Z63" i="13" s="1"/>
  <c r="V61" i="13"/>
  <c r="Y61" i="13" s="1"/>
  <c r="W58" i="13"/>
  <c r="Z58" i="13" s="1"/>
  <c r="W60" i="13"/>
  <c r="Z60" i="13" s="1"/>
  <c r="V63" i="13"/>
  <c r="Y63" i="13" s="1"/>
  <c r="W56" i="13"/>
  <c r="Z56" i="13" s="1"/>
  <c r="W61" i="13"/>
  <c r="Z61" i="13" s="1"/>
  <c r="W55" i="13"/>
  <c r="Z55" i="13" s="1"/>
  <c r="V57" i="13"/>
  <c r="Y57" i="13" s="1"/>
  <c r="W57" i="13"/>
  <c r="Z57" i="13" s="1"/>
  <c r="AC70" i="13"/>
  <c r="AF70" i="13" s="1"/>
  <c r="AC68" i="13"/>
  <c r="AF68" i="13" s="1"/>
  <c r="AB74" i="13"/>
  <c r="AE74" i="13" s="1"/>
  <c r="AC71" i="13"/>
  <c r="AF71" i="13" s="1"/>
  <c r="AB67" i="13"/>
  <c r="AE67" i="13" s="1"/>
  <c r="AC72" i="13"/>
  <c r="AF72" i="13" s="1"/>
  <c r="AB69" i="13"/>
  <c r="AE69" i="13" s="1"/>
  <c r="AC75" i="13"/>
  <c r="AF75" i="13" s="1"/>
  <c r="AC73" i="13"/>
  <c r="AF73" i="13" s="1"/>
  <c r="AB72" i="13"/>
  <c r="AE72" i="13" s="1"/>
  <c r="AB68" i="13"/>
  <c r="AE68" i="13" s="1"/>
  <c r="AC69" i="13"/>
  <c r="AF69" i="13" s="1"/>
  <c r="AC74" i="13"/>
  <c r="AF74" i="13" s="1"/>
  <c r="AC67" i="13"/>
  <c r="AF67" i="13" s="1"/>
  <c r="AB75" i="13"/>
  <c r="AE75" i="13" s="1"/>
  <c r="AB71" i="13"/>
  <c r="AE71" i="13" s="1"/>
  <c r="AB70" i="13"/>
  <c r="AE70" i="13" s="1"/>
  <c r="AB73" i="13"/>
  <c r="AE73" i="13" s="1"/>
  <c r="AB46" i="13"/>
  <c r="AE46" i="13" s="1"/>
  <c r="AB48" i="13"/>
  <c r="AE48" i="13" s="1"/>
  <c r="AB47" i="13"/>
  <c r="AE47" i="13" s="1"/>
  <c r="AB44" i="13"/>
  <c r="AE44" i="13" s="1"/>
  <c r="AC45" i="13"/>
  <c r="AF45" i="13" s="1"/>
  <c r="AC44" i="13"/>
  <c r="AF44" i="13" s="1"/>
  <c r="AC49" i="13"/>
  <c r="AF49" i="13" s="1"/>
  <c r="AC46" i="13"/>
  <c r="AF46" i="13" s="1"/>
  <c r="AC51" i="13"/>
  <c r="AF51" i="13" s="1"/>
  <c r="AC47" i="13"/>
  <c r="AF47" i="13" s="1"/>
  <c r="AB43" i="13"/>
  <c r="AE43" i="13" s="1"/>
  <c r="AC48" i="13"/>
  <c r="AF48" i="13" s="1"/>
  <c r="AC50" i="13"/>
  <c r="AF50" i="13" s="1"/>
  <c r="AB45" i="13"/>
  <c r="AE45" i="13" s="1"/>
  <c r="AB50" i="13"/>
  <c r="AE50" i="13" s="1"/>
  <c r="AB51" i="13"/>
  <c r="AE51" i="13" s="1"/>
  <c r="AB49" i="13"/>
  <c r="AE49" i="13" s="1"/>
  <c r="AC43" i="13"/>
  <c r="AF43" i="13" s="1"/>
  <c r="W10" i="13"/>
  <c r="Z10" i="13" s="1"/>
  <c r="V13" i="13"/>
  <c r="Y13" i="13" s="1"/>
  <c r="V12" i="13"/>
  <c r="Y12" i="13" s="1"/>
  <c r="W13" i="13"/>
  <c r="Z13" i="13" s="1"/>
  <c r="W8" i="13"/>
  <c r="Z8" i="13" s="1"/>
  <c r="W11" i="13"/>
  <c r="Z11" i="13" s="1"/>
  <c r="V14" i="13"/>
  <c r="Y14" i="13" s="1"/>
  <c r="V15" i="13"/>
  <c r="Y15" i="13" s="1"/>
  <c r="V7" i="13"/>
  <c r="Y7" i="13" s="1"/>
  <c r="W15" i="13"/>
  <c r="Z15" i="13" s="1"/>
  <c r="V8" i="13"/>
  <c r="Y8" i="13" s="1"/>
  <c r="V10" i="13"/>
  <c r="Y10" i="13" s="1"/>
  <c r="W14" i="13"/>
  <c r="Z14" i="13" s="1"/>
  <c r="W7" i="13"/>
  <c r="Z7" i="13" s="1"/>
  <c r="W9" i="13"/>
  <c r="Z9" i="13" s="1"/>
  <c r="V9" i="13"/>
  <c r="Y9" i="13" s="1"/>
  <c r="W12" i="13"/>
  <c r="Z12" i="13" s="1"/>
  <c r="V11" i="13"/>
  <c r="Y11" i="13" s="1"/>
  <c r="AC95" i="46"/>
  <c r="AF95" i="46" s="1"/>
  <c r="AC97" i="46"/>
  <c r="AF97" i="46" s="1"/>
  <c r="AD97" i="46"/>
  <c r="AG97" i="46" s="1"/>
  <c r="AC99" i="46"/>
  <c r="AF99" i="46" s="1"/>
  <c r="AD98" i="46"/>
  <c r="AG98" i="46" s="1"/>
  <c r="AD99" i="46"/>
  <c r="AG99" i="46" s="1"/>
  <c r="AC92" i="46"/>
  <c r="AF92" i="46" s="1"/>
  <c r="AD95" i="46"/>
  <c r="AG95" i="46" s="1"/>
  <c r="AC96" i="46"/>
  <c r="AF96" i="46" s="1"/>
  <c r="AC94" i="46"/>
  <c r="AF94" i="46" s="1"/>
  <c r="AD92" i="46"/>
  <c r="AG92" i="46" s="1"/>
  <c r="AD96" i="46"/>
  <c r="AG96" i="46" s="1"/>
  <c r="AD94" i="46"/>
  <c r="AG94" i="46" s="1"/>
  <c r="AD91" i="46"/>
  <c r="AG91" i="46" s="1"/>
  <c r="AC93" i="46"/>
  <c r="AF93" i="46" s="1"/>
  <c r="AD93" i="46"/>
  <c r="AG93" i="46" s="1"/>
  <c r="AC98" i="46"/>
  <c r="AF98" i="46" s="1"/>
  <c r="AC91" i="46"/>
  <c r="AF91" i="46" s="1"/>
  <c r="AC10" i="46"/>
  <c r="AF10" i="46" s="1"/>
  <c r="AC9" i="46"/>
  <c r="AF9" i="46" s="1"/>
  <c r="AD7" i="46"/>
  <c r="AG7" i="46" s="1"/>
  <c r="AC15" i="46"/>
  <c r="AF15" i="46" s="1"/>
  <c r="AC8" i="46"/>
  <c r="AF8" i="46" s="1"/>
  <c r="AD10" i="46"/>
  <c r="AG10" i="46" s="1"/>
  <c r="AC12" i="46"/>
  <c r="AF12" i="46" s="1"/>
  <c r="AC13" i="46"/>
  <c r="AF13" i="46" s="1"/>
  <c r="AC7" i="46"/>
  <c r="AF7" i="46" s="1"/>
  <c r="AD13" i="46"/>
  <c r="AG13" i="46" s="1"/>
  <c r="AD11" i="46"/>
  <c r="AG11" i="46" s="1"/>
  <c r="AD15" i="46"/>
  <c r="AG15" i="46" s="1"/>
  <c r="AD9" i="46"/>
  <c r="AG9" i="46" s="1"/>
  <c r="AD12" i="46"/>
  <c r="AG12" i="46" s="1"/>
  <c r="AD8" i="46"/>
  <c r="AG8" i="46" s="1"/>
  <c r="AD14" i="46"/>
  <c r="AG14" i="46" s="1"/>
  <c r="AC11" i="46"/>
  <c r="AF11" i="46" s="1"/>
  <c r="AC14" i="46"/>
  <c r="AF14" i="46" s="1"/>
  <c r="V47" i="19"/>
  <c r="Y47" i="19" s="1"/>
  <c r="U48" i="19"/>
  <c r="X48" i="19" s="1"/>
  <c r="U50" i="19"/>
  <c r="X50" i="19" s="1"/>
  <c r="U44" i="19"/>
  <c r="X44" i="19" s="1"/>
  <c r="U51" i="19"/>
  <c r="X51" i="19" s="1"/>
  <c r="V46" i="19"/>
  <c r="Y46" i="19" s="1"/>
  <c r="U43" i="19"/>
  <c r="X43" i="19" s="1"/>
  <c r="U47" i="19"/>
  <c r="X47" i="19" s="1"/>
  <c r="V50" i="19"/>
  <c r="Y50" i="19" s="1"/>
  <c r="V44" i="19"/>
  <c r="Y44" i="19" s="1"/>
  <c r="V45" i="19"/>
  <c r="Y45" i="19" s="1"/>
  <c r="V48" i="19"/>
  <c r="Y48" i="19" s="1"/>
  <c r="V43" i="19"/>
  <c r="Y43" i="19" s="1"/>
  <c r="U46" i="19"/>
  <c r="X46" i="19" s="1"/>
  <c r="V49" i="19"/>
  <c r="Y49" i="19" s="1"/>
  <c r="U49" i="19"/>
  <c r="X49" i="19" s="1"/>
  <c r="U45" i="19"/>
  <c r="X45" i="19" s="1"/>
  <c r="V51" i="19"/>
  <c r="Y51" i="19" s="1"/>
  <c r="U68" i="46"/>
  <c r="X68" i="46" s="1"/>
  <c r="U73" i="46"/>
  <c r="X73" i="46" s="1"/>
  <c r="V67" i="46"/>
  <c r="Y67" i="46" s="1"/>
  <c r="V73" i="46"/>
  <c r="Y73" i="46" s="1"/>
  <c r="U70" i="46"/>
  <c r="X70" i="46" s="1"/>
  <c r="AK96" i="46"/>
  <c r="AN96" i="46" s="1"/>
  <c r="AK97" i="46"/>
  <c r="AN97" i="46" s="1"/>
  <c r="AL96" i="46"/>
  <c r="AO96" i="46" s="1"/>
  <c r="AL92" i="46"/>
  <c r="AO92" i="46" s="1"/>
  <c r="AL97" i="46"/>
  <c r="AO97" i="46" s="1"/>
  <c r="AK99" i="46"/>
  <c r="AN99" i="46" s="1"/>
  <c r="AL91" i="46"/>
  <c r="AO91" i="46" s="1"/>
  <c r="AK94" i="46"/>
  <c r="AN94" i="46" s="1"/>
  <c r="AK92" i="46"/>
  <c r="AN92" i="46" s="1"/>
  <c r="AL93" i="46"/>
  <c r="AO93" i="46" s="1"/>
  <c r="AK98" i="46"/>
  <c r="AN98" i="46" s="1"/>
  <c r="AL95" i="46"/>
  <c r="AO95" i="46" s="1"/>
  <c r="AK93" i="46"/>
  <c r="AN93" i="46" s="1"/>
  <c r="AL94" i="46"/>
  <c r="AO94" i="46" s="1"/>
  <c r="AK95" i="46"/>
  <c r="AN95" i="46" s="1"/>
  <c r="AK91" i="46"/>
  <c r="AN91" i="46" s="1"/>
  <c r="AL98" i="46"/>
  <c r="AO98" i="46" s="1"/>
  <c r="AL99" i="46"/>
  <c r="AO99" i="46" s="1"/>
  <c r="AK22" i="46"/>
  <c r="AN22" i="46" s="1"/>
  <c r="AK24" i="46"/>
  <c r="AN24" i="46" s="1"/>
  <c r="AL24" i="46"/>
  <c r="AO24" i="46" s="1"/>
  <c r="AK25" i="46"/>
  <c r="AN25" i="46" s="1"/>
  <c r="AL20" i="46"/>
  <c r="AO20" i="46" s="1"/>
  <c r="AL26" i="46"/>
  <c r="AO26" i="46" s="1"/>
  <c r="AK19" i="46"/>
  <c r="AN19" i="46" s="1"/>
  <c r="AK21" i="46"/>
  <c r="AN21" i="46" s="1"/>
  <c r="AL22" i="46"/>
  <c r="AO22" i="46" s="1"/>
  <c r="AK20" i="46"/>
  <c r="AN20" i="46" s="1"/>
  <c r="AL21" i="46"/>
  <c r="AO21" i="46" s="1"/>
  <c r="AL25" i="46"/>
  <c r="AO25" i="46" s="1"/>
  <c r="AK26" i="46"/>
  <c r="AN26" i="46" s="1"/>
  <c r="AL27" i="46"/>
  <c r="AO27" i="46" s="1"/>
  <c r="AK23" i="46"/>
  <c r="AN23" i="46" s="1"/>
  <c r="AL23" i="46"/>
  <c r="AO23" i="46" s="1"/>
  <c r="AL19" i="46"/>
  <c r="AO19" i="46" s="1"/>
  <c r="AK27" i="46"/>
  <c r="AN27" i="46" s="1"/>
  <c r="V86" i="19"/>
  <c r="Y86" i="19" s="1"/>
  <c r="U86" i="19"/>
  <c r="X86" i="19" s="1"/>
  <c r="V82" i="19"/>
  <c r="Y82" i="19" s="1"/>
  <c r="V79" i="19"/>
  <c r="Y79" i="19" s="1"/>
  <c r="V87" i="19"/>
  <c r="Y87" i="19" s="1"/>
  <c r="U85" i="19"/>
  <c r="X85" i="19" s="1"/>
  <c r="U79" i="19"/>
  <c r="X79" i="19" s="1"/>
  <c r="U84" i="19"/>
  <c r="X84" i="19" s="1"/>
  <c r="U82" i="19"/>
  <c r="X82" i="19" s="1"/>
  <c r="V84" i="19"/>
  <c r="Y84" i="19" s="1"/>
  <c r="V85" i="19"/>
  <c r="Y85" i="19" s="1"/>
  <c r="V80" i="19"/>
  <c r="Y80" i="19" s="1"/>
  <c r="U83" i="19"/>
  <c r="X83" i="19" s="1"/>
  <c r="U81" i="19"/>
  <c r="X81" i="19" s="1"/>
  <c r="U80" i="19"/>
  <c r="X80" i="19" s="1"/>
  <c r="V83" i="19"/>
  <c r="Y83" i="19" s="1"/>
  <c r="U87" i="19"/>
  <c r="X87" i="19" s="1"/>
  <c r="V81" i="19"/>
  <c r="Y81" i="19" s="1"/>
  <c r="AC56" i="19"/>
  <c r="AF56" i="19" s="1"/>
  <c r="AD60" i="19"/>
  <c r="AG60" i="19" s="1"/>
  <c r="AD58" i="19"/>
  <c r="AG58" i="19" s="1"/>
  <c r="AD56" i="19"/>
  <c r="AG56" i="19" s="1"/>
  <c r="AC61" i="19"/>
  <c r="AF61" i="19" s="1"/>
  <c r="AC62" i="19"/>
  <c r="AF62" i="19" s="1"/>
  <c r="AD55" i="19"/>
  <c r="AG55" i="19" s="1"/>
  <c r="AD61" i="19"/>
  <c r="AG61" i="19" s="1"/>
  <c r="AC58" i="19"/>
  <c r="AF58" i="19" s="1"/>
  <c r="AC59" i="19"/>
  <c r="AF59" i="19" s="1"/>
  <c r="AD57" i="19"/>
  <c r="AG57" i="19" s="1"/>
  <c r="AD62" i="19"/>
  <c r="AG62" i="19" s="1"/>
  <c r="AD63" i="19"/>
  <c r="AG63" i="19" s="1"/>
  <c r="AC60" i="19"/>
  <c r="AF60" i="19" s="1"/>
  <c r="AC57" i="19"/>
  <c r="AF57" i="19" s="1"/>
  <c r="AC63" i="19"/>
  <c r="AF63" i="19" s="1"/>
  <c r="AC55" i="19"/>
  <c r="AF55" i="19" s="1"/>
  <c r="AD59" i="19"/>
  <c r="AG59" i="19" s="1"/>
  <c r="V68" i="46"/>
  <c r="Y68" i="46" s="1"/>
  <c r="U67" i="46"/>
  <c r="X67" i="46" s="1"/>
  <c r="V69" i="46"/>
  <c r="Y69" i="46" s="1"/>
  <c r="V71" i="46"/>
  <c r="Y71" i="46" s="1"/>
  <c r="V59" i="46"/>
  <c r="Y59" i="46" s="1"/>
  <c r="U58" i="46"/>
  <c r="X58" i="46" s="1"/>
  <c r="U55" i="46"/>
  <c r="X55" i="46" s="1"/>
  <c r="V63" i="46"/>
  <c r="Y63" i="46" s="1"/>
  <c r="U56" i="46"/>
  <c r="X56" i="46" s="1"/>
  <c r="U59" i="46"/>
  <c r="X59" i="46" s="1"/>
  <c r="V55" i="46"/>
  <c r="Y55" i="46" s="1"/>
  <c r="V62" i="46"/>
  <c r="Y62" i="46" s="1"/>
  <c r="V57" i="46"/>
  <c r="Y57" i="46" s="1"/>
  <c r="U60" i="46"/>
  <c r="X60" i="46" s="1"/>
  <c r="U61" i="46"/>
  <c r="X61" i="46" s="1"/>
  <c r="V56" i="46"/>
  <c r="Y56" i="46" s="1"/>
  <c r="U57" i="46"/>
  <c r="X57" i="46" s="1"/>
  <c r="V61" i="46"/>
  <c r="Y61" i="46" s="1"/>
  <c r="V60" i="46"/>
  <c r="Y60" i="46" s="1"/>
  <c r="V58" i="46"/>
  <c r="Y58" i="46" s="1"/>
  <c r="U63" i="46"/>
  <c r="X63" i="46" s="1"/>
  <c r="U62" i="46"/>
  <c r="X62" i="46" s="1"/>
  <c r="V34" i="46"/>
  <c r="Y34" i="46" s="1"/>
  <c r="V39" i="46"/>
  <c r="Y39" i="46" s="1"/>
  <c r="U38" i="46"/>
  <c r="X38" i="46" s="1"/>
  <c r="V31" i="46"/>
  <c r="Y31" i="46" s="1"/>
  <c r="U39" i="46"/>
  <c r="X39" i="46" s="1"/>
  <c r="V37" i="46"/>
  <c r="Y37" i="46" s="1"/>
  <c r="U36" i="46"/>
  <c r="X36" i="46" s="1"/>
  <c r="U37" i="46"/>
  <c r="X37" i="46" s="1"/>
  <c r="U34" i="46"/>
  <c r="X34" i="46" s="1"/>
  <c r="V32" i="46"/>
  <c r="Y32" i="46" s="1"/>
  <c r="U31" i="46"/>
  <c r="X31" i="46" s="1"/>
  <c r="U35" i="46"/>
  <c r="X35" i="46" s="1"/>
  <c r="V38" i="46"/>
  <c r="Y38" i="46" s="1"/>
  <c r="U33" i="46"/>
  <c r="X33" i="46" s="1"/>
  <c r="V36" i="46"/>
  <c r="Y36" i="46" s="1"/>
  <c r="U32" i="46"/>
  <c r="X32" i="46" s="1"/>
  <c r="V35" i="46"/>
  <c r="Y35" i="46" s="1"/>
  <c r="V33" i="46"/>
  <c r="Y33" i="46" s="1"/>
  <c r="AK50" i="46"/>
  <c r="AN50" i="46" s="1"/>
  <c r="AK43" i="46"/>
  <c r="AN43" i="46" s="1"/>
  <c r="AL47" i="46"/>
  <c r="AO47" i="46" s="1"/>
  <c r="AL49" i="46"/>
  <c r="AO49" i="46" s="1"/>
  <c r="AL45" i="46"/>
  <c r="AO45" i="46" s="1"/>
  <c r="AK51" i="46"/>
  <c r="AN51" i="46" s="1"/>
  <c r="AK47" i="46"/>
  <c r="AN47" i="46" s="1"/>
  <c r="AL50" i="46"/>
  <c r="AO50" i="46" s="1"/>
  <c r="AK48" i="46"/>
  <c r="AN48" i="46" s="1"/>
  <c r="AK49" i="46"/>
  <c r="AN49" i="46" s="1"/>
  <c r="AK46" i="46"/>
  <c r="AN46" i="46" s="1"/>
  <c r="AL44" i="46"/>
  <c r="AO44" i="46" s="1"/>
  <c r="AL51" i="46"/>
  <c r="AO51" i="46" s="1"/>
  <c r="AK44" i="46"/>
  <c r="AN44" i="46" s="1"/>
  <c r="AK45" i="46"/>
  <c r="AN45" i="46" s="1"/>
  <c r="AL48" i="46"/>
  <c r="AO48" i="46" s="1"/>
  <c r="AL43" i="46"/>
  <c r="AO43" i="46" s="1"/>
  <c r="AL46" i="46"/>
  <c r="AO46" i="46" s="1"/>
  <c r="V74" i="46"/>
  <c r="Y74" i="46" s="1"/>
  <c r="V70" i="46"/>
  <c r="Y70" i="46" s="1"/>
  <c r="U69" i="46"/>
  <c r="X69" i="46" s="1"/>
  <c r="AJ22" i="16"/>
  <c r="AV43" i="18"/>
  <c r="C23" i="25"/>
  <c r="AG21" i="24"/>
  <c r="BF22" i="45"/>
  <c r="AS91" i="27"/>
  <c r="AN84" i="29"/>
  <c r="AW8" i="18"/>
  <c r="AG49" i="22"/>
  <c r="AM50" i="29"/>
  <c r="AL34" i="17"/>
  <c r="AU40" i="17"/>
  <c r="AT92" i="17"/>
  <c r="AA51" i="22"/>
  <c r="AN55" i="23"/>
  <c r="AS44" i="27"/>
  <c r="AR25" i="19"/>
  <c r="Z12" i="22"/>
  <c r="AL8" i="25"/>
  <c r="AN9" i="29"/>
  <c r="AA41" i="22"/>
  <c r="V65" i="29"/>
  <c r="AG39" i="22"/>
  <c r="AU107" i="17"/>
  <c r="AO34" i="23"/>
  <c r="AT77" i="17"/>
  <c r="Y7" i="16"/>
  <c r="AT8" i="46"/>
  <c r="AT87" i="17"/>
  <c r="AO97" i="23"/>
  <c r="AN125" i="23"/>
  <c r="AM35" i="13"/>
  <c r="AM25" i="13"/>
  <c r="AN31" i="13"/>
  <c r="AL23" i="12"/>
  <c r="AG46" i="24"/>
  <c r="Z26" i="17"/>
  <c r="AS46" i="28"/>
  <c r="B28" i="25"/>
  <c r="Z8" i="38"/>
  <c r="AH35" i="23"/>
  <c r="AN95" i="23"/>
  <c r="AR71" i="19"/>
  <c r="Z10" i="22"/>
  <c r="AN32" i="10"/>
  <c r="AT98" i="17"/>
  <c r="BB98" i="46"/>
  <c r="AJ10" i="13"/>
  <c r="AS62" i="27"/>
  <c r="AG87" i="22"/>
  <c r="AM63" i="29"/>
  <c r="AW37" i="18"/>
  <c r="AR35" i="19"/>
  <c r="B22" i="25"/>
  <c r="AO88" i="23"/>
  <c r="AG22" i="38"/>
  <c r="AN96" i="29"/>
  <c r="BA84" i="46"/>
  <c r="AN99" i="23"/>
  <c r="AT86" i="46"/>
  <c r="AM93" i="29"/>
  <c r="AS40" i="28"/>
  <c r="AS66" i="27"/>
  <c r="AA14" i="16"/>
  <c r="AN51" i="10"/>
  <c r="Z9" i="17"/>
  <c r="BA8" i="46"/>
  <c r="AR84" i="19"/>
  <c r="AT67" i="27"/>
  <c r="AM13" i="13"/>
  <c r="AM59" i="29"/>
  <c r="AO68" i="23"/>
  <c r="AN50" i="13"/>
  <c r="AY18" i="45"/>
  <c r="AJ36" i="13"/>
  <c r="AT73" i="46"/>
  <c r="Y19" i="16"/>
  <c r="AS64" i="27"/>
  <c r="BB49" i="46"/>
  <c r="AJ20" i="13"/>
  <c r="AN22" i="10"/>
  <c r="AO8" i="12"/>
  <c r="AT7" i="46"/>
  <c r="AU42" i="17"/>
  <c r="BA56" i="46"/>
  <c r="AN123" i="23"/>
  <c r="AO17" i="12"/>
  <c r="AS131" i="27"/>
  <c r="AT62" i="46"/>
  <c r="AO37" i="25"/>
  <c r="AF7" i="9"/>
  <c r="AS69" i="27"/>
  <c r="AO60" i="23"/>
  <c r="AG50" i="22"/>
  <c r="AN95" i="13"/>
  <c r="AN50" i="10"/>
  <c r="AS37" i="19"/>
  <c r="BA70" i="46"/>
  <c r="BG28" i="45"/>
  <c r="AS99" i="27"/>
  <c r="AJ57" i="29"/>
  <c r="BA33" i="46"/>
  <c r="BA59" i="46"/>
  <c r="AW43" i="18"/>
  <c r="AP12" i="25"/>
  <c r="AS117" i="27"/>
  <c r="AU89" i="17"/>
  <c r="AR44" i="19"/>
  <c r="AS90" i="27"/>
  <c r="AT52" i="28"/>
  <c r="Z10" i="17"/>
  <c r="AS54" i="28"/>
  <c r="AJ60" i="29"/>
  <c r="AS71" i="19"/>
  <c r="AN67" i="23"/>
  <c r="AT66" i="28"/>
  <c r="AM97" i="29"/>
  <c r="AT103" i="17"/>
  <c r="Z18" i="23"/>
  <c r="AU133" i="17"/>
  <c r="AM21" i="13"/>
  <c r="AM70" i="13"/>
  <c r="AS67" i="27"/>
  <c r="AT114" i="17"/>
  <c r="AU70" i="17"/>
  <c r="AN90" i="23"/>
  <c r="AT60" i="17"/>
  <c r="BA19" i="46"/>
  <c r="AT37" i="46"/>
  <c r="AN22" i="29"/>
  <c r="AA9" i="16"/>
  <c r="AK46" i="27"/>
  <c r="A13" i="25"/>
  <c r="AN86" i="29"/>
  <c r="AM29" i="38"/>
  <c r="AL29" i="12"/>
  <c r="AN133" i="23"/>
  <c r="AS38" i="19"/>
  <c r="AS122" i="27"/>
  <c r="AA17" i="16"/>
  <c r="AL40" i="17"/>
  <c r="AS35" i="19"/>
  <c r="AG92" i="22"/>
  <c r="AP17" i="25"/>
  <c r="AH44" i="23"/>
  <c r="AS99" i="19"/>
  <c r="AN35" i="29"/>
  <c r="AS39" i="28"/>
  <c r="B37" i="25"/>
  <c r="AM75" i="29"/>
  <c r="AJ69" i="29"/>
  <c r="AO43" i="25"/>
  <c r="AL43" i="25"/>
  <c r="A17" i="25"/>
  <c r="AO24" i="12"/>
  <c r="AN116" i="23"/>
  <c r="AH55" i="23"/>
  <c r="Y10" i="16"/>
  <c r="AU63" i="17"/>
  <c r="BB51" i="46"/>
  <c r="BA11" i="46"/>
  <c r="Z18" i="17"/>
  <c r="AM82" i="13"/>
  <c r="AH54" i="23"/>
  <c r="AL37" i="17"/>
  <c r="BF33" i="45"/>
  <c r="AJ38" i="29"/>
  <c r="AP18" i="25"/>
  <c r="BB70" i="46"/>
  <c r="AM32" i="29"/>
  <c r="AT96" i="27"/>
  <c r="AJ93" i="29"/>
  <c r="AM22" i="29"/>
  <c r="AG40" i="24"/>
  <c r="AT42" i="17"/>
  <c r="BA82" i="46"/>
  <c r="AU96" i="17"/>
  <c r="AN20" i="38"/>
  <c r="AT118" i="27"/>
  <c r="AL30" i="12"/>
  <c r="AW17" i="18"/>
  <c r="AY42" i="45"/>
  <c r="AG117" i="22"/>
  <c r="AT79" i="17"/>
  <c r="AG119" i="22"/>
  <c r="AT80" i="17"/>
  <c r="AT122" i="17"/>
  <c r="BB81" i="46"/>
  <c r="AT50" i="17"/>
  <c r="AL41" i="17"/>
  <c r="AN46" i="13"/>
  <c r="AU97" i="17"/>
  <c r="AO132" i="23"/>
  <c r="AT71" i="17"/>
  <c r="AU103" i="17"/>
  <c r="BA80" i="46"/>
  <c r="AM55" i="13"/>
  <c r="BB96" i="46"/>
  <c r="AT101" i="17"/>
  <c r="AR14" i="19"/>
  <c r="AA35" i="22"/>
  <c r="AM51" i="29"/>
  <c r="BB62" i="46"/>
  <c r="AU120" i="17"/>
  <c r="AT68" i="17"/>
  <c r="AJ33" i="13"/>
  <c r="AN53" i="23"/>
  <c r="AS73" i="19"/>
  <c r="AP37" i="25"/>
  <c r="AU116" i="17"/>
  <c r="AL9" i="12"/>
  <c r="AM23" i="13"/>
  <c r="AR13" i="19"/>
  <c r="AG45" i="22"/>
  <c r="AT132" i="17"/>
  <c r="AT94" i="27"/>
  <c r="AT34" i="27"/>
  <c r="AT38" i="27"/>
  <c r="AM73" i="29"/>
  <c r="AN58" i="13"/>
  <c r="AO125" i="23"/>
  <c r="AJ97" i="29"/>
  <c r="AJ32" i="13"/>
  <c r="AU37" i="17"/>
  <c r="AN37" i="23"/>
  <c r="AG99" i="22"/>
  <c r="AG51" i="24"/>
  <c r="AK47" i="27"/>
  <c r="AN47" i="29"/>
  <c r="AR63" i="19"/>
  <c r="AN91" i="29"/>
  <c r="AG125" i="22"/>
  <c r="AO94" i="23"/>
  <c r="AN101" i="23"/>
  <c r="AS124" i="27"/>
  <c r="BA67" i="46"/>
  <c r="BB63" i="46"/>
  <c r="AT66" i="27"/>
  <c r="AG114" i="22"/>
  <c r="AN54" i="23"/>
  <c r="Z13" i="38"/>
  <c r="AR51" i="19"/>
  <c r="AL15" i="12"/>
  <c r="V5" i="29"/>
  <c r="AM60" i="29"/>
  <c r="Z12" i="23"/>
  <c r="AJ43" i="13"/>
  <c r="AJ69" i="13"/>
  <c r="AN19" i="13"/>
  <c r="AH36" i="23"/>
  <c r="AG45" i="24"/>
  <c r="AM80" i="29"/>
  <c r="AJ48" i="29"/>
  <c r="A12" i="25"/>
  <c r="AT123" i="17"/>
  <c r="AG21" i="38"/>
  <c r="AG102" i="22"/>
  <c r="AO90" i="23"/>
  <c r="AO116" i="23"/>
  <c r="AU73" i="17"/>
  <c r="AM99" i="29"/>
  <c r="AM81" i="29"/>
  <c r="AN34" i="29"/>
  <c r="AN115" i="23"/>
  <c r="AO120" i="23"/>
  <c r="AU77" i="17"/>
  <c r="BG7" i="45"/>
  <c r="AN36" i="29"/>
  <c r="AA20" i="24"/>
  <c r="AL36" i="17"/>
  <c r="AG42" i="22"/>
  <c r="AS41" i="28"/>
  <c r="AL22" i="12"/>
  <c r="AR82" i="19"/>
  <c r="AJ84" i="29"/>
  <c r="AP10" i="12"/>
  <c r="AT36" i="17"/>
  <c r="AT71" i="27"/>
  <c r="AN27" i="13"/>
  <c r="AT40" i="28"/>
  <c r="BF13" i="45"/>
  <c r="AS47" i="19"/>
  <c r="AT125" i="27"/>
  <c r="B32" i="25"/>
  <c r="AS47" i="28"/>
  <c r="AU53" i="17"/>
  <c r="AS81" i="27"/>
  <c r="BA74" i="46"/>
  <c r="AT53" i="27"/>
  <c r="AN62" i="10"/>
  <c r="AT43" i="46"/>
  <c r="BB55" i="46"/>
  <c r="BB12" i="46"/>
  <c r="AO86" i="23"/>
  <c r="AM98" i="29"/>
  <c r="AD8" i="9"/>
  <c r="BB27" i="46"/>
  <c r="AS68" i="27"/>
  <c r="AG121" i="22"/>
  <c r="AO64" i="23"/>
  <c r="AF26" i="10"/>
  <c r="AM43" i="38"/>
  <c r="AN128" i="23"/>
  <c r="AR81" i="19"/>
  <c r="AT27" i="46"/>
  <c r="BF27" i="45"/>
  <c r="AN29" i="38"/>
  <c r="Z8" i="22"/>
  <c r="AM45" i="29"/>
  <c r="AT11" i="46"/>
  <c r="AM91" i="13"/>
  <c r="AN102" i="23"/>
  <c r="AM47" i="13"/>
  <c r="AT94" i="17"/>
  <c r="AT115" i="27"/>
  <c r="AN8" i="29"/>
  <c r="AN37" i="29"/>
  <c r="AN132" i="23"/>
  <c r="AN79" i="23"/>
  <c r="AT36" i="46"/>
  <c r="AP7" i="12"/>
  <c r="BB22" i="46"/>
  <c r="Z14" i="22"/>
  <c r="AN27" i="38"/>
  <c r="AT33" i="28"/>
  <c r="AN45" i="29"/>
  <c r="AJ59" i="29"/>
  <c r="AN127" i="23"/>
  <c r="AO8" i="25"/>
  <c r="Z7" i="17"/>
  <c r="AM41" i="38"/>
  <c r="AJ37" i="13"/>
  <c r="AH45" i="23"/>
  <c r="C7" i="25"/>
  <c r="AJ75" i="13"/>
  <c r="AU54" i="17"/>
  <c r="AG69" i="22"/>
  <c r="AR45" i="19"/>
  <c r="AY28" i="45"/>
  <c r="AE5" i="9"/>
  <c r="BB94" i="46"/>
  <c r="AL45" i="17"/>
  <c r="AV17" i="18"/>
  <c r="AT75" i="17"/>
  <c r="AT90" i="27"/>
  <c r="AT31" i="46"/>
  <c r="AR27" i="19"/>
  <c r="BB92" i="46"/>
  <c r="AS98" i="19"/>
  <c r="BB7" i="46"/>
  <c r="BA37" i="46"/>
  <c r="AP7" i="25"/>
  <c r="AN20" i="10"/>
  <c r="AT35" i="46"/>
  <c r="AN60" i="29"/>
  <c r="AV32" i="18"/>
  <c r="AN38" i="10"/>
  <c r="AT88" i="17"/>
  <c r="V29" i="29"/>
  <c r="AT98" i="46"/>
  <c r="AJ79" i="29"/>
  <c r="AJ80" i="13"/>
  <c r="AM92" i="13"/>
  <c r="Z12" i="27"/>
  <c r="AN60" i="23"/>
  <c r="BB37" i="46"/>
  <c r="AS72" i="27"/>
  <c r="AO124" i="23"/>
  <c r="AB90" i="29"/>
  <c r="AN75" i="13"/>
  <c r="AS98" i="27"/>
  <c r="AN20" i="13"/>
  <c r="AJ98" i="29"/>
  <c r="AN91" i="13"/>
  <c r="AR8" i="19"/>
  <c r="AN49" i="23"/>
  <c r="AM34" i="38"/>
  <c r="AT35" i="17"/>
  <c r="AP42" i="25"/>
  <c r="AN21" i="10"/>
  <c r="AY32" i="45"/>
  <c r="AN72" i="23"/>
  <c r="AS67" i="19"/>
  <c r="AR39" i="19"/>
  <c r="V66" i="29"/>
  <c r="AN20" i="29"/>
  <c r="AT12" i="46"/>
  <c r="A42" i="25"/>
  <c r="AJ9" i="29"/>
  <c r="AR73" i="19"/>
  <c r="BA21" i="46"/>
  <c r="B13" i="25"/>
  <c r="AT70" i="27"/>
  <c r="AJ36" i="29"/>
  <c r="AN44" i="23"/>
  <c r="AM27" i="38"/>
  <c r="AB89" i="29"/>
  <c r="V54" i="29"/>
  <c r="AT92" i="27"/>
  <c r="AG33" i="24"/>
  <c r="AN83" i="29"/>
  <c r="AO46" i="23"/>
  <c r="C18" i="25"/>
  <c r="AC6" i="9"/>
  <c r="BA26" i="46"/>
  <c r="AM32" i="13"/>
  <c r="AS56" i="19"/>
  <c r="AN51" i="29"/>
  <c r="BA45" i="46"/>
  <c r="AU132" i="17"/>
  <c r="AN69" i="29"/>
  <c r="AH51" i="23"/>
  <c r="AM9" i="13"/>
  <c r="Z14" i="23"/>
  <c r="AS105" i="27"/>
  <c r="AS92" i="27"/>
  <c r="AO81" i="23"/>
  <c r="AG34" i="24"/>
  <c r="AW22" i="18"/>
  <c r="V90" i="29"/>
  <c r="AM19" i="29"/>
  <c r="AV22" i="18"/>
  <c r="BG33" i="45"/>
  <c r="AN23" i="13"/>
  <c r="AT87" i="27"/>
  <c r="AJ46" i="13"/>
  <c r="AM34" i="29"/>
  <c r="AS51" i="27"/>
  <c r="AT105" i="17"/>
  <c r="AP29" i="12"/>
  <c r="AJ38" i="13"/>
  <c r="AJ32" i="29"/>
  <c r="AM94" i="13"/>
  <c r="AT23" i="46"/>
  <c r="A43" i="25"/>
  <c r="AT62" i="17"/>
  <c r="AT74" i="46"/>
  <c r="AG88" i="22"/>
  <c r="AO15" i="12"/>
  <c r="AT22" i="46"/>
  <c r="BA15" i="46"/>
  <c r="AN44" i="10"/>
  <c r="AO123" i="23"/>
  <c r="AR37" i="19"/>
  <c r="AN68" i="23"/>
  <c r="AJ82" i="29"/>
  <c r="AT36" i="27"/>
  <c r="AB17" i="29"/>
  <c r="AT38" i="46"/>
  <c r="AA46" i="22"/>
  <c r="AR95" i="19"/>
  <c r="AJ87" i="13"/>
  <c r="AK44" i="27"/>
  <c r="AT21" i="28"/>
  <c r="Z10" i="38"/>
  <c r="AS132" i="27"/>
  <c r="AG67" i="22"/>
  <c r="Z13" i="17"/>
  <c r="AS36" i="27"/>
  <c r="AP8" i="25"/>
  <c r="AN80" i="23"/>
  <c r="AN38" i="13"/>
  <c r="AG98" i="22"/>
  <c r="AT15" i="46"/>
  <c r="Y14" i="16"/>
  <c r="AG71" i="22"/>
  <c r="AJ63" i="13"/>
  <c r="Z11" i="27"/>
  <c r="AT119" i="27"/>
  <c r="Y11" i="16"/>
  <c r="AS60" i="28"/>
  <c r="BA87" i="46"/>
  <c r="AO49" i="23"/>
  <c r="AJ25" i="29"/>
  <c r="AV8" i="18"/>
  <c r="BA57" i="46"/>
  <c r="AU65" i="17"/>
  <c r="AT43" i="27"/>
  <c r="AG103" i="22"/>
  <c r="AA7" i="24"/>
  <c r="AS120" i="27"/>
  <c r="AN129" i="23"/>
  <c r="AN56" i="13"/>
  <c r="AY12" i="45"/>
  <c r="AU91" i="17"/>
  <c r="AT114" i="27"/>
  <c r="AL39" i="17"/>
  <c r="AM10" i="29"/>
  <c r="AN26" i="29"/>
  <c r="AO131" i="23"/>
  <c r="A37" i="25"/>
  <c r="AO113" i="23"/>
  <c r="AT121" i="17"/>
  <c r="BB95" i="46"/>
  <c r="AM79" i="13"/>
  <c r="AN105" i="23"/>
  <c r="AU92" i="17"/>
  <c r="AN124" i="23"/>
  <c r="Z17" i="22"/>
  <c r="AN71" i="23"/>
  <c r="A28" i="25"/>
  <c r="AJ7" i="29"/>
  <c r="AO22" i="25"/>
  <c r="AO103" i="23"/>
  <c r="AM20" i="13"/>
  <c r="AS24" i="19"/>
  <c r="AM14" i="29"/>
  <c r="AO41" i="23"/>
  <c r="AT72" i="46"/>
  <c r="AT21" i="46"/>
  <c r="AF21" i="10"/>
  <c r="AM21" i="38"/>
  <c r="AV13" i="18"/>
  <c r="AH34" i="23"/>
  <c r="BA24" i="46"/>
  <c r="AN67" i="29"/>
  <c r="AK27" i="28"/>
  <c r="AS49" i="19"/>
  <c r="AT107" i="17"/>
  <c r="Y12" i="16"/>
  <c r="AA6" i="16"/>
  <c r="AM84" i="13"/>
  <c r="AM98" i="13"/>
  <c r="AT89" i="17"/>
  <c r="AS70" i="19"/>
  <c r="AT60" i="28"/>
  <c r="AU118" i="17"/>
  <c r="AR62" i="19"/>
  <c r="AN7" i="29"/>
  <c r="B17" i="25"/>
  <c r="AT35" i="28"/>
  <c r="AS48" i="28"/>
  <c r="AV23" i="18"/>
  <c r="AP13" i="25"/>
  <c r="AW23" i="18"/>
  <c r="AJ12" i="13"/>
  <c r="AA18" i="16"/>
  <c r="AT10" i="46"/>
  <c r="AF27" i="10"/>
  <c r="AM39" i="13"/>
  <c r="AT25" i="46"/>
  <c r="AU76" i="17"/>
  <c r="BF8" i="45"/>
  <c r="AT123" i="27"/>
  <c r="AT26" i="46"/>
  <c r="AN32" i="13"/>
  <c r="AA53" i="22"/>
  <c r="AJ67" i="29"/>
  <c r="AR21" i="19"/>
  <c r="AM51" i="13"/>
  <c r="AU71" i="17"/>
  <c r="AT131" i="17"/>
  <c r="AN69" i="13"/>
  <c r="AU93" i="17"/>
  <c r="AJ96" i="13"/>
  <c r="AT128" i="17"/>
  <c r="AN71" i="29"/>
  <c r="AO50" i="23"/>
  <c r="AN48" i="13"/>
  <c r="AA28" i="24"/>
  <c r="BB79" i="46"/>
  <c r="V53" i="29"/>
  <c r="AN84" i="13"/>
  <c r="AH38" i="23"/>
  <c r="AN118" i="23"/>
  <c r="AJ21" i="29"/>
  <c r="AJ61" i="29"/>
  <c r="AO79" i="23"/>
  <c r="AU129" i="17"/>
  <c r="AG32" i="24"/>
  <c r="AS129" i="27"/>
  <c r="AT47" i="17"/>
  <c r="AS59" i="28"/>
  <c r="AT86" i="27"/>
  <c r="AL17" i="25"/>
  <c r="AM94" i="29"/>
  <c r="AT119" i="17"/>
  <c r="AO45" i="23"/>
  <c r="AN33" i="10"/>
  <c r="AL46" i="17"/>
  <c r="BB48" i="46"/>
  <c r="AS40" i="27"/>
  <c r="AN71" i="13"/>
  <c r="AT127" i="27"/>
  <c r="BB59" i="46"/>
  <c r="AR79" i="19"/>
  <c r="AF20" i="10"/>
  <c r="AG58" i="24"/>
  <c r="AR58" i="19"/>
  <c r="AN13" i="13"/>
  <c r="AM59" i="13"/>
  <c r="AN64" i="10"/>
  <c r="AS88" i="27"/>
  <c r="AT85" i="46"/>
  <c r="AT51" i="27"/>
  <c r="AN48" i="29"/>
  <c r="AO92" i="23"/>
  <c r="AN31" i="29"/>
  <c r="AT59" i="46"/>
  <c r="AT22" i="28"/>
  <c r="AT47" i="27"/>
  <c r="AT70" i="46"/>
  <c r="AP15" i="12"/>
  <c r="AN74" i="29"/>
  <c r="AM37" i="13"/>
  <c r="AS19" i="19"/>
  <c r="AT53" i="17"/>
  <c r="V78" i="29"/>
  <c r="AN87" i="29"/>
  <c r="Z10" i="28"/>
  <c r="AU128" i="17"/>
  <c r="AN65" i="23"/>
  <c r="AN67" i="13"/>
  <c r="AT28" i="28"/>
  <c r="AN11" i="13"/>
  <c r="AO63" i="23"/>
  <c r="AU41" i="17"/>
  <c r="AN21" i="29"/>
  <c r="AR70" i="19"/>
  <c r="AT45" i="46"/>
  <c r="AS27" i="28"/>
  <c r="AG51" i="22"/>
  <c r="AN75" i="23"/>
  <c r="AJ91" i="13"/>
  <c r="AN34" i="23"/>
  <c r="AN7" i="13"/>
  <c r="BB35" i="46"/>
  <c r="Z20" i="22"/>
  <c r="AM48" i="29"/>
  <c r="AT46" i="27"/>
  <c r="AS35" i="27"/>
  <c r="AC5" i="9"/>
  <c r="AM60" i="13"/>
  <c r="AJ34" i="29"/>
  <c r="AS83" i="19"/>
  <c r="AM48" i="13"/>
  <c r="AN87" i="13"/>
  <c r="AG101" i="22"/>
  <c r="AJ73" i="13"/>
  <c r="AU49" i="17"/>
  <c r="AM82" i="29"/>
  <c r="AJ85" i="13"/>
  <c r="AM22" i="13"/>
  <c r="AT73" i="17"/>
  <c r="Y6" i="16"/>
  <c r="AJ47" i="29"/>
  <c r="AS45" i="27"/>
  <c r="AO96" i="23"/>
  <c r="AO101" i="23"/>
  <c r="AJ81" i="29"/>
  <c r="AN76" i="23"/>
  <c r="AJ44" i="29"/>
  <c r="BB39" i="46"/>
  <c r="AG38" i="24"/>
  <c r="AM34" i="13"/>
  <c r="AB77" i="29"/>
  <c r="AS12" i="19"/>
  <c r="AF22" i="10"/>
  <c r="BB61" i="46"/>
  <c r="AM24" i="13"/>
  <c r="AN73" i="13"/>
  <c r="AT105" i="27"/>
  <c r="AT19" i="46"/>
  <c r="AJ61" i="13"/>
  <c r="AO133" i="23"/>
  <c r="AN9" i="13"/>
  <c r="AP16" i="12"/>
  <c r="AO47" i="23"/>
  <c r="AO38" i="23"/>
  <c r="AJ11" i="13"/>
  <c r="AA34" i="22"/>
  <c r="AP33" i="25"/>
  <c r="BA63" i="46"/>
  <c r="Z16" i="22"/>
  <c r="AO42" i="25"/>
  <c r="BB33" i="46"/>
  <c r="AO23" i="25"/>
  <c r="AA13" i="16"/>
  <c r="AV33" i="18"/>
  <c r="AN24" i="29"/>
  <c r="AS34" i="27"/>
  <c r="AR49" i="19"/>
  <c r="AN42" i="38"/>
  <c r="AT43" i="17"/>
  <c r="AN57" i="29"/>
  <c r="AT87" i="46"/>
  <c r="AA44" i="22"/>
  <c r="AS11" i="19"/>
  <c r="AJ62" i="29"/>
  <c r="AV37" i="18"/>
  <c r="AG81" i="22"/>
  <c r="AT116" i="17"/>
  <c r="AJ33" i="29"/>
  <c r="AN131" i="23"/>
  <c r="AA7" i="10"/>
  <c r="BB32" i="46"/>
  <c r="BB31" i="46"/>
  <c r="AP17" i="12"/>
  <c r="AS113" i="27"/>
  <c r="AM73" i="13"/>
  <c r="AO35" i="23"/>
  <c r="AG73" i="22"/>
  <c r="AC8" i="9"/>
  <c r="AA36" i="22"/>
  <c r="AJ22" i="29"/>
  <c r="AG47" i="22"/>
  <c r="AW32" i="18"/>
  <c r="Z22" i="22"/>
  <c r="AW42" i="18"/>
  <c r="AT76" i="17"/>
  <c r="AV27" i="18"/>
  <c r="BA47" i="46"/>
  <c r="AO76" i="23"/>
  <c r="AA11" i="10"/>
  <c r="AJ26" i="29"/>
  <c r="AM83" i="13"/>
  <c r="AU86" i="17"/>
  <c r="AT106" i="17"/>
  <c r="AT50" i="27"/>
  <c r="AL8" i="12"/>
  <c r="AR15" i="19"/>
  <c r="AN51" i="13"/>
  <c r="BA9" i="46"/>
  <c r="AM79" i="29"/>
  <c r="AJ59" i="13"/>
  <c r="AM55" i="29"/>
  <c r="AR48" i="19"/>
  <c r="AL12" i="25"/>
  <c r="AT63" i="27"/>
  <c r="AY7" i="45"/>
  <c r="Z8" i="27"/>
  <c r="Z27" i="23"/>
  <c r="AJ87" i="29"/>
  <c r="AT112" i="27"/>
  <c r="AA8" i="24"/>
  <c r="AR57" i="19"/>
  <c r="AO38" i="25"/>
  <c r="AN62" i="29"/>
  <c r="AL49" i="17"/>
  <c r="AT125" i="17"/>
  <c r="AH50" i="23"/>
  <c r="AT129" i="17"/>
  <c r="AT117" i="27"/>
  <c r="AJ74" i="29"/>
  <c r="AN81" i="29"/>
  <c r="V77" i="29"/>
  <c r="Z8" i="23"/>
  <c r="AN19" i="29"/>
  <c r="AT34" i="46"/>
  <c r="AK40" i="27"/>
  <c r="AR59" i="19"/>
  <c r="AL13" i="25"/>
  <c r="AT75" i="27"/>
  <c r="AS118" i="27"/>
  <c r="AT132" i="27"/>
  <c r="AT55" i="27"/>
  <c r="BA85" i="46"/>
  <c r="AG20" i="24"/>
  <c r="AS42" i="27"/>
  <c r="AS31" i="19"/>
  <c r="AT66" i="17"/>
  <c r="AW27" i="18"/>
  <c r="A18" i="25"/>
  <c r="AU46" i="17"/>
  <c r="AJ14" i="29"/>
  <c r="AK39" i="27"/>
  <c r="BA51" i="46"/>
  <c r="Z22" i="27"/>
  <c r="AO80" i="23"/>
  <c r="AO75" i="23"/>
  <c r="AS65" i="27"/>
  <c r="Y13" i="16"/>
  <c r="AU55" i="17"/>
  <c r="AT82" i="46"/>
  <c r="AJ50" i="29"/>
  <c r="AM39" i="29"/>
  <c r="AG116" i="22"/>
  <c r="AJ98" i="13"/>
  <c r="AM7" i="29"/>
  <c r="AU44" i="17"/>
  <c r="A22" i="25"/>
  <c r="AR9" i="19"/>
  <c r="BB44" i="46"/>
  <c r="AG77" i="22"/>
  <c r="BF12" i="45"/>
  <c r="AN34" i="10"/>
  <c r="AN96" i="13"/>
  <c r="AO114" i="23"/>
  <c r="Z7" i="23"/>
  <c r="AN43" i="29"/>
  <c r="AW28" i="18"/>
  <c r="AJ94" i="13"/>
  <c r="AN68" i="29"/>
  <c r="AO39" i="23"/>
  <c r="AO16" i="12"/>
  <c r="AO28" i="12"/>
  <c r="BF37" i="45"/>
  <c r="AG38" i="22"/>
  <c r="AS65" i="28"/>
  <c r="AU87" i="17"/>
  <c r="AS13" i="19"/>
  <c r="AN25" i="13"/>
  <c r="B7" i="25"/>
  <c r="AT93" i="27"/>
  <c r="AM69" i="29"/>
  <c r="AT48" i="46"/>
  <c r="AT128" i="27"/>
  <c r="BB50" i="46"/>
  <c r="AG63" i="22"/>
  <c r="AT35" i="27"/>
  <c r="AR33" i="19"/>
  <c r="AA13" i="24"/>
  <c r="AP38" i="25"/>
  <c r="AT44" i="17"/>
  <c r="AW38" i="18"/>
  <c r="AM21" i="29"/>
  <c r="AP24" i="12"/>
  <c r="AS133" i="27"/>
  <c r="AJ71" i="29"/>
  <c r="Z13" i="27"/>
  <c r="AM36" i="38"/>
  <c r="AS112" i="27"/>
  <c r="AS114" i="27"/>
  <c r="AP27" i="25"/>
  <c r="AS33" i="28"/>
  <c r="AO77" i="23"/>
  <c r="AR99" i="19"/>
  <c r="AS8" i="19"/>
  <c r="AY23" i="45"/>
  <c r="AA10" i="10"/>
  <c r="Y9" i="16"/>
  <c r="C33" i="25"/>
  <c r="AT55" i="46"/>
  <c r="AO87" i="23"/>
  <c r="AG112" i="22"/>
  <c r="AG91" i="22"/>
  <c r="AG76" i="22"/>
  <c r="AJ31" i="13"/>
  <c r="AJ92" i="29"/>
  <c r="AM26" i="29"/>
  <c r="BA27" i="46"/>
  <c r="Z17" i="27"/>
  <c r="AS58" i="19"/>
  <c r="AS87" i="19"/>
  <c r="AM91" i="29"/>
  <c r="AM38" i="29"/>
  <c r="AM23" i="29"/>
  <c r="AT80" i="27"/>
  <c r="AS77" i="27"/>
  <c r="AM49" i="29"/>
  <c r="AS97" i="27"/>
  <c r="AN41" i="38"/>
  <c r="AS93" i="19"/>
  <c r="AS34" i="19"/>
  <c r="AT46" i="28"/>
  <c r="Z15" i="17"/>
  <c r="AU64" i="17"/>
  <c r="AU68" i="17"/>
  <c r="BA62" i="46"/>
  <c r="AH53" i="23"/>
  <c r="AU112" i="17"/>
  <c r="AM43" i="29"/>
  <c r="AJ20" i="29"/>
  <c r="AN38" i="23"/>
  <c r="AN92" i="29"/>
  <c r="AD7" i="9"/>
  <c r="AT54" i="27"/>
  <c r="AS48" i="19"/>
  <c r="Z8" i="28"/>
  <c r="AO128" i="23"/>
  <c r="AM72" i="29"/>
  <c r="AS53" i="27"/>
  <c r="AG60" i="22"/>
  <c r="BB72" i="46"/>
  <c r="Z23" i="23"/>
  <c r="AJ51" i="29"/>
  <c r="AT81" i="27"/>
  <c r="AT51" i="46"/>
  <c r="AN73" i="23"/>
  <c r="BA13" i="46"/>
  <c r="Z16" i="17"/>
  <c r="BA96" i="46"/>
  <c r="AS61" i="27"/>
  <c r="AG55" i="22"/>
  <c r="AP23" i="12"/>
  <c r="AG39" i="24"/>
  <c r="AO67" i="23"/>
  <c r="BB8" i="46"/>
  <c r="AG123" i="22"/>
  <c r="AP9" i="12"/>
  <c r="BB23" i="46"/>
  <c r="AJ15" i="13"/>
  <c r="AJ55" i="29"/>
  <c r="AS71" i="27"/>
  <c r="AT39" i="28"/>
  <c r="Y17" i="16"/>
  <c r="AJ39" i="13"/>
  <c r="AA37" i="22"/>
  <c r="AL10" i="12"/>
  <c r="AO21" i="12"/>
  <c r="AS95" i="27"/>
  <c r="AA11" i="24"/>
  <c r="AM63" i="13"/>
  <c r="AG53" i="22"/>
  <c r="AO66" i="23"/>
  <c r="AA39" i="22"/>
  <c r="AG124" i="22"/>
  <c r="AT55" i="17"/>
  <c r="AN36" i="13"/>
  <c r="AU61" i="17"/>
  <c r="AN91" i="23"/>
  <c r="AR31" i="19"/>
  <c r="AJ39" i="29"/>
  <c r="AO99" i="23"/>
  <c r="Z15" i="22"/>
  <c r="BA38" i="46"/>
  <c r="BG43" i="45"/>
  <c r="BB36" i="46"/>
  <c r="AP22" i="12"/>
  <c r="AM95" i="13"/>
  <c r="Z19" i="23"/>
  <c r="AK42" i="27"/>
  <c r="V6" i="29"/>
  <c r="AP8" i="12"/>
  <c r="AM35" i="29"/>
  <c r="BA32" i="46"/>
  <c r="AS7" i="19"/>
  <c r="AL35" i="17"/>
  <c r="AN82" i="29"/>
  <c r="AK43" i="27"/>
  <c r="Z10" i="23"/>
  <c r="AN63" i="29"/>
  <c r="AS75" i="19"/>
  <c r="AL50" i="17"/>
  <c r="AA49" i="22"/>
  <c r="AO44" i="23"/>
  <c r="AL16" i="12"/>
  <c r="AS46" i="19"/>
  <c r="Z12" i="17"/>
  <c r="A23" i="25"/>
  <c r="BG18" i="45"/>
  <c r="AT101" i="27"/>
  <c r="AM71" i="29"/>
  <c r="AR50" i="19"/>
  <c r="AN39" i="13"/>
  <c r="AT50" i="46"/>
  <c r="AT96" i="17"/>
  <c r="AJ14" i="13"/>
  <c r="AS39" i="19"/>
  <c r="AG27" i="24"/>
  <c r="AR61" i="19"/>
  <c r="AS125" i="27"/>
  <c r="AJ51" i="13"/>
  <c r="AG34" i="22"/>
  <c r="AY8" i="45"/>
  <c r="AP30" i="12"/>
  <c r="AJ83" i="29"/>
  <c r="AJ7" i="13"/>
  <c r="Z14" i="28"/>
  <c r="AM62" i="29"/>
  <c r="BG13" i="45"/>
  <c r="AN8" i="13"/>
  <c r="AJ92" i="13"/>
  <c r="Y8" i="16"/>
  <c r="BA44" i="46"/>
  <c r="AM71" i="13"/>
  <c r="AB54" i="29"/>
  <c r="AN62" i="13"/>
  <c r="AR36" i="19"/>
  <c r="AR68" i="19"/>
  <c r="AM25" i="29"/>
  <c r="AG56" i="24"/>
  <c r="AT93" i="46"/>
  <c r="B33" i="25"/>
  <c r="AT80" i="46"/>
  <c r="AR92" i="19"/>
  <c r="AA27" i="24"/>
  <c r="AR91" i="19"/>
  <c r="AD5" i="9"/>
  <c r="AS62" i="19"/>
  <c r="AJ49" i="29"/>
  <c r="AV28" i="18"/>
  <c r="B43" i="25"/>
  <c r="AN27" i="10"/>
  <c r="AT98" i="27"/>
  <c r="BB67" i="46"/>
  <c r="AT20" i="46"/>
  <c r="AL22" i="25"/>
  <c r="BA79" i="46"/>
  <c r="AA10" i="16"/>
  <c r="AT71" i="46"/>
  <c r="AM96" i="29"/>
  <c r="AN34" i="13"/>
  <c r="AN26" i="13"/>
  <c r="AT63" i="17"/>
  <c r="AO71" i="23"/>
  <c r="BA23" i="46"/>
  <c r="AJ24" i="29"/>
  <c r="AT72" i="27"/>
  <c r="AM7" i="13"/>
  <c r="AS15" i="19"/>
  <c r="AH41" i="23"/>
  <c r="BA35" i="46"/>
  <c r="AJ13" i="29"/>
  <c r="Z23" i="22"/>
  <c r="AM12" i="13"/>
  <c r="AJ72" i="13"/>
  <c r="AN45" i="10"/>
  <c r="AS75" i="27"/>
  <c r="AN28" i="38"/>
  <c r="BB91" i="46"/>
  <c r="AP32" i="25"/>
  <c r="AJ45" i="13"/>
  <c r="AT49" i="27"/>
  <c r="AS14" i="19"/>
  <c r="AG62" i="24"/>
  <c r="AT113" i="27"/>
  <c r="AR22" i="19"/>
  <c r="C22" i="25"/>
  <c r="AH42" i="23"/>
  <c r="AY43" i="45"/>
  <c r="Z24" i="27"/>
  <c r="C37" i="25"/>
  <c r="BB75" i="46"/>
  <c r="AS55" i="19"/>
  <c r="AS60" i="27"/>
  <c r="AM10" i="13"/>
  <c r="AN120" i="23"/>
  <c r="AG37" i="22"/>
  <c r="AM37" i="29"/>
  <c r="AT99" i="27"/>
  <c r="AM96" i="13"/>
  <c r="AN95" i="29"/>
  <c r="AJ47" i="13"/>
  <c r="AO10" i="12"/>
  <c r="AU95" i="17"/>
  <c r="AM44" i="13"/>
  <c r="AL55" i="17"/>
  <c r="AA22" i="24"/>
  <c r="BA72" i="46"/>
  <c r="AO37" i="23"/>
  <c r="AM12" i="29"/>
  <c r="AG132" i="22"/>
  <c r="AT65" i="17"/>
  <c r="AK50" i="27"/>
  <c r="AM81" i="13"/>
  <c r="BA20" i="46"/>
  <c r="AR86" i="19"/>
  <c r="AM74" i="13"/>
  <c r="AV38" i="18"/>
  <c r="AG26" i="24"/>
  <c r="AN43" i="13"/>
  <c r="AT68" i="27"/>
  <c r="AG35" i="22"/>
  <c r="AM8" i="13"/>
  <c r="AJ83" i="13"/>
  <c r="AS22" i="28"/>
  <c r="AJ58" i="29"/>
  <c r="AS23" i="19"/>
  <c r="Z27" i="17"/>
  <c r="AS82" i="19"/>
  <c r="AR56" i="19"/>
  <c r="AG80" i="22"/>
  <c r="AL42" i="17"/>
  <c r="AM15" i="13"/>
  <c r="AF8" i="9"/>
  <c r="AK37" i="27"/>
  <c r="AM14" i="13"/>
  <c r="Y5" i="16"/>
  <c r="AT33" i="46"/>
  <c r="AR80" i="19"/>
  <c r="AS63" i="19"/>
  <c r="AO30" i="12"/>
  <c r="AN50" i="29"/>
  <c r="AT67" i="28"/>
  <c r="AU105" i="17"/>
  <c r="BA61" i="46"/>
  <c r="BA99" i="46"/>
  <c r="AA43" i="22"/>
  <c r="AT64" i="17"/>
  <c r="AK41" i="27"/>
  <c r="C42" i="25"/>
  <c r="AO51" i="23"/>
  <c r="AU67" i="17"/>
  <c r="AN70" i="13"/>
  <c r="AT61" i="17"/>
  <c r="AR87" i="19"/>
  <c r="C32" i="25"/>
  <c r="BA93" i="46"/>
  <c r="AJ27" i="29"/>
  <c r="AN49" i="29"/>
  <c r="AD6" i="9"/>
  <c r="AJ67" i="13"/>
  <c r="AT26" i="28"/>
  <c r="AT57" i="46"/>
  <c r="AN36" i="38"/>
  <c r="AT92" i="46"/>
  <c r="AS96" i="27"/>
  <c r="AJ19" i="13"/>
  <c r="BF43" i="45"/>
  <c r="AN72" i="29"/>
  <c r="AY33" i="45"/>
  <c r="AM87" i="29"/>
  <c r="AM49" i="13"/>
  <c r="AT24" i="46"/>
  <c r="AT39" i="27"/>
  <c r="AU43" i="17"/>
  <c r="AM75" i="13"/>
  <c r="AN28" i="10"/>
  <c r="AA21" i="24"/>
  <c r="V17" i="29"/>
  <c r="AJ79" i="13"/>
  <c r="AT99" i="46"/>
  <c r="AY13" i="45"/>
  <c r="Z24" i="22"/>
  <c r="AJ48" i="13"/>
  <c r="AJ99" i="29"/>
  <c r="AS45" i="19"/>
  <c r="AJ45" i="29"/>
  <c r="AN119" i="23"/>
  <c r="AS116" i="27"/>
  <c r="AG64" i="22"/>
  <c r="AS102" i="27"/>
  <c r="AT120" i="27"/>
  <c r="AK34" i="27"/>
  <c r="AM69" i="13"/>
  <c r="AM86" i="13"/>
  <c r="AT32" i="46"/>
  <c r="AB65" i="29"/>
  <c r="AM33" i="29"/>
  <c r="AW7" i="18"/>
  <c r="AK26" i="28"/>
  <c r="AL23" i="25"/>
  <c r="B12" i="25"/>
  <c r="AS59" i="19"/>
  <c r="AM8" i="29"/>
  <c r="AN44" i="13"/>
  <c r="AN74" i="13"/>
  <c r="AL51" i="17"/>
  <c r="AO129" i="23"/>
  <c r="Z7" i="28"/>
  <c r="AN61" i="29"/>
  <c r="AY17" i="45"/>
  <c r="AR74" i="19"/>
  <c r="BG22" i="45"/>
  <c r="BA94" i="46"/>
  <c r="AU51" i="17"/>
  <c r="AJ74" i="13"/>
  <c r="AT38" i="17"/>
  <c r="AN112" i="23"/>
  <c r="BF42" i="45"/>
  <c r="AV7" i="18"/>
  <c r="AJ70" i="29"/>
  <c r="AP22" i="25"/>
  <c r="BG17" i="45"/>
  <c r="AM87" i="13"/>
  <c r="AM27" i="29"/>
  <c r="AG65" i="22"/>
  <c r="AN59" i="13"/>
  <c r="AM38" i="13"/>
  <c r="AR19" i="19"/>
  <c r="AS27" i="19"/>
  <c r="AT14" i="46"/>
  <c r="AG66" i="22"/>
  <c r="AT46" i="46"/>
  <c r="AM97" i="13"/>
  <c r="AJ8" i="29"/>
  <c r="AM26" i="13"/>
  <c r="B18" i="25"/>
  <c r="AN11" i="29"/>
  <c r="Z28" i="22"/>
  <c r="AV18" i="18"/>
  <c r="BA55" i="46"/>
  <c r="AS96" i="19"/>
  <c r="AU69" i="17"/>
  <c r="AP23" i="25"/>
  <c r="AL17" i="12"/>
  <c r="AN63" i="23"/>
  <c r="AN41" i="23"/>
  <c r="AO7" i="12"/>
  <c r="AJ62" i="13"/>
  <c r="AU99" i="17"/>
  <c r="B23" i="25"/>
  <c r="AR23" i="19"/>
  <c r="AT45" i="17"/>
  <c r="AJ25" i="13"/>
  <c r="Z11" i="38"/>
  <c r="AN45" i="23"/>
  <c r="AS97" i="19"/>
  <c r="AA5" i="16"/>
  <c r="AT115" i="17"/>
  <c r="AY22" i="45"/>
  <c r="AN37" i="13"/>
  <c r="AA8" i="10"/>
  <c r="AG52" i="24"/>
  <c r="AJ34" i="13"/>
  <c r="AM43" i="13"/>
  <c r="BB74" i="46"/>
  <c r="AN61" i="13"/>
  <c r="V18" i="29"/>
  <c r="AO23" i="12"/>
  <c r="AS94" i="27"/>
  <c r="AU81" i="17"/>
  <c r="BF32" i="45"/>
  <c r="AJ31" i="29"/>
  <c r="BF38" i="45"/>
  <c r="AG41" i="22"/>
  <c r="AR83" i="19"/>
  <c r="AT102" i="17"/>
  <c r="AS21" i="28"/>
  <c r="AT51" i="17"/>
  <c r="AG122" i="22"/>
  <c r="Z8" i="17"/>
  <c r="AG96" i="22"/>
  <c r="AM70" i="29"/>
  <c r="AS70" i="27"/>
  <c r="AM44" i="29"/>
  <c r="AS66" i="28"/>
  <c r="AE6" i="9"/>
  <c r="BA97" i="46"/>
  <c r="BA71" i="46"/>
  <c r="AJ57" i="13"/>
  <c r="AH39" i="23"/>
  <c r="AT102" i="27"/>
  <c r="AN15" i="13"/>
  <c r="BA49" i="46"/>
  <c r="AM84" i="29"/>
  <c r="AU66" i="17"/>
  <c r="AO112" i="23"/>
  <c r="AU114" i="17"/>
  <c r="AN81" i="23"/>
  <c r="AB29" i="29"/>
  <c r="AS67" i="28"/>
  <c r="AN43" i="23"/>
  <c r="AK22" i="28"/>
  <c r="AT120" i="17"/>
  <c r="Z27" i="22"/>
  <c r="AT69" i="46"/>
  <c r="BG27" i="45"/>
  <c r="AS119" i="27"/>
  <c r="AJ27" i="13"/>
  <c r="AS74" i="19"/>
  <c r="BB38" i="46"/>
  <c r="AG57" i="24"/>
  <c r="AS121" i="27"/>
  <c r="AN55" i="29"/>
  <c r="AH47" i="23"/>
  <c r="AL28" i="25"/>
  <c r="AO22" i="12"/>
  <c r="AG90" i="22"/>
  <c r="AT107" i="27"/>
  <c r="AJ72" i="29"/>
  <c r="AT41" i="27"/>
  <c r="AM24" i="29"/>
  <c r="AS95" i="19"/>
  <c r="AT122" i="27"/>
  <c r="AT49" i="46"/>
  <c r="AS49" i="27"/>
  <c r="BB21" i="46"/>
  <c r="AM61" i="13"/>
  <c r="AO91" i="23"/>
  <c r="AN64" i="23"/>
  <c r="AM35" i="38"/>
  <c r="AN58" i="10"/>
  <c r="AJ23" i="13"/>
  <c r="AS101" i="27"/>
  <c r="AN33" i="13"/>
  <c r="AK21" i="28"/>
  <c r="AU72" i="17"/>
  <c r="A8" i="25"/>
  <c r="AL43" i="17"/>
  <c r="AO27" i="25"/>
  <c r="AA55" i="22"/>
  <c r="AO18" i="25"/>
  <c r="AN86" i="13"/>
  <c r="AF28" i="10"/>
  <c r="AT113" i="17"/>
  <c r="BB25" i="46"/>
  <c r="AJ56" i="29"/>
  <c r="AJ70" i="13"/>
  <c r="AN121" i="23"/>
  <c r="AS20" i="19"/>
  <c r="AN93" i="13"/>
  <c r="AJ43" i="29"/>
  <c r="AU102" i="17"/>
  <c r="C17" i="25"/>
  <c r="AT67" i="46"/>
  <c r="AT91" i="46"/>
  <c r="AU62" i="17"/>
  <c r="AT64" i="27"/>
  <c r="AF5" i="9"/>
  <c r="BA81" i="46"/>
  <c r="AN79" i="29"/>
  <c r="BB43" i="46"/>
  <c r="AG62" i="22"/>
  <c r="AG63" i="24"/>
  <c r="AO93" i="23"/>
  <c r="AT73" i="27"/>
  <c r="AT63" i="46"/>
  <c r="AG36" i="22"/>
  <c r="AA40" i="22"/>
  <c r="Z7" i="27"/>
  <c r="AN27" i="29"/>
  <c r="V89" i="29"/>
  <c r="AN99" i="29"/>
  <c r="AS47" i="27"/>
  <c r="AT133" i="17"/>
  <c r="AT116" i="27"/>
  <c r="AR12" i="19"/>
  <c r="Z11" i="23"/>
  <c r="AM57" i="13"/>
  <c r="AN23" i="29"/>
  <c r="AT79" i="27"/>
  <c r="AN80" i="29"/>
  <c r="AM85" i="29"/>
  <c r="AS43" i="19"/>
  <c r="BB86" i="46"/>
  <c r="Z9" i="27"/>
  <c r="AR43" i="19"/>
  <c r="AO40" i="23"/>
  <c r="AN21" i="13"/>
  <c r="AN36" i="23"/>
  <c r="AM58" i="13"/>
  <c r="AT93" i="17"/>
  <c r="AT95" i="17"/>
  <c r="AT41" i="17"/>
  <c r="AR32" i="19"/>
  <c r="AG118" i="22"/>
  <c r="AN21" i="38"/>
  <c r="AT133" i="27"/>
  <c r="BB97" i="46"/>
  <c r="BA91" i="46"/>
  <c r="AN12" i="13"/>
  <c r="AM45" i="13"/>
  <c r="AO43" i="23"/>
  <c r="A33" i="25"/>
  <c r="AG113" i="22"/>
  <c r="AB41" i="29"/>
  <c r="AL21" i="12"/>
  <c r="Z28" i="23"/>
  <c r="AN61" i="23"/>
  <c r="AA47" i="22"/>
  <c r="AP28" i="12"/>
  <c r="BB71" i="46"/>
  <c r="AN98" i="23"/>
  <c r="AG128" i="22"/>
  <c r="AS68" i="19"/>
  <c r="B8" i="25"/>
  <c r="BB9" i="46"/>
  <c r="AH43" i="23"/>
  <c r="AN47" i="23"/>
  <c r="AT94" i="46"/>
  <c r="A38" i="25"/>
  <c r="BG23" i="45"/>
  <c r="AO36" i="23"/>
  <c r="AU60" i="17"/>
  <c r="AN89" i="23"/>
  <c r="C28" i="25"/>
  <c r="AM85" i="13"/>
  <c r="AM22" i="38"/>
  <c r="AU115" i="17"/>
  <c r="AO69" i="23"/>
  <c r="AO28" i="25"/>
  <c r="AJ22" i="13"/>
  <c r="AP14" i="12"/>
  <c r="BB80" i="46"/>
  <c r="AC7" i="9"/>
  <c r="AS80" i="27"/>
  <c r="AN63" i="13"/>
  <c r="AT39" i="46"/>
  <c r="AS26" i="19"/>
  <c r="AG105" i="22"/>
  <c r="BA36" i="46"/>
  <c r="AL37" i="25"/>
  <c r="AL44" i="17"/>
  <c r="BA10" i="46"/>
  <c r="AJ68" i="13"/>
  <c r="AN92" i="13"/>
  <c r="AT67" i="17"/>
  <c r="AS60" i="19"/>
  <c r="Z15" i="27"/>
  <c r="AM83" i="29"/>
  <c r="Z26" i="22"/>
  <c r="AK35" i="27"/>
  <c r="Z13" i="23"/>
  <c r="AT65" i="27"/>
  <c r="Z20" i="23"/>
  <c r="AN44" i="29"/>
  <c r="AT56" i="46"/>
  <c r="AN63" i="10"/>
  <c r="AJ8" i="13"/>
  <c r="AS37" i="27"/>
  <c r="AS32" i="19"/>
  <c r="AL38" i="17"/>
  <c r="AU125" i="17"/>
  <c r="AR60" i="19"/>
  <c r="AS123" i="27"/>
  <c r="AT13" i="46"/>
  <c r="AS127" i="27"/>
  <c r="C13" i="25"/>
  <c r="C43" i="25"/>
  <c r="Z13" i="28"/>
  <c r="AS39" i="27"/>
  <c r="AG86" i="22"/>
  <c r="AS57" i="19"/>
  <c r="AM47" i="29"/>
  <c r="AS76" i="27"/>
  <c r="AN94" i="23"/>
  <c r="AT89" i="27"/>
  <c r="AO119" i="23"/>
  <c r="AL7" i="12"/>
  <c r="BA39" i="46"/>
  <c r="AS61" i="19"/>
  <c r="AO55" i="23"/>
  <c r="AM56" i="13"/>
  <c r="AU106" i="17"/>
  <c r="AG68" i="22"/>
  <c r="AO121" i="23"/>
  <c r="AN46" i="29"/>
  <c r="AU35" i="17"/>
  <c r="AN32" i="29"/>
  <c r="AJ85" i="29"/>
  <c r="AF6" i="9"/>
  <c r="AY38" i="45"/>
  <c r="AB18" i="29"/>
  <c r="AS79" i="27"/>
  <c r="BB85" i="46"/>
  <c r="AN77" i="23"/>
  <c r="C38" i="25"/>
  <c r="BA98" i="46"/>
  <c r="AT34" i="28"/>
  <c r="BA46" i="46"/>
  <c r="AT96" i="46"/>
  <c r="AJ58" i="13"/>
  <c r="AU50" i="17"/>
  <c r="Z26" i="23"/>
  <c r="AS36" i="19"/>
  <c r="AN92" i="23"/>
  <c r="AA14" i="24"/>
  <c r="Z16" i="23"/>
  <c r="A27" i="25"/>
  <c r="AT112" i="17"/>
  <c r="AS21" i="19"/>
  <c r="AT62" i="27"/>
  <c r="AT61" i="28"/>
  <c r="AT76" i="27"/>
  <c r="BB26" i="46"/>
  <c r="AU101" i="17"/>
  <c r="AT99" i="17"/>
  <c r="Y15" i="16"/>
  <c r="AM9" i="29"/>
  <c r="AT54" i="17"/>
  <c r="BB45" i="46"/>
  <c r="AO29" i="12"/>
  <c r="BB47" i="46"/>
  <c r="AT47" i="46"/>
  <c r="AB30" i="29"/>
  <c r="BA48" i="46"/>
  <c r="AK36" i="27"/>
  <c r="AJ81" i="13"/>
  <c r="AT91" i="17"/>
  <c r="AK20" i="28"/>
  <c r="AT72" i="17"/>
  <c r="C27" i="25"/>
  <c r="AS128" i="27"/>
  <c r="AS79" i="19"/>
  <c r="AN40" i="10"/>
  <c r="AG40" i="22"/>
  <c r="AJ56" i="13"/>
  <c r="AN66" i="23"/>
  <c r="AN86" i="23"/>
  <c r="BA31" i="46"/>
  <c r="AU36" i="17"/>
  <c r="AT129" i="27"/>
  <c r="AT90" i="17"/>
  <c r="AJ24" i="13"/>
  <c r="AT97" i="46"/>
  <c r="AS9" i="19"/>
  <c r="AS85" i="19"/>
  <c r="BB58" i="46"/>
  <c r="BF18" i="45"/>
  <c r="AU121" i="17"/>
  <c r="AT44" i="27"/>
  <c r="AT91" i="27"/>
  <c r="BA58" i="46"/>
  <c r="AR20" i="19"/>
  <c r="AJ80" i="29"/>
  <c r="AT9" i="46"/>
  <c r="AM92" i="29"/>
  <c r="AG50" i="24"/>
  <c r="AU34" i="17"/>
  <c r="AM46" i="29"/>
  <c r="AN62" i="23"/>
  <c r="AK38" i="27"/>
  <c r="AR69" i="19"/>
  <c r="AY37" i="45"/>
  <c r="AO70" i="23"/>
  <c r="Z18" i="27"/>
  <c r="Z15" i="23"/>
  <c r="AR67" i="19"/>
  <c r="AM67" i="13"/>
  <c r="BF17" i="45"/>
  <c r="AU122" i="17"/>
  <c r="AT83" i="46"/>
  <c r="BG8" i="45"/>
  <c r="AT44" i="46"/>
  <c r="AR98" i="19"/>
  <c r="BA34" i="46"/>
  <c r="AH40" i="23"/>
  <c r="AU80" i="17"/>
  <c r="AM50" i="13"/>
  <c r="AO42" i="23"/>
  <c r="Z9" i="23"/>
  <c r="AJ11" i="29"/>
  <c r="AN42" i="23"/>
  <c r="AL33" i="25"/>
  <c r="AN56" i="29"/>
  <c r="AT60" i="46"/>
  <c r="Z28" i="17"/>
  <c r="AS41" i="27"/>
  <c r="AT69" i="27"/>
  <c r="AS20" i="28"/>
  <c r="AJ91" i="29"/>
  <c r="AB5" i="29"/>
  <c r="AL42" i="25"/>
  <c r="AR96" i="19"/>
  <c r="AG72" i="22"/>
  <c r="AG61" i="22"/>
  <c r="AJ49" i="13"/>
  <c r="AM62" i="13"/>
  <c r="AW18" i="18"/>
  <c r="AU119" i="17"/>
  <c r="AS55" i="27"/>
  <c r="BB69" i="46"/>
  <c r="AW12" i="18"/>
  <c r="AS53" i="28"/>
  <c r="AM36" i="29"/>
  <c r="AB53" i="29"/>
  <c r="AT48" i="28"/>
  <c r="AN94" i="29"/>
  <c r="AJ13" i="13"/>
  <c r="AT77" i="27"/>
  <c r="BA14" i="46"/>
  <c r="AJ12" i="29"/>
  <c r="AK49" i="27"/>
  <c r="AN75" i="29"/>
  <c r="AG94" i="22"/>
  <c r="AJ23" i="29"/>
  <c r="AM93" i="13"/>
  <c r="V41" i="29"/>
  <c r="Z19" i="22"/>
  <c r="AG120" i="22"/>
  <c r="AO98" i="23"/>
  <c r="BB99" i="46"/>
  <c r="AG22" i="24"/>
  <c r="AM31" i="29"/>
  <c r="Z24" i="23"/>
  <c r="Y18" i="16"/>
  <c r="AM28" i="38"/>
  <c r="AO107" i="23"/>
  <c r="AK55" i="27"/>
  <c r="AG106" i="22"/>
  <c r="AN26" i="10"/>
  <c r="BA25" i="46"/>
  <c r="AM46" i="13"/>
  <c r="AT81" i="46"/>
  <c r="AN85" i="29"/>
  <c r="AR7" i="19"/>
  <c r="AL53" i="17"/>
  <c r="BB84" i="46"/>
  <c r="Z14" i="38"/>
  <c r="AL7" i="25"/>
  <c r="AT40" i="27"/>
  <c r="C8" i="25"/>
  <c r="AL24" i="12"/>
  <c r="BA75" i="46"/>
  <c r="Z11" i="28"/>
  <c r="AJ55" i="13"/>
  <c r="BA12" i="46"/>
  <c r="AN24" i="13"/>
  <c r="AS115" i="27"/>
  <c r="AN25" i="29"/>
  <c r="BB83" i="46"/>
  <c r="AT27" i="28"/>
  <c r="BB15" i="46"/>
  <c r="AJ86" i="29"/>
  <c r="AT95" i="27"/>
  <c r="AN60" i="13"/>
  <c r="BA92" i="46"/>
  <c r="BB34" i="46"/>
  <c r="AT86" i="17"/>
  <c r="Z14" i="27"/>
  <c r="AJ10" i="29"/>
  <c r="AM57" i="29"/>
  <c r="AA14" i="10"/>
  <c r="Z19" i="27"/>
  <c r="AJ86" i="13"/>
  <c r="BA73" i="46"/>
  <c r="AJ99" i="13"/>
  <c r="AN10" i="13"/>
  <c r="AO118" i="23"/>
  <c r="AO31" i="12"/>
  <c r="AJ93" i="13"/>
  <c r="AN88" i="23"/>
  <c r="AJ35" i="13"/>
  <c r="AM74" i="29"/>
  <c r="AO117" i="23"/>
  <c r="AT61" i="46"/>
  <c r="BF7" i="45"/>
  <c r="AH49" i="23"/>
  <c r="AU39" i="17"/>
  <c r="Z14" i="17"/>
  <c r="AG133" i="22"/>
  <c r="BA68" i="46"/>
  <c r="AT42" i="27"/>
  <c r="AP28" i="25"/>
  <c r="AS35" i="28"/>
  <c r="AN38" i="29"/>
  <c r="Z24" i="17"/>
  <c r="AN87" i="23"/>
  <c r="AS22" i="19"/>
  <c r="AM68" i="29"/>
  <c r="BB10" i="46"/>
  <c r="AT39" i="17"/>
  <c r="AT49" i="17"/>
  <c r="AS63" i="27"/>
  <c r="AN22" i="38"/>
  <c r="AU94" i="17"/>
  <c r="AM11" i="13"/>
  <c r="Y16" i="16"/>
  <c r="AN68" i="13"/>
  <c r="AA26" i="24"/>
  <c r="AS84" i="19"/>
  <c r="AR75" i="19"/>
  <c r="Y20" i="16"/>
  <c r="Z13" i="22"/>
  <c r="AR85" i="19"/>
  <c r="AN59" i="29"/>
  <c r="AT117" i="17"/>
  <c r="AT69" i="17"/>
  <c r="BF28" i="45"/>
  <c r="AH46" i="23"/>
  <c r="AV12" i="18"/>
  <c r="AJ73" i="29"/>
  <c r="AS61" i="28"/>
  <c r="V42" i="29"/>
  <c r="Z22" i="23"/>
  <c r="AM36" i="13"/>
  <c r="AY27" i="45"/>
  <c r="AS34" i="28"/>
  <c r="BB82" i="46"/>
  <c r="AN57" i="10"/>
  <c r="AN70" i="23"/>
  <c r="AO102" i="23"/>
  <c r="A7" i="25"/>
  <c r="AB42" i="29"/>
  <c r="AS33" i="19"/>
  <c r="AJ21" i="13"/>
  <c r="AT61" i="27"/>
  <c r="AS73" i="27"/>
  <c r="AS81" i="19"/>
  <c r="AJ94" i="29"/>
  <c r="AM56" i="29"/>
  <c r="AJ60" i="13"/>
  <c r="AT46" i="17"/>
  <c r="BB11" i="46"/>
  <c r="AR97" i="19"/>
  <c r="AT118" i="17"/>
  <c r="AS72" i="19"/>
  <c r="AL27" i="25"/>
  <c r="AT58" i="46"/>
  <c r="AR94" i="19"/>
  <c r="AU98" i="17"/>
  <c r="Z10" i="27"/>
  <c r="AL31" i="12"/>
  <c r="AN106" i="23"/>
  <c r="AN93" i="29"/>
  <c r="AH37" i="23"/>
  <c r="AN73" i="29"/>
  <c r="AS51" i="19"/>
  <c r="AO72" i="23"/>
  <c r="AN113" i="23"/>
  <c r="BB46" i="46"/>
  <c r="AM58" i="29"/>
  <c r="AN80" i="13"/>
  <c r="AE8" i="9"/>
  <c r="AO122" i="23"/>
  <c r="AU113" i="17"/>
  <c r="AU123" i="17"/>
  <c r="AK28" i="28"/>
  <c r="AO65" i="23"/>
  <c r="AP31" i="12"/>
  <c r="BB13" i="46"/>
  <c r="AM27" i="13"/>
  <c r="AM67" i="29"/>
  <c r="AS80" i="19"/>
  <c r="AN35" i="13"/>
  <c r="AS10" i="19"/>
  <c r="Z18" i="22"/>
  <c r="AO7" i="25"/>
  <c r="Z11" i="17"/>
  <c r="AS38" i="27"/>
  <c r="AN96" i="23"/>
  <c r="AT75" i="46"/>
  <c r="AT41" i="28"/>
  <c r="BB14" i="46"/>
  <c r="AJ71" i="13"/>
  <c r="AB78" i="29"/>
  <c r="Z26" i="27"/>
  <c r="AN45" i="13"/>
  <c r="AA54" i="22"/>
  <c r="BA60" i="46"/>
  <c r="AR11" i="19"/>
  <c r="AA38" i="22"/>
  <c r="BA22" i="46"/>
  <c r="AT124" i="17"/>
  <c r="AL38" i="25"/>
  <c r="AU131" i="17"/>
  <c r="AS28" i="28"/>
  <c r="AN79" i="13"/>
  <c r="AT79" i="46"/>
  <c r="Z22" i="17"/>
  <c r="AO32" i="25"/>
  <c r="AO105" i="23"/>
  <c r="AO61" i="23"/>
  <c r="Z11" i="22"/>
  <c r="AM86" i="29"/>
  <c r="AG107" i="22"/>
  <c r="AU88" i="17"/>
  <c r="AN98" i="29"/>
  <c r="AJ37" i="29"/>
  <c r="AT53" i="28"/>
  <c r="AU127" i="17"/>
  <c r="AJ75" i="29"/>
  <c r="AL32" i="25"/>
  <c r="AT37" i="27"/>
  <c r="BB20" i="46"/>
  <c r="AG79" i="22"/>
  <c r="AN99" i="13"/>
  <c r="AG131" i="22"/>
  <c r="AS86" i="19"/>
  <c r="AJ63" i="29"/>
  <c r="AN15" i="29"/>
  <c r="AL14" i="12"/>
  <c r="AJ46" i="29"/>
  <c r="AK54" i="27"/>
  <c r="AJ26" i="13"/>
  <c r="AN14" i="13"/>
  <c r="AN14" i="29"/>
  <c r="AM20" i="38"/>
  <c r="AN12" i="29"/>
  <c r="BA69" i="46"/>
  <c r="BG37" i="45"/>
  <c r="AJ82" i="13"/>
  <c r="AN40" i="23"/>
  <c r="AR10" i="19"/>
  <c r="AM42" i="38"/>
  <c r="AK45" i="27"/>
  <c r="AN35" i="23"/>
  <c r="AT54" i="28"/>
  <c r="AN117" i="23"/>
  <c r="AT81" i="17"/>
  <c r="AN22" i="13"/>
  <c r="AS89" i="27"/>
  <c r="AA42" i="22"/>
  <c r="B38" i="25"/>
  <c r="AT127" i="17"/>
  <c r="AN69" i="23"/>
  <c r="AS87" i="27"/>
  <c r="AS69" i="19"/>
  <c r="AG28" i="24"/>
  <c r="AN58" i="29"/>
  <c r="AS94" i="19"/>
  <c r="AT97" i="17"/>
  <c r="AS50" i="27"/>
  <c r="AO89" i="23"/>
  <c r="AO115" i="23"/>
  <c r="AN70" i="29"/>
  <c r="AG93" i="22"/>
  <c r="AU90" i="17"/>
  <c r="AR47" i="19"/>
  <c r="AN52" i="10"/>
  <c r="AT20" i="28"/>
  <c r="BA7" i="46"/>
  <c r="AN85" i="13"/>
  <c r="AO54" i="23"/>
  <c r="AT59" i="28"/>
  <c r="AG115" i="22"/>
  <c r="AN114" i="23"/>
  <c r="AN39" i="10"/>
  <c r="AN82" i="13"/>
  <c r="AM15" i="29"/>
  <c r="AR24" i="19"/>
  <c r="AW33" i="18"/>
  <c r="AM13" i="29"/>
  <c r="BG12" i="45"/>
  <c r="BB19" i="46"/>
  <c r="AN34" i="38"/>
  <c r="BA95" i="46"/>
  <c r="C12" i="25"/>
  <c r="AS52" i="28"/>
  <c r="Z20" i="27"/>
  <c r="BB57" i="46"/>
  <c r="AS26" i="28"/>
  <c r="AM68" i="13"/>
  <c r="AM72" i="13"/>
  <c r="AO17" i="25"/>
  <c r="AR38" i="19"/>
  <c r="AT47" i="28"/>
  <c r="AN93" i="23"/>
  <c r="AR93" i="19"/>
  <c r="AN13" i="29"/>
  <c r="AL54" i="17"/>
  <c r="AU117" i="17"/>
  <c r="AJ9" i="13"/>
  <c r="AA45" i="22"/>
  <c r="AG95" i="22"/>
  <c r="AU75" i="17"/>
  <c r="AN51" i="23"/>
  <c r="AA13" i="10"/>
  <c r="AB6" i="29"/>
  <c r="AS93" i="27"/>
  <c r="BG38" i="45"/>
  <c r="AN97" i="23"/>
  <c r="AM61" i="29"/>
  <c r="AS86" i="27"/>
  <c r="AJ84" i="13"/>
  <c r="BF23" i="45"/>
  <c r="AL28" i="12"/>
  <c r="AS91" i="19"/>
  <c r="AJ44" i="13"/>
  <c r="AM31" i="13"/>
  <c r="AL18" i="25"/>
  <c r="AG46" i="22"/>
  <c r="AK51" i="27"/>
  <c r="AO73" i="23"/>
  <c r="AS25" i="19"/>
  <c r="AG129" i="22"/>
  <c r="AN49" i="13"/>
  <c r="AK53" i="27"/>
  <c r="AS106" i="27"/>
  <c r="BA50" i="46"/>
  <c r="AN94" i="13"/>
  <c r="Z19" i="17"/>
  <c r="AS43" i="27"/>
  <c r="AN46" i="10"/>
  <c r="AT60" i="27"/>
  <c r="AS92" i="19"/>
  <c r="AT131" i="27"/>
  <c r="BA83" i="46"/>
  <c r="AW13" i="18"/>
  <c r="AG64" i="24"/>
  <c r="AN56" i="10"/>
  <c r="AT121" i="27"/>
  <c r="AO13" i="25"/>
  <c r="AO106" i="23"/>
  <c r="Z23" i="17"/>
  <c r="AG97" i="22"/>
  <c r="AT68" i="46"/>
  <c r="AT45" i="27"/>
  <c r="AS44" i="19"/>
  <c r="AM19" i="13"/>
  <c r="AU124" i="17"/>
  <c r="AS50" i="19"/>
  <c r="AO95" i="23"/>
  <c r="AO14" i="12"/>
  <c r="AJ50" i="13"/>
  <c r="AM33" i="13"/>
  <c r="AJ97" i="13"/>
  <c r="AS103" i="27"/>
  <c r="AT37" i="17"/>
  <c r="AR72" i="19"/>
  <c r="AT70" i="17"/>
  <c r="AN97" i="29"/>
  <c r="AJ95" i="29"/>
  <c r="AT88" i="27"/>
  <c r="AN39" i="23"/>
  <c r="AG89" i="22"/>
  <c r="Z17" i="17"/>
  <c r="AG70" i="22"/>
  <c r="BB24" i="46"/>
  <c r="AT97" i="27"/>
  <c r="BB68" i="46"/>
  <c r="AS46" i="27"/>
  <c r="AN55" i="13"/>
  <c r="BB60" i="46"/>
  <c r="AN35" i="38"/>
  <c r="AA50" i="22"/>
  <c r="AN50" i="23"/>
  <c r="B27" i="25"/>
  <c r="V30" i="29"/>
  <c r="AG20" i="38"/>
  <c r="AN47" i="13"/>
  <c r="Z16" i="27"/>
  <c r="AN107" i="23"/>
  <c r="Z7" i="22"/>
  <c r="AN98" i="13"/>
  <c r="BB87" i="46"/>
  <c r="BB73" i="46"/>
  <c r="AL47" i="17"/>
  <c r="AT65" i="28"/>
  <c r="Z27" i="27"/>
  <c r="AT95" i="46"/>
  <c r="AA10" i="24"/>
  <c r="AN103" i="23"/>
  <c r="AE7" i="9"/>
  <c r="AN72" i="13"/>
  <c r="AT124" i="27"/>
  <c r="AN83" i="13"/>
  <c r="AN97" i="13"/>
  <c r="AB66" i="29"/>
  <c r="BB93" i="46"/>
  <c r="AO127" i="23"/>
  <c r="AN10" i="29"/>
  <c r="Z23" i="27"/>
  <c r="AS107" i="27"/>
  <c r="AG54" i="22"/>
  <c r="AO62" i="23"/>
  <c r="AU38" i="17"/>
  <c r="AU79" i="17"/>
  <c r="Z28" i="27"/>
  <c r="AN46" i="23"/>
  <c r="AM11" i="29"/>
  <c r="Z7" i="38"/>
  <c r="AG44" i="24"/>
  <c r="AT84" i="46"/>
  <c r="AT40" i="17"/>
  <c r="AJ68" i="29"/>
  <c r="AO12" i="25"/>
  <c r="AR26" i="19"/>
  <c r="B42" i="25"/>
  <c r="AU45" i="17"/>
  <c r="AJ19" i="29"/>
  <c r="AM99" i="13"/>
  <c r="AN43" i="38"/>
  <c r="AO53" i="23"/>
  <c r="AG127" i="22"/>
  <c r="AJ15" i="29"/>
  <c r="BA43" i="46"/>
  <c r="AJ35" i="29"/>
  <c r="AM20" i="29"/>
  <c r="BB56" i="46"/>
  <c r="AR55" i="19"/>
  <c r="AT106" i="27"/>
  <c r="A32" i="25"/>
  <c r="AU47" i="17"/>
  <c r="AM95" i="29"/>
  <c r="AJ95" i="13"/>
  <c r="AN122" i="23"/>
  <c r="AO33" i="25"/>
  <c r="AT34" i="17"/>
  <c r="AN39" i="29"/>
  <c r="AG43" i="22"/>
  <c r="Z17" i="23"/>
  <c r="AV42" i="18"/>
  <c r="AJ96" i="29"/>
  <c r="AG44" i="22"/>
  <c r="AG75" i="22"/>
  <c r="Z9" i="22"/>
  <c r="AO9" i="12"/>
  <c r="AN57" i="13"/>
  <c r="AS54" i="27"/>
  <c r="Z20" i="17"/>
  <c r="AP43" i="25"/>
  <c r="AN33" i="29"/>
  <c r="BA86" i="46"/>
  <c r="AN81" i="13"/>
  <c r="BG32" i="45"/>
  <c r="AM80" i="13"/>
  <c r="BG42" i="45"/>
  <c r="AT103" i="27"/>
  <c r="AR46" i="19"/>
  <c r="AP21" i="12"/>
  <c r="AR34" i="19"/>
  <c r="AV21" i="12" l="1"/>
  <c r="BM42" i="45"/>
  <c r="BM32" i="45"/>
  <c r="AT81" i="13"/>
  <c r="AA20" i="17"/>
  <c r="AT57" i="13"/>
  <c r="AJ9" i="22"/>
  <c r="AJ75" i="22"/>
  <c r="AT17" i="23"/>
  <c r="AT122" i="23"/>
  <c r="BH56" i="46"/>
  <c r="AJ127" i="22"/>
  <c r="AS43" i="38"/>
  <c r="AJ44" i="24"/>
  <c r="AS7" i="38"/>
  <c r="AY28" i="27"/>
  <c r="AY107" i="27"/>
  <c r="AY23" i="27"/>
  <c r="BH93" i="46"/>
  <c r="AT97" i="13"/>
  <c r="AT83" i="13"/>
  <c r="AT72" i="13"/>
  <c r="AT103" i="23"/>
  <c r="AJ10" i="24"/>
  <c r="AY27" i="27"/>
  <c r="AX47" i="17"/>
  <c r="BH73" i="46"/>
  <c r="BH87" i="46"/>
  <c r="AT98" i="13"/>
  <c r="AJ7" i="22"/>
  <c r="AT107" i="23"/>
  <c r="AY16" i="27"/>
  <c r="AT47" i="13"/>
  <c r="AS20" i="38"/>
  <c r="AJ50" i="22"/>
  <c r="BH60" i="46"/>
  <c r="AT55" i="13"/>
  <c r="BH68" i="46"/>
  <c r="BH24" i="46"/>
  <c r="AJ70" i="22"/>
  <c r="AA17" i="17"/>
  <c r="AJ89" i="22"/>
  <c r="AX70" i="17"/>
  <c r="AY103" i="27"/>
  <c r="AW50" i="19"/>
  <c r="AW44" i="19"/>
  <c r="AJ97" i="22"/>
  <c r="AA23" i="17"/>
  <c r="AQ56" i="10"/>
  <c r="AJ64" i="24"/>
  <c r="BA13" i="18"/>
  <c r="AW92" i="19"/>
  <c r="AQ46" i="10"/>
  <c r="AA19" i="17"/>
  <c r="AT94" i="13"/>
  <c r="AY106" i="27"/>
  <c r="AY53" i="27"/>
  <c r="AT49" i="13"/>
  <c r="AJ129" i="22"/>
  <c r="AW25" i="19"/>
  <c r="AY51" i="27"/>
  <c r="AW91" i="19"/>
  <c r="AY86" i="27"/>
  <c r="AT97" i="23"/>
  <c r="BM38" i="45"/>
  <c r="AY93" i="27"/>
  <c r="AQ13" i="10"/>
  <c r="AJ95" i="22"/>
  <c r="AJ45" i="22"/>
  <c r="AX54" i="17"/>
  <c r="AT93" i="23"/>
  <c r="BH57" i="46"/>
  <c r="AY20" i="27"/>
  <c r="AY52" i="28"/>
  <c r="Z12" i="25"/>
  <c r="Q12" i="25"/>
  <c r="BH19" i="46"/>
  <c r="BM12" i="45"/>
  <c r="BA33" i="18"/>
  <c r="AT82" i="13"/>
  <c r="AQ39" i="10"/>
  <c r="AT114" i="23"/>
  <c r="AJ115" i="22"/>
  <c r="AT85" i="13"/>
  <c r="AQ52" i="10"/>
  <c r="AJ93" i="22"/>
  <c r="AX97" i="17"/>
  <c r="AW94" i="19"/>
  <c r="AW69" i="19"/>
  <c r="AY87" i="27"/>
  <c r="AT69" i="23"/>
  <c r="AX127" i="17"/>
  <c r="AJ42" i="22"/>
  <c r="AY89" i="27"/>
  <c r="AT22" i="13"/>
  <c r="AX81" i="17"/>
  <c r="AT117" i="23"/>
  <c r="AY45" i="27"/>
  <c r="BM37" i="45"/>
  <c r="AT14" i="13"/>
  <c r="AY54" i="27"/>
  <c r="AW86" i="19"/>
  <c r="AJ131" i="22"/>
  <c r="AT99" i="13"/>
  <c r="AJ79" i="22"/>
  <c r="BH20" i="46"/>
  <c r="AJ107" i="22"/>
  <c r="AJ11" i="22"/>
  <c r="AA22" i="17"/>
  <c r="AT79" i="13"/>
  <c r="AX124" i="17"/>
  <c r="AJ38" i="22"/>
  <c r="AJ54" i="22"/>
  <c r="AT45" i="13"/>
  <c r="AY26" i="27"/>
  <c r="BH14" i="46"/>
  <c r="AT96" i="23"/>
  <c r="AA11" i="17"/>
  <c r="AJ18" i="22"/>
  <c r="AW10" i="19"/>
  <c r="AT35" i="13"/>
  <c r="AW80" i="19"/>
  <c r="BH13" i="46"/>
  <c r="AV31" i="12"/>
  <c r="AY28" i="28"/>
  <c r="AT80" i="13"/>
  <c r="BH46" i="46"/>
  <c r="AT113" i="23"/>
  <c r="AW51" i="19"/>
  <c r="AT37" i="23"/>
  <c r="AT106" i="23"/>
  <c r="AY10" i="27"/>
  <c r="AW72" i="19"/>
  <c r="AX118" i="17"/>
  <c r="BH11" i="46"/>
  <c r="AW81" i="19"/>
  <c r="AY73" i="27"/>
  <c r="AW33" i="19"/>
  <c r="AT70" i="23"/>
  <c r="AQ57" i="10"/>
  <c r="BH82" i="46"/>
  <c r="AY34" i="28"/>
  <c r="AT22" i="23"/>
  <c r="AY61" i="28"/>
  <c r="AT46" i="23"/>
  <c r="AX69" i="17"/>
  <c r="AX117" i="17"/>
  <c r="AJ13" i="22"/>
  <c r="AI20" i="16"/>
  <c r="AW84" i="19"/>
  <c r="AJ26" i="24"/>
  <c r="AT68" i="13"/>
  <c r="AI16" i="16"/>
  <c r="AY63" i="27"/>
  <c r="BH10" i="46"/>
  <c r="AW22" i="19"/>
  <c r="AT87" i="23"/>
  <c r="AA24" i="17"/>
  <c r="AY35" i="28"/>
  <c r="AJ133" i="22"/>
  <c r="AA14" i="17"/>
  <c r="AT49" i="23"/>
  <c r="AT88" i="23"/>
  <c r="AT10" i="13"/>
  <c r="AY19" i="27"/>
  <c r="AQ14" i="10"/>
  <c r="AY14" i="27"/>
  <c r="AX86" i="17"/>
  <c r="BH34" i="46"/>
  <c r="AT60" i="13"/>
  <c r="BH15" i="46"/>
  <c r="BH83" i="46"/>
  <c r="AY115" i="27"/>
  <c r="AT24" i="13"/>
  <c r="AY11" i="28"/>
  <c r="Q8" i="25"/>
  <c r="Z8" i="25"/>
  <c r="AS14" i="38"/>
  <c r="BH84" i="46"/>
  <c r="AX53" i="17"/>
  <c r="AJ106" i="22"/>
  <c r="AY55" i="27"/>
  <c r="AS28" i="38"/>
  <c r="AI18" i="16"/>
  <c r="AT24" i="23"/>
  <c r="BH99" i="46"/>
  <c r="AJ120" i="22"/>
  <c r="AJ19" i="22"/>
  <c r="V48" i="29"/>
  <c r="Y48" i="29" s="1"/>
  <c r="W51" i="29"/>
  <c r="Z51" i="29" s="1"/>
  <c r="W45" i="29"/>
  <c r="Z45" i="29" s="1"/>
  <c r="V49" i="29"/>
  <c r="Y49" i="29" s="1"/>
  <c r="V50" i="29"/>
  <c r="Y50" i="29" s="1"/>
  <c r="W49" i="29"/>
  <c r="Z49" i="29" s="1"/>
  <c r="W44" i="29"/>
  <c r="Z44" i="29" s="1"/>
  <c r="W48" i="29"/>
  <c r="Z48" i="29" s="1"/>
  <c r="V47" i="29"/>
  <c r="Y47" i="29" s="1"/>
  <c r="W47" i="29"/>
  <c r="Z47" i="29" s="1"/>
  <c r="W50" i="29"/>
  <c r="Z50" i="29" s="1"/>
  <c r="V44" i="29"/>
  <c r="Y44" i="29" s="1"/>
  <c r="W43" i="29"/>
  <c r="Z43" i="29" s="1"/>
  <c r="V46" i="29"/>
  <c r="Y46" i="29" s="1"/>
  <c r="V43" i="29"/>
  <c r="Y43" i="29" s="1"/>
  <c r="W46" i="29"/>
  <c r="Z46" i="29" s="1"/>
  <c r="V51" i="29"/>
  <c r="Y51" i="29" s="1"/>
  <c r="V45" i="29"/>
  <c r="Y45" i="29" s="1"/>
  <c r="AJ94" i="22"/>
  <c r="AY49" i="27"/>
  <c r="AB62" i="29"/>
  <c r="AE62" i="29" s="1"/>
  <c r="AB57" i="29"/>
  <c r="AE57" i="29" s="1"/>
  <c r="AB63" i="29"/>
  <c r="AE63" i="29" s="1"/>
  <c r="AC55" i="29"/>
  <c r="AF55" i="29" s="1"/>
  <c r="AC63" i="29"/>
  <c r="AF63" i="29" s="1"/>
  <c r="AB56" i="29"/>
  <c r="AE56" i="29" s="1"/>
  <c r="AC62" i="29"/>
  <c r="AF62" i="29" s="1"/>
  <c r="AC59" i="29"/>
  <c r="AF59" i="29" s="1"/>
  <c r="AB60" i="29"/>
  <c r="AE60" i="29" s="1"/>
  <c r="AB58" i="29"/>
  <c r="AE58" i="29" s="1"/>
  <c r="AB59" i="29"/>
  <c r="AE59" i="29" s="1"/>
  <c r="AB61" i="29"/>
  <c r="AE61" i="29" s="1"/>
  <c r="AC60" i="29"/>
  <c r="AF60" i="29" s="1"/>
  <c r="AC56" i="29"/>
  <c r="AF56" i="29" s="1"/>
  <c r="AC61" i="29"/>
  <c r="AF61" i="29" s="1"/>
  <c r="AB55" i="29"/>
  <c r="AE55" i="29" s="1"/>
  <c r="AC57" i="29"/>
  <c r="AF57" i="29" s="1"/>
  <c r="AC58" i="29"/>
  <c r="AF58" i="29" s="1"/>
  <c r="AY53" i="28"/>
  <c r="BA12" i="18"/>
  <c r="BH69" i="46"/>
  <c r="BA18" i="18"/>
  <c r="AJ61" i="22"/>
  <c r="AJ72" i="22"/>
  <c r="AB15" i="29"/>
  <c r="AE15" i="29" s="1"/>
  <c r="AB13" i="29"/>
  <c r="AE13" i="29" s="1"/>
  <c r="AB7" i="29"/>
  <c r="AE7" i="29" s="1"/>
  <c r="AC10" i="29"/>
  <c r="AF10" i="29" s="1"/>
  <c r="AC9" i="29"/>
  <c r="AF9" i="29" s="1"/>
  <c r="AC15" i="29"/>
  <c r="AF15" i="29" s="1"/>
  <c r="AB10" i="29"/>
  <c r="AE10" i="29" s="1"/>
  <c r="AC11" i="29"/>
  <c r="AF11" i="29" s="1"/>
  <c r="AB8" i="29"/>
  <c r="AE8" i="29" s="1"/>
  <c r="AB11" i="29"/>
  <c r="AE11" i="29" s="1"/>
  <c r="AC13" i="29"/>
  <c r="AF13" i="29" s="1"/>
  <c r="AB9" i="29"/>
  <c r="AE9" i="29" s="1"/>
  <c r="AB12" i="29"/>
  <c r="AE12" i="29" s="1"/>
  <c r="AC8" i="29"/>
  <c r="AF8" i="29" s="1"/>
  <c r="AB14" i="29"/>
  <c r="AE14" i="29" s="1"/>
  <c r="AC12" i="29"/>
  <c r="AF12" i="29" s="1"/>
  <c r="AC14" i="29"/>
  <c r="AF14" i="29" s="1"/>
  <c r="AC7" i="29"/>
  <c r="AF7" i="29" s="1"/>
  <c r="AA28" i="17"/>
  <c r="AT9" i="23"/>
  <c r="AT40" i="23"/>
  <c r="BM8" i="45"/>
  <c r="AT15" i="23"/>
  <c r="AY18" i="27"/>
  <c r="AY38" i="27"/>
  <c r="AT62" i="23"/>
  <c r="AJ50" i="24"/>
  <c r="BH58" i="46"/>
  <c r="AW85" i="19"/>
  <c r="AW9" i="19"/>
  <c r="AX90" i="17"/>
  <c r="AT86" i="23"/>
  <c r="AT66" i="23"/>
  <c r="AQ40" i="10"/>
  <c r="AW79" i="19"/>
  <c r="AY128" i="27"/>
  <c r="Z27" i="25"/>
  <c r="Q27" i="25"/>
  <c r="AX72" i="17"/>
  <c r="AY20" i="28"/>
  <c r="AX91" i="17"/>
  <c r="AY36" i="27"/>
  <c r="BH47" i="46"/>
  <c r="BH45" i="46"/>
  <c r="AI15" i="16"/>
  <c r="AX99" i="17"/>
  <c r="BH26" i="46"/>
  <c r="AW21" i="19"/>
  <c r="AX112" i="17"/>
  <c r="AT16" i="23"/>
  <c r="AJ14" i="24"/>
  <c r="AT92" i="23"/>
  <c r="AW36" i="19"/>
  <c r="AT26" i="23"/>
  <c r="Z38" i="25"/>
  <c r="Q38" i="25"/>
  <c r="AT77" i="23"/>
  <c r="BH85" i="46"/>
  <c r="AY79" i="27"/>
  <c r="AJ68" i="22"/>
  <c r="AW61" i="19"/>
  <c r="AT94" i="23"/>
  <c r="AY76" i="27"/>
  <c r="AW57" i="19"/>
  <c r="AJ86" i="22"/>
  <c r="AY13" i="28"/>
  <c r="Q43" i="25"/>
  <c r="Z43" i="25"/>
  <c r="Z13" i="25"/>
  <c r="Q13" i="25"/>
  <c r="AY127" i="27"/>
  <c r="AY123" i="27"/>
  <c r="AX38" i="17"/>
  <c r="AW32" i="19"/>
  <c r="AQ63" i="10"/>
  <c r="AT20" i="23"/>
  <c r="AT13" i="23"/>
  <c r="AY35" i="27"/>
  <c r="AJ26" i="22"/>
  <c r="AY15" i="27"/>
  <c r="AW60" i="19"/>
  <c r="AX67" i="17"/>
  <c r="AT92" i="13"/>
  <c r="AX44" i="17"/>
  <c r="AJ105" i="22"/>
  <c r="AW26" i="19"/>
  <c r="AT63" i="13"/>
  <c r="AY80" i="27"/>
  <c r="AU7" i="9"/>
  <c r="BH80" i="46"/>
  <c r="AV14" i="12"/>
  <c r="Z28" i="25"/>
  <c r="Q28" i="25"/>
  <c r="AT89" i="23"/>
  <c r="BM23" i="45"/>
  <c r="AT43" i="23"/>
  <c r="BH9" i="46"/>
  <c r="AW68" i="19"/>
  <c r="AJ128" i="22"/>
  <c r="AT98" i="23"/>
  <c r="BH71" i="46"/>
  <c r="AV28" i="12"/>
  <c r="AJ47" i="22"/>
  <c r="AT61" i="23"/>
  <c r="AT28" i="23"/>
  <c r="AB51" i="29"/>
  <c r="AE51" i="29" s="1"/>
  <c r="AB45" i="29"/>
  <c r="AE45" i="29" s="1"/>
  <c r="AB44" i="29"/>
  <c r="AE44" i="29" s="1"/>
  <c r="AC48" i="29"/>
  <c r="AF48" i="29" s="1"/>
  <c r="AC44" i="29"/>
  <c r="AF44" i="29" s="1"/>
  <c r="AC47" i="29"/>
  <c r="AF47" i="29" s="1"/>
  <c r="AC49" i="29"/>
  <c r="AF49" i="29" s="1"/>
  <c r="AB47" i="29"/>
  <c r="AE47" i="29" s="1"/>
  <c r="AB43" i="29"/>
  <c r="AE43" i="29" s="1"/>
  <c r="AC46" i="29"/>
  <c r="AF46" i="29" s="1"/>
  <c r="AB46" i="29"/>
  <c r="AE46" i="29" s="1"/>
  <c r="AB48" i="29"/>
  <c r="AE48" i="29" s="1"/>
  <c r="AC43" i="29"/>
  <c r="AF43" i="29" s="1"/>
  <c r="AB49" i="29"/>
  <c r="AE49" i="29" s="1"/>
  <c r="AC45" i="29"/>
  <c r="AF45" i="29" s="1"/>
  <c r="AB50" i="29"/>
  <c r="AE50" i="29" s="1"/>
  <c r="AC51" i="29"/>
  <c r="AF51" i="29" s="1"/>
  <c r="AC50" i="29"/>
  <c r="AF50" i="29" s="1"/>
  <c r="AJ113" i="22"/>
  <c r="AT12" i="13"/>
  <c r="BH97" i="46"/>
  <c r="AJ118" i="22"/>
  <c r="AX95" i="17"/>
  <c r="AX93" i="17"/>
  <c r="AT21" i="13"/>
  <c r="AY9" i="27"/>
  <c r="BH86" i="46"/>
  <c r="AW43" i="19"/>
  <c r="AT11" i="23"/>
  <c r="AX133" i="17"/>
  <c r="V98" i="29"/>
  <c r="Y98" i="29" s="1"/>
  <c r="W95" i="29"/>
  <c r="Z95" i="29" s="1"/>
  <c r="W92" i="29"/>
  <c r="Z92" i="29" s="1"/>
  <c r="V95" i="29"/>
  <c r="Y95" i="29" s="1"/>
  <c r="W91" i="29"/>
  <c r="Z91" i="29" s="1"/>
  <c r="W96" i="29"/>
  <c r="Z96" i="29" s="1"/>
  <c r="V96" i="29"/>
  <c r="Y96" i="29" s="1"/>
  <c r="V94" i="29"/>
  <c r="Y94" i="29" s="1"/>
  <c r="W98" i="29"/>
  <c r="Z98" i="29" s="1"/>
  <c r="V97" i="29"/>
  <c r="Y97" i="29" s="1"/>
  <c r="V99" i="29"/>
  <c r="Y99" i="29" s="1"/>
  <c r="W93" i="29"/>
  <c r="Z93" i="29" s="1"/>
  <c r="V91" i="29"/>
  <c r="Y91" i="29" s="1"/>
  <c r="W94" i="29"/>
  <c r="Z94" i="29" s="1"/>
  <c r="V93" i="29"/>
  <c r="Y93" i="29" s="1"/>
  <c r="W97" i="29"/>
  <c r="Z97" i="29" s="1"/>
  <c r="V92" i="29"/>
  <c r="Y92" i="29" s="1"/>
  <c r="W99" i="29"/>
  <c r="Z99" i="29" s="1"/>
  <c r="AY7" i="27"/>
  <c r="AJ40" i="22"/>
  <c r="AJ63" i="24"/>
  <c r="AJ62" i="22"/>
  <c r="BH43" i="46"/>
  <c r="Q17" i="25"/>
  <c r="Z17" i="25"/>
  <c r="AT93" i="13"/>
  <c r="AW20" i="19"/>
  <c r="AT121" i="23"/>
  <c r="BH25" i="46"/>
  <c r="AX113" i="17"/>
  <c r="AQ28" i="10"/>
  <c r="AT86" i="13"/>
  <c r="AJ55" i="22"/>
  <c r="AX43" i="17"/>
  <c r="AY21" i="28"/>
  <c r="AZ20" i="28" s="1"/>
  <c r="AT33" i="13"/>
  <c r="AY101" i="27"/>
  <c r="AQ58" i="10"/>
  <c r="AS35" i="38"/>
  <c r="AT64" i="23"/>
  <c r="BH21" i="46"/>
  <c r="AW95" i="19"/>
  <c r="AJ90" i="22"/>
  <c r="AT47" i="23"/>
  <c r="AY121" i="27"/>
  <c r="AJ57" i="24"/>
  <c r="BH38" i="46"/>
  <c r="AW74" i="19"/>
  <c r="AY119" i="27"/>
  <c r="BM27" i="45"/>
  <c r="AJ27" i="22"/>
  <c r="AX120" i="17"/>
  <c r="AY22" i="28"/>
  <c r="AY67" i="28"/>
  <c r="AC36" i="29"/>
  <c r="AF36" i="29" s="1"/>
  <c r="AC34" i="29"/>
  <c r="AF34" i="29" s="1"/>
  <c r="AB37" i="29"/>
  <c r="AE37" i="29" s="1"/>
  <c r="AC32" i="29"/>
  <c r="AF32" i="29" s="1"/>
  <c r="AB34" i="29"/>
  <c r="AE34" i="29" s="1"/>
  <c r="AC37" i="29"/>
  <c r="AF37" i="29" s="1"/>
  <c r="AB35" i="29"/>
  <c r="AE35" i="29" s="1"/>
  <c r="AC38" i="29"/>
  <c r="AF38" i="29" s="1"/>
  <c r="AB31" i="29"/>
  <c r="AE31" i="29" s="1"/>
  <c r="AB38" i="29"/>
  <c r="AE38" i="29" s="1"/>
  <c r="AB39" i="29"/>
  <c r="AE39" i="29" s="1"/>
  <c r="AB33" i="29"/>
  <c r="AE33" i="29" s="1"/>
  <c r="AC35" i="29"/>
  <c r="AF35" i="29" s="1"/>
  <c r="AC39" i="29"/>
  <c r="AF39" i="29" s="1"/>
  <c r="AB36" i="29"/>
  <c r="AE36" i="29" s="1"/>
  <c r="AB32" i="29"/>
  <c r="AE32" i="29" s="1"/>
  <c r="AC31" i="29"/>
  <c r="AF31" i="29" s="1"/>
  <c r="AC33" i="29"/>
  <c r="AF33" i="29" s="1"/>
  <c r="AT81" i="23"/>
  <c r="AT15" i="13"/>
  <c r="AT39" i="23"/>
  <c r="AY66" i="28"/>
  <c r="AY70" i="27"/>
  <c r="AJ96" i="22"/>
  <c r="AA8" i="17"/>
  <c r="AJ122" i="22"/>
  <c r="AX102" i="17"/>
  <c r="AY94" i="27"/>
  <c r="AT61" i="13"/>
  <c r="BH74" i="46"/>
  <c r="AJ52" i="24"/>
  <c r="AQ8" i="10"/>
  <c r="AT37" i="13"/>
  <c r="AX115" i="17"/>
  <c r="AW97" i="19"/>
  <c r="AS11" i="38"/>
  <c r="AT63" i="23"/>
  <c r="AW96" i="19"/>
  <c r="AJ28" i="22"/>
  <c r="AJ66" i="22"/>
  <c r="AW27" i="19"/>
  <c r="AT59" i="13"/>
  <c r="AJ65" i="22"/>
  <c r="BM17" i="45"/>
  <c r="AT112" i="23"/>
  <c r="BM22" i="45"/>
  <c r="AY7" i="28"/>
  <c r="AX51" i="17"/>
  <c r="AT74" i="13"/>
  <c r="AT44" i="13"/>
  <c r="AW59" i="19"/>
  <c r="AY26" i="28"/>
  <c r="BA7" i="18"/>
  <c r="AC72" i="29"/>
  <c r="AF72" i="29" s="1"/>
  <c r="AC67" i="29"/>
  <c r="AF67" i="29" s="1"/>
  <c r="AB73" i="29"/>
  <c r="AE73" i="29" s="1"/>
  <c r="AC75" i="29"/>
  <c r="AF75" i="29" s="1"/>
  <c r="AB74" i="29"/>
  <c r="AE74" i="29" s="1"/>
  <c r="AC68" i="29"/>
  <c r="AF68" i="29" s="1"/>
  <c r="AB68" i="29"/>
  <c r="AE68" i="29" s="1"/>
  <c r="AC74" i="29"/>
  <c r="AF74" i="29" s="1"/>
  <c r="AC69" i="29"/>
  <c r="AF69" i="29" s="1"/>
  <c r="AC70" i="29"/>
  <c r="AF70" i="29" s="1"/>
  <c r="AB67" i="29"/>
  <c r="AE67" i="29" s="1"/>
  <c r="AC71" i="29"/>
  <c r="AF71" i="29" s="1"/>
  <c r="AB72" i="29"/>
  <c r="AE72" i="29" s="1"/>
  <c r="AB71" i="29"/>
  <c r="AE71" i="29" s="1"/>
  <c r="AB75" i="29"/>
  <c r="AE75" i="29" s="1"/>
  <c r="AB69" i="29"/>
  <c r="AE69" i="29" s="1"/>
  <c r="AB70" i="29"/>
  <c r="AE70" i="29" s="1"/>
  <c r="AC73" i="29"/>
  <c r="AF73" i="29" s="1"/>
  <c r="AY34" i="27"/>
  <c r="AY102" i="27"/>
  <c r="AJ64" i="22"/>
  <c r="AY116" i="27"/>
  <c r="AT119" i="23"/>
  <c r="AW45" i="19"/>
  <c r="AJ24" i="22"/>
  <c r="V20" i="29"/>
  <c r="Y20" i="29" s="1"/>
  <c r="V22" i="29"/>
  <c r="Y22" i="29" s="1"/>
  <c r="W23" i="29"/>
  <c r="Z23" i="29" s="1"/>
  <c r="V21" i="29"/>
  <c r="Y21" i="29" s="1"/>
  <c r="W22" i="29"/>
  <c r="Z22" i="29" s="1"/>
  <c r="V25" i="29"/>
  <c r="Y25" i="29" s="1"/>
  <c r="W25" i="29"/>
  <c r="Z25" i="29" s="1"/>
  <c r="V24" i="29"/>
  <c r="Y24" i="29" s="1"/>
  <c r="W24" i="29"/>
  <c r="Z24" i="29" s="1"/>
  <c r="W19" i="29"/>
  <c r="Z19" i="29" s="1"/>
  <c r="W26" i="29"/>
  <c r="Z26" i="29" s="1"/>
  <c r="V27" i="29"/>
  <c r="Y27" i="29" s="1"/>
  <c r="W21" i="29"/>
  <c r="Z21" i="29" s="1"/>
  <c r="W27" i="29"/>
  <c r="Z27" i="29" s="1"/>
  <c r="V19" i="29"/>
  <c r="Y19" i="29" s="1"/>
  <c r="V26" i="29"/>
  <c r="Y26" i="29" s="1"/>
  <c r="W20" i="29"/>
  <c r="Z20" i="29" s="1"/>
  <c r="V23" i="29"/>
  <c r="Y23" i="29" s="1"/>
  <c r="AJ21" i="24"/>
  <c r="AY96" i="27"/>
  <c r="Z32" i="25"/>
  <c r="Q32" i="25"/>
  <c r="AX61" i="17"/>
  <c r="AT70" i="13"/>
  <c r="Z42" i="25"/>
  <c r="Q42" i="25"/>
  <c r="AY41" i="27"/>
  <c r="AX64" i="17"/>
  <c r="AJ43" i="22"/>
  <c r="AW63" i="19"/>
  <c r="AI5" i="16"/>
  <c r="AY37" i="27"/>
  <c r="AX42" i="17"/>
  <c r="AJ80" i="22"/>
  <c r="AW82" i="19"/>
  <c r="AA27" i="17"/>
  <c r="AW23" i="19"/>
  <c r="AT43" i="13"/>
  <c r="AY50" i="27"/>
  <c r="AX65" i="17"/>
  <c r="AJ132" i="22"/>
  <c r="AJ22" i="24"/>
  <c r="AX55" i="17"/>
  <c r="AT120" i="23"/>
  <c r="AY60" i="27"/>
  <c r="AW55" i="19"/>
  <c r="BH75" i="46"/>
  <c r="Q37" i="25"/>
  <c r="Z37" i="25"/>
  <c r="AY24" i="27"/>
  <c r="AT42" i="23"/>
  <c r="Q22" i="25"/>
  <c r="Z22" i="25"/>
  <c r="AJ62" i="24"/>
  <c r="AW14" i="19"/>
  <c r="BH91" i="46"/>
  <c r="AY75" i="27"/>
  <c r="AQ45" i="10"/>
  <c r="AJ23" i="22"/>
  <c r="AT41" i="23"/>
  <c r="AW15" i="19"/>
  <c r="AX63" i="17"/>
  <c r="AT26" i="13"/>
  <c r="AT34" i="13"/>
  <c r="BH67" i="46"/>
  <c r="AW62" i="19"/>
  <c r="AJ27" i="24"/>
  <c r="AJ56" i="24"/>
  <c r="AT62" i="13"/>
  <c r="AI8" i="16"/>
  <c r="AT8" i="13"/>
  <c r="BM13" i="45"/>
  <c r="AY14" i="28"/>
  <c r="AV30" i="12"/>
  <c r="AY125" i="27"/>
  <c r="AW39" i="19"/>
  <c r="AX96" i="17"/>
  <c r="AT39" i="13"/>
  <c r="BM18" i="45"/>
  <c r="AA12" i="17"/>
  <c r="AW46" i="19"/>
  <c r="AJ49" i="22"/>
  <c r="AX50" i="17"/>
  <c r="AW75" i="19"/>
  <c r="AT10" i="23"/>
  <c r="AY43" i="27"/>
  <c r="AX35" i="17"/>
  <c r="AW7" i="19"/>
  <c r="AV8" i="12"/>
  <c r="AY42" i="27"/>
  <c r="AT19" i="23"/>
  <c r="AV22" i="12"/>
  <c r="BH36" i="46"/>
  <c r="BM43" i="45"/>
  <c r="AJ15" i="22"/>
  <c r="AT91" i="23"/>
  <c r="AT36" i="13"/>
  <c r="AJ124" i="22"/>
  <c r="AJ39" i="22"/>
  <c r="AJ11" i="24"/>
  <c r="AY95" i="27"/>
  <c r="AJ37" i="22"/>
  <c r="AI17" i="16"/>
  <c r="AY71" i="27"/>
  <c r="BH23" i="46"/>
  <c r="AV9" i="12"/>
  <c r="AJ123" i="22"/>
  <c r="BH8" i="46"/>
  <c r="AJ39" i="24"/>
  <c r="AV23" i="12"/>
  <c r="AY61" i="27"/>
  <c r="AA16" i="17"/>
  <c r="AT73" i="23"/>
  <c r="AT23" i="23"/>
  <c r="BH72" i="46"/>
  <c r="AJ60" i="22"/>
  <c r="AY8" i="28"/>
  <c r="AW48" i="19"/>
  <c r="AT53" i="23"/>
  <c r="AA15" i="17"/>
  <c r="AW34" i="19"/>
  <c r="AW93" i="19"/>
  <c r="AS41" i="38"/>
  <c r="AT41" i="38" s="1"/>
  <c r="AY97" i="27"/>
  <c r="AY77" i="27"/>
  <c r="AW87" i="19"/>
  <c r="AW58" i="19"/>
  <c r="AY17" i="27"/>
  <c r="AJ76" i="22"/>
  <c r="AJ91" i="22"/>
  <c r="AJ112" i="22"/>
  <c r="Q33" i="25"/>
  <c r="Z33" i="25"/>
  <c r="AI9" i="16"/>
  <c r="AQ10" i="10"/>
  <c r="AW8" i="19"/>
  <c r="AY33" i="28"/>
  <c r="AZ33" i="28" s="1"/>
  <c r="AY114" i="27"/>
  <c r="AY112" i="27"/>
  <c r="AS36" i="38"/>
  <c r="AY13" i="27"/>
  <c r="AY133" i="27"/>
  <c r="AV24" i="12"/>
  <c r="BA38" i="18"/>
  <c r="AJ13" i="24"/>
  <c r="AJ63" i="22"/>
  <c r="BH50" i="46"/>
  <c r="AT25" i="13"/>
  <c r="AW13" i="19"/>
  <c r="AY65" i="28"/>
  <c r="AZ65" i="28" s="1"/>
  <c r="BA28" i="18"/>
  <c r="AT7" i="23"/>
  <c r="AT96" i="13"/>
  <c r="AQ34" i="10"/>
  <c r="AJ77" i="22"/>
  <c r="BH44" i="46"/>
  <c r="AJ116" i="22"/>
  <c r="AI13" i="16"/>
  <c r="AY65" i="27"/>
  <c r="AY22" i="27"/>
  <c r="AY39" i="27"/>
  <c r="BA27" i="18"/>
  <c r="AX66" i="17"/>
  <c r="AW31" i="19"/>
  <c r="AY118" i="27"/>
  <c r="AY40" i="27"/>
  <c r="AT8" i="23"/>
  <c r="V82" i="29"/>
  <c r="Y82" i="29" s="1"/>
  <c r="V87" i="29"/>
  <c r="Y87" i="29" s="1"/>
  <c r="W87" i="29"/>
  <c r="Z87" i="29" s="1"/>
  <c r="V81" i="29"/>
  <c r="Y81" i="29" s="1"/>
  <c r="V79" i="29"/>
  <c r="Y79" i="29" s="1"/>
  <c r="V80" i="29"/>
  <c r="Y80" i="29" s="1"/>
  <c r="W80" i="29"/>
  <c r="Z80" i="29" s="1"/>
  <c r="V86" i="29"/>
  <c r="Y86" i="29" s="1"/>
  <c r="W82" i="29"/>
  <c r="Z82" i="29" s="1"/>
  <c r="W85" i="29"/>
  <c r="Z85" i="29" s="1"/>
  <c r="W84" i="29"/>
  <c r="Z84" i="29" s="1"/>
  <c r="V84" i="29"/>
  <c r="Y84" i="29" s="1"/>
  <c r="AT84" i="29" s="1"/>
  <c r="W83" i="29"/>
  <c r="Z83" i="29" s="1"/>
  <c r="W86" i="29"/>
  <c r="Z86" i="29" s="1"/>
  <c r="V83" i="29"/>
  <c r="Y83" i="29" s="1"/>
  <c r="W81" i="29"/>
  <c r="Z81" i="29" s="1"/>
  <c r="W79" i="29"/>
  <c r="Z79" i="29" s="1"/>
  <c r="V85" i="29"/>
  <c r="Y85" i="29" s="1"/>
  <c r="AX129" i="17"/>
  <c r="AT50" i="23"/>
  <c r="AX125" i="17"/>
  <c r="AX49" i="17"/>
  <c r="AJ8" i="24"/>
  <c r="AT27" i="23"/>
  <c r="AY8" i="27"/>
  <c r="AT51" i="13"/>
  <c r="AX106" i="17"/>
  <c r="AQ11" i="10"/>
  <c r="AX76" i="17"/>
  <c r="BA42" i="18"/>
  <c r="AJ22" i="22"/>
  <c r="BA32" i="18"/>
  <c r="AJ36" i="22"/>
  <c r="AU8" i="9"/>
  <c r="AJ73" i="22"/>
  <c r="AY113" i="27"/>
  <c r="AV17" i="12"/>
  <c r="BH31" i="46"/>
  <c r="BH32" i="46"/>
  <c r="AQ7" i="10"/>
  <c r="AT131" i="23"/>
  <c r="AX116" i="17"/>
  <c r="AJ81" i="22"/>
  <c r="AW11" i="19"/>
  <c r="AJ44" i="22"/>
  <c r="AS42" i="38"/>
  <c r="BH33" i="46"/>
  <c r="AJ16" i="22"/>
  <c r="AJ34" i="22"/>
  <c r="AV16" i="12"/>
  <c r="AT9" i="13"/>
  <c r="AT73" i="13"/>
  <c r="BH61" i="46"/>
  <c r="AQ22" i="10"/>
  <c r="AW12" i="19"/>
  <c r="AC80" i="29"/>
  <c r="AF80" i="29" s="1"/>
  <c r="AC85" i="29"/>
  <c r="AF85" i="29" s="1"/>
  <c r="AB84" i="29"/>
  <c r="AE84" i="29" s="1"/>
  <c r="AC84" i="29"/>
  <c r="AF84" i="29" s="1"/>
  <c r="AC86" i="29"/>
  <c r="AF86" i="29" s="1"/>
  <c r="AB80" i="29"/>
  <c r="AE80" i="29" s="1"/>
  <c r="AC83" i="29"/>
  <c r="AF83" i="29" s="1"/>
  <c r="AC87" i="29"/>
  <c r="AF87" i="29" s="1"/>
  <c r="AB87" i="29"/>
  <c r="AE87" i="29" s="1"/>
  <c r="AB86" i="29"/>
  <c r="AE86" i="29" s="1"/>
  <c r="AB83" i="29"/>
  <c r="AE83" i="29" s="1"/>
  <c r="AC82" i="29"/>
  <c r="AF82" i="29" s="1"/>
  <c r="AC79" i="29"/>
  <c r="AF79" i="29" s="1"/>
  <c r="AB81" i="29"/>
  <c r="AE81" i="29" s="1"/>
  <c r="AC81" i="29"/>
  <c r="AF81" i="29" s="1"/>
  <c r="AB85" i="29"/>
  <c r="AE85" i="29" s="1"/>
  <c r="AB82" i="29"/>
  <c r="AE82" i="29" s="1"/>
  <c r="AB79" i="29"/>
  <c r="AE79" i="29" s="1"/>
  <c r="AJ38" i="24"/>
  <c r="BH39" i="46"/>
  <c r="AT76" i="23"/>
  <c r="AI6" i="16"/>
  <c r="AX73" i="17"/>
  <c r="AJ101" i="22"/>
  <c r="AT87" i="13"/>
  <c r="AW83" i="19"/>
  <c r="AU5" i="9"/>
  <c r="AJ20" i="22"/>
  <c r="BH35" i="46"/>
  <c r="AT7" i="13"/>
  <c r="AT75" i="23"/>
  <c r="AT11" i="13"/>
  <c r="AT67" i="13"/>
  <c r="AT65" i="23"/>
  <c r="AY10" i="28"/>
  <c r="AW19" i="19"/>
  <c r="AV15" i="12"/>
  <c r="AY88" i="27"/>
  <c r="AQ64" i="10"/>
  <c r="AT13" i="13"/>
  <c r="AJ58" i="24"/>
  <c r="AQ20" i="10"/>
  <c r="BH59" i="46"/>
  <c r="AT71" i="13"/>
  <c r="BH48" i="46"/>
  <c r="AX46" i="17"/>
  <c r="AY34" i="17" s="1"/>
  <c r="AQ33" i="10"/>
  <c r="AX119" i="17"/>
  <c r="AY59" i="28"/>
  <c r="AY129" i="27"/>
  <c r="AJ32" i="24"/>
  <c r="AT118" i="23"/>
  <c r="AT38" i="23"/>
  <c r="AT84" i="13"/>
  <c r="W63" i="29"/>
  <c r="Z63" i="29" s="1"/>
  <c r="V59" i="29"/>
  <c r="Y59" i="29" s="1"/>
  <c r="V63" i="29"/>
  <c r="Y63" i="29" s="1"/>
  <c r="AT63" i="29" s="1"/>
  <c r="W59" i="29"/>
  <c r="Z59" i="29" s="1"/>
  <c r="V62" i="29"/>
  <c r="Y62" i="29" s="1"/>
  <c r="W55" i="29"/>
  <c r="Z55" i="29" s="1"/>
  <c r="V60" i="29"/>
  <c r="Y60" i="29" s="1"/>
  <c r="AT60" i="29" s="1"/>
  <c r="W56" i="29"/>
  <c r="Z56" i="29" s="1"/>
  <c r="W62" i="29"/>
  <c r="Z62" i="29" s="1"/>
  <c r="W61" i="29"/>
  <c r="Z61" i="29" s="1"/>
  <c r="W57" i="29"/>
  <c r="Z57" i="29" s="1"/>
  <c r="W60" i="29"/>
  <c r="Z60" i="29" s="1"/>
  <c r="W58" i="29"/>
  <c r="Z58" i="29" s="1"/>
  <c r="V55" i="29"/>
  <c r="Y55" i="29" s="1"/>
  <c r="AT55" i="29" s="1"/>
  <c r="V61" i="29"/>
  <c r="Y61" i="29" s="1"/>
  <c r="AT61" i="29" s="1"/>
  <c r="V57" i="29"/>
  <c r="Y57" i="29" s="1"/>
  <c r="V56" i="29"/>
  <c r="Y56" i="29" s="1"/>
  <c r="V58" i="29"/>
  <c r="Y58" i="29" s="1"/>
  <c r="AT58" i="29" s="1"/>
  <c r="BH79" i="46"/>
  <c r="AJ28" i="24"/>
  <c r="AT48" i="13"/>
  <c r="AX128" i="17"/>
  <c r="AT69" i="13"/>
  <c r="AX131" i="17"/>
  <c r="AJ53" i="22"/>
  <c r="AT32" i="13"/>
  <c r="AQ27" i="10"/>
  <c r="BA23" i="18"/>
  <c r="AY48" i="28"/>
  <c r="AW70" i="19"/>
  <c r="AX89" i="17"/>
  <c r="AI12" i="16"/>
  <c r="AX107" i="17"/>
  <c r="AW49" i="19"/>
  <c r="AY27" i="28"/>
  <c r="AT34" i="23"/>
  <c r="AQ21" i="10"/>
  <c r="AW24" i="19"/>
  <c r="AT71" i="23"/>
  <c r="AJ17" i="22"/>
  <c r="AT124" i="23"/>
  <c r="AT105" i="23"/>
  <c r="BH95" i="46"/>
  <c r="AX121" i="17"/>
  <c r="AX39" i="17"/>
  <c r="AT56" i="13"/>
  <c r="AT129" i="23"/>
  <c r="AY120" i="27"/>
  <c r="AJ7" i="24"/>
  <c r="AJ103" i="22"/>
  <c r="AY60" i="28"/>
  <c r="AI11" i="16"/>
  <c r="AY11" i="27"/>
  <c r="AJ71" i="22"/>
  <c r="AK61" i="22" s="1"/>
  <c r="AI14" i="16"/>
  <c r="AJ98" i="22"/>
  <c r="AT38" i="13"/>
  <c r="AT80" i="23"/>
  <c r="AA13" i="17"/>
  <c r="AJ67" i="22"/>
  <c r="AY132" i="27"/>
  <c r="AS10" i="38"/>
  <c r="AY44" i="27"/>
  <c r="AJ46" i="22"/>
  <c r="AB23" i="29"/>
  <c r="AE23" i="29" s="1"/>
  <c r="AB21" i="29"/>
  <c r="AE21" i="29" s="1"/>
  <c r="AC23" i="29"/>
  <c r="AF23" i="29" s="1"/>
  <c r="AC19" i="29"/>
  <c r="AF19" i="29" s="1"/>
  <c r="AC24" i="29"/>
  <c r="AF24" i="29" s="1"/>
  <c r="AB22" i="29"/>
  <c r="AE22" i="29" s="1"/>
  <c r="AB19" i="29"/>
  <c r="AE19" i="29" s="1"/>
  <c r="AB20" i="29"/>
  <c r="AE20" i="29" s="1"/>
  <c r="AC26" i="29"/>
  <c r="AF26" i="29" s="1"/>
  <c r="AB24" i="29"/>
  <c r="AE24" i="29" s="1"/>
  <c r="AC21" i="29"/>
  <c r="AF21" i="29" s="1"/>
  <c r="AB26" i="29"/>
  <c r="AE26" i="29" s="1"/>
  <c r="AC20" i="29"/>
  <c r="AF20" i="29" s="1"/>
  <c r="AC27" i="29"/>
  <c r="AF27" i="29" s="1"/>
  <c r="AB27" i="29"/>
  <c r="AE27" i="29" s="1"/>
  <c r="AC25" i="29"/>
  <c r="AF25" i="29" s="1"/>
  <c r="AB25" i="29"/>
  <c r="AE25" i="29" s="1"/>
  <c r="AC22" i="29"/>
  <c r="AF22" i="29" s="1"/>
  <c r="AT68" i="23"/>
  <c r="AQ44" i="10"/>
  <c r="AJ88" i="22"/>
  <c r="AX62" i="17"/>
  <c r="AV29" i="12"/>
  <c r="AX105" i="17"/>
  <c r="AT23" i="13"/>
  <c r="BM33" i="45"/>
  <c r="BA22" i="18"/>
  <c r="AJ34" i="24"/>
  <c r="AY92" i="27"/>
  <c r="AY105" i="27"/>
  <c r="AT14" i="23"/>
  <c r="AT51" i="23"/>
  <c r="AW56" i="19"/>
  <c r="AU6" i="9"/>
  <c r="Q18" i="25"/>
  <c r="Z18" i="25"/>
  <c r="AJ33" i="24"/>
  <c r="AB92" i="29"/>
  <c r="AE92" i="29" s="1"/>
  <c r="AB96" i="29"/>
  <c r="AE96" i="29" s="1"/>
  <c r="AB94" i="29"/>
  <c r="AE94" i="29" s="1"/>
  <c r="AB93" i="29"/>
  <c r="AE93" i="29" s="1"/>
  <c r="AC98" i="29"/>
  <c r="AF98" i="29" s="1"/>
  <c r="AB98" i="29"/>
  <c r="AE98" i="29" s="1"/>
  <c r="AC99" i="29"/>
  <c r="AF99" i="29" s="1"/>
  <c r="AB97" i="29"/>
  <c r="AE97" i="29" s="1"/>
  <c r="AC97" i="29"/>
  <c r="AF97" i="29" s="1"/>
  <c r="AC95" i="29"/>
  <c r="AF95" i="29" s="1"/>
  <c r="AB91" i="29"/>
  <c r="AE91" i="29" s="1"/>
  <c r="AC93" i="29"/>
  <c r="AF93" i="29" s="1"/>
  <c r="AC91" i="29"/>
  <c r="AF91" i="29" s="1"/>
  <c r="AC94" i="29"/>
  <c r="AF94" i="29" s="1"/>
  <c r="AC92" i="29"/>
  <c r="AF92" i="29" s="1"/>
  <c r="AC96" i="29"/>
  <c r="AF96" i="29" s="1"/>
  <c r="AB95" i="29"/>
  <c r="AE95" i="29" s="1"/>
  <c r="AB99" i="29"/>
  <c r="AE99" i="29" s="1"/>
  <c r="AS27" i="38"/>
  <c r="AW67" i="19"/>
  <c r="AT72" i="23"/>
  <c r="AS34" i="38"/>
  <c r="AT34" i="38" s="1"/>
  <c r="AT91" i="13"/>
  <c r="AT20" i="13"/>
  <c r="AY98" i="27"/>
  <c r="AT75" i="13"/>
  <c r="AY72" i="27"/>
  <c r="BH37" i="46"/>
  <c r="AT60" i="23"/>
  <c r="AY12" i="27"/>
  <c r="W36" i="29"/>
  <c r="Z36" i="29" s="1"/>
  <c r="V34" i="29"/>
  <c r="Y34" i="29" s="1"/>
  <c r="V36" i="29"/>
  <c r="Y36" i="29" s="1"/>
  <c r="AT36" i="29" s="1"/>
  <c r="W32" i="29"/>
  <c r="Z32" i="29" s="1"/>
  <c r="V35" i="29"/>
  <c r="Y35" i="29" s="1"/>
  <c r="W34" i="29"/>
  <c r="Z34" i="29" s="1"/>
  <c r="W35" i="29"/>
  <c r="Z35" i="29" s="1"/>
  <c r="V33" i="29"/>
  <c r="Y33" i="29" s="1"/>
  <c r="AT33" i="29" s="1"/>
  <c r="W38" i="29"/>
  <c r="Z38" i="29" s="1"/>
  <c r="V37" i="29"/>
  <c r="Y37" i="29" s="1"/>
  <c r="W33" i="29"/>
  <c r="Z33" i="29" s="1"/>
  <c r="V32" i="29"/>
  <c r="Y32" i="29" s="1"/>
  <c r="AT32" i="29" s="1"/>
  <c r="V39" i="29"/>
  <c r="Y39" i="29" s="1"/>
  <c r="W31" i="29"/>
  <c r="Z31" i="29" s="1"/>
  <c r="V38" i="29"/>
  <c r="Y38" i="29" s="1"/>
  <c r="AT38" i="29" s="1"/>
  <c r="W39" i="29"/>
  <c r="Z39" i="29" s="1"/>
  <c r="V31" i="29"/>
  <c r="Y31" i="29" s="1"/>
  <c r="AT31" i="29" s="1"/>
  <c r="W37" i="29"/>
  <c r="Z37" i="29" s="1"/>
  <c r="AX88" i="17"/>
  <c r="AQ38" i="10"/>
  <c r="BH7" i="46"/>
  <c r="BI7" i="46" s="1"/>
  <c r="AW98" i="19"/>
  <c r="BH92" i="46"/>
  <c r="AX75" i="17"/>
  <c r="AX45" i="17"/>
  <c r="BH94" i="46"/>
  <c r="AJ69" i="22"/>
  <c r="Z7" i="25"/>
  <c r="Q7" i="25"/>
  <c r="AT45" i="23"/>
  <c r="AA7" i="17"/>
  <c r="AT127" i="23"/>
  <c r="AJ14" i="22"/>
  <c r="BH22" i="46"/>
  <c r="AV7" i="12"/>
  <c r="AT79" i="23"/>
  <c r="AT132" i="23"/>
  <c r="AX94" i="17"/>
  <c r="AT102" i="23"/>
  <c r="AJ8" i="22"/>
  <c r="AT128" i="23"/>
  <c r="AQ26" i="10"/>
  <c r="AJ121" i="22"/>
  <c r="AY68" i="27"/>
  <c r="BH27" i="46"/>
  <c r="BH12" i="46"/>
  <c r="BH55" i="46"/>
  <c r="AQ62" i="10"/>
  <c r="AY81" i="27"/>
  <c r="AY47" i="28"/>
  <c r="AW47" i="19"/>
  <c r="AT27" i="13"/>
  <c r="AV10" i="12"/>
  <c r="AY41" i="28"/>
  <c r="AX36" i="17"/>
  <c r="AJ20" i="24"/>
  <c r="AK20" i="24" s="1"/>
  <c r="F1" i="24" s="1"/>
  <c r="BM7" i="45"/>
  <c r="AT115" i="23"/>
  <c r="AJ102" i="22"/>
  <c r="AS21" i="38"/>
  <c r="AX123" i="17"/>
  <c r="AY113" i="17" s="1"/>
  <c r="AJ45" i="24"/>
  <c r="AT36" i="23"/>
  <c r="AT19" i="13"/>
  <c r="AU19" i="13" s="1"/>
  <c r="AT12" i="23"/>
  <c r="W10" i="29"/>
  <c r="Z10" i="29" s="1"/>
  <c r="V12" i="29"/>
  <c r="Y12" i="29" s="1"/>
  <c r="W13" i="29"/>
  <c r="Z13" i="29" s="1"/>
  <c r="V11" i="29"/>
  <c r="Y11" i="29" s="1"/>
  <c r="V9" i="29"/>
  <c r="Y9" i="29" s="1"/>
  <c r="W8" i="29"/>
  <c r="Z8" i="29" s="1"/>
  <c r="W9" i="29"/>
  <c r="Z9" i="29" s="1"/>
  <c r="W12" i="29"/>
  <c r="Z12" i="29" s="1"/>
  <c r="V8" i="29"/>
  <c r="Y8" i="29" s="1"/>
  <c r="W14" i="29"/>
  <c r="Z14" i="29" s="1"/>
  <c r="V15" i="29"/>
  <c r="Y15" i="29" s="1"/>
  <c r="AT15" i="29" s="1"/>
  <c r="W15" i="29"/>
  <c r="Z15" i="29" s="1"/>
  <c r="V7" i="29"/>
  <c r="Y7" i="29" s="1"/>
  <c r="V14" i="29"/>
  <c r="Y14" i="29" s="1"/>
  <c r="AT14" i="29" s="1"/>
  <c r="V10" i="29"/>
  <c r="Y10" i="29" s="1"/>
  <c r="AT10" i="29" s="1"/>
  <c r="V13" i="29"/>
  <c r="Y13" i="29" s="1"/>
  <c r="W7" i="29"/>
  <c r="Z7" i="29" s="1"/>
  <c r="W11" i="29"/>
  <c r="Z11" i="29" s="1"/>
  <c r="AS13" i="38"/>
  <c r="AJ114" i="22"/>
  <c r="BH63" i="46"/>
  <c r="AY124" i="27"/>
  <c r="AT101" i="23"/>
  <c r="AJ125" i="22"/>
  <c r="AY47" i="27"/>
  <c r="AJ51" i="24"/>
  <c r="AJ99" i="22"/>
  <c r="AT58" i="13"/>
  <c r="AX132" i="17"/>
  <c r="AW73" i="19"/>
  <c r="AX68" i="17"/>
  <c r="BH62" i="46"/>
  <c r="AJ35" i="22"/>
  <c r="AX101" i="17"/>
  <c r="BH96" i="46"/>
  <c r="AX71" i="17"/>
  <c r="AT46" i="13"/>
  <c r="AX41" i="17"/>
  <c r="BH81" i="46"/>
  <c r="AX122" i="17"/>
  <c r="AX80" i="17"/>
  <c r="AJ119" i="22"/>
  <c r="AX79" i="17"/>
  <c r="AJ117" i="22"/>
  <c r="BA17" i="18"/>
  <c r="AJ40" i="24"/>
  <c r="BH70" i="46"/>
  <c r="AX37" i="17"/>
  <c r="AT54" i="23"/>
  <c r="AA18" i="17"/>
  <c r="BH51" i="46"/>
  <c r="AI10" i="16"/>
  <c r="AT55" i="23"/>
  <c r="AT116" i="23"/>
  <c r="AY39" i="28"/>
  <c r="AZ39" i="28" s="1"/>
  <c r="AW99" i="19"/>
  <c r="AT44" i="23"/>
  <c r="AJ92" i="22"/>
  <c r="AW35" i="19"/>
  <c r="AX40" i="17"/>
  <c r="AY122" i="27"/>
  <c r="AW38" i="19"/>
  <c r="AT133" i="23"/>
  <c r="AS29" i="38"/>
  <c r="AY46" i="27"/>
  <c r="AZ35" i="27" s="1"/>
  <c r="AX60" i="17"/>
  <c r="AT90" i="23"/>
  <c r="AX114" i="17"/>
  <c r="AY67" i="27"/>
  <c r="AT18" i="23"/>
  <c r="AX103" i="17"/>
  <c r="AT67" i="23"/>
  <c r="AW71" i="19"/>
  <c r="AY54" i="28"/>
  <c r="AA10" i="17"/>
  <c r="AY90" i="27"/>
  <c r="AY117" i="27"/>
  <c r="BA43" i="18"/>
  <c r="AY99" i="27"/>
  <c r="BM28" i="45"/>
  <c r="AW37" i="19"/>
  <c r="AQ50" i="10"/>
  <c r="AT95" i="13"/>
  <c r="AY69" i="27"/>
  <c r="AY131" i="27"/>
  <c r="AT123" i="23"/>
  <c r="BH49" i="46"/>
  <c r="AY64" i="27"/>
  <c r="AI19" i="16"/>
  <c r="AT50" i="13"/>
  <c r="AA9" i="17"/>
  <c r="AQ51" i="10"/>
  <c r="AY66" i="27"/>
  <c r="AY40" i="28"/>
  <c r="AT99" i="23"/>
  <c r="AS22" i="38"/>
  <c r="BA37" i="18"/>
  <c r="AJ87" i="22"/>
  <c r="AY62" i="27"/>
  <c r="BH98" i="46"/>
  <c r="AX98" i="17"/>
  <c r="AQ32" i="10"/>
  <c r="AJ10" i="22"/>
  <c r="AT95" i="23"/>
  <c r="AT35" i="23"/>
  <c r="AU35" i="23" s="1"/>
  <c r="AS8" i="38"/>
  <c r="AY46" i="28"/>
  <c r="AZ46" i="28" s="1"/>
  <c r="AA26" i="17"/>
  <c r="AJ46" i="24"/>
  <c r="AT31" i="13"/>
  <c r="AU31" i="13" s="1"/>
  <c r="AT125" i="23"/>
  <c r="AX87" i="17"/>
  <c r="AI7" i="16"/>
  <c r="AX77" i="17"/>
  <c r="W71" i="29"/>
  <c r="Z71" i="29" s="1"/>
  <c r="W69" i="29"/>
  <c r="Z69" i="29" s="1"/>
  <c r="V68" i="29"/>
  <c r="Y68" i="29" s="1"/>
  <c r="V69" i="29"/>
  <c r="Y69" i="29" s="1"/>
  <c r="V71" i="29"/>
  <c r="Y71" i="29" s="1"/>
  <c r="AT71" i="29" s="1"/>
  <c r="V67" i="29"/>
  <c r="Y67" i="29" s="1"/>
  <c r="W75" i="29"/>
  <c r="Z75" i="29" s="1"/>
  <c r="W73" i="29"/>
  <c r="Z73" i="29" s="1"/>
  <c r="W67" i="29"/>
  <c r="Z67" i="29" s="1"/>
  <c r="V70" i="29"/>
  <c r="Y70" i="29" s="1"/>
  <c r="W74" i="29"/>
  <c r="Z74" i="29" s="1"/>
  <c r="V72" i="29"/>
  <c r="Y72" i="29" s="1"/>
  <c r="AT72" i="29" s="1"/>
  <c r="W70" i="29"/>
  <c r="Z70" i="29" s="1"/>
  <c r="W68" i="29"/>
  <c r="Z68" i="29" s="1"/>
  <c r="W72" i="29"/>
  <c r="Z72" i="29" s="1"/>
  <c r="V75" i="29"/>
  <c r="Y75" i="29" s="1"/>
  <c r="AT75" i="29" s="1"/>
  <c r="V73" i="29"/>
  <c r="Y73" i="29" s="1"/>
  <c r="AT73" i="29" s="1"/>
  <c r="V74" i="29"/>
  <c r="Y74" i="29" s="1"/>
  <c r="AT74" i="29" s="1"/>
  <c r="AJ41" i="22"/>
  <c r="AJ12" i="22"/>
  <c r="AJ51" i="22"/>
  <c r="AX92" i="17"/>
  <c r="AX34" i="17"/>
  <c r="BA8" i="18"/>
  <c r="AY91" i="27"/>
  <c r="Q23" i="25"/>
  <c r="Z23" i="25"/>
  <c r="AT69" i="29" l="1"/>
  <c r="AD23" i="25"/>
  <c r="AH23" i="25"/>
  <c r="AT23" i="25"/>
  <c r="AE23" i="25"/>
  <c r="AT68" i="29"/>
  <c r="AK35" i="22"/>
  <c r="AT7" i="29"/>
  <c r="AT8" i="29"/>
  <c r="AT9" i="29"/>
  <c r="AT37" i="29"/>
  <c r="AT34" i="29"/>
  <c r="AX67" i="19"/>
  <c r="AT56" i="29"/>
  <c r="AT62" i="29"/>
  <c r="C1" i="9"/>
  <c r="BI31" i="46"/>
  <c r="AT85" i="29"/>
  <c r="AT80" i="29"/>
  <c r="AT87" i="29"/>
  <c r="AH33" i="25"/>
  <c r="AE33" i="25"/>
  <c r="AD33" i="25"/>
  <c r="AT33" i="25"/>
  <c r="BI67" i="46"/>
  <c r="AE22" i="25"/>
  <c r="AH22" i="25"/>
  <c r="AT22" i="25"/>
  <c r="AD22" i="25"/>
  <c r="AE37" i="25"/>
  <c r="AH37" i="25"/>
  <c r="AT37" i="25"/>
  <c r="AD37" i="25"/>
  <c r="AZ60" i="27"/>
  <c r="AE42" i="25"/>
  <c r="AD42" i="25"/>
  <c r="AH42" i="25"/>
  <c r="AT42" i="25"/>
  <c r="AE32" i="25"/>
  <c r="AH32" i="25"/>
  <c r="AT32" i="25"/>
  <c r="AD32" i="25"/>
  <c r="AT20" i="29"/>
  <c r="AZ7" i="28"/>
  <c r="AT17" i="25"/>
  <c r="AD17" i="25"/>
  <c r="AH17" i="25"/>
  <c r="AE17" i="25"/>
  <c r="AT92" i="29"/>
  <c r="AT91" i="29"/>
  <c r="AT98" i="29"/>
  <c r="AD28" i="25"/>
  <c r="AE28" i="25"/>
  <c r="AT28" i="25"/>
  <c r="AH28" i="25"/>
  <c r="AZ113" i="27"/>
  <c r="AD43" i="25"/>
  <c r="AT43" i="25"/>
  <c r="AE43" i="25"/>
  <c r="AH43" i="25"/>
  <c r="AR38" i="25"/>
  <c r="V38" i="25"/>
  <c r="AG38" i="25"/>
  <c r="W38" i="25"/>
  <c r="AU86" i="23"/>
  <c r="AT44" i="29"/>
  <c r="AT49" i="29"/>
  <c r="V8" i="25"/>
  <c r="AG8" i="25"/>
  <c r="AR8" i="25"/>
  <c r="W8" i="25"/>
  <c r="AY86" i="17"/>
  <c r="AR12" i="25"/>
  <c r="W12" i="25"/>
  <c r="V12" i="25"/>
  <c r="AG12" i="25"/>
  <c r="AU87" i="23"/>
  <c r="AZ8" i="27"/>
  <c r="AR23" i="25"/>
  <c r="AG23" i="25"/>
  <c r="V23" i="25"/>
  <c r="W23" i="25"/>
  <c r="AT70" i="29"/>
  <c r="AT67" i="29"/>
  <c r="AY61" i="17"/>
  <c r="AT13" i="29"/>
  <c r="AT11" i="29"/>
  <c r="BN7" i="45"/>
  <c r="E1" i="45" s="1"/>
  <c r="AG7" i="25"/>
  <c r="W7" i="25"/>
  <c r="AR7" i="25"/>
  <c r="V7" i="25"/>
  <c r="AT39" i="29"/>
  <c r="AT35" i="29"/>
  <c r="AU31" i="29" s="1"/>
  <c r="AU91" i="13"/>
  <c r="AT27" i="38"/>
  <c r="AH18" i="25"/>
  <c r="AT18" i="25"/>
  <c r="AD18" i="25"/>
  <c r="AE18" i="25"/>
  <c r="AK34" i="22"/>
  <c r="AT57" i="29"/>
  <c r="AR20" i="10"/>
  <c r="F1" i="10" s="1"/>
  <c r="AU7" i="13"/>
  <c r="AT79" i="29"/>
  <c r="AT82" i="29"/>
  <c r="AX31" i="19"/>
  <c r="AU7" i="23"/>
  <c r="AG33" i="25"/>
  <c r="V33" i="25"/>
  <c r="W33" i="25"/>
  <c r="AR33" i="25"/>
  <c r="AZ87" i="27"/>
  <c r="AK60" i="22"/>
  <c r="AB8" i="17"/>
  <c r="AZ61" i="27"/>
  <c r="AX7" i="19"/>
  <c r="BI91" i="46"/>
  <c r="V22" i="25"/>
  <c r="AR22" i="25"/>
  <c r="W22" i="25"/>
  <c r="AG22" i="25"/>
  <c r="W37" i="25"/>
  <c r="AR37" i="25"/>
  <c r="AG37" i="25"/>
  <c r="V37" i="25"/>
  <c r="AT26" i="29"/>
  <c r="AT27" i="29"/>
  <c r="AT24" i="29"/>
  <c r="AT21" i="29"/>
  <c r="AG17" i="25"/>
  <c r="W17" i="25"/>
  <c r="AR17" i="25"/>
  <c r="AV17" i="25" s="1"/>
  <c r="V17" i="25"/>
  <c r="AT94" i="29"/>
  <c r="AT95" i="29"/>
  <c r="V43" i="25"/>
  <c r="W43" i="25"/>
  <c r="AG43" i="25"/>
  <c r="AR43" i="25"/>
  <c r="AT38" i="25"/>
  <c r="AD38" i="25"/>
  <c r="AH38" i="25"/>
  <c r="AE38" i="25"/>
  <c r="AX79" i="19"/>
  <c r="AT43" i="29"/>
  <c r="AK21" i="24"/>
  <c r="AY87" i="17"/>
  <c r="AT12" i="25"/>
  <c r="AD12" i="25"/>
  <c r="AH12" i="25"/>
  <c r="AE12" i="25"/>
  <c r="AZ86" i="27"/>
  <c r="AK87" i="22"/>
  <c r="AT7" i="38"/>
  <c r="AE7" i="25"/>
  <c r="AD7" i="25"/>
  <c r="AT7" i="25"/>
  <c r="AH7" i="25"/>
  <c r="AG18" i="25"/>
  <c r="V18" i="25"/>
  <c r="AR18" i="25"/>
  <c r="W18" i="25"/>
  <c r="AU61" i="23"/>
  <c r="BI79" i="46"/>
  <c r="AZ59" i="28"/>
  <c r="AU67" i="13"/>
  <c r="AK8" i="22"/>
  <c r="AT86" i="29"/>
  <c r="AT81" i="29"/>
  <c r="AZ112" i="27"/>
  <c r="AK112" i="22"/>
  <c r="AK113" i="22"/>
  <c r="AY35" i="17"/>
  <c r="AJ5" i="16"/>
  <c r="E1" i="16" s="1"/>
  <c r="AT19" i="29"/>
  <c r="BB7" i="18"/>
  <c r="E1" i="18" s="1"/>
  <c r="AU112" i="23"/>
  <c r="BI43" i="46"/>
  <c r="AZ7" i="27"/>
  <c r="AT93" i="29"/>
  <c r="AT99" i="29"/>
  <c r="AT96" i="29"/>
  <c r="AZ34" i="27"/>
  <c r="AG13" i="25"/>
  <c r="AR13" i="25"/>
  <c r="W13" i="25"/>
  <c r="V13" i="25"/>
  <c r="AU8" i="23"/>
  <c r="AR27" i="25"/>
  <c r="V27" i="25"/>
  <c r="W27" i="25"/>
  <c r="AG27" i="25"/>
  <c r="AT45" i="29"/>
  <c r="AT46" i="29"/>
  <c r="AU79" i="13"/>
  <c r="AZ52" i="28"/>
  <c r="AX91" i="19"/>
  <c r="AT20" i="38"/>
  <c r="AK7" i="22"/>
  <c r="AU113" i="23"/>
  <c r="AY60" i="17"/>
  <c r="AT12" i="29"/>
  <c r="BI55" i="46"/>
  <c r="AW7" i="12"/>
  <c r="E1" i="12" s="1"/>
  <c r="AB7" i="17"/>
  <c r="AU60" i="23"/>
  <c r="AT59" i="29"/>
  <c r="AU55" i="29" s="1"/>
  <c r="AX19" i="19"/>
  <c r="AT83" i="29"/>
  <c r="AX55" i="19"/>
  <c r="AU43" i="13"/>
  <c r="W42" i="25"/>
  <c r="AR42" i="25"/>
  <c r="AG42" i="25"/>
  <c r="V42" i="25"/>
  <c r="AG32" i="25"/>
  <c r="W32" i="25"/>
  <c r="V32" i="25"/>
  <c r="AR32" i="25"/>
  <c r="AV32" i="25" s="1"/>
  <c r="AT23" i="29"/>
  <c r="AT25" i="29"/>
  <c r="AT22" i="29"/>
  <c r="AZ26" i="28"/>
  <c r="AT97" i="29"/>
  <c r="AX43" i="19"/>
  <c r="W28" i="25"/>
  <c r="V28" i="25"/>
  <c r="AR28" i="25"/>
  <c r="AG28" i="25"/>
  <c r="AD13" i="25"/>
  <c r="AH13" i="25"/>
  <c r="AE13" i="25"/>
  <c r="AT13" i="25"/>
  <c r="AK86" i="22"/>
  <c r="AY112" i="17"/>
  <c r="AT27" i="25"/>
  <c r="AD27" i="25"/>
  <c r="AE27" i="25"/>
  <c r="AH27" i="25"/>
  <c r="AT51" i="29"/>
  <c r="AT47" i="29"/>
  <c r="AT50" i="29"/>
  <c r="AT48" i="29"/>
  <c r="AT8" i="25"/>
  <c r="AH8" i="25"/>
  <c r="AD8" i="25"/>
  <c r="AE8" i="25"/>
  <c r="AU34" i="23"/>
  <c r="BI19" i="46"/>
  <c r="E1" i="46" s="1"/>
  <c r="AU55" i="13"/>
  <c r="AV28" i="25" l="1"/>
  <c r="F1" i="17"/>
  <c r="AV27" i="25"/>
  <c r="AV13" i="25"/>
  <c r="AV18" i="25"/>
  <c r="AU43" i="29"/>
  <c r="AU67" i="29"/>
  <c r="F1" i="28"/>
  <c r="AU7" i="29"/>
  <c r="E1" i="19"/>
  <c r="AU79" i="29"/>
  <c r="AV7" i="25"/>
  <c r="AV23" i="25"/>
  <c r="F1" i="22"/>
  <c r="F1" i="27"/>
  <c r="AU19" i="29"/>
  <c r="AV43" i="25"/>
  <c r="AV37" i="25"/>
  <c r="AV22" i="25"/>
  <c r="AV33" i="25"/>
  <c r="F1" i="23"/>
  <c r="E1" i="13"/>
  <c r="AV8" i="25"/>
  <c r="AU91" i="29"/>
  <c r="AV42" i="25"/>
  <c r="F1" i="38"/>
  <c r="AV12" i="25"/>
  <c r="AV38" i="25"/>
  <c r="AW7" i="25" l="1"/>
  <c r="E1" i="25" s="1"/>
  <c r="E1" i="29"/>
</calcChain>
</file>

<file path=xl/comments1.xml><?xml version="1.0" encoding="utf-8"?>
<comments xmlns="http://schemas.openxmlformats.org/spreadsheetml/2006/main">
  <authors>
    <author>sv2</author>
  </authors>
  <commentList>
    <comment ref="AE108" authorId="0">
      <text>
        <r>
          <rPr>
            <b/>
            <sz val="8"/>
            <color indexed="81"/>
            <rFont val="Tahoma"/>
            <family val="2"/>
          </rPr>
          <t>sv2:</t>
        </r>
        <r>
          <rPr>
            <sz val="8"/>
            <color indexed="81"/>
            <rFont val="Tahoma"/>
            <family val="2"/>
          </rPr>
          <t xml:space="preserve">
To be 1250 as in RG's</t>
        </r>
      </text>
    </comment>
  </commentList>
</comments>
</file>

<file path=xl/comments2.xml><?xml version="1.0" encoding="utf-8"?>
<comments xmlns="http://schemas.openxmlformats.org/spreadsheetml/2006/main">
  <authors>
    <author>sv2</author>
  </authors>
  <commentList>
    <comment ref="AL108" authorId="0">
      <text>
        <r>
          <rPr>
            <b/>
            <sz val="8"/>
            <color indexed="81"/>
            <rFont val="Tahoma"/>
            <family val="2"/>
          </rPr>
          <t>sv2:</t>
        </r>
        <r>
          <rPr>
            <sz val="8"/>
            <color indexed="81"/>
            <rFont val="Tahoma"/>
            <family val="2"/>
          </rPr>
          <t xml:space="preserve">
To be 1250 as in RG's</t>
        </r>
      </text>
    </comment>
  </commentList>
</comments>
</file>

<file path=xl/comments3.xml><?xml version="1.0" encoding="utf-8"?>
<comments xmlns="http://schemas.openxmlformats.org/spreadsheetml/2006/main">
  <authors>
    <author>sv2</author>
  </authors>
  <commentList>
    <comment ref="AO108" authorId="0">
      <text>
        <r>
          <rPr>
            <b/>
            <sz val="8"/>
            <color indexed="81"/>
            <rFont val="Tahoma"/>
            <family val="2"/>
          </rPr>
          <t>sv2:</t>
        </r>
        <r>
          <rPr>
            <sz val="8"/>
            <color indexed="81"/>
            <rFont val="Tahoma"/>
            <family val="2"/>
          </rPr>
          <t xml:space="preserve">
To be 1250 as in RG's</t>
        </r>
      </text>
    </comment>
  </commentList>
</comments>
</file>

<file path=xl/comments4.xml><?xml version="1.0" encoding="utf-8"?>
<comments xmlns="http://schemas.openxmlformats.org/spreadsheetml/2006/main">
  <authors>
    <author>sv2</author>
  </authors>
  <commentList>
    <comment ref="AR108" authorId="0">
      <text>
        <r>
          <rPr>
            <b/>
            <sz val="8"/>
            <color indexed="81"/>
            <rFont val="Tahoma"/>
            <family val="2"/>
          </rPr>
          <t>sv2:</t>
        </r>
        <r>
          <rPr>
            <sz val="8"/>
            <color indexed="81"/>
            <rFont val="Tahoma"/>
            <family val="2"/>
          </rPr>
          <t xml:space="preserve">
To be 1250 as in RG's</t>
        </r>
      </text>
    </comment>
  </commentList>
</comments>
</file>

<file path=xl/comments5.xml><?xml version="1.0" encoding="utf-8"?>
<comments xmlns="http://schemas.openxmlformats.org/spreadsheetml/2006/main">
  <authors>
    <author>sv2</author>
  </authors>
  <commentList>
    <comment ref="AO55" authorId="0">
      <text>
        <r>
          <rPr>
            <b/>
            <sz val="8"/>
            <color indexed="81"/>
            <rFont val="Tahoma"/>
            <family val="2"/>
          </rPr>
          <t>sv2:</t>
        </r>
        <r>
          <rPr>
            <sz val="8"/>
            <color indexed="81"/>
            <rFont val="Tahoma"/>
            <family val="2"/>
          </rPr>
          <t xml:space="preserve">
To be 1250 as in RG's</t>
        </r>
      </text>
    </comment>
  </commentList>
</comments>
</file>

<file path=xl/sharedStrings.xml><?xml version="1.0" encoding="utf-8"?>
<sst xmlns="http://schemas.openxmlformats.org/spreadsheetml/2006/main" count="3907" uniqueCount="1265">
  <si>
    <t>Zo=50ohm</t>
    <phoneticPr fontId="35" type="noConversion"/>
  </si>
  <si>
    <t>HDA_SDOUT</t>
  </si>
  <si>
    <t>Via limit</t>
  </si>
  <si>
    <t>Carrier Board Design Guide
Trace Length limit</t>
    <phoneticPr fontId="35" type="noConversion"/>
  </si>
  <si>
    <t>+/-2mil</t>
    <phoneticPr fontId="49" type="noConversion"/>
  </si>
  <si>
    <t>SD Card Design Guidelines</t>
    <phoneticPr fontId="35" type="noConversion"/>
  </si>
  <si>
    <t>Target</t>
    <phoneticPr fontId="49" type="noConversion"/>
  </si>
  <si>
    <t>I/O Interfaces</t>
  </si>
  <si>
    <t>Target</t>
    <phoneticPr fontId="35" type="noConversion"/>
  </si>
  <si>
    <t>Intel Confidential</t>
  </si>
  <si>
    <t>Units</t>
  </si>
  <si>
    <t>Min</t>
  </si>
  <si>
    <t>Max</t>
  </si>
  <si>
    <t>DDR2 Clock Status:</t>
  </si>
  <si>
    <t>Alviso
Ball</t>
  </si>
  <si>
    <t>SCK3</t>
  </si>
  <si>
    <t>SCK#3</t>
  </si>
  <si>
    <t>AF6</t>
  </si>
  <si>
    <t>X0</t>
  </si>
  <si>
    <t>X1</t>
  </si>
  <si>
    <t>DDR2 Control Status:</t>
  </si>
  <si>
    <t xml:space="preserve"> </t>
  </si>
  <si>
    <t>Package Length</t>
  </si>
  <si>
    <t>Miss-match from average target length</t>
  </si>
  <si>
    <t>CK[2:0]/CK#[2:0]</t>
  </si>
  <si>
    <t>SM_CKE0</t>
  </si>
  <si>
    <t>SM_CKE1</t>
  </si>
  <si>
    <t>SM_CS0#</t>
  </si>
  <si>
    <t>SM_CS1#</t>
  </si>
  <si>
    <t>SM_ODT0</t>
  </si>
  <si>
    <t>SM_ODT1</t>
  </si>
  <si>
    <t>Alviso Signal</t>
  </si>
  <si>
    <t>SM_CKE2</t>
  </si>
  <si>
    <t>AH21</t>
  </si>
  <si>
    <t>SM_CKE3</t>
  </si>
  <si>
    <t>SM_CS2#</t>
  </si>
  <si>
    <t>SM_CS3#</t>
  </si>
  <si>
    <t>SM_ODT2</t>
  </si>
  <si>
    <t>SM_ODT3</t>
  </si>
  <si>
    <t>SA_MA1</t>
  </si>
  <si>
    <t>SA_MA2</t>
  </si>
  <si>
    <t>SA_MA3</t>
  </si>
  <si>
    <t>SA_MA4</t>
  </si>
  <si>
    <t>SA_MA5</t>
  </si>
  <si>
    <t>SA_MA6</t>
  </si>
  <si>
    <t>AL19</t>
  </si>
  <si>
    <t>SA_MA7</t>
  </si>
  <si>
    <t>SA_MA8</t>
  </si>
  <si>
    <t>SA_MA9</t>
  </si>
  <si>
    <t>AL20</t>
  </si>
  <si>
    <t>SA_MA10</t>
  </si>
  <si>
    <t>SA_MA11</t>
  </si>
  <si>
    <t>SA_MA12</t>
  </si>
  <si>
    <t>SA_MA13</t>
  </si>
  <si>
    <t>SA_BS0</t>
  </si>
  <si>
    <t>SA_BS1</t>
  </si>
  <si>
    <t>SA_BS2</t>
  </si>
  <si>
    <t>AL21</t>
  </si>
  <si>
    <t>SA_RAS#</t>
  </si>
  <si>
    <t>SA_CAS#</t>
  </si>
  <si>
    <t>SA_WE#</t>
  </si>
  <si>
    <t>SB_MA0</t>
  </si>
  <si>
    <t>SB_MA1</t>
  </si>
  <si>
    <t>SB_MA2</t>
  </si>
  <si>
    <t>SB_MA3</t>
  </si>
  <si>
    <t>SB_MA4</t>
  </si>
  <si>
    <t>SB_MA5</t>
  </si>
  <si>
    <t>AJ19</t>
  </si>
  <si>
    <t>SB_MA6</t>
  </si>
  <si>
    <t>SB_MA7</t>
  </si>
  <si>
    <t>SB_MA8</t>
  </si>
  <si>
    <t>AJ20</t>
  </si>
  <si>
    <t>SB_MA9</t>
  </si>
  <si>
    <t>AH20</t>
  </si>
  <si>
    <t>SB_MA10</t>
  </si>
  <si>
    <t>SB_MA11</t>
  </si>
  <si>
    <t>SB_MA12</t>
  </si>
  <si>
    <t>AG20</t>
  </si>
  <si>
    <t>SB_MA13</t>
  </si>
  <si>
    <t>AG15</t>
  </si>
  <si>
    <t>SB_BS0</t>
  </si>
  <si>
    <t>AJ15</t>
  </si>
  <si>
    <t>SB_BS1</t>
  </si>
  <si>
    <t>SB_BS2</t>
  </si>
  <si>
    <t>SB_RAS#</t>
  </si>
  <si>
    <t>AK14</t>
  </si>
  <si>
    <t>SB_CAS#</t>
  </si>
  <si>
    <t>AH14</t>
  </si>
  <si>
    <t>SB_WE#</t>
  </si>
  <si>
    <t>DDR2 Strobe Status:</t>
  </si>
  <si>
    <t>SA_DQS0</t>
  </si>
  <si>
    <t>SA_DQS0#</t>
  </si>
  <si>
    <t>SA_DQS1</t>
  </si>
  <si>
    <t>SA_DQS1#</t>
  </si>
  <si>
    <t>SA_DQS2</t>
  </si>
  <si>
    <t>SA_DQS2#</t>
  </si>
  <si>
    <t>SA_DQS3</t>
  </si>
  <si>
    <t>SA_DQS3#</t>
  </si>
  <si>
    <t>SA_DQS4</t>
  </si>
  <si>
    <t>SA_DQS4#</t>
  </si>
  <si>
    <t>SA_DQS5</t>
  </si>
  <si>
    <t>SA_DQS5#</t>
  </si>
  <si>
    <t>SA_DQS6</t>
  </si>
  <si>
    <t>SA_DQS6#</t>
  </si>
  <si>
    <t>AH1</t>
  </si>
  <si>
    <t>SA_DQS7</t>
  </si>
  <si>
    <t>SA_DQS7#</t>
  </si>
  <si>
    <t>`</t>
  </si>
  <si>
    <t>DDR2 Data Status:</t>
  </si>
  <si>
    <t>AL28</t>
  </si>
  <si>
    <t>AL9</t>
  </si>
  <si>
    <t>AL7</t>
  </si>
  <si>
    <t>AK2</t>
  </si>
  <si>
    <t>AK3</t>
  </si>
  <si>
    <t>AG1</t>
  </si>
  <si>
    <t>AH3</t>
  </si>
  <si>
    <t>AJ2</t>
  </si>
  <si>
    <t>AF3</t>
  </si>
  <si>
    <t>AE3</t>
  </si>
  <si>
    <t>AD6</t>
  </si>
  <si>
    <t>AD3</t>
  </si>
  <si>
    <r>
      <t>S</t>
    </r>
    <r>
      <rPr>
        <sz val="10"/>
        <rFont val="Arial"/>
        <family val="2"/>
      </rPr>
      <t>A_</t>
    </r>
    <r>
      <rPr>
        <sz val="10"/>
        <rFont val="Arial"/>
        <family val="2"/>
      </rPr>
      <t>DQ0</t>
    </r>
  </si>
  <si>
    <r>
      <t>S</t>
    </r>
    <r>
      <rPr>
        <sz val="10"/>
        <rFont val="Arial"/>
        <family val="2"/>
      </rPr>
      <t>A_</t>
    </r>
    <r>
      <rPr>
        <sz val="10"/>
        <rFont val="Arial"/>
        <family val="2"/>
      </rPr>
      <t>DQ1</t>
    </r>
  </si>
  <si>
    <r>
      <t>S</t>
    </r>
    <r>
      <rPr>
        <sz val="10"/>
        <rFont val="Arial"/>
        <family val="2"/>
      </rPr>
      <t>A_</t>
    </r>
    <r>
      <rPr>
        <sz val="10"/>
        <rFont val="Arial"/>
        <family val="2"/>
      </rPr>
      <t>DQ2</t>
    </r>
  </si>
  <si>
    <r>
      <t>S</t>
    </r>
    <r>
      <rPr>
        <sz val="10"/>
        <rFont val="Arial"/>
        <family val="2"/>
      </rPr>
      <t>A_</t>
    </r>
    <r>
      <rPr>
        <sz val="10"/>
        <rFont val="Arial"/>
        <family val="2"/>
      </rPr>
      <t>DQ3</t>
    </r>
  </si>
  <si>
    <r>
      <t>S</t>
    </r>
    <r>
      <rPr>
        <sz val="10"/>
        <rFont val="Arial"/>
        <family val="2"/>
      </rPr>
      <t>A_</t>
    </r>
    <r>
      <rPr>
        <sz val="10"/>
        <rFont val="Arial"/>
        <family val="2"/>
      </rPr>
      <t>DQ4</t>
    </r>
  </si>
  <si>
    <r>
      <t>S</t>
    </r>
    <r>
      <rPr>
        <sz val="10"/>
        <rFont val="Arial"/>
        <family val="2"/>
      </rPr>
      <t>A_</t>
    </r>
    <r>
      <rPr>
        <sz val="10"/>
        <rFont val="Arial"/>
        <family val="2"/>
      </rPr>
      <t>DQ5</t>
    </r>
  </si>
  <si>
    <r>
      <t>S</t>
    </r>
    <r>
      <rPr>
        <sz val="10"/>
        <rFont val="Arial"/>
        <family val="2"/>
      </rPr>
      <t>A_</t>
    </r>
    <r>
      <rPr>
        <sz val="10"/>
        <rFont val="Arial"/>
        <family val="2"/>
      </rPr>
      <t>DQ6</t>
    </r>
  </si>
  <si>
    <r>
      <t>S</t>
    </r>
    <r>
      <rPr>
        <sz val="10"/>
        <rFont val="Arial"/>
        <family val="2"/>
      </rPr>
      <t>A_</t>
    </r>
    <r>
      <rPr>
        <sz val="10"/>
        <rFont val="Arial"/>
        <family val="2"/>
      </rPr>
      <t>DQ7</t>
    </r>
  </si>
  <si>
    <r>
      <t>SA_</t>
    </r>
    <r>
      <rPr>
        <sz val="10"/>
        <rFont val="Arial"/>
        <family val="2"/>
      </rPr>
      <t>DM0</t>
    </r>
  </si>
  <si>
    <r>
      <t>S</t>
    </r>
    <r>
      <rPr>
        <sz val="10"/>
        <rFont val="Arial"/>
        <family val="2"/>
      </rPr>
      <t>A_</t>
    </r>
    <r>
      <rPr>
        <sz val="10"/>
        <rFont val="Arial"/>
        <family val="2"/>
      </rPr>
      <t>DQ8</t>
    </r>
  </si>
  <si>
    <r>
      <t>S</t>
    </r>
    <r>
      <rPr>
        <sz val="10"/>
        <rFont val="Arial"/>
        <family val="2"/>
      </rPr>
      <t>A_</t>
    </r>
    <r>
      <rPr>
        <sz val="10"/>
        <rFont val="Arial"/>
        <family val="2"/>
      </rPr>
      <t>DQ9</t>
    </r>
  </si>
  <si>
    <r>
      <t>S</t>
    </r>
    <r>
      <rPr>
        <sz val="10"/>
        <rFont val="Arial"/>
        <family val="2"/>
      </rPr>
      <t>A_</t>
    </r>
    <r>
      <rPr>
        <sz val="10"/>
        <rFont val="Arial"/>
        <family val="2"/>
      </rPr>
      <t>DQ10</t>
    </r>
  </si>
  <si>
    <r>
      <t>S</t>
    </r>
    <r>
      <rPr>
        <sz val="10"/>
        <rFont val="Arial"/>
        <family val="2"/>
      </rPr>
      <t>A_</t>
    </r>
    <r>
      <rPr>
        <sz val="10"/>
        <rFont val="Arial"/>
        <family val="2"/>
      </rPr>
      <t>DQ11</t>
    </r>
  </si>
  <si>
    <r>
      <t>S</t>
    </r>
    <r>
      <rPr>
        <sz val="10"/>
        <rFont val="Arial"/>
        <family val="2"/>
      </rPr>
      <t>A_</t>
    </r>
    <r>
      <rPr>
        <sz val="10"/>
        <rFont val="Arial"/>
        <family val="2"/>
      </rPr>
      <t>DQ12</t>
    </r>
  </si>
  <si>
    <r>
      <t>S</t>
    </r>
    <r>
      <rPr>
        <sz val="10"/>
        <rFont val="Arial"/>
        <family val="2"/>
      </rPr>
      <t>A_</t>
    </r>
    <r>
      <rPr>
        <sz val="10"/>
        <rFont val="Arial"/>
        <family val="2"/>
      </rPr>
      <t>DQ13</t>
    </r>
  </si>
  <si>
    <r>
      <t>S</t>
    </r>
    <r>
      <rPr>
        <sz val="10"/>
        <rFont val="Arial"/>
        <family val="2"/>
      </rPr>
      <t>A_</t>
    </r>
    <r>
      <rPr>
        <sz val="10"/>
        <rFont val="Arial"/>
        <family val="2"/>
      </rPr>
      <t>DQ15</t>
    </r>
  </si>
  <si>
    <r>
      <t>SA_</t>
    </r>
    <r>
      <rPr>
        <sz val="10"/>
        <rFont val="Arial"/>
        <family val="2"/>
      </rPr>
      <t>DM1</t>
    </r>
  </si>
  <si>
    <r>
      <t>S</t>
    </r>
    <r>
      <rPr>
        <sz val="10"/>
        <rFont val="Arial"/>
        <family val="2"/>
      </rPr>
      <t>A_</t>
    </r>
    <r>
      <rPr>
        <sz val="10"/>
        <rFont val="Arial"/>
        <family val="2"/>
      </rPr>
      <t>DQ16</t>
    </r>
  </si>
  <si>
    <r>
      <t>S</t>
    </r>
    <r>
      <rPr>
        <sz val="10"/>
        <rFont val="Arial"/>
        <family val="2"/>
      </rPr>
      <t>A_</t>
    </r>
    <r>
      <rPr>
        <sz val="10"/>
        <rFont val="Arial"/>
        <family val="2"/>
      </rPr>
      <t>DQ17</t>
    </r>
  </si>
  <si>
    <r>
      <t>S</t>
    </r>
    <r>
      <rPr>
        <sz val="10"/>
        <rFont val="Arial"/>
        <family val="2"/>
      </rPr>
      <t>A_</t>
    </r>
    <r>
      <rPr>
        <sz val="10"/>
        <rFont val="Arial"/>
        <family val="2"/>
      </rPr>
      <t>DQ18</t>
    </r>
  </si>
  <si>
    <r>
      <t>S</t>
    </r>
    <r>
      <rPr>
        <sz val="10"/>
        <rFont val="Arial"/>
        <family val="2"/>
      </rPr>
      <t>A_</t>
    </r>
    <r>
      <rPr>
        <sz val="10"/>
        <rFont val="Arial"/>
        <family val="2"/>
      </rPr>
      <t>DQ19</t>
    </r>
  </si>
  <si>
    <r>
      <t>S</t>
    </r>
    <r>
      <rPr>
        <sz val="10"/>
        <rFont val="Arial"/>
        <family val="2"/>
      </rPr>
      <t>A_</t>
    </r>
    <r>
      <rPr>
        <sz val="10"/>
        <rFont val="Arial"/>
        <family val="2"/>
      </rPr>
      <t>DQ20</t>
    </r>
  </si>
  <si>
    <r>
      <t>S</t>
    </r>
    <r>
      <rPr>
        <sz val="10"/>
        <rFont val="Arial"/>
        <family val="2"/>
      </rPr>
      <t>A_</t>
    </r>
    <r>
      <rPr>
        <sz val="10"/>
        <rFont val="Arial"/>
        <family val="2"/>
      </rPr>
      <t>DQ21</t>
    </r>
  </si>
  <si>
    <r>
      <t>S</t>
    </r>
    <r>
      <rPr>
        <sz val="10"/>
        <rFont val="Arial"/>
        <family val="2"/>
      </rPr>
      <t>A_</t>
    </r>
    <r>
      <rPr>
        <sz val="10"/>
        <rFont val="Arial"/>
        <family val="2"/>
      </rPr>
      <t>DQ22</t>
    </r>
  </si>
  <si>
    <r>
      <t>S</t>
    </r>
    <r>
      <rPr>
        <sz val="10"/>
        <rFont val="Arial"/>
        <family val="2"/>
      </rPr>
      <t>A_</t>
    </r>
    <r>
      <rPr>
        <sz val="10"/>
        <rFont val="Arial"/>
        <family val="2"/>
      </rPr>
      <t>DQ23</t>
    </r>
  </si>
  <si>
    <r>
      <t>SA_</t>
    </r>
    <r>
      <rPr>
        <sz val="10"/>
        <rFont val="Arial"/>
        <family val="2"/>
      </rPr>
      <t>DM2</t>
    </r>
  </si>
  <si>
    <r>
      <t>S</t>
    </r>
    <r>
      <rPr>
        <sz val="10"/>
        <rFont val="Arial"/>
        <family val="2"/>
      </rPr>
      <t>A_</t>
    </r>
    <r>
      <rPr>
        <sz val="10"/>
        <rFont val="Arial"/>
        <family val="2"/>
      </rPr>
      <t>DQ24</t>
    </r>
  </si>
  <si>
    <r>
      <t>S</t>
    </r>
    <r>
      <rPr>
        <sz val="10"/>
        <rFont val="Arial"/>
        <family val="2"/>
      </rPr>
      <t>A_</t>
    </r>
    <r>
      <rPr>
        <sz val="10"/>
        <rFont val="Arial"/>
        <family val="2"/>
      </rPr>
      <t>DQ25</t>
    </r>
  </si>
  <si>
    <r>
      <t>S</t>
    </r>
    <r>
      <rPr>
        <sz val="10"/>
        <rFont val="Arial"/>
        <family val="2"/>
      </rPr>
      <t>A_</t>
    </r>
    <r>
      <rPr>
        <sz val="10"/>
        <rFont val="Arial"/>
        <family val="2"/>
      </rPr>
      <t>DQ26</t>
    </r>
  </si>
  <si>
    <r>
      <t>S</t>
    </r>
    <r>
      <rPr>
        <sz val="10"/>
        <rFont val="Arial"/>
        <family val="2"/>
      </rPr>
      <t>A_</t>
    </r>
    <r>
      <rPr>
        <sz val="10"/>
        <rFont val="Arial"/>
        <family val="2"/>
      </rPr>
      <t>DQ27</t>
    </r>
  </si>
  <si>
    <r>
      <t>S</t>
    </r>
    <r>
      <rPr>
        <sz val="10"/>
        <rFont val="Arial"/>
        <family val="2"/>
      </rPr>
      <t>A_</t>
    </r>
    <r>
      <rPr>
        <sz val="10"/>
        <rFont val="Arial"/>
        <family val="2"/>
      </rPr>
      <t>DQ28</t>
    </r>
  </si>
  <si>
    <r>
      <t>S</t>
    </r>
    <r>
      <rPr>
        <sz val="10"/>
        <rFont val="Arial"/>
        <family val="2"/>
      </rPr>
      <t>A_</t>
    </r>
    <r>
      <rPr>
        <sz val="10"/>
        <rFont val="Arial"/>
        <family val="2"/>
      </rPr>
      <t>DQ29</t>
    </r>
  </si>
  <si>
    <r>
      <t>S</t>
    </r>
    <r>
      <rPr>
        <sz val="10"/>
        <rFont val="Arial"/>
        <family val="2"/>
      </rPr>
      <t>A_</t>
    </r>
    <r>
      <rPr>
        <sz val="10"/>
        <rFont val="Arial"/>
        <family val="2"/>
      </rPr>
      <t>DQ30</t>
    </r>
  </si>
  <si>
    <r>
      <t>S</t>
    </r>
    <r>
      <rPr>
        <sz val="10"/>
        <rFont val="Arial"/>
        <family val="2"/>
      </rPr>
      <t>A_</t>
    </r>
    <r>
      <rPr>
        <sz val="10"/>
        <rFont val="Arial"/>
        <family val="2"/>
      </rPr>
      <t>DQ31</t>
    </r>
  </si>
  <si>
    <r>
      <t>SA_</t>
    </r>
    <r>
      <rPr>
        <sz val="10"/>
        <rFont val="Arial"/>
        <family val="2"/>
      </rPr>
      <t>DM3</t>
    </r>
  </si>
  <si>
    <r>
      <t>S</t>
    </r>
    <r>
      <rPr>
        <sz val="10"/>
        <rFont val="Arial"/>
        <family val="2"/>
      </rPr>
      <t>A_</t>
    </r>
    <r>
      <rPr>
        <sz val="10"/>
        <rFont val="Arial"/>
        <family val="2"/>
      </rPr>
      <t>DQ32</t>
    </r>
  </si>
  <si>
    <r>
      <t>S</t>
    </r>
    <r>
      <rPr>
        <sz val="10"/>
        <rFont val="Arial"/>
        <family val="2"/>
      </rPr>
      <t>A_</t>
    </r>
    <r>
      <rPr>
        <sz val="10"/>
        <rFont val="Arial"/>
        <family val="2"/>
      </rPr>
      <t>DQ33</t>
    </r>
  </si>
  <si>
    <r>
      <t>S</t>
    </r>
    <r>
      <rPr>
        <sz val="10"/>
        <rFont val="Arial"/>
        <family val="2"/>
      </rPr>
      <t>A_</t>
    </r>
    <r>
      <rPr>
        <sz val="10"/>
        <rFont val="Arial"/>
        <family val="2"/>
      </rPr>
      <t>DQ34</t>
    </r>
  </si>
  <si>
    <r>
      <t>S</t>
    </r>
    <r>
      <rPr>
        <sz val="10"/>
        <rFont val="Arial"/>
        <family val="2"/>
      </rPr>
      <t>A_</t>
    </r>
    <r>
      <rPr>
        <sz val="10"/>
        <rFont val="Arial"/>
        <family val="2"/>
      </rPr>
      <t>DQ35</t>
    </r>
  </si>
  <si>
    <r>
      <t>S</t>
    </r>
    <r>
      <rPr>
        <sz val="10"/>
        <rFont val="Arial"/>
        <family val="2"/>
      </rPr>
      <t>A_</t>
    </r>
    <r>
      <rPr>
        <sz val="10"/>
        <rFont val="Arial"/>
        <family val="2"/>
      </rPr>
      <t>DQ36</t>
    </r>
  </si>
  <si>
    <r>
      <t>S</t>
    </r>
    <r>
      <rPr>
        <sz val="10"/>
        <rFont val="Arial"/>
        <family val="2"/>
      </rPr>
      <t>A_</t>
    </r>
    <r>
      <rPr>
        <sz val="10"/>
        <rFont val="Arial"/>
        <family val="2"/>
      </rPr>
      <t>DQ37</t>
    </r>
  </si>
  <si>
    <r>
      <t>S</t>
    </r>
    <r>
      <rPr>
        <sz val="10"/>
        <rFont val="Arial"/>
        <family val="2"/>
      </rPr>
      <t>A_</t>
    </r>
    <r>
      <rPr>
        <sz val="10"/>
        <rFont val="Arial"/>
        <family val="2"/>
      </rPr>
      <t>DQ38</t>
    </r>
  </si>
  <si>
    <r>
      <t>S</t>
    </r>
    <r>
      <rPr>
        <sz val="10"/>
        <rFont val="Arial"/>
        <family val="2"/>
      </rPr>
      <t>A_</t>
    </r>
    <r>
      <rPr>
        <sz val="10"/>
        <rFont val="Arial"/>
        <family val="2"/>
      </rPr>
      <t>DQ39</t>
    </r>
  </si>
  <si>
    <r>
      <t>SA_</t>
    </r>
    <r>
      <rPr>
        <sz val="10"/>
        <rFont val="Arial"/>
        <family val="2"/>
      </rPr>
      <t>DM4</t>
    </r>
  </si>
  <si>
    <r>
      <t>S</t>
    </r>
    <r>
      <rPr>
        <sz val="10"/>
        <rFont val="Arial"/>
        <family val="2"/>
      </rPr>
      <t>A_</t>
    </r>
    <r>
      <rPr>
        <sz val="10"/>
        <rFont val="Arial"/>
        <family val="2"/>
      </rPr>
      <t>DQ40</t>
    </r>
  </si>
  <si>
    <r>
      <t>S</t>
    </r>
    <r>
      <rPr>
        <sz val="10"/>
        <rFont val="Arial"/>
        <family val="2"/>
      </rPr>
      <t>A_</t>
    </r>
    <r>
      <rPr>
        <sz val="10"/>
        <rFont val="Arial"/>
        <family val="2"/>
      </rPr>
      <t>DQ41</t>
    </r>
  </si>
  <si>
    <r>
      <t>S</t>
    </r>
    <r>
      <rPr>
        <sz val="10"/>
        <rFont val="Arial"/>
        <family val="2"/>
      </rPr>
      <t>A_</t>
    </r>
    <r>
      <rPr>
        <sz val="10"/>
        <rFont val="Arial"/>
        <family val="2"/>
      </rPr>
      <t>DQ42</t>
    </r>
  </si>
  <si>
    <r>
      <t>S</t>
    </r>
    <r>
      <rPr>
        <sz val="10"/>
        <rFont val="Arial"/>
        <family val="2"/>
      </rPr>
      <t>A_</t>
    </r>
    <r>
      <rPr>
        <sz val="10"/>
        <rFont val="Arial"/>
        <family val="2"/>
      </rPr>
      <t>DQ43</t>
    </r>
  </si>
  <si>
    <r>
      <t>S</t>
    </r>
    <r>
      <rPr>
        <sz val="10"/>
        <rFont val="Arial"/>
        <family val="2"/>
      </rPr>
      <t>A_</t>
    </r>
    <r>
      <rPr>
        <sz val="10"/>
        <rFont val="Arial"/>
        <family val="2"/>
      </rPr>
      <t>DQ44</t>
    </r>
  </si>
  <si>
    <r>
      <t>S</t>
    </r>
    <r>
      <rPr>
        <sz val="10"/>
        <rFont val="Arial"/>
        <family val="2"/>
      </rPr>
      <t>A_</t>
    </r>
    <r>
      <rPr>
        <sz val="10"/>
        <rFont val="Arial"/>
        <family val="2"/>
      </rPr>
      <t>DQ45</t>
    </r>
  </si>
  <si>
    <r>
      <t>S</t>
    </r>
    <r>
      <rPr>
        <sz val="10"/>
        <rFont val="Arial"/>
        <family val="2"/>
      </rPr>
      <t>A_</t>
    </r>
    <r>
      <rPr>
        <sz val="10"/>
        <rFont val="Arial"/>
        <family val="2"/>
      </rPr>
      <t>DQ46</t>
    </r>
  </si>
  <si>
    <r>
      <t>S</t>
    </r>
    <r>
      <rPr>
        <sz val="10"/>
        <rFont val="Arial"/>
        <family val="2"/>
      </rPr>
      <t>A_</t>
    </r>
    <r>
      <rPr>
        <sz val="10"/>
        <rFont val="Arial"/>
        <family val="2"/>
      </rPr>
      <t>DQ47</t>
    </r>
  </si>
  <si>
    <r>
      <t>SA_</t>
    </r>
    <r>
      <rPr>
        <sz val="10"/>
        <rFont val="Arial"/>
        <family val="2"/>
      </rPr>
      <t>DM5</t>
    </r>
  </si>
  <si>
    <r>
      <t>S</t>
    </r>
    <r>
      <rPr>
        <sz val="10"/>
        <rFont val="Arial"/>
        <family val="2"/>
      </rPr>
      <t>A_</t>
    </r>
    <r>
      <rPr>
        <sz val="10"/>
        <rFont val="Arial"/>
        <family val="2"/>
      </rPr>
      <t>DQ48</t>
    </r>
  </si>
  <si>
    <r>
      <t>S</t>
    </r>
    <r>
      <rPr>
        <sz val="10"/>
        <rFont val="Arial"/>
        <family val="2"/>
      </rPr>
      <t>A_</t>
    </r>
    <r>
      <rPr>
        <sz val="10"/>
        <rFont val="Arial"/>
        <family val="2"/>
      </rPr>
      <t>DQ49</t>
    </r>
  </si>
  <si>
    <r>
      <t>S</t>
    </r>
    <r>
      <rPr>
        <sz val="10"/>
        <rFont val="Arial"/>
        <family val="2"/>
      </rPr>
      <t>A_</t>
    </r>
    <r>
      <rPr>
        <sz val="10"/>
        <rFont val="Arial"/>
        <family val="2"/>
      </rPr>
      <t>DQ50</t>
    </r>
  </si>
  <si>
    <r>
      <t>S</t>
    </r>
    <r>
      <rPr>
        <sz val="10"/>
        <rFont val="Arial"/>
        <family val="2"/>
      </rPr>
      <t>A_</t>
    </r>
    <r>
      <rPr>
        <sz val="10"/>
        <rFont val="Arial"/>
        <family val="2"/>
      </rPr>
      <t>DQ51</t>
    </r>
  </si>
  <si>
    <r>
      <t>S</t>
    </r>
    <r>
      <rPr>
        <sz val="10"/>
        <rFont val="Arial"/>
        <family val="2"/>
      </rPr>
      <t>A_</t>
    </r>
    <r>
      <rPr>
        <sz val="10"/>
        <rFont val="Arial"/>
        <family val="2"/>
      </rPr>
      <t>DQ52</t>
    </r>
  </si>
  <si>
    <r>
      <t>S</t>
    </r>
    <r>
      <rPr>
        <sz val="10"/>
        <rFont val="Arial"/>
        <family val="2"/>
      </rPr>
      <t>A_</t>
    </r>
    <r>
      <rPr>
        <sz val="10"/>
        <rFont val="Arial"/>
        <family val="2"/>
      </rPr>
      <t>DQ53</t>
    </r>
  </si>
  <si>
    <r>
      <t>S</t>
    </r>
    <r>
      <rPr>
        <sz val="10"/>
        <rFont val="Arial"/>
        <family val="2"/>
      </rPr>
      <t>A_</t>
    </r>
    <r>
      <rPr>
        <sz val="10"/>
        <rFont val="Arial"/>
        <family val="2"/>
      </rPr>
      <t>DQ54</t>
    </r>
  </si>
  <si>
    <r>
      <t>S</t>
    </r>
    <r>
      <rPr>
        <sz val="10"/>
        <rFont val="Arial"/>
        <family val="2"/>
      </rPr>
      <t>A_</t>
    </r>
    <r>
      <rPr>
        <sz val="10"/>
        <rFont val="Arial"/>
        <family val="2"/>
      </rPr>
      <t>DQ55</t>
    </r>
  </si>
  <si>
    <r>
      <t>SA_</t>
    </r>
    <r>
      <rPr>
        <sz val="10"/>
        <rFont val="Arial"/>
        <family val="2"/>
      </rPr>
      <t>DM6</t>
    </r>
  </si>
  <si>
    <r>
      <t>S</t>
    </r>
    <r>
      <rPr>
        <sz val="10"/>
        <rFont val="Arial"/>
        <family val="2"/>
      </rPr>
      <t>A_</t>
    </r>
    <r>
      <rPr>
        <sz val="10"/>
        <rFont val="Arial"/>
        <family val="2"/>
      </rPr>
      <t>DQ56</t>
    </r>
  </si>
  <si>
    <r>
      <t>S</t>
    </r>
    <r>
      <rPr>
        <sz val="10"/>
        <rFont val="Arial"/>
        <family val="2"/>
      </rPr>
      <t>A_</t>
    </r>
    <r>
      <rPr>
        <sz val="10"/>
        <rFont val="Arial"/>
        <family val="2"/>
      </rPr>
      <t>DQ57</t>
    </r>
  </si>
  <si>
    <r>
      <t>S</t>
    </r>
    <r>
      <rPr>
        <sz val="10"/>
        <rFont val="Arial"/>
        <family val="2"/>
      </rPr>
      <t>A_</t>
    </r>
    <r>
      <rPr>
        <sz val="10"/>
        <rFont val="Arial"/>
        <family val="2"/>
      </rPr>
      <t>DQ58</t>
    </r>
  </si>
  <si>
    <r>
      <t>S</t>
    </r>
    <r>
      <rPr>
        <sz val="10"/>
        <rFont val="Arial"/>
        <family val="2"/>
      </rPr>
      <t>A_</t>
    </r>
    <r>
      <rPr>
        <sz val="10"/>
        <rFont val="Arial"/>
        <family val="2"/>
      </rPr>
      <t>DQ59</t>
    </r>
  </si>
  <si>
    <r>
      <t>S</t>
    </r>
    <r>
      <rPr>
        <sz val="10"/>
        <rFont val="Arial"/>
        <family val="2"/>
      </rPr>
      <t>A_</t>
    </r>
    <r>
      <rPr>
        <sz val="10"/>
        <rFont val="Arial"/>
        <family val="2"/>
      </rPr>
      <t>DQ60</t>
    </r>
  </si>
  <si>
    <r>
      <t>S</t>
    </r>
    <r>
      <rPr>
        <sz val="10"/>
        <rFont val="Arial"/>
        <family val="2"/>
      </rPr>
      <t>A_</t>
    </r>
    <r>
      <rPr>
        <sz val="10"/>
        <rFont val="Arial"/>
        <family val="2"/>
      </rPr>
      <t>DQ61</t>
    </r>
  </si>
  <si>
    <r>
      <t>S</t>
    </r>
    <r>
      <rPr>
        <sz val="10"/>
        <rFont val="Arial"/>
        <family val="2"/>
      </rPr>
      <t>A_</t>
    </r>
    <r>
      <rPr>
        <sz val="10"/>
        <rFont val="Arial"/>
        <family val="2"/>
      </rPr>
      <t>DQ62</t>
    </r>
  </si>
  <si>
    <r>
      <t>S</t>
    </r>
    <r>
      <rPr>
        <sz val="10"/>
        <rFont val="Arial"/>
        <family val="2"/>
      </rPr>
      <t>A_</t>
    </r>
    <r>
      <rPr>
        <sz val="10"/>
        <rFont val="Arial"/>
        <family val="2"/>
      </rPr>
      <t>DQ63</t>
    </r>
  </si>
  <si>
    <r>
      <t>SA_</t>
    </r>
    <r>
      <rPr>
        <sz val="10"/>
        <rFont val="Arial"/>
        <family val="2"/>
      </rPr>
      <t>DM7</t>
    </r>
  </si>
  <si>
    <t>Changes to values on this worksheet will change the other worksheets.</t>
  </si>
  <si>
    <t>mil</t>
  </si>
  <si>
    <t>Data to DDR Strobe</t>
  </si>
  <si>
    <t>DIMMx CMD to DDR Clock</t>
  </si>
  <si>
    <t>SA_MA0</t>
  </si>
  <si>
    <t>Data/Strobe Group 0, Channel A</t>
  </si>
  <si>
    <t>Data/Strobe Group 1, Channel A</t>
  </si>
  <si>
    <t>Data/Strobe Group 2, Channel A</t>
  </si>
  <si>
    <t>Data/Strobe Group 3, Channel A</t>
  </si>
  <si>
    <t>Data/Strobe Group 4, Channel A</t>
  </si>
  <si>
    <t>Data/Strobe Group 5, Channel A</t>
  </si>
  <si>
    <t>Data/Strobe Group 6, Channel A</t>
  </si>
  <si>
    <t>Data/Strobe Group 7, Channel A</t>
  </si>
  <si>
    <t>DIMMx CTL to DDR Clock</t>
  </si>
  <si>
    <t>SODIMM</t>
  </si>
  <si>
    <t>Memory Down (SDRAM)</t>
  </si>
  <si>
    <t>Channel B CS#[1:0]</t>
  </si>
  <si>
    <t>Channel B ODT[1:0]</t>
  </si>
  <si>
    <t>Channel A/SDRAM Clocks</t>
  </si>
  <si>
    <t>Channel B/SODIMM Clocks</t>
  </si>
  <si>
    <t>Channel B CKE[1:0]</t>
  </si>
  <si>
    <t>Diff L8-1 &amp; L8-2 (&lt;=50 mils)</t>
  </si>
  <si>
    <t>CK[1:0]/CK#[1:0]</t>
  </si>
  <si>
    <t>CK[4:3]/CK#[4:3]</t>
  </si>
  <si>
    <t>Channel A / SDRAM</t>
  </si>
  <si>
    <t>Channel B / SODIMM</t>
  </si>
  <si>
    <t>Total MB Length to U2 (L0+L1+L2+S1+L5+Rs+L6+L7+L8-1+L10-2)</t>
  </si>
  <si>
    <t>Total MB Length to U3 (L0+L1+L2+S1+L5+Rs+L6+L7+L8-2+L10-3)</t>
  </si>
  <si>
    <t>Total MB Length to U4 (L0+L1+L2+S1+L5+Rs+L6+L7+L8-2+L9-2+L10-4)</t>
  </si>
  <si>
    <t>Total Pad to Pin U2 (P1+L0+L1+L2+S1+L5+Rs+L6+L7+L8-1+L10-2)</t>
  </si>
  <si>
    <t>Total Pad to Pin U3 (P1+L0+L1+L2+S1+L5+Rs+L6+L7+L8-2+L10-3)</t>
  </si>
  <si>
    <t>Total Pad to Pin U4 (P1+L0+L1+L2+S1+L5+Rs+L6+L7+L8-2+L9-2+L10-4)</t>
  </si>
  <si>
    <t>Clock Lengths including Package to U1</t>
  </si>
  <si>
    <t>Clock Lengths including Package to U4</t>
  </si>
  <si>
    <t>Clock Lengths including Package to U3</t>
  </si>
  <si>
    <t>Clock Lengths including Package to U2</t>
  </si>
  <si>
    <t>DDR2 Command Status:</t>
  </si>
  <si>
    <t>Channel A M_A_A[13:0]</t>
  </si>
  <si>
    <t>Channel A M_BS[1:0]</t>
  </si>
  <si>
    <t>Channel A Misc Command</t>
  </si>
  <si>
    <t>Channel A CKE[1:0]</t>
  </si>
  <si>
    <t>SA_DQ14</t>
  </si>
  <si>
    <t>Clock Lengths including Package to SODIMM</t>
  </si>
  <si>
    <t>Parameter (SODIMM)</t>
  </si>
  <si>
    <t>Parameter (Memory Down)</t>
  </si>
  <si>
    <t>Reference Clock Length</t>
  </si>
  <si>
    <t>Channel B M_B_A[13:0]</t>
  </si>
  <si>
    <t>Channel B M_BS[1:0]</t>
  </si>
  <si>
    <t>Channel B Misc Command</t>
  </si>
  <si>
    <t>SCK0 (U1, U2)</t>
  </si>
  <si>
    <t>SCK#0 (U1, U2)</t>
  </si>
  <si>
    <t>SCK1 (U3, U4)</t>
  </si>
  <si>
    <t>SCK#1 (U3, U4)</t>
  </si>
  <si>
    <t>U1</t>
  </si>
  <si>
    <t>U2</t>
  </si>
  <si>
    <t>U4</t>
  </si>
  <si>
    <t>U3</t>
  </si>
  <si>
    <t>Channel A Clocks</t>
  </si>
  <si>
    <t>Channel A Strobes</t>
  </si>
  <si>
    <t>U5</t>
  </si>
  <si>
    <t>U6</t>
  </si>
  <si>
    <t>U7</t>
  </si>
  <si>
    <t>U8</t>
  </si>
  <si>
    <t>SCK0 (U1)</t>
  </si>
  <si>
    <t>SCK#0 (U1)</t>
  </si>
  <si>
    <t>SCK0 (U2)</t>
  </si>
  <si>
    <t>SCK#0 (U2)</t>
  </si>
  <si>
    <t>SCK0 (U5)</t>
  </si>
  <si>
    <t>SCK#0 (U5)</t>
  </si>
  <si>
    <t>SCK0 (U6)</t>
  </si>
  <si>
    <t>SCK#0 (U6)</t>
  </si>
  <si>
    <t>SCK1 (U3)</t>
  </si>
  <si>
    <t>SCK#1 (U3)</t>
  </si>
  <si>
    <t>SCK1 (U4)</t>
  </si>
  <si>
    <t>SCK#1 (U4)</t>
  </si>
  <si>
    <t>SCK1 (U7)</t>
  </si>
  <si>
    <t>SCK#1 (U7)</t>
  </si>
  <si>
    <t>SCK1 (U8)</t>
  </si>
  <si>
    <t>SCK#1 (U8)</t>
  </si>
  <si>
    <t>CLK0/CLK0#</t>
  </si>
  <si>
    <t>CLK1/CLK1#</t>
  </si>
  <si>
    <t>Assumed Chip Configurations</t>
  </si>
  <si>
    <t>All Components on same side</t>
  </si>
  <si>
    <t>4 Components on each side</t>
  </si>
  <si>
    <t>Side A</t>
  </si>
  <si>
    <t>Side B</t>
  </si>
  <si>
    <t>SDRAM Component</t>
  </si>
  <si>
    <t xml:space="preserve">U1 </t>
  </si>
  <si>
    <t>SideB</t>
  </si>
  <si>
    <t>CMD</t>
  </si>
  <si>
    <t>Trace L10-4 to U6 [mil]</t>
  </si>
  <si>
    <t>Trace L10-3 to U2 [mil]</t>
  </si>
  <si>
    <t>Clock Lengths including Package to U5</t>
  </si>
  <si>
    <t>Clock Lengths including Package to U6</t>
  </si>
  <si>
    <t>Clock Lengths including Package to U7</t>
  </si>
  <si>
    <t>Clock Lengths including Package to U8</t>
  </si>
  <si>
    <t>1x8</t>
  </si>
  <si>
    <t>DQS0/DQS0#</t>
  </si>
  <si>
    <t>DQS1/DQS1#</t>
  </si>
  <si>
    <t>DQS2/DQS2#</t>
  </si>
  <si>
    <t>DQS3/DQS4#</t>
  </si>
  <si>
    <t>DQS4/DQS4#</t>
  </si>
  <si>
    <t>DQS5/DQS5#</t>
  </si>
  <si>
    <t>DQS6/DQS6#</t>
  </si>
  <si>
    <t>DQS7/DQS7#</t>
  </si>
  <si>
    <t>1x16</t>
  </si>
  <si>
    <t>AE15</t>
  </si>
  <si>
    <t>AD13</t>
  </si>
  <si>
    <t>AB25</t>
  </si>
  <si>
    <t>AE12</t>
  </si>
  <si>
    <t>AC21</t>
  </si>
  <si>
    <t>AC20</t>
  </si>
  <si>
    <t>AC19</t>
  </si>
  <si>
    <t>AD20</t>
  </si>
  <si>
    <t>AE19</t>
  </si>
  <si>
    <t>AE20</t>
  </si>
  <si>
    <t>AF20</t>
  </si>
  <si>
    <t>AF21</t>
  </si>
  <si>
    <t>AE21</t>
  </si>
  <si>
    <t>AA24</t>
  </si>
  <si>
    <t>AC11</t>
  </si>
  <si>
    <t>AB23</t>
  </si>
  <si>
    <t>AB24</t>
  </si>
  <si>
    <t>AF13</t>
  </si>
  <si>
    <t>AJ14</t>
  </si>
  <si>
    <t>AG14</t>
  </si>
  <si>
    <t>AJ13</t>
  </si>
  <si>
    <t>AC12</t>
  </si>
  <si>
    <t>AE14</t>
  </si>
  <si>
    <t>AF14</t>
  </si>
  <si>
    <t>AL13</t>
  </si>
  <si>
    <t>AC15</t>
  </si>
  <si>
    <t>AD14</t>
  </si>
  <si>
    <t>AG19</t>
  </si>
  <si>
    <t>AK20</t>
  </si>
  <si>
    <t>AC23</t>
  </si>
  <si>
    <t>AC25</t>
  </si>
  <si>
    <t>AJ21</t>
  </si>
  <si>
    <t>AD11</t>
  </si>
  <si>
    <t>AG13</t>
  </si>
  <si>
    <t>AL14</t>
  </si>
  <si>
    <t>AH12</t>
  </si>
  <si>
    <t>AF12</t>
  </si>
  <si>
    <t>AG12</t>
  </si>
  <si>
    <t>AK13</t>
  </si>
  <si>
    <t>AJ12</t>
  </si>
  <si>
    <t>AF25</t>
  </si>
  <si>
    <t>AG9</t>
  </si>
  <si>
    <t>AF26</t>
  </si>
  <si>
    <t>AF9</t>
  </si>
  <si>
    <t>AG5</t>
  </si>
  <si>
    <t>AB31</t>
  </si>
  <si>
    <t>AJ10</t>
  </si>
  <si>
    <t>AG7</t>
  </si>
  <si>
    <t>AL5</t>
  </si>
  <si>
    <t>AG28</t>
  </si>
  <si>
    <t>AJ26</t>
  </si>
  <si>
    <t>AG31</t>
  </si>
  <si>
    <t>AL27</t>
  </si>
  <si>
    <t>AK27</t>
  </si>
  <si>
    <t>AE27</t>
  </si>
  <si>
    <t>AJ25</t>
  </si>
  <si>
    <t>AG27</t>
  </si>
  <si>
    <t>AG26</t>
  </si>
  <si>
    <t>AK11</t>
  </si>
  <si>
    <t>AL11</t>
  </si>
  <si>
    <t>AJ7</t>
  </si>
  <si>
    <t>AL12</t>
  </si>
  <si>
    <t>AJ11</t>
  </si>
  <si>
    <t>AH9</t>
  </si>
  <si>
    <t>AJ9</t>
  </si>
  <si>
    <t>AG10</t>
  </si>
  <si>
    <t>AF10</t>
  </si>
  <si>
    <t>AH7</t>
  </si>
  <si>
    <t>AH11</t>
  </si>
  <si>
    <t>AG11</t>
  </si>
  <si>
    <t>AG6</t>
  </si>
  <si>
    <t>AE6</t>
  </si>
  <si>
    <t>AK7</t>
  </si>
  <si>
    <t>AK6</t>
  </si>
  <si>
    <t>AJ6</t>
  </si>
  <si>
    <t>AH2</t>
  </si>
  <si>
    <t>AC6</t>
  </si>
  <si>
    <t>AC7</t>
  </si>
  <si>
    <t>AC2</t>
  </si>
  <si>
    <t>Channel A CKE Bank[0]</t>
  </si>
  <si>
    <t>Channel A CKE Bank[1]</t>
  </si>
  <si>
    <t>Bank 0</t>
  </si>
  <si>
    <t>Bank1</t>
  </si>
  <si>
    <t>Total MB Length to U6 (L0+L1+L2+S1+L5+Rs+L6+L7+L8-1+L10-2)</t>
  </si>
  <si>
    <t>Total Pad to Pin U6 (P1+L0+L1+L2+S1+L5+Rs+L6+L7+L8-1+L10-2)</t>
  </si>
  <si>
    <t>Total MB Length to U7 (L0+L1+L2+S1+L5+Rs+L6+L7+L8-2+L10-3)</t>
  </si>
  <si>
    <t>Total Pad to Pin U7 (P1+L0+L1+L2+S1+L5+Rs+L6+L7+L8-2+L10-3)</t>
  </si>
  <si>
    <t>Total MB Length to U8 (L0+L1+L2+S1+L5+Rs+L6+L7+L8-2+L9-2+L10-4)</t>
  </si>
  <si>
    <t>Total Pad to Pin U8 (P1+L0+L1+L2+S1+L5+Rs+L6+L7+L8-2+L9-2+L10-4)</t>
  </si>
  <si>
    <t>Diff L6-1 &amp; L6-2 (&lt;=50 mils)</t>
  </si>
  <si>
    <t>Trace L8-2 [mil]</t>
  </si>
  <si>
    <t>Trace L8-3 to U2 [mil]</t>
  </si>
  <si>
    <t>Trace L8-4 to U6 [mil]</t>
  </si>
  <si>
    <t>Check for Pass/Fail for Total length to U5, U6,U7 &amp; U8 is not there</t>
  </si>
  <si>
    <t>DQS3/DQS3#</t>
  </si>
  <si>
    <t>Total MB Length to U2 (L0+L1+L2+L5+L6-1+L8-2)</t>
  </si>
  <si>
    <t>Total Pad to Pin U2 (P1+L0+L1+L2+L5+L6-1+L8-2)</t>
  </si>
  <si>
    <t>Total MB Length to U6 (L0+L1+L2+L5+L6-1+L8-2)</t>
  </si>
  <si>
    <t>Total Pad to Pin U6 (P1+L0+L1+L2+L5+L6-1+L8-2)</t>
  </si>
  <si>
    <t>Total MB Length to U3 (L0+L1+L2+L5+L6-2+L8-3)</t>
  </si>
  <si>
    <t>Total Pad to Pin U3 (P1+L0+L1+L2+L5+L6-2+L8-3)</t>
  </si>
  <si>
    <t>Total MB Length to U7 (L0+L1+L2+L5+L6-2+L8-3)</t>
  </si>
  <si>
    <t>Total Pad to Pin U7 (P1+L0+L1+L2+L5+L6-2+L8-3)</t>
  </si>
  <si>
    <t>Total MB Length to U4 (L0+L1+L2+L5+L6-2+L7-2+L8-4)</t>
  </si>
  <si>
    <t>Total Pad to Pin U4 (P1+L0+L1+L2+L5+L6-2+L7-2+L8-4)</t>
  </si>
  <si>
    <t>Total MB Length to U8 (L0+L1+L2+L5+L6-2+L7-2+L8-4)</t>
  </si>
  <si>
    <t>Total Pad to Pin U8 (P1+L0+L1+L2+L5+L6-2+L7-2+L8-4)</t>
  </si>
  <si>
    <t>8 Components on each side</t>
  </si>
  <si>
    <t>Trace L9-3 to U2 [mil]</t>
  </si>
  <si>
    <t>Trace L9-4 to U6 [mil]</t>
  </si>
  <si>
    <t>CSFF
Signal</t>
  </si>
  <si>
    <t xml:space="preserve">EDP_TX2+ </t>
    <phoneticPr fontId="49" type="noConversion"/>
  </si>
  <si>
    <t xml:space="preserve">EDP_TX2- </t>
    <phoneticPr fontId="49" type="noConversion"/>
  </si>
  <si>
    <t>EDP_TX1+</t>
    <phoneticPr fontId="49" type="noConversion"/>
  </si>
  <si>
    <t>EDP_TX1-</t>
    <phoneticPr fontId="49" type="noConversion"/>
  </si>
  <si>
    <t>EDP_TX0+</t>
    <phoneticPr fontId="49" type="noConversion"/>
  </si>
  <si>
    <t>EDP_TX0-</t>
    <phoneticPr fontId="49" type="noConversion"/>
  </si>
  <si>
    <t>EDP_TX3+</t>
    <phoneticPr fontId="49" type="noConversion"/>
  </si>
  <si>
    <t>EDP_TX3-</t>
    <phoneticPr fontId="49" type="noConversion"/>
  </si>
  <si>
    <t>EDP_AUX+</t>
    <phoneticPr fontId="49" type="noConversion"/>
  </si>
  <si>
    <t>EDP_AUX-</t>
    <phoneticPr fontId="49" type="noConversion"/>
  </si>
  <si>
    <t>Target</t>
    <phoneticPr fontId="49" type="noConversion"/>
  </si>
  <si>
    <t>CSFF
Ball</t>
  </si>
  <si>
    <t>CSFF
Package
Length
[mils]</t>
  </si>
  <si>
    <t>SCK2</t>
  </si>
  <si>
    <t>SCK#2</t>
  </si>
  <si>
    <t>AF33</t>
  </si>
  <si>
    <t>AJ1</t>
  </si>
  <si>
    <t>AM30</t>
  </si>
  <si>
    <t>AG33</t>
  </si>
  <si>
    <t>AK1</t>
  </si>
  <si>
    <t>AN30</t>
  </si>
  <si>
    <t>AN20</t>
  </si>
  <si>
    <t>AK21</t>
  </si>
  <si>
    <t>AK22</t>
  </si>
  <si>
    <t>AL22</t>
  </si>
  <si>
    <t>AH22</t>
  </si>
  <si>
    <t>AG22</t>
  </si>
  <si>
    <t>AM21</t>
  </si>
  <si>
    <t>AE22</t>
  </si>
  <si>
    <t>AE26</t>
  </si>
  <si>
    <t>AK17</t>
  </si>
  <si>
    <t>AH17</t>
  </si>
  <si>
    <t>AM17</t>
  </si>
  <si>
    <t>AM15</t>
  </si>
  <si>
    <t>AH15</t>
  </si>
  <si>
    <t>AK15</t>
  </si>
  <si>
    <t>AN15</t>
  </si>
  <si>
    <t>AJ18</t>
  </si>
  <si>
    <t>AF19</t>
  </si>
  <si>
    <t>AN17</t>
  </si>
  <si>
    <t>AL17</t>
  </si>
  <si>
    <t>AG16</t>
  </si>
  <si>
    <t>AL18</t>
  </si>
  <si>
    <t>AG18</t>
  </si>
  <si>
    <t>AK12</t>
  </si>
  <si>
    <t>AG17</t>
  </si>
  <si>
    <t>AJ17</t>
  </si>
  <si>
    <t>AG21</t>
  </si>
  <si>
    <t>CSFF Signal</t>
  </si>
  <si>
    <t>AN21</t>
  </si>
  <si>
    <t>AN22</t>
  </si>
  <si>
    <t>Y25</t>
  </si>
  <si>
    <t>Y24</t>
  </si>
  <si>
    <t>AB21</t>
  </si>
  <si>
    <t>AB19</t>
  </si>
  <si>
    <t>AB16</t>
  </si>
  <si>
    <t>AB14</t>
  </si>
  <si>
    <t>AA12</t>
  </si>
  <si>
    <t>W24</t>
  </si>
  <si>
    <t>AB22</t>
  </si>
  <si>
    <t>AB20</t>
  </si>
  <si>
    <t>AB18</t>
  </si>
  <si>
    <t>AB15</t>
  </si>
  <si>
    <t>AB13</t>
  </si>
  <si>
    <t>AB12</t>
  </si>
  <si>
    <t>CSFF Ball</t>
  </si>
  <si>
    <t>CSFF Package Length [mils]</t>
  </si>
  <si>
    <t>AH30</t>
  </si>
  <si>
    <t>AL32</t>
  </si>
  <si>
    <t>AJ28</t>
  </si>
  <si>
    <t>AJ27</t>
  </si>
  <si>
    <t>AH32</t>
  </si>
  <si>
    <t>AF31</t>
  </si>
  <si>
    <t>AH27</t>
  </si>
  <si>
    <t>AF28</t>
  </si>
  <si>
    <t>AJ32</t>
  </si>
  <si>
    <t>AN27</t>
  </si>
  <si>
    <t>AM26</t>
  </si>
  <si>
    <t>AN26</t>
  </si>
  <si>
    <t>AH25</t>
  </si>
  <si>
    <t>AM12</t>
  </si>
  <si>
    <t>AK9</t>
  </si>
  <si>
    <t>AM11</t>
  </si>
  <si>
    <t>AM8</t>
  </si>
  <si>
    <t>AK8</t>
  </si>
  <si>
    <t>AF8</t>
  </si>
  <si>
    <t>AF7</t>
  </si>
  <si>
    <t>AH6</t>
  </si>
  <si>
    <t>AN6</t>
  </si>
  <si>
    <t>AM6</t>
  </si>
  <si>
    <t>AL2</t>
  </si>
  <si>
    <t>AM5</t>
  </si>
  <si>
    <t>AJ3</t>
  </si>
  <si>
    <t>AG2</t>
  </si>
  <si>
    <t>AE7</t>
  </si>
  <si>
    <t>AH5</t>
  </si>
  <si>
    <t>AG3</t>
  </si>
  <si>
    <t>AF5</t>
  </si>
  <si>
    <t>AH31</t>
  </si>
  <si>
    <t>AK31</t>
  </si>
  <si>
    <t>AE31</t>
  </si>
  <si>
    <t>AB32</t>
  </si>
  <si>
    <t>AF32</t>
  </si>
  <si>
    <t>AC33</t>
  </si>
  <si>
    <t>AC31</t>
  </si>
  <si>
    <t>AB28</t>
  </si>
  <si>
    <t>AE33</t>
  </si>
  <si>
    <t>AB30</t>
  </si>
  <si>
    <t>AL31</t>
  </si>
  <si>
    <t>AF30</t>
  </si>
  <si>
    <t>AK26</t>
  </si>
  <si>
    <t>AK5</t>
  </si>
  <si>
    <t>CTL to DDR Clock</t>
  </si>
  <si>
    <t>CMD to DDR Clock</t>
  </si>
  <si>
    <t>Channel A Strobe to DDR Clock</t>
  </si>
  <si>
    <t>Channel B Strobe to DDR Clock</t>
  </si>
  <si>
    <t>2x16</t>
  </si>
  <si>
    <t>U1, U5</t>
  </si>
  <si>
    <t>U2, U6</t>
  </si>
  <si>
    <t>U3, U7</t>
  </si>
  <si>
    <t>U4, U8</t>
  </si>
  <si>
    <t>Escape
Length L0
 [mil]</t>
  </si>
  <si>
    <t>Breakout
Length L1
[mil]</t>
  </si>
  <si>
    <t>Main
Length L2
[mil ]</t>
  </si>
  <si>
    <t>Breakin
Length S1  
[mil]</t>
  </si>
  <si>
    <t>Via-to-via (SODIMM-to-Rt) L3 [mil]</t>
  </si>
  <si>
    <t>Via-to-Rt 
L4 [mil]</t>
  </si>
  <si>
    <t>Total MB Length
(L0+L1+L2+S1)
[mil]</t>
  </si>
  <si>
    <t>Total Pad-to-Pin Length (P1+L0+L1+L2+S1)
[mil]</t>
  </si>
  <si>
    <t>Target Min Length 
[mil]</t>
  </si>
  <si>
    <t>Target Max Length 
[mil]</t>
  </si>
  <si>
    <t>Routed Too Short [mil]</t>
  </si>
  <si>
    <t>Routed Too Long [mil]</t>
  </si>
  <si>
    <t>L0 Length Test (&lt;=50mil)</t>
  </si>
  <si>
    <t>L1 Length Test (&lt;=500mil)</t>
  </si>
  <si>
    <t>S1 Length test (&lt;=200mil)</t>
  </si>
  <si>
    <t>Total Length    (L0+L1+L2+S1) Test
 (500-3500mil)</t>
  </si>
  <si>
    <t>Total Length    (P1+L0+L1+L2+S1) Test
 (&lt;=4000mil)</t>
  </si>
  <si>
    <t>L3 Length Test (&lt;=1300mil)</t>
  </si>
  <si>
    <t>L4 Length Test (&lt;=200mil) or (L3+L4&lt;= 1500mil)</t>
  </si>
  <si>
    <t>Via-to-Rt
L4 [mil]</t>
  </si>
  <si>
    <t>Trace L5 [mil]</t>
  </si>
  <si>
    <t>Trace L6-1 [mil]</t>
  </si>
  <si>
    <t>Trace L7-1 [mil]</t>
  </si>
  <si>
    <t>Trace L8-1 to U1 [mil]</t>
  </si>
  <si>
    <t>Trace L8-2 to U5 [mil]</t>
  </si>
  <si>
    <t>Total MB Length to U1 (L0+L1+L2+L5+L6-1+L7-1+L8-1) [mil]</t>
  </si>
  <si>
    <t>Total Pad to Pin U1 (P1+L0+L1+L2+L5+L6-1+L7-1+L8-1) [mil]</t>
  </si>
  <si>
    <t>Target Min Length to U1
[mil]</t>
  </si>
  <si>
    <t>Target Max Length  to U1 
[mil]</t>
  </si>
  <si>
    <t>Routed Too Short  to U1 [mil]</t>
  </si>
  <si>
    <t>Routed Too Long  to U1 [mil]</t>
  </si>
  <si>
    <t>Total MB Length to U5 (L0+L1+L2+L5+L6-1+L7-1+L8-2) [mil]</t>
  </si>
  <si>
    <t>Total Pad to Pin U5 (P1+L0+L1+L2+L5+L6-1+L7-1+L8-2) [mil]</t>
  </si>
  <si>
    <t>Target Min Length to U5
[mil]</t>
  </si>
  <si>
    <t>Target Max Length  to U5 
[mil]</t>
  </si>
  <si>
    <t>Routed Too Short  to U5 [mil]</t>
  </si>
  <si>
    <t>Routed Too Long  to U5 [mil]</t>
  </si>
  <si>
    <t>L3 Length Test (&lt;=1000mil)</t>
  </si>
  <si>
    <t>L4 Length Test (&lt;=200mil) or (L3+L4&lt;= 1200mil)</t>
  </si>
  <si>
    <t>L5 Length Test (&lt;=1500mil)</t>
  </si>
  <si>
    <t>L6-1 Length Test (&lt;=1000mil)</t>
  </si>
  <si>
    <t>L7-1 Length Test (&lt;=1250mil)</t>
  </si>
  <si>
    <t>Diff L7-1 &amp; L7-2 (&lt;=50mil)</t>
  </si>
  <si>
    <t>L8-1 Length Test (&lt;=200mil) or (L7-1+L8-1&lt;= 1450mil)</t>
  </si>
  <si>
    <t>L8-2 Length Test (&lt;=200mil) or (L7-1+L8-2&lt;= 1450mil)</t>
  </si>
  <si>
    <t>Total Length to U1 (L0+L1+L2+L5+L6-1+L7-1+L8-1) Test
 (500-6500mil)</t>
  </si>
  <si>
    <t>Total Length to U1 (P1+L0+L1+L2+L5+L6-1+L7-1+L8-1) Test
 (&lt;=7000mil)</t>
  </si>
  <si>
    <t>Total Length to U5 (L0+L1+L2+L5+L6-1+L7-1+L8-2) Test
 (500-6500mil)</t>
  </si>
  <si>
    <t>Total Length to U5(P1+L0+L1+L2+L5+L6-1+L7-1+L8-2) Test
 (&lt;=7000mil)</t>
  </si>
  <si>
    <t>Channel A CKE</t>
  </si>
  <si>
    <t>Trace L6-2 [mil]</t>
  </si>
  <si>
    <t>Trace L8-5 to U3 [mil]</t>
  </si>
  <si>
    <t>Trace L8-6 to U7 [mil]</t>
  </si>
  <si>
    <t>Trace L7-2 [mil]</t>
  </si>
  <si>
    <t>Trace L8-7 to U4 [mil]</t>
  </si>
  <si>
    <t>Trace L8-8 to U8 [mil]</t>
  </si>
  <si>
    <t>TOP</t>
  </si>
  <si>
    <t>BOT</t>
  </si>
  <si>
    <t>CLK0</t>
  </si>
  <si>
    <t>L8-1</t>
  </si>
  <si>
    <t>L8-2</t>
  </si>
  <si>
    <t>L8-3</t>
  </si>
  <si>
    <t>L8-4</t>
  </si>
  <si>
    <t>CLK1</t>
  </si>
  <si>
    <t>L8-5</t>
  </si>
  <si>
    <t>L8-6</t>
  </si>
  <si>
    <t>L8-7</t>
  </si>
  <si>
    <t>L8-8</t>
  </si>
  <si>
    <t xml:space="preserve">
U4</t>
  </si>
  <si>
    <t>Target</t>
    <phoneticPr fontId="49" type="noConversion"/>
  </si>
  <si>
    <t>HDA_SYNC</t>
  </si>
  <si>
    <t>Space(mils)</t>
    <phoneticPr fontId="49" type="noConversion"/>
  </si>
  <si>
    <t>Space with 
other signals
(mils)</t>
    <phoneticPr fontId="49" type="noConversion"/>
  </si>
  <si>
    <t>COMexpress connector Pin Name</t>
    <phoneticPr fontId="35" type="noConversion"/>
  </si>
  <si>
    <t>Chipset Design Guide
Trace Length limit</t>
    <phoneticPr fontId="35" type="noConversion"/>
  </si>
  <si>
    <t>Trace Length(mil)</t>
    <phoneticPr fontId="35" type="noConversion"/>
  </si>
  <si>
    <t>Via</t>
    <phoneticPr fontId="35" type="noConversion"/>
  </si>
  <si>
    <t>Mismatch</t>
    <phoneticPr fontId="49" type="noConversion"/>
  </si>
  <si>
    <t>Mismatch limit</t>
    <phoneticPr fontId="49" type="noConversion"/>
  </si>
  <si>
    <t>Via limit</t>
    <phoneticPr fontId="49" type="noConversion"/>
  </si>
  <si>
    <t>Impedances</t>
    <phoneticPr fontId="49" type="noConversion"/>
  </si>
  <si>
    <t>LVDS Design Guidelines</t>
    <phoneticPr fontId="35" type="noConversion"/>
  </si>
  <si>
    <t xml:space="preserve">Impedances </t>
    <phoneticPr fontId="49" type="noConversion"/>
  </si>
  <si>
    <t>Zo=50ohm</t>
    <phoneticPr fontId="49" type="noConversion"/>
  </si>
  <si>
    <t>Via limit</t>
    <phoneticPr fontId="35" type="noConversion"/>
  </si>
  <si>
    <t>Impedances</t>
    <phoneticPr fontId="35" type="noConversion"/>
  </si>
  <si>
    <r>
      <t xml:space="preserve">DDI </t>
    </r>
    <r>
      <rPr>
        <shadow/>
        <sz val="24"/>
        <color indexed="10"/>
        <rFont val="Times New Roman"/>
        <family val="1"/>
      </rPr>
      <t>Design Guidelines</t>
    </r>
    <phoneticPr fontId="49" type="noConversion"/>
  </si>
  <si>
    <t>COMexpress connector Pin Name</t>
    <phoneticPr fontId="35" type="noConversion"/>
  </si>
  <si>
    <t>Chipset Design Guide
Trace Length limit</t>
    <phoneticPr fontId="35" type="noConversion"/>
  </si>
  <si>
    <t>Mismatch</t>
    <phoneticPr fontId="49" type="noConversion"/>
  </si>
  <si>
    <t>Via</t>
    <phoneticPr fontId="35" type="noConversion"/>
  </si>
  <si>
    <t>Mismatch limit</t>
    <phoneticPr fontId="49" type="noConversion"/>
  </si>
  <si>
    <t>Via limit</t>
    <phoneticPr fontId="35" type="noConversion"/>
  </si>
  <si>
    <t>Impedances</t>
    <phoneticPr fontId="35" type="noConversion"/>
  </si>
  <si>
    <t>DDI1_PAIR0-</t>
    <phoneticPr fontId="49" type="noConversion"/>
  </si>
  <si>
    <t>Target</t>
    <phoneticPr fontId="49" type="noConversion"/>
  </si>
  <si>
    <t>DDI1_PAIR0+</t>
    <phoneticPr fontId="49" type="noConversion"/>
  </si>
  <si>
    <t>DDI1_PAIR1-</t>
    <phoneticPr fontId="49" type="noConversion"/>
  </si>
  <si>
    <t>DDI1_PAIR1+</t>
    <phoneticPr fontId="49" type="noConversion"/>
  </si>
  <si>
    <t>DDI1_PAIR2-</t>
    <phoneticPr fontId="49" type="noConversion"/>
  </si>
  <si>
    <t>DDI1_PAIR2+</t>
    <phoneticPr fontId="49" type="noConversion"/>
  </si>
  <si>
    <t>DDI1_PAIR3-</t>
    <phoneticPr fontId="49" type="noConversion"/>
  </si>
  <si>
    <t>DDI1_PAIR3+</t>
    <phoneticPr fontId="49" type="noConversion"/>
  </si>
  <si>
    <t>DDI1_PAIR4-</t>
    <phoneticPr fontId="49" type="noConversion"/>
  </si>
  <si>
    <t>DDI1_PAIR4+</t>
    <phoneticPr fontId="49" type="noConversion"/>
  </si>
  <si>
    <t>DDI1_PAIR5-</t>
    <phoneticPr fontId="49" type="noConversion"/>
  </si>
  <si>
    <t>DDI1_PAIR5+</t>
    <phoneticPr fontId="49" type="noConversion"/>
  </si>
  <si>
    <t>DDI1_PAIR6-</t>
    <phoneticPr fontId="49" type="noConversion"/>
  </si>
  <si>
    <t>DDI1_PAIR6+</t>
    <phoneticPr fontId="49" type="noConversion"/>
  </si>
  <si>
    <t>DDI1_DATA/AUX-</t>
    <phoneticPr fontId="49" type="noConversion"/>
  </si>
  <si>
    <t>DDI1_CLK/AUX+</t>
    <phoneticPr fontId="49" type="noConversion"/>
  </si>
  <si>
    <t>DDI2_PAIR0-</t>
    <phoneticPr fontId="49" type="noConversion"/>
  </si>
  <si>
    <t>DDI2_PAIR0+</t>
    <phoneticPr fontId="49" type="noConversion"/>
  </si>
  <si>
    <t>DDI2_PAIR1-</t>
    <phoneticPr fontId="49" type="noConversion"/>
  </si>
  <si>
    <t>DDI2_PAIR1+</t>
    <phoneticPr fontId="49" type="noConversion"/>
  </si>
  <si>
    <t>DDI2_PAIR2-</t>
    <phoneticPr fontId="49" type="noConversion"/>
  </si>
  <si>
    <t>DDI2_PAIR2+</t>
    <phoneticPr fontId="49" type="noConversion"/>
  </si>
  <si>
    <t>DDI2_PAIR3-</t>
    <phoneticPr fontId="49" type="noConversion"/>
  </si>
  <si>
    <t>DDI2_PAIR3+</t>
    <phoneticPr fontId="49" type="noConversion"/>
  </si>
  <si>
    <t>DDI2_DATA/AUXN</t>
    <phoneticPr fontId="49" type="noConversion"/>
  </si>
  <si>
    <t>DDI2_CLK/AUXP</t>
    <phoneticPr fontId="49" type="noConversion"/>
  </si>
  <si>
    <t>DDI3_PAIR0-</t>
    <phoneticPr fontId="49" type="noConversion"/>
  </si>
  <si>
    <t>DDI3_PAIR0+</t>
    <phoneticPr fontId="49" type="noConversion"/>
  </si>
  <si>
    <t>DDI3_PAIR1-</t>
    <phoneticPr fontId="49" type="noConversion"/>
  </si>
  <si>
    <t>DDI3_PAIR1+</t>
    <phoneticPr fontId="49" type="noConversion"/>
  </si>
  <si>
    <t>DDI3_PAIR2-</t>
    <phoneticPr fontId="49" type="noConversion"/>
  </si>
  <si>
    <t>DDI3_PAIR2+</t>
    <phoneticPr fontId="49" type="noConversion"/>
  </si>
  <si>
    <t>DDI3_PAIR3-</t>
    <phoneticPr fontId="49" type="noConversion"/>
  </si>
  <si>
    <t>DDI3_PAIR3+</t>
    <phoneticPr fontId="49" type="noConversion"/>
  </si>
  <si>
    <t>DDI3_DATA/AUXN</t>
    <phoneticPr fontId="49" type="noConversion"/>
  </si>
  <si>
    <t>DDI3_CLK/AUXP</t>
    <phoneticPr fontId="49" type="noConversion"/>
  </si>
  <si>
    <t>Space with 
other signals(mils)</t>
    <phoneticPr fontId="49" type="noConversion"/>
  </si>
  <si>
    <t>Difference signal is +/-2mil,
Total is +/-5mil</t>
  </si>
  <si>
    <t>Difference signal is +/-2mil,
Total is +/-5mil</t>
    <phoneticPr fontId="49" type="noConversion"/>
  </si>
  <si>
    <t>DDI1_PAIR0+</t>
    <phoneticPr fontId="49" type="noConversion"/>
  </si>
  <si>
    <t>DDI1_PAIR1-</t>
    <phoneticPr fontId="49" type="noConversion"/>
  </si>
  <si>
    <t>DDI1_PAIR1+</t>
    <phoneticPr fontId="49" type="noConversion"/>
  </si>
  <si>
    <t>DDI1_PAIR2-</t>
    <phoneticPr fontId="49" type="noConversion"/>
  </si>
  <si>
    <t>DDI1_PAIR2+</t>
    <phoneticPr fontId="49" type="noConversion"/>
  </si>
  <si>
    <t>DDI1_PAIR3-</t>
    <phoneticPr fontId="49" type="noConversion"/>
  </si>
  <si>
    <t>DDI1_PAIR3+</t>
    <phoneticPr fontId="49" type="noConversion"/>
  </si>
  <si>
    <t>NA</t>
    <phoneticPr fontId="49" type="noConversion"/>
  </si>
  <si>
    <t xml:space="preserve"> +/-2mil</t>
    <phoneticPr fontId="49" type="noConversion"/>
  </si>
  <si>
    <t>+/-50mil</t>
    <phoneticPr fontId="35" type="noConversion"/>
  </si>
  <si>
    <t>DDPB_SCL + DDI1_CTRLCLK_AUX+</t>
    <phoneticPr fontId="49" type="noConversion"/>
  </si>
  <si>
    <t>DDI1_AUXP + DDI1_CTRLCLK_AUX+</t>
    <phoneticPr fontId="49" type="noConversion"/>
  </si>
  <si>
    <t>DDI1_AUXN + DDI1_CTRLDATA_AUX-</t>
    <phoneticPr fontId="49" type="noConversion"/>
  </si>
  <si>
    <t>DDI2_PAIR0+</t>
  </si>
  <si>
    <t>DDI2_PAIR1+</t>
  </si>
  <si>
    <t>DDI2_PAIR1-</t>
  </si>
  <si>
    <t>DDI2_PAIR2+</t>
  </si>
  <si>
    <t>DDI2_PAIR2-</t>
  </si>
  <si>
    <t>DDI2_PAIR3+</t>
  </si>
  <si>
    <t>DDI2_PAIR3-</t>
  </si>
  <si>
    <t>DDPC_SCL + DDI2_CTRLCLK_AUX+</t>
    <phoneticPr fontId="49" type="noConversion"/>
  </si>
  <si>
    <t>DDI2_AUXP + DDI2_CTRLCLK_AUX+</t>
    <phoneticPr fontId="49" type="noConversion"/>
  </si>
  <si>
    <t>DDI3_TXP_0 + DDI3_PAIR0+</t>
    <phoneticPr fontId="49" type="noConversion"/>
  </si>
  <si>
    <t>DDI3_TXP_1 + DDI3_PAIR1+</t>
    <phoneticPr fontId="49" type="noConversion"/>
  </si>
  <si>
    <t>DDI3_TXN_1 + DDI3_PAIR1-</t>
    <phoneticPr fontId="49" type="noConversion"/>
  </si>
  <si>
    <t>DDI3_TXP_2 + DDI3_PAIR2+</t>
    <phoneticPr fontId="49" type="noConversion"/>
  </si>
  <si>
    <t>DDI3_TXN_2 + DDI3_PAIR2-</t>
    <phoneticPr fontId="49" type="noConversion"/>
  </si>
  <si>
    <t>DDI3_TXP_3 + DDI3_PAIR3+</t>
    <phoneticPr fontId="49" type="noConversion"/>
  </si>
  <si>
    <t>DDI3_TXN_3 + DDI3_PAIR3-</t>
    <phoneticPr fontId="49" type="noConversion"/>
  </si>
  <si>
    <t>DDPD_SCL + DDI3_CTRLCLK_AUX+</t>
    <phoneticPr fontId="49" type="noConversion"/>
  </si>
  <si>
    <t>DDPD_SDA + DDI3_CTRLDATA_AUX</t>
    <phoneticPr fontId="49" type="noConversion"/>
  </si>
  <si>
    <t>DDI3_AUXP + CB_DDI3_AUXP + DDI3_CTRLCLK_AUX+</t>
    <phoneticPr fontId="49" type="noConversion"/>
  </si>
  <si>
    <t>EDP_TXN0 +
RN_EDP_TXN0 +
LVDS_A2-/EDP_TX0-</t>
    <phoneticPr fontId="49" type="noConversion"/>
  </si>
  <si>
    <t>EDP_TXP1 +
RN_EDP_TXP1 +
LVDS_A1+/EDP_TX1+</t>
    <phoneticPr fontId="49" type="noConversion"/>
  </si>
  <si>
    <t>EDP_TXN1 +
RN_EDP_TXN1 +
LVDS_A1-/EDP_TX1-</t>
    <phoneticPr fontId="49" type="noConversion"/>
  </si>
  <si>
    <t>EDP_TXP2 +
LVDS_A0+/EDP_TX2+</t>
    <phoneticPr fontId="49" type="noConversion"/>
  </si>
  <si>
    <t>EDP_TXN2 +
LVDS_A0-/EDP_TX2-</t>
    <phoneticPr fontId="49" type="noConversion"/>
  </si>
  <si>
    <t>EDP_TXP3 +
LVDS_A_CK+/EDP_TX3+</t>
    <phoneticPr fontId="49" type="noConversion"/>
  </si>
  <si>
    <t>EDP_TXN3 +
LVDS_A_CK-/EDP_TX3-</t>
    <phoneticPr fontId="49" type="noConversion"/>
  </si>
  <si>
    <t>EDP_AUXP +
LVDS_I2C_CK/EDP_AUX+</t>
    <phoneticPr fontId="49" type="noConversion"/>
  </si>
  <si>
    <t>EDP_AUXN +
LVDS_I2C_DAT/EDP_AUX-</t>
    <phoneticPr fontId="49" type="noConversion"/>
  </si>
  <si>
    <t>VGA_I2C_DAT</t>
  </si>
  <si>
    <t>GPI1</t>
    <phoneticPr fontId="35" type="noConversion"/>
  </si>
  <si>
    <t>GPI0</t>
    <phoneticPr fontId="35" type="noConversion"/>
  </si>
  <si>
    <t>GPO0</t>
    <phoneticPr fontId="35" type="noConversion"/>
  </si>
  <si>
    <t>GPI2</t>
    <phoneticPr fontId="35" type="noConversion"/>
  </si>
  <si>
    <t>GPI3</t>
    <phoneticPr fontId="35" type="noConversion"/>
  </si>
  <si>
    <t>GPO1</t>
    <phoneticPr fontId="35" type="noConversion"/>
  </si>
  <si>
    <t>GPO2</t>
    <phoneticPr fontId="35" type="noConversion"/>
  </si>
  <si>
    <t>GPO3</t>
    <phoneticPr fontId="35" type="noConversion"/>
  </si>
  <si>
    <t>+-500mil</t>
    <phoneticPr fontId="49" type="noConversion"/>
  </si>
  <si>
    <t>Zdiff=85ohm</t>
    <phoneticPr fontId="49" type="noConversion"/>
  </si>
  <si>
    <t>Difference signal is +/-2mil,
Total is +/-5mil</t>
    <phoneticPr fontId="49" type="noConversion"/>
  </si>
  <si>
    <t>+/-2mil</t>
    <phoneticPr fontId="49" type="noConversion"/>
  </si>
  <si>
    <t>DDPB_SDA + DDI1_CTRLDATA_AUX-</t>
    <phoneticPr fontId="49" type="noConversion"/>
  </si>
  <si>
    <t>DDI1_PAIR0-</t>
    <phoneticPr fontId="49" type="noConversion"/>
  </si>
  <si>
    <t>DDI2_PAIR0-</t>
    <phoneticPr fontId="49" type="noConversion"/>
  </si>
  <si>
    <t>DDPC_SDA + DDI2_CTRLDATA_AUX-</t>
    <phoneticPr fontId="49" type="noConversion"/>
  </si>
  <si>
    <t>DDI2_AUXN + DDI2_CTRLDATA_AUX-</t>
    <phoneticPr fontId="49" type="noConversion"/>
  </si>
  <si>
    <t>DDI3_TXN_0 + DDI3_PAIR0-</t>
    <phoneticPr fontId="49" type="noConversion"/>
  </si>
  <si>
    <t>DDI3_AUXN + CB_DDI3_AUXN + DDI3_CTRLDATA_AUX-</t>
    <phoneticPr fontId="49" type="noConversion"/>
  </si>
  <si>
    <t>EDP_TXP0 +
RN_EDP_TXP0 +
LVDS_A2+/EDP_TX0+</t>
    <phoneticPr fontId="49" type="noConversion"/>
  </si>
  <si>
    <t>ESM-CFH
Signal Name</t>
    <phoneticPr fontId="35" type="noConversion"/>
  </si>
  <si>
    <t>ESM-CFH
Signal Name</t>
    <phoneticPr fontId="35" type="noConversion"/>
  </si>
  <si>
    <t>Difference signal is +/-2mil,
Total is +/-100mil</t>
    <phoneticPr fontId="49" type="noConversion"/>
  </si>
  <si>
    <t>USB 3.1</t>
    <phoneticPr fontId="35" type="noConversion"/>
  </si>
  <si>
    <t>SDCARD_D1 + GPI1/SD_DATA1</t>
    <phoneticPr fontId="35" type="noConversion"/>
  </si>
  <si>
    <t>SDCARD_D2 + GPI2/SD_DATA2</t>
    <phoneticPr fontId="35" type="noConversion"/>
  </si>
  <si>
    <t>SDCARD_D3 + GPI3/SD_DATA3</t>
    <phoneticPr fontId="35" type="noConversion"/>
  </si>
  <si>
    <t>SDCARD_CLK + GPO0/SD_CLK</t>
    <phoneticPr fontId="35" type="noConversion"/>
  </si>
  <si>
    <t>SDCARD_CMD + GPO1/SD_CMD</t>
    <phoneticPr fontId="35" type="noConversion"/>
  </si>
  <si>
    <t>SDCARD_WP + GPO2/SD_WP</t>
    <phoneticPr fontId="35" type="noConversion"/>
  </si>
  <si>
    <t>SDCARD_CD# + GPO3/SD_CD#</t>
    <phoneticPr fontId="35" type="noConversion"/>
  </si>
  <si>
    <t>SDCARD_D0 + GPI0/SD_DATA0</t>
    <phoneticPr fontId="35" type="noConversion"/>
  </si>
  <si>
    <t>PCIeX16 Design Guidelines</t>
    <phoneticPr fontId="35" type="noConversion"/>
  </si>
  <si>
    <t>COMexpress connector Pin Name</t>
    <phoneticPr fontId="35" type="noConversion"/>
  </si>
  <si>
    <t>Chipset Design Guide
Trace Length limit</t>
    <phoneticPr fontId="35" type="noConversion"/>
  </si>
  <si>
    <t>Carrier Board
Trace Length limit</t>
    <phoneticPr fontId="49" type="noConversion"/>
  </si>
  <si>
    <t>Trace Length(mil)</t>
    <phoneticPr fontId="35" type="noConversion"/>
  </si>
  <si>
    <t>Mismatch</t>
    <phoneticPr fontId="49" type="noConversion"/>
  </si>
  <si>
    <t>Via</t>
    <phoneticPr fontId="35" type="noConversion"/>
  </si>
  <si>
    <t>Mismatch limit</t>
    <phoneticPr fontId="49" type="noConversion"/>
  </si>
  <si>
    <t>Via limit</t>
    <phoneticPr fontId="49" type="noConversion"/>
  </si>
  <si>
    <t>Impedances</t>
    <phoneticPr fontId="49" type="noConversion"/>
  </si>
  <si>
    <t>Space with other signals(mil)</t>
    <phoneticPr fontId="49" type="noConversion"/>
  </si>
  <si>
    <t>PEG_RX0</t>
    <phoneticPr fontId="49" type="noConversion"/>
  </si>
  <si>
    <t>PEG_RX0+</t>
  </si>
  <si>
    <t>Target</t>
    <phoneticPr fontId="49" type="noConversion"/>
  </si>
  <si>
    <t>Difference signal is +/-2mil,
Total is +/-500mil</t>
    <phoneticPr fontId="49" type="noConversion"/>
  </si>
  <si>
    <t>Zdiff=85ohm</t>
    <phoneticPr fontId="49" type="noConversion"/>
  </si>
  <si>
    <t>PEG_RX#0</t>
    <phoneticPr fontId="49" type="noConversion"/>
  </si>
  <si>
    <t>PEG_RX0-</t>
  </si>
  <si>
    <t>PEG_RX1</t>
    <phoneticPr fontId="49" type="noConversion"/>
  </si>
  <si>
    <t>PEG_RX1+</t>
  </si>
  <si>
    <t>PEG_RX#1</t>
    <phoneticPr fontId="49" type="noConversion"/>
  </si>
  <si>
    <t>PEG_RX1-</t>
  </si>
  <si>
    <t>PEG_RX2</t>
    <phoneticPr fontId="49" type="noConversion"/>
  </si>
  <si>
    <t>PEG_RX2+</t>
  </si>
  <si>
    <t>PEG_RX#2</t>
    <phoneticPr fontId="49" type="noConversion"/>
  </si>
  <si>
    <t>PEG_RX2-</t>
  </si>
  <si>
    <t>PEG_RX3</t>
    <phoneticPr fontId="49" type="noConversion"/>
  </si>
  <si>
    <t>PEG_RX3+</t>
  </si>
  <si>
    <t>PEG_RX#3</t>
    <phoneticPr fontId="49" type="noConversion"/>
  </si>
  <si>
    <t>PEG_RX3-</t>
  </si>
  <si>
    <t>PEG_RX4</t>
    <phoneticPr fontId="49" type="noConversion"/>
  </si>
  <si>
    <t>PEG_RX4+</t>
  </si>
  <si>
    <t>PEG_RX#4</t>
    <phoneticPr fontId="49" type="noConversion"/>
  </si>
  <si>
    <t>PEG_RX4-</t>
  </si>
  <si>
    <t>PEG_RX5</t>
    <phoneticPr fontId="49" type="noConversion"/>
  </si>
  <si>
    <t>PEG_RX5+</t>
  </si>
  <si>
    <t>PEG_RX#5</t>
    <phoneticPr fontId="49" type="noConversion"/>
  </si>
  <si>
    <t>PEG_RX5-</t>
  </si>
  <si>
    <t>PEG_RX6</t>
    <phoneticPr fontId="49" type="noConversion"/>
  </si>
  <si>
    <t>PEG_RX6+</t>
  </si>
  <si>
    <t>PEG_RX#6</t>
    <phoneticPr fontId="49" type="noConversion"/>
  </si>
  <si>
    <t>PEG_RX6-</t>
  </si>
  <si>
    <t>PEG_RX7</t>
    <phoneticPr fontId="49" type="noConversion"/>
  </si>
  <si>
    <t>PEG_RX7+</t>
  </si>
  <si>
    <t>PEG_RX#7</t>
    <phoneticPr fontId="49" type="noConversion"/>
  </si>
  <si>
    <t>PEG_RX7-</t>
  </si>
  <si>
    <t>PEG_RX8</t>
    <phoneticPr fontId="49" type="noConversion"/>
  </si>
  <si>
    <t>PEG_RX8+</t>
  </si>
  <si>
    <t>PEG_RX#8</t>
    <phoneticPr fontId="49" type="noConversion"/>
  </si>
  <si>
    <t>PEG_RX8-</t>
  </si>
  <si>
    <t>PEG_RX9</t>
    <phoneticPr fontId="49" type="noConversion"/>
  </si>
  <si>
    <t>PEG_RX9+</t>
  </si>
  <si>
    <t>PEG_RX#9</t>
    <phoneticPr fontId="49" type="noConversion"/>
  </si>
  <si>
    <t>PEG_RX9-</t>
  </si>
  <si>
    <t>PEG_RX10</t>
    <phoneticPr fontId="49" type="noConversion"/>
  </si>
  <si>
    <t>PEG_RX10+</t>
  </si>
  <si>
    <t>PEG_RX#10</t>
    <phoneticPr fontId="49" type="noConversion"/>
  </si>
  <si>
    <t>PEG_RX10-</t>
  </si>
  <si>
    <t>PEG_RX11</t>
    <phoneticPr fontId="49" type="noConversion"/>
  </si>
  <si>
    <t>PEG_RX11+</t>
  </si>
  <si>
    <t>PEG_RX#11</t>
    <phoneticPr fontId="49" type="noConversion"/>
  </si>
  <si>
    <t>PEG_RX11-</t>
  </si>
  <si>
    <t>PEG_RX12</t>
    <phoneticPr fontId="49" type="noConversion"/>
  </si>
  <si>
    <t>PEG_RX12+</t>
  </si>
  <si>
    <t>PEG_RX#12</t>
    <phoneticPr fontId="49" type="noConversion"/>
  </si>
  <si>
    <t>PEG_RX12-</t>
  </si>
  <si>
    <t>PEG_RX13</t>
    <phoneticPr fontId="49" type="noConversion"/>
  </si>
  <si>
    <t>PEG_RX13+</t>
  </si>
  <si>
    <t>PEG_RX#13</t>
    <phoneticPr fontId="49" type="noConversion"/>
  </si>
  <si>
    <t>PEG_RX13-</t>
  </si>
  <si>
    <t>PEG_RX14</t>
    <phoneticPr fontId="49" type="noConversion"/>
  </si>
  <si>
    <t>PEG_RX14+</t>
  </si>
  <si>
    <t>PEG_RX#14</t>
    <phoneticPr fontId="49" type="noConversion"/>
  </si>
  <si>
    <t>PEG_RX14-</t>
  </si>
  <si>
    <t>PEG_RX15</t>
    <phoneticPr fontId="49" type="noConversion"/>
  </si>
  <si>
    <t>PEG_RX15+</t>
  </si>
  <si>
    <t>PEG_RX#15</t>
    <phoneticPr fontId="49" type="noConversion"/>
  </si>
  <si>
    <t>PEG_RX15-</t>
  </si>
  <si>
    <t>PEG_TX0</t>
    <phoneticPr fontId="49" type="noConversion"/>
  </si>
  <si>
    <t>PEG_TX0+</t>
  </si>
  <si>
    <t>Target</t>
    <phoneticPr fontId="49" type="noConversion"/>
  </si>
  <si>
    <t>Difference signal is +/-2mil,
Total is +/-500mil</t>
    <phoneticPr fontId="49" type="noConversion"/>
  </si>
  <si>
    <t>PEG_TX#0</t>
    <phoneticPr fontId="49" type="noConversion"/>
  </si>
  <si>
    <t>PEG_TX0-</t>
  </si>
  <si>
    <t>PEG_TX1</t>
    <phoneticPr fontId="49" type="noConversion"/>
  </si>
  <si>
    <t>PEG_TX1+</t>
  </si>
  <si>
    <t>PEG_TX#1</t>
    <phoneticPr fontId="49" type="noConversion"/>
  </si>
  <si>
    <t>PEG_TX1-</t>
  </si>
  <si>
    <t>PEG_TX2</t>
    <phoneticPr fontId="49" type="noConversion"/>
  </si>
  <si>
    <t>PEG_TX2+</t>
  </si>
  <si>
    <t>PEG_TX#2</t>
    <phoneticPr fontId="49" type="noConversion"/>
  </si>
  <si>
    <t>PEG_TX2-</t>
  </si>
  <si>
    <t>PEG_TX3</t>
    <phoneticPr fontId="49" type="noConversion"/>
  </si>
  <si>
    <t>PEG_TX3+</t>
  </si>
  <si>
    <t>PEG_TX#3</t>
    <phoneticPr fontId="49" type="noConversion"/>
  </si>
  <si>
    <t>PEG_TX3-</t>
  </si>
  <si>
    <t>PEG_TX4</t>
    <phoneticPr fontId="49" type="noConversion"/>
  </si>
  <si>
    <t>PEG_TX4+</t>
  </si>
  <si>
    <t>PEG_TX#4</t>
    <phoneticPr fontId="49" type="noConversion"/>
  </si>
  <si>
    <t>PEG_TX4-</t>
  </si>
  <si>
    <t>PEG_TX5</t>
    <phoneticPr fontId="49" type="noConversion"/>
  </si>
  <si>
    <t>PEG_TX5+</t>
  </si>
  <si>
    <t>PEG_TX#5</t>
    <phoneticPr fontId="49" type="noConversion"/>
  </si>
  <si>
    <t>PEG_TX5-</t>
  </si>
  <si>
    <t>PEG_TX6</t>
    <phoneticPr fontId="49" type="noConversion"/>
  </si>
  <si>
    <t>PEG_TX6+</t>
  </si>
  <si>
    <t>PEG_TX#6</t>
    <phoneticPr fontId="49" type="noConversion"/>
  </si>
  <si>
    <t>PEG_TX6-</t>
  </si>
  <si>
    <t>PEG_TX7</t>
    <phoneticPr fontId="49" type="noConversion"/>
  </si>
  <si>
    <t>PEG_TX7+</t>
  </si>
  <si>
    <t>PEG_TX#7</t>
    <phoneticPr fontId="49" type="noConversion"/>
  </si>
  <si>
    <t>PEG_TX7-</t>
  </si>
  <si>
    <t>PEG_TX8</t>
    <phoneticPr fontId="49" type="noConversion"/>
  </si>
  <si>
    <t>PEG_TX8+</t>
  </si>
  <si>
    <t>PEG_TX#8</t>
    <phoneticPr fontId="49" type="noConversion"/>
  </si>
  <si>
    <t>PEG_TX8-</t>
  </si>
  <si>
    <t>PEG_TX9</t>
    <phoneticPr fontId="49" type="noConversion"/>
  </si>
  <si>
    <t>PEG_TX9+</t>
  </si>
  <si>
    <t>PEG_TX#9</t>
    <phoneticPr fontId="49" type="noConversion"/>
  </si>
  <si>
    <t>PEG_TX9-</t>
  </si>
  <si>
    <t>PEG_TX10</t>
    <phoneticPr fontId="49" type="noConversion"/>
  </si>
  <si>
    <t>PEG_TX10+</t>
  </si>
  <si>
    <t>PEG_TX#10</t>
    <phoneticPr fontId="49" type="noConversion"/>
  </si>
  <si>
    <t>PEG_TX10-</t>
  </si>
  <si>
    <t>PEG_TX11</t>
    <phoneticPr fontId="49" type="noConversion"/>
  </si>
  <si>
    <t>PEG_TX11+</t>
  </si>
  <si>
    <t>PEG_TX#11</t>
    <phoneticPr fontId="49" type="noConversion"/>
  </si>
  <si>
    <t>PEG_TX11-</t>
  </si>
  <si>
    <t>PEG_TX0112</t>
    <phoneticPr fontId="49" type="noConversion"/>
  </si>
  <si>
    <t>PEG_TX12+</t>
  </si>
  <si>
    <t>PEG_TX#12</t>
    <phoneticPr fontId="49" type="noConversion"/>
  </si>
  <si>
    <t>PEG_TX12-</t>
  </si>
  <si>
    <t>PEG_TX13</t>
    <phoneticPr fontId="49" type="noConversion"/>
  </si>
  <si>
    <t>PEG_TX13+</t>
  </si>
  <si>
    <t>PEG_TX#13</t>
    <phoneticPr fontId="49" type="noConversion"/>
  </si>
  <si>
    <t>PEG_TX13-</t>
  </si>
  <si>
    <t>PEG_TX14</t>
    <phoneticPr fontId="49" type="noConversion"/>
  </si>
  <si>
    <t>PEG_TX14+</t>
  </si>
  <si>
    <t>PEG_TX#14</t>
    <phoneticPr fontId="49" type="noConversion"/>
  </si>
  <si>
    <t>PEG_TX14-</t>
  </si>
  <si>
    <t>PEG_TX15</t>
    <phoneticPr fontId="49" type="noConversion"/>
  </si>
  <si>
    <t>PEG_TX15+</t>
  </si>
  <si>
    <t>PEG_TX#15</t>
    <phoneticPr fontId="49" type="noConversion"/>
  </si>
  <si>
    <t>PEG_TX15-</t>
  </si>
  <si>
    <t>ESM-CFH
Trace Length</t>
    <phoneticPr fontId="35" type="noConversion"/>
  </si>
  <si>
    <t>ESM-CFH Trace Length(mil)</t>
    <phoneticPr fontId="35" type="noConversion"/>
  </si>
  <si>
    <t>Carrier Board Trace Length limit</t>
    <phoneticPr fontId="49" type="noConversion"/>
  </si>
  <si>
    <t>ESM-CFH Trace Length</t>
    <phoneticPr fontId="35" type="noConversion"/>
  </si>
  <si>
    <t>Carrier Board
Trace Length limit</t>
    <phoneticPr fontId="35" type="noConversion"/>
  </si>
  <si>
    <t>LVDS Design Guidelines</t>
    <phoneticPr fontId="35" type="noConversion"/>
  </si>
  <si>
    <t>COMexpress connector Pin Name</t>
    <phoneticPr fontId="35" type="noConversion"/>
  </si>
  <si>
    <t>Chipset Design Guide
Trace Length limit</t>
    <phoneticPr fontId="35" type="noConversion"/>
  </si>
  <si>
    <t>Carrier Board
Trace Length limit</t>
    <phoneticPr fontId="35" type="noConversion"/>
  </si>
  <si>
    <t>Trace Length(mil)</t>
    <phoneticPr fontId="35" type="noConversion"/>
  </si>
  <si>
    <t>Mismatch</t>
    <phoneticPr fontId="49" type="noConversion"/>
  </si>
  <si>
    <t>Via</t>
    <phoneticPr fontId="35" type="noConversion"/>
  </si>
  <si>
    <t>Mismatch limit</t>
    <phoneticPr fontId="49" type="noConversion"/>
  </si>
  <si>
    <t>Via limit</t>
    <phoneticPr fontId="49" type="noConversion"/>
  </si>
  <si>
    <t xml:space="preserve">Impedances </t>
    <phoneticPr fontId="49" type="noConversion"/>
  </si>
  <si>
    <t>Space with 
other signals(mil)</t>
    <phoneticPr fontId="49" type="noConversion"/>
  </si>
  <si>
    <t>LVDS_A0+</t>
    <phoneticPr fontId="49" type="noConversion"/>
  </si>
  <si>
    <t xml:space="preserve">LVDS_DATA0_P +
LVDS_A0+/EDP_TX2+ </t>
  </si>
  <si>
    <t>Target</t>
    <phoneticPr fontId="49" type="noConversion"/>
  </si>
  <si>
    <t>Difference signal is +/-2mil,
Total is +/-10mil</t>
    <phoneticPr fontId="49" type="noConversion"/>
  </si>
  <si>
    <t>Zdiff=100ohm</t>
    <phoneticPr fontId="49" type="noConversion"/>
  </si>
  <si>
    <t>LVDS_A0-</t>
    <phoneticPr fontId="49" type="noConversion"/>
  </si>
  <si>
    <t xml:space="preserve">LVDS_DATA0_N +
LVDS_A0-/EDP_TX2- </t>
  </si>
  <si>
    <t>LVDS_A1+</t>
    <phoneticPr fontId="49" type="noConversion"/>
  </si>
  <si>
    <t>LVDS_DATA1_P +
LVDS_A1+/EDP_TX1+</t>
  </si>
  <si>
    <t>LVDS_A1-</t>
    <phoneticPr fontId="49" type="noConversion"/>
  </si>
  <si>
    <t>LVDS_DATA1_N +
LVDS_A1-/EDP_TX1-</t>
  </si>
  <si>
    <t>LVDS_A2+</t>
    <phoneticPr fontId="49" type="noConversion"/>
  </si>
  <si>
    <t>LVDS_DATA2_P +
LVDS_A2+/EDP_TX0+</t>
  </si>
  <si>
    <t>LVDS_A2-</t>
    <phoneticPr fontId="49" type="noConversion"/>
  </si>
  <si>
    <t>LVDS_DATA2_N +
LVDS_A2-/EDP_TX0-</t>
  </si>
  <si>
    <t>LVDS_A3+</t>
    <phoneticPr fontId="49" type="noConversion"/>
  </si>
  <si>
    <t>LVDS_A3+</t>
  </si>
  <si>
    <t>LVDS_A3-</t>
    <phoneticPr fontId="49" type="noConversion"/>
  </si>
  <si>
    <t>LVDS_A3-</t>
  </si>
  <si>
    <t>LVDS_A_CLK+</t>
    <phoneticPr fontId="49" type="noConversion"/>
  </si>
  <si>
    <t>LVDS_CLK1_P +
LVDS_A_CK+/EDP_TX3+</t>
  </si>
  <si>
    <t>LVDS_A_CLK-</t>
    <phoneticPr fontId="49" type="noConversion"/>
  </si>
  <si>
    <t>LVDS_CLK1_N +
LVDS_A_CK-/EDP_TX3-</t>
  </si>
  <si>
    <t>LVDS_B0+</t>
    <phoneticPr fontId="49" type="noConversion"/>
  </si>
  <si>
    <t>LVDS_B0+</t>
  </si>
  <si>
    <t>LVDS_B0-</t>
    <phoneticPr fontId="49" type="noConversion"/>
  </si>
  <si>
    <t>LVDS_B0-</t>
  </si>
  <si>
    <t>LVDS_B1+</t>
    <phoneticPr fontId="49" type="noConversion"/>
  </si>
  <si>
    <t>LVDS_B1+</t>
  </si>
  <si>
    <t>LVDS_B1-</t>
    <phoneticPr fontId="49" type="noConversion"/>
  </si>
  <si>
    <t>LVDS_B1-</t>
  </si>
  <si>
    <t>LVDS_B2+</t>
    <phoneticPr fontId="49" type="noConversion"/>
  </si>
  <si>
    <t>LVDS_B2+</t>
  </si>
  <si>
    <t>LVDS_B2-</t>
    <phoneticPr fontId="49" type="noConversion"/>
  </si>
  <si>
    <t>LVDS_B2-</t>
  </si>
  <si>
    <t>LVDS_B3+</t>
    <phoneticPr fontId="49" type="noConversion"/>
  </si>
  <si>
    <t>LVDS_B3+</t>
  </si>
  <si>
    <t>LVDS_B3-</t>
    <phoneticPr fontId="49" type="noConversion"/>
  </si>
  <si>
    <t>LVDS_B3-</t>
  </si>
  <si>
    <t>LVDS_B_CLK+</t>
    <phoneticPr fontId="49" type="noConversion"/>
  </si>
  <si>
    <t>LVDS_B_CK+</t>
  </si>
  <si>
    <t>LVDS_B_CLK-</t>
    <phoneticPr fontId="49" type="noConversion"/>
  </si>
  <si>
    <t>LVDS_B_CK-</t>
  </si>
  <si>
    <t>LVDS_I2C_CLK</t>
    <phoneticPr fontId="49" type="noConversion"/>
  </si>
  <si>
    <t>LVDS_DDC_CLK +
LVDS_I2C_CK/EDP_AUX+</t>
  </si>
  <si>
    <t>Target</t>
    <phoneticPr fontId="49" type="noConversion"/>
  </si>
  <si>
    <t>Total is +/-250mil</t>
    <phoneticPr fontId="49" type="noConversion"/>
  </si>
  <si>
    <t>Zo=50ohm</t>
    <phoneticPr fontId="49" type="noConversion"/>
  </si>
  <si>
    <t>LVDS_I2C_DAT</t>
    <phoneticPr fontId="49" type="noConversion"/>
  </si>
  <si>
    <t>LVDS_DDC_DATA +
LVDS_I2C_DAT/EDP_AUX-</t>
  </si>
  <si>
    <t>CRT Design Guidelines</t>
    <phoneticPr fontId="35" type="noConversion"/>
  </si>
  <si>
    <t>Carrier Board
Trace Length limit</t>
    <phoneticPr fontId="35" type="noConversion"/>
  </si>
  <si>
    <t>Space with 
other signals(mil)</t>
    <phoneticPr fontId="49" type="noConversion"/>
  </si>
  <si>
    <t>VGA_RED</t>
    <phoneticPr fontId="49" type="noConversion"/>
  </si>
  <si>
    <t>VGA_RED</t>
  </si>
  <si>
    <t>Zo=50ohm</t>
    <phoneticPr fontId="49" type="noConversion"/>
  </si>
  <si>
    <t>VGA_GREEN</t>
    <phoneticPr fontId="49" type="noConversion"/>
  </si>
  <si>
    <t>VGA_GRN</t>
  </si>
  <si>
    <t>VGA_BLUE</t>
    <phoneticPr fontId="49" type="noConversion"/>
  </si>
  <si>
    <t>VGA_BLU</t>
  </si>
  <si>
    <t>VGA_HSYNC</t>
    <phoneticPr fontId="49" type="noConversion"/>
  </si>
  <si>
    <t>VGA_HSYNC</t>
  </si>
  <si>
    <t>+/-500mil</t>
    <phoneticPr fontId="49" type="noConversion"/>
  </si>
  <si>
    <t>VGA_VSYNC</t>
    <phoneticPr fontId="49" type="noConversion"/>
  </si>
  <si>
    <t>VGA_VSYNC</t>
  </si>
  <si>
    <t>VGA_I2C_DATA</t>
    <phoneticPr fontId="49" type="noConversion"/>
  </si>
  <si>
    <t>VGA_I2C_CLK</t>
    <phoneticPr fontId="49" type="noConversion"/>
  </si>
  <si>
    <t>VGA_I2C_CK</t>
  </si>
  <si>
    <t>+/-250mil</t>
    <phoneticPr fontId="49" type="noConversion"/>
  </si>
  <si>
    <t>+/-50mil</t>
    <phoneticPr fontId="49" type="noConversion"/>
  </si>
  <si>
    <t>SATA Design Guidelines</t>
    <phoneticPr fontId="35" type="noConversion"/>
  </si>
  <si>
    <t>SATA0_RX-</t>
    <phoneticPr fontId="35" type="noConversion"/>
  </si>
  <si>
    <t>Target</t>
    <phoneticPr fontId="35" type="noConversion"/>
  </si>
  <si>
    <t>+/-2mil</t>
    <phoneticPr fontId="35" type="noConversion"/>
  </si>
  <si>
    <t>Zdiff=85ohm</t>
    <phoneticPr fontId="35" type="noConversion"/>
  </si>
  <si>
    <t>SATA0_RX+</t>
    <phoneticPr fontId="35" type="noConversion"/>
  </si>
  <si>
    <t>SATA0_RX+</t>
  </si>
  <si>
    <t>SATA0_TX-</t>
    <phoneticPr fontId="35" type="noConversion"/>
  </si>
  <si>
    <t>SATA0_TX-</t>
  </si>
  <si>
    <t>SATA0_TX+</t>
    <phoneticPr fontId="35" type="noConversion"/>
  </si>
  <si>
    <t>SATA0_TX+</t>
  </si>
  <si>
    <t>SATA1_RX-</t>
    <phoneticPr fontId="35" type="noConversion"/>
  </si>
  <si>
    <t>SATA1_RX-</t>
  </si>
  <si>
    <t>SATA1_RX+</t>
    <phoneticPr fontId="35" type="noConversion"/>
  </si>
  <si>
    <t>SATA1_RX+</t>
  </si>
  <si>
    <t>SATA1_TX-</t>
    <phoneticPr fontId="35" type="noConversion"/>
  </si>
  <si>
    <t>SATA1_TX-</t>
  </si>
  <si>
    <t>SATA1_TX+</t>
    <phoneticPr fontId="35" type="noConversion"/>
  </si>
  <si>
    <t>SATA1_TX+</t>
  </si>
  <si>
    <t>SATA2_RX-</t>
    <phoneticPr fontId="35" type="noConversion"/>
  </si>
  <si>
    <t>SATA2_RX-</t>
  </si>
  <si>
    <t>SATA2_RX+</t>
    <phoneticPr fontId="35" type="noConversion"/>
  </si>
  <si>
    <t>SATA2_RX+</t>
  </si>
  <si>
    <t>SATA2_TX-</t>
    <phoneticPr fontId="35" type="noConversion"/>
  </si>
  <si>
    <t>SATA2_TX-</t>
  </si>
  <si>
    <t>SATA2_TX+</t>
    <phoneticPr fontId="35" type="noConversion"/>
  </si>
  <si>
    <t>SATA2_TX+</t>
  </si>
  <si>
    <t>SATA3_RX-</t>
    <phoneticPr fontId="35" type="noConversion"/>
  </si>
  <si>
    <t>SATA3_RX-</t>
  </si>
  <si>
    <t>SATA3_RX+</t>
    <phoneticPr fontId="35" type="noConversion"/>
  </si>
  <si>
    <t>SATA3_RX+</t>
  </si>
  <si>
    <t>SATA3_TX-</t>
    <phoneticPr fontId="35" type="noConversion"/>
  </si>
  <si>
    <t>SATA3_TX-</t>
  </si>
  <si>
    <t>SATA3_TX+</t>
    <phoneticPr fontId="35" type="noConversion"/>
  </si>
  <si>
    <t>SATA3_TX+</t>
  </si>
  <si>
    <t>PCIex1 Design Guidelines</t>
    <phoneticPr fontId="35" type="noConversion"/>
  </si>
  <si>
    <t>PCIE_RX0-</t>
    <phoneticPr fontId="35" type="noConversion"/>
  </si>
  <si>
    <t>PCIE_RX0-</t>
  </si>
  <si>
    <t>PCIE_RX0+</t>
    <phoneticPr fontId="35" type="noConversion"/>
  </si>
  <si>
    <t>PCIE_RX0+</t>
  </si>
  <si>
    <t>PCIE_TX01</t>
    <phoneticPr fontId="35" type="noConversion"/>
  </si>
  <si>
    <t>PCIE_TX0-</t>
  </si>
  <si>
    <t>PCIE_TX0+</t>
    <phoneticPr fontId="35" type="noConversion"/>
  </si>
  <si>
    <t>PCIE_TX0+</t>
  </si>
  <si>
    <t>PCIE_RX1-</t>
    <phoneticPr fontId="35" type="noConversion"/>
  </si>
  <si>
    <t>PCIE_RX1-</t>
  </si>
  <si>
    <t>PCIE_RX1+</t>
    <phoneticPr fontId="35" type="noConversion"/>
  </si>
  <si>
    <t>PCIE_RX1+</t>
  </si>
  <si>
    <t>PCIE_TX1-</t>
    <phoneticPr fontId="35" type="noConversion"/>
  </si>
  <si>
    <t>PCIE_TX1-</t>
  </si>
  <si>
    <t>PCIE_TX1+</t>
    <phoneticPr fontId="35" type="noConversion"/>
  </si>
  <si>
    <t>PCIE_TX1+</t>
  </si>
  <si>
    <t>PCIE_RX2-</t>
    <phoneticPr fontId="35" type="noConversion"/>
  </si>
  <si>
    <t>PCIE_RX2-</t>
  </si>
  <si>
    <t>PCIE_RX2+</t>
    <phoneticPr fontId="35" type="noConversion"/>
  </si>
  <si>
    <t>PCIE_RX2+</t>
  </si>
  <si>
    <t>PCIE_TX2-</t>
    <phoneticPr fontId="35" type="noConversion"/>
  </si>
  <si>
    <t>PCIE_TX2-</t>
  </si>
  <si>
    <t>PCIE_TX2+</t>
    <phoneticPr fontId="35" type="noConversion"/>
  </si>
  <si>
    <t>PCIE_TX2+</t>
  </si>
  <si>
    <t>PCIE_RX3-</t>
    <phoneticPr fontId="35" type="noConversion"/>
  </si>
  <si>
    <t>PCIE_RX3-</t>
  </si>
  <si>
    <t>PCIE_RX3+</t>
    <phoneticPr fontId="35" type="noConversion"/>
  </si>
  <si>
    <t>PCIE_RX3+</t>
  </si>
  <si>
    <t>PCIE_TX3-</t>
    <phoneticPr fontId="35" type="noConversion"/>
  </si>
  <si>
    <t>PCIE_TX3-</t>
  </si>
  <si>
    <t>PCIE_TX3+</t>
    <phoneticPr fontId="35" type="noConversion"/>
  </si>
  <si>
    <t>PCIE_TX3+</t>
  </si>
  <si>
    <t>PCIE_RX4-</t>
    <phoneticPr fontId="35" type="noConversion"/>
  </si>
  <si>
    <t>PCIE_RX4-</t>
  </si>
  <si>
    <t>PCIE_RX4+</t>
    <phoneticPr fontId="35" type="noConversion"/>
  </si>
  <si>
    <t>PCIE_RX4+</t>
  </si>
  <si>
    <t>PCIE_TX4-</t>
    <phoneticPr fontId="35" type="noConversion"/>
  </si>
  <si>
    <t>PCIE_TX4-</t>
  </si>
  <si>
    <t>PCIE_TX4+</t>
    <phoneticPr fontId="35" type="noConversion"/>
  </si>
  <si>
    <t>PCIE_TX4+</t>
  </si>
  <si>
    <t>PCIE_RX5-</t>
    <phoneticPr fontId="35" type="noConversion"/>
  </si>
  <si>
    <t>PCIE_RX5-</t>
  </si>
  <si>
    <t>PCIE_RX5+</t>
    <phoneticPr fontId="35" type="noConversion"/>
  </si>
  <si>
    <t>PCIE_RX5+</t>
  </si>
  <si>
    <t>PCIE_TX5-</t>
    <phoneticPr fontId="35" type="noConversion"/>
  </si>
  <si>
    <t>PCIE_TX5-</t>
  </si>
  <si>
    <t>PCIE_TX5+</t>
    <phoneticPr fontId="35" type="noConversion"/>
  </si>
  <si>
    <t>PCIE_TX5+</t>
  </si>
  <si>
    <t>PCIE_RX6-</t>
    <phoneticPr fontId="35" type="noConversion"/>
  </si>
  <si>
    <t>PCIE_RX6-</t>
  </si>
  <si>
    <t>PCIE_RX6+</t>
    <phoneticPr fontId="35" type="noConversion"/>
  </si>
  <si>
    <t>PCIE_RX6+</t>
  </si>
  <si>
    <t>PCIE_TX6-</t>
    <phoneticPr fontId="35" type="noConversion"/>
  </si>
  <si>
    <t>PCIE_TX6-</t>
  </si>
  <si>
    <t>PCIE_TX6+</t>
    <phoneticPr fontId="35" type="noConversion"/>
  </si>
  <si>
    <t>PCIE_TX6+</t>
  </si>
  <si>
    <t>PCIE_RX7-</t>
    <phoneticPr fontId="35" type="noConversion"/>
  </si>
  <si>
    <t>PCIE_RX7-</t>
  </si>
  <si>
    <t>PCIE_RX7+</t>
    <phoneticPr fontId="35" type="noConversion"/>
  </si>
  <si>
    <t>PCIE_RX7+</t>
  </si>
  <si>
    <t>PCIE_TX7-</t>
    <phoneticPr fontId="35" type="noConversion"/>
  </si>
  <si>
    <t>PCIE_TX7-</t>
  </si>
  <si>
    <t>PCIE_TX7+</t>
    <phoneticPr fontId="35" type="noConversion"/>
  </si>
  <si>
    <t>PCIE_TX7+</t>
  </si>
  <si>
    <t>USB Design Guidelines</t>
    <phoneticPr fontId="35" type="noConversion"/>
  </si>
  <si>
    <t>USB_SSRX0-</t>
    <phoneticPr fontId="35" type="noConversion"/>
  </si>
  <si>
    <t>USB_SSRX0+</t>
    <phoneticPr fontId="35" type="noConversion"/>
  </si>
  <si>
    <t>USB_SSRX0+</t>
  </si>
  <si>
    <t>USB_SSTX0-</t>
    <phoneticPr fontId="35" type="noConversion"/>
  </si>
  <si>
    <t>USB_SSTX0-</t>
  </si>
  <si>
    <t>USB_SSTX0+</t>
    <phoneticPr fontId="35" type="noConversion"/>
  </si>
  <si>
    <t>USB_SSTX0+</t>
  </si>
  <si>
    <t>USB_SSRX1-</t>
    <phoneticPr fontId="35" type="noConversion"/>
  </si>
  <si>
    <t>USB_SSRX1-</t>
  </si>
  <si>
    <t>USB_SSRX1+</t>
    <phoneticPr fontId="35" type="noConversion"/>
  </si>
  <si>
    <t>USB_SSRX1+</t>
  </si>
  <si>
    <t>USB_SSTX1-</t>
    <phoneticPr fontId="35" type="noConversion"/>
  </si>
  <si>
    <t>USB_SSTX1-</t>
  </si>
  <si>
    <t>Target</t>
    <phoneticPr fontId="35" type="noConversion"/>
  </si>
  <si>
    <t>+/-2mil</t>
    <phoneticPr fontId="35" type="noConversion"/>
  </si>
  <si>
    <t>USB_SSTX1+</t>
    <phoneticPr fontId="35" type="noConversion"/>
  </si>
  <si>
    <t>USB_SSTX1+</t>
  </si>
  <si>
    <t>USB_SSRX2-</t>
    <phoneticPr fontId="35" type="noConversion"/>
  </si>
  <si>
    <t>USB_SSRX2-</t>
  </si>
  <si>
    <t>USB_SSRX2+</t>
    <phoneticPr fontId="35" type="noConversion"/>
  </si>
  <si>
    <t>USB_SSRX2+</t>
  </si>
  <si>
    <t>USB_SSTX2-</t>
    <phoneticPr fontId="35" type="noConversion"/>
  </si>
  <si>
    <t>USB_SSTX2-</t>
  </si>
  <si>
    <t>USB_SSTX2+</t>
    <phoneticPr fontId="35" type="noConversion"/>
  </si>
  <si>
    <t>USB_SSTX2+</t>
  </si>
  <si>
    <t>USB_SSRX3-</t>
    <phoneticPr fontId="35" type="noConversion"/>
  </si>
  <si>
    <t>USB_SSRX3-</t>
  </si>
  <si>
    <t>USB_SSRX3+</t>
    <phoneticPr fontId="35" type="noConversion"/>
  </si>
  <si>
    <t>USB_SSRX3+</t>
  </si>
  <si>
    <t>USB_SSTX3-</t>
    <phoneticPr fontId="35" type="noConversion"/>
  </si>
  <si>
    <t>USB_SSTX3-</t>
  </si>
  <si>
    <t>Target</t>
    <phoneticPr fontId="35" type="noConversion"/>
  </si>
  <si>
    <t>+/-2mil</t>
    <phoneticPr fontId="35" type="noConversion"/>
  </si>
  <si>
    <t>USB_SSTX3+</t>
    <phoneticPr fontId="35" type="noConversion"/>
  </si>
  <si>
    <t>USB_SSTX3+</t>
  </si>
  <si>
    <t>USB 2.0</t>
    <phoneticPr fontId="35" type="noConversion"/>
  </si>
  <si>
    <t>COMexpress connector Pin Name</t>
    <phoneticPr fontId="35" type="noConversion"/>
  </si>
  <si>
    <t>Chipset Design Guide
Trace Length limit</t>
    <phoneticPr fontId="35" type="noConversion"/>
  </si>
  <si>
    <t>Carrier Board
Trace Length limit</t>
    <phoneticPr fontId="35" type="noConversion"/>
  </si>
  <si>
    <t>Trace Length(mil)</t>
    <phoneticPr fontId="35" type="noConversion"/>
  </si>
  <si>
    <t>Mismatch</t>
    <phoneticPr fontId="49" type="noConversion"/>
  </si>
  <si>
    <t>Via</t>
    <phoneticPr fontId="35" type="noConversion"/>
  </si>
  <si>
    <t>Mismatch limit</t>
    <phoneticPr fontId="49" type="noConversion"/>
  </si>
  <si>
    <t>Via limit</t>
    <phoneticPr fontId="49" type="noConversion"/>
  </si>
  <si>
    <t>Impedances</t>
    <phoneticPr fontId="49" type="noConversion"/>
  </si>
  <si>
    <t>Space with 
other signals(mil)</t>
    <phoneticPr fontId="49" type="noConversion"/>
  </si>
  <si>
    <t>USB0-</t>
    <phoneticPr fontId="35" type="noConversion"/>
  </si>
  <si>
    <t>USB0-</t>
  </si>
  <si>
    <t>Zdiff=85ohm</t>
    <phoneticPr fontId="35" type="noConversion"/>
  </si>
  <si>
    <t>USB0+</t>
    <phoneticPr fontId="35" type="noConversion"/>
  </si>
  <si>
    <t>USB0+</t>
  </si>
  <si>
    <t>USB1-</t>
    <phoneticPr fontId="35" type="noConversion"/>
  </si>
  <si>
    <t>USB1-</t>
  </si>
  <si>
    <t>USB1+</t>
    <phoneticPr fontId="35" type="noConversion"/>
  </si>
  <si>
    <t>USB1+</t>
  </si>
  <si>
    <t>USB2-</t>
    <phoneticPr fontId="35" type="noConversion"/>
  </si>
  <si>
    <t>USB2-</t>
  </si>
  <si>
    <t>Target</t>
    <phoneticPr fontId="35" type="noConversion"/>
  </si>
  <si>
    <t>+/-2mil</t>
    <phoneticPr fontId="35" type="noConversion"/>
  </si>
  <si>
    <t>USB2+</t>
    <phoneticPr fontId="35" type="noConversion"/>
  </si>
  <si>
    <t>USB2+</t>
  </si>
  <si>
    <t>USB3-</t>
    <phoneticPr fontId="35" type="noConversion"/>
  </si>
  <si>
    <t>USB3-</t>
  </si>
  <si>
    <t>USB3+</t>
    <phoneticPr fontId="35" type="noConversion"/>
  </si>
  <si>
    <t>USB3+</t>
  </si>
  <si>
    <t>USB4-</t>
    <phoneticPr fontId="35" type="noConversion"/>
  </si>
  <si>
    <t>USB4-</t>
  </si>
  <si>
    <t>USB4+</t>
    <phoneticPr fontId="35" type="noConversion"/>
  </si>
  <si>
    <t>USB4+</t>
  </si>
  <si>
    <t>USB5-</t>
    <phoneticPr fontId="35" type="noConversion"/>
  </si>
  <si>
    <t>USB5-</t>
  </si>
  <si>
    <t>USB5+</t>
    <phoneticPr fontId="35" type="noConversion"/>
  </si>
  <si>
    <t>USB5+</t>
  </si>
  <si>
    <t>USB6-</t>
    <phoneticPr fontId="35" type="noConversion"/>
  </si>
  <si>
    <t>USB6-</t>
  </si>
  <si>
    <t>USB6+</t>
    <phoneticPr fontId="35" type="noConversion"/>
  </si>
  <si>
    <t>USB6+</t>
  </si>
  <si>
    <t>USB7-</t>
    <phoneticPr fontId="35" type="noConversion"/>
  </si>
  <si>
    <t>USB7-</t>
  </si>
  <si>
    <t>USB7+</t>
    <phoneticPr fontId="35" type="noConversion"/>
  </si>
  <si>
    <t>USB7+</t>
  </si>
  <si>
    <t>ESM-CFH
Signal Name</t>
    <phoneticPr fontId="35" type="noConversion"/>
  </si>
  <si>
    <t>ESM-CFH
Trace Length</t>
    <phoneticPr fontId="35" type="noConversion"/>
  </si>
  <si>
    <t>LAN Design Guidelines</t>
    <phoneticPr fontId="35" type="noConversion"/>
  </si>
  <si>
    <t>Carrier Board
Trace Length limi</t>
    <phoneticPr fontId="35" type="noConversion"/>
  </si>
  <si>
    <t>GBE0_MDI0+</t>
    <phoneticPr fontId="35" type="noConversion"/>
  </si>
  <si>
    <t>Zdiff=100ohm</t>
    <phoneticPr fontId="35" type="noConversion"/>
  </si>
  <si>
    <t>GBE0_MDI0-</t>
    <phoneticPr fontId="35" type="noConversion"/>
  </si>
  <si>
    <t>GBE0_MDI0-</t>
  </si>
  <si>
    <t>GBE0_MDI1+</t>
    <phoneticPr fontId="35" type="noConversion"/>
  </si>
  <si>
    <t>GBE0_MDI1+</t>
  </si>
  <si>
    <t>GBE0_MDI1-</t>
    <phoneticPr fontId="35" type="noConversion"/>
  </si>
  <si>
    <t>GBE0_MDI1-</t>
  </si>
  <si>
    <t>GBE0_MDI2+</t>
    <phoneticPr fontId="35" type="noConversion"/>
  </si>
  <si>
    <t>GBE0_MDI2+</t>
  </si>
  <si>
    <t>GBE0_MDI2-</t>
    <phoneticPr fontId="35" type="noConversion"/>
  </si>
  <si>
    <t>GBE0_MDI2-</t>
  </si>
  <si>
    <t>GBE0_MDI3+</t>
    <phoneticPr fontId="35" type="noConversion"/>
  </si>
  <si>
    <t>GBE0_MDI3+</t>
  </si>
  <si>
    <t>GBE0_MDI3-</t>
    <phoneticPr fontId="35" type="noConversion"/>
  </si>
  <si>
    <t>GBE0_MDI3-</t>
  </si>
  <si>
    <t>Difference signal is +/-2mil,
Total is +/-500mil</t>
    <phoneticPr fontId="35" type="noConversion"/>
  </si>
  <si>
    <t>HD-Audio Design Guidelines</t>
    <phoneticPr fontId="35" type="noConversion"/>
  </si>
  <si>
    <t>Via limit</t>
    <phoneticPr fontId="35" type="noConversion"/>
  </si>
  <si>
    <t>Impedances</t>
    <phoneticPr fontId="35" type="noConversion"/>
  </si>
  <si>
    <t>Space(mil)</t>
    <phoneticPr fontId="49" type="noConversion"/>
  </si>
  <si>
    <t>HDA_BITCLK</t>
    <phoneticPr fontId="35" type="noConversion"/>
  </si>
  <si>
    <t>Zo=50ohm</t>
    <phoneticPr fontId="35" type="noConversion"/>
  </si>
  <si>
    <t>HDA_SYNC</t>
    <phoneticPr fontId="35" type="noConversion"/>
  </si>
  <si>
    <t>HDA_RST#</t>
    <phoneticPr fontId="35" type="noConversion"/>
  </si>
  <si>
    <t>HDA_SDIN0</t>
    <phoneticPr fontId="35" type="noConversion"/>
  </si>
  <si>
    <t>HDA_SDI0</t>
    <phoneticPr fontId="35" type="noConversion"/>
  </si>
  <si>
    <t>HDA_SDIN1</t>
    <phoneticPr fontId="35" type="noConversion"/>
  </si>
  <si>
    <t>HDA_SDI1</t>
    <phoneticPr fontId="35" type="noConversion"/>
  </si>
  <si>
    <t>HDA_SDIN2</t>
    <phoneticPr fontId="35" type="noConversion"/>
  </si>
  <si>
    <t>NA</t>
    <phoneticPr fontId="35" type="noConversion"/>
  </si>
  <si>
    <t>HDA_SDOUT</t>
    <phoneticPr fontId="35" type="noConversion"/>
  </si>
  <si>
    <t>+/-100mil</t>
    <phoneticPr fontId="35" type="noConversion"/>
  </si>
  <si>
    <t>SERIRQ</t>
    <phoneticPr fontId="35" type="noConversion"/>
  </si>
  <si>
    <t>LPC_CLK</t>
    <phoneticPr fontId="35" type="noConversion"/>
  </si>
  <si>
    <t>CLK_24M_CB</t>
    <phoneticPr fontId="35" type="noConversion"/>
  </si>
  <si>
    <t>LPC Design Guidelines</t>
    <phoneticPr fontId="35" type="noConversion"/>
  </si>
  <si>
    <t>COMexpress connector Pin Name</t>
    <phoneticPr fontId="35" type="noConversion"/>
  </si>
  <si>
    <t>Chipset Design Guide
Trace Length limit</t>
    <phoneticPr fontId="35" type="noConversion"/>
  </si>
  <si>
    <t>COMexpress Design Guide
Trace Length limit</t>
    <phoneticPr fontId="35" type="noConversion"/>
  </si>
  <si>
    <t>Trace Length(mil)</t>
    <phoneticPr fontId="35" type="noConversion"/>
  </si>
  <si>
    <t>Mismatch</t>
    <phoneticPr fontId="49" type="noConversion"/>
  </si>
  <si>
    <t>Via</t>
    <phoneticPr fontId="35" type="noConversion"/>
  </si>
  <si>
    <t>Mismatch limit</t>
    <phoneticPr fontId="49" type="noConversion"/>
  </si>
  <si>
    <t>Via limit</t>
    <phoneticPr fontId="49" type="noConversion"/>
  </si>
  <si>
    <t>Impedances</t>
    <phoneticPr fontId="49" type="noConversion"/>
  </si>
  <si>
    <t>Space(mil)</t>
    <phoneticPr fontId="49" type="noConversion"/>
  </si>
  <si>
    <t>Space with 
other signals(mil)</t>
    <phoneticPr fontId="49" type="noConversion"/>
  </si>
  <si>
    <t>LPC_AD0</t>
    <phoneticPr fontId="35" type="noConversion"/>
  </si>
  <si>
    <t>Target</t>
    <phoneticPr fontId="35" type="noConversion"/>
  </si>
  <si>
    <t>NA</t>
    <phoneticPr fontId="35" type="noConversion"/>
  </si>
  <si>
    <t>Zo=50ohm</t>
    <phoneticPr fontId="35" type="noConversion"/>
  </si>
  <si>
    <t>LPC_AD1</t>
    <phoneticPr fontId="35" type="noConversion"/>
  </si>
  <si>
    <t>LPC_AD2</t>
    <phoneticPr fontId="35" type="noConversion"/>
  </si>
  <si>
    <t>LPC_AD3</t>
    <phoneticPr fontId="35" type="noConversion"/>
  </si>
  <si>
    <t>LPC_FRAME#</t>
    <phoneticPr fontId="35" type="noConversion"/>
  </si>
  <si>
    <t>LPC_LFRAME#</t>
    <phoneticPr fontId="35" type="noConversion"/>
  </si>
  <si>
    <t>LPC_LDRQ0#</t>
    <phoneticPr fontId="35" type="noConversion"/>
  </si>
  <si>
    <t>LPC_LDRQ1#</t>
    <phoneticPr fontId="35" type="noConversion"/>
  </si>
  <si>
    <t>LPC_SERIRQ</t>
    <phoneticPr fontId="35" type="noConversion"/>
  </si>
  <si>
    <t>+/-100mil</t>
    <phoneticPr fontId="35" type="noConversion"/>
  </si>
  <si>
    <t>SPI Design Guidelines</t>
    <phoneticPr fontId="35" type="noConversion"/>
  </si>
  <si>
    <t>Space(mil)</t>
    <phoneticPr fontId="35" type="noConversion"/>
  </si>
  <si>
    <t>SPI_CLK</t>
    <phoneticPr fontId="35" type="noConversion"/>
  </si>
  <si>
    <t>SPI_CS#</t>
    <phoneticPr fontId="35" type="noConversion"/>
  </si>
  <si>
    <t>SPI_MOSI</t>
    <phoneticPr fontId="35" type="noConversion"/>
  </si>
  <si>
    <t>SPI_MISO</t>
    <phoneticPr fontId="35" type="noConversion"/>
  </si>
  <si>
    <t>SMB Design Guidelines</t>
    <phoneticPr fontId="35" type="noConversion"/>
  </si>
  <si>
    <t>COMexpress connector Pin Name</t>
    <phoneticPr fontId="35" type="noConversion"/>
  </si>
  <si>
    <t>Chipset Design Guide
Trace Length limit</t>
    <phoneticPr fontId="35" type="noConversion"/>
  </si>
  <si>
    <t>Carrier Board
Trace Length limit</t>
    <phoneticPr fontId="35" type="noConversion"/>
  </si>
  <si>
    <t>Trace Length(mil)</t>
    <phoneticPr fontId="35" type="noConversion"/>
  </si>
  <si>
    <t>Mismatch</t>
    <phoneticPr fontId="49" type="noConversion"/>
  </si>
  <si>
    <t>Via</t>
    <phoneticPr fontId="35" type="noConversion"/>
  </si>
  <si>
    <t>Mismatch limit</t>
    <phoneticPr fontId="49" type="noConversion"/>
  </si>
  <si>
    <t>Via limit</t>
    <phoneticPr fontId="49" type="noConversion"/>
  </si>
  <si>
    <t>Impedances</t>
    <phoneticPr fontId="49" type="noConversion"/>
  </si>
  <si>
    <t>Space(mil)</t>
    <phoneticPr fontId="49" type="noConversion"/>
  </si>
  <si>
    <t>Space with 
other signals(mil)</t>
    <phoneticPr fontId="49" type="noConversion"/>
  </si>
  <si>
    <t>SMB_CLK</t>
    <phoneticPr fontId="35" type="noConversion"/>
  </si>
  <si>
    <t>SMB_CLK_A</t>
    <phoneticPr fontId="35" type="noConversion"/>
  </si>
  <si>
    <t>Target</t>
    <phoneticPr fontId="35" type="noConversion"/>
  </si>
  <si>
    <t>+/-250mil</t>
    <phoneticPr fontId="35" type="noConversion"/>
  </si>
  <si>
    <t>NA</t>
    <phoneticPr fontId="35" type="noConversion"/>
  </si>
  <si>
    <t>Zo=50ohm</t>
    <phoneticPr fontId="35" type="noConversion"/>
  </si>
  <si>
    <t>SMB_DATA</t>
    <phoneticPr fontId="35" type="noConversion"/>
  </si>
  <si>
    <t>SMB_DATA_A</t>
    <phoneticPr fontId="35" type="noConversion"/>
  </si>
  <si>
    <t>Carrier Board Trace Length limit</t>
    <phoneticPr fontId="35" type="noConversion"/>
  </si>
  <si>
    <t>impedances</t>
    <phoneticPr fontId="35" type="noConversion"/>
  </si>
  <si>
    <t>PCIeX16</t>
    <phoneticPr fontId="35" type="noConversion"/>
  </si>
  <si>
    <t>DDI</t>
    <phoneticPr fontId="35" type="noConversion"/>
  </si>
  <si>
    <t>DP_AUX</t>
    <phoneticPr fontId="35" type="noConversion"/>
  </si>
  <si>
    <t>LVDS</t>
    <phoneticPr fontId="35" type="noConversion"/>
  </si>
  <si>
    <t>SATA</t>
    <phoneticPr fontId="35" type="noConversion"/>
  </si>
  <si>
    <t>PCIe</t>
    <phoneticPr fontId="35" type="noConversion"/>
  </si>
  <si>
    <t>USB2.0</t>
    <phoneticPr fontId="35" type="noConversion"/>
  </si>
  <si>
    <t>LAN</t>
    <phoneticPr fontId="35" type="noConversion"/>
  </si>
  <si>
    <t>VGA</t>
    <phoneticPr fontId="35" type="noConversion"/>
  </si>
  <si>
    <t>Zo=50ohm</t>
  </si>
  <si>
    <t>HD_Audio</t>
    <phoneticPr fontId="35" type="noConversion"/>
  </si>
  <si>
    <t>LPC</t>
    <phoneticPr fontId="35" type="noConversion"/>
  </si>
  <si>
    <t>SPI</t>
    <phoneticPr fontId="35" type="noConversion"/>
  </si>
  <si>
    <t>SMbus</t>
    <phoneticPr fontId="35" type="noConversion"/>
  </si>
  <si>
    <t xml:space="preserve"> </t>
    <phoneticPr fontId="35" type="noConversion"/>
  </si>
  <si>
    <t>Revision</t>
    <phoneticPr fontId="35" type="noConversion"/>
  </si>
  <si>
    <t>Date</t>
    <phoneticPr fontId="35" type="noConversion"/>
  </si>
  <si>
    <t>Description</t>
    <phoneticPr fontId="35" type="noConversion"/>
  </si>
  <si>
    <t>V 1.0</t>
    <phoneticPr fontId="35" type="noConversion"/>
  </si>
  <si>
    <t>Zdiff=80ohm</t>
    <phoneticPr fontId="35" type="noConversion"/>
  </si>
  <si>
    <t xml:space="preserve">USB3.1 </t>
    <phoneticPr fontId="35" type="noConversion"/>
  </si>
  <si>
    <t>ESM-CFH A01</t>
    <phoneticPr fontId="4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</si>
</sst>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000"/>
    <numFmt numFmtId="177" formatCode="0.0000"/>
    <numFmt numFmtId="178" formatCode="0.0"/>
    <numFmt numFmtId="179" formatCode="0_ "/>
    <numFmt numFmtId="180" formatCode="0_);[Red]\(0\)"/>
    <numFmt numFmtId="181" formatCode="0_ ;[Red]\-0\ "/>
    <numFmt numFmtId="182" formatCode="0.00_ "/>
    <numFmt numFmtId="183" formatCode="0.0_ "/>
  </numFmts>
  <fonts count="115">
    <font>
      <sz val="10"/>
      <name val="Arial"/>
      <family val="2"/>
    </font>
    <font>
      <sz val="10"/>
      <name val="Arial"/>
      <family val="2"/>
    </font>
    <font>
      <b/>
      <sz val="8"/>
      <name val="Arial"/>
      <family val="2"/>
    </font>
    <font>
      <b/>
      <sz val="10"/>
      <color indexed="10"/>
      <name val="Arial"/>
      <family val="2"/>
    </font>
    <font>
      <sz val="10"/>
      <name val="Arial"/>
      <family val="2"/>
    </font>
    <font>
      <b/>
      <sz val="10"/>
      <name val="Arial"/>
      <family val="2"/>
    </font>
    <font>
      <sz val="9"/>
      <name val="Arial"/>
      <family val="2"/>
    </font>
    <font>
      <b/>
      <sz val="9"/>
      <name val="Arial"/>
      <family val="2"/>
    </font>
    <font>
      <b/>
      <sz val="10"/>
      <color indexed="9"/>
      <name val="Arial"/>
      <family val="2"/>
    </font>
    <font>
      <b/>
      <sz val="20"/>
      <color indexed="9"/>
      <name val="Arial"/>
      <family val="2"/>
    </font>
    <font>
      <sz val="8"/>
      <name val="Arial"/>
      <family val="2"/>
    </font>
    <font>
      <sz val="8"/>
      <color indexed="10"/>
      <name val="Arial"/>
      <family val="2"/>
    </font>
    <font>
      <sz val="10"/>
      <color indexed="10"/>
      <name val="Arial"/>
      <family val="2"/>
    </font>
    <font>
      <sz val="20"/>
      <name val="Arial"/>
      <family val="2"/>
    </font>
    <font>
      <sz val="10"/>
      <color indexed="8"/>
      <name val="Arial"/>
      <family val="2"/>
    </font>
    <font>
      <b/>
      <sz val="14"/>
      <color indexed="9"/>
      <name val="Arial"/>
      <family val="2"/>
    </font>
    <font>
      <sz val="14"/>
      <name val="Arial"/>
      <family val="2"/>
    </font>
    <font>
      <b/>
      <sz val="8"/>
      <color indexed="9"/>
      <name val="Arial"/>
      <family val="2"/>
    </font>
    <font>
      <b/>
      <sz val="10"/>
      <color indexed="14"/>
      <name val="Arial"/>
      <family val="2"/>
    </font>
    <font>
      <sz val="8"/>
      <color indexed="81"/>
      <name val="Tahoma"/>
      <family val="2"/>
    </font>
    <font>
      <b/>
      <sz val="8"/>
      <color indexed="81"/>
      <name val="Tahoma"/>
      <family val="2"/>
    </font>
    <font>
      <sz val="10"/>
      <color indexed="12"/>
      <name val="Arial"/>
      <family val="2"/>
    </font>
    <font>
      <sz val="10"/>
      <color indexed="12"/>
      <name val="Arial"/>
      <family val="2"/>
    </font>
    <font>
      <b/>
      <sz val="10"/>
      <name val="Arial"/>
      <family val="2"/>
    </font>
    <font>
      <sz val="10"/>
      <name val="Arial"/>
      <family val="2"/>
    </font>
    <font>
      <sz val="8"/>
      <name val="Arial"/>
      <family val="2"/>
    </font>
    <font>
      <sz val="10"/>
      <name val="Arial"/>
      <family val="2"/>
    </font>
    <font>
      <b/>
      <sz val="9"/>
      <name val="Arial"/>
      <family val="2"/>
    </font>
    <font>
      <sz val="10"/>
      <name val="Arial"/>
      <family val="2"/>
    </font>
    <font>
      <b/>
      <sz val="16"/>
      <color indexed="10"/>
      <name val="Arial"/>
      <family val="2"/>
    </font>
    <font>
      <b/>
      <sz val="8"/>
      <color indexed="10"/>
      <name val="Arial"/>
      <family val="2"/>
    </font>
    <font>
      <b/>
      <sz val="12"/>
      <color indexed="10"/>
      <name val="Arial"/>
      <family val="2"/>
    </font>
    <font>
      <b/>
      <sz val="14"/>
      <color indexed="10"/>
      <name val="Arial"/>
      <family val="2"/>
    </font>
    <font>
      <sz val="9"/>
      <color indexed="8"/>
      <name val="Arial"/>
      <family val="2"/>
    </font>
    <font>
      <sz val="12"/>
      <name val="新細明體"/>
      <family val="1"/>
      <charset val="136"/>
    </font>
    <font>
      <sz val="9"/>
      <name val="新細明體"/>
      <family val="1"/>
      <charset val="136"/>
    </font>
    <font>
      <sz val="22"/>
      <color indexed="10"/>
      <name val="Times New Roman"/>
      <family val="1"/>
    </font>
    <font>
      <b/>
      <sz val="12"/>
      <color indexed="48"/>
      <name val="新細明體"/>
      <family val="1"/>
      <charset val="136"/>
    </font>
    <font>
      <b/>
      <sz val="12"/>
      <name val="新細明體"/>
      <family val="1"/>
      <charset val="136"/>
    </font>
    <font>
      <b/>
      <sz val="12"/>
      <name val="Times New Roman"/>
      <family val="1"/>
    </font>
    <font>
      <b/>
      <sz val="12"/>
      <name val="細明體"/>
      <family val="3"/>
      <charset val="136"/>
    </font>
    <font>
      <b/>
      <sz val="12"/>
      <color indexed="17"/>
      <name val="Times New Roman"/>
      <family val="1"/>
    </font>
    <font>
      <b/>
      <sz val="12"/>
      <color indexed="12"/>
      <name val="新細明體"/>
      <family val="1"/>
      <charset val="136"/>
    </font>
    <font>
      <sz val="12"/>
      <color indexed="10"/>
      <name val="新細明體"/>
      <family val="1"/>
      <charset val="136"/>
    </font>
    <font>
      <b/>
      <sz val="12"/>
      <color indexed="10"/>
      <name val="新細明體"/>
      <family val="1"/>
      <charset val="136"/>
    </font>
    <font>
      <b/>
      <sz val="12"/>
      <color indexed="10"/>
      <name val="Times New Roman"/>
      <family val="1"/>
    </font>
    <font>
      <sz val="12"/>
      <color indexed="60"/>
      <name val="新細明體"/>
      <family val="1"/>
      <charset val="136"/>
    </font>
    <font>
      <b/>
      <sz val="12"/>
      <name val="Arial"/>
      <family val="2"/>
    </font>
    <font>
      <sz val="12"/>
      <color indexed="12"/>
      <name val="新細明體"/>
      <family val="1"/>
      <charset val="136"/>
    </font>
    <font>
      <sz val="9"/>
      <name val="細明體"/>
      <family val="3"/>
      <charset val="136"/>
    </font>
    <font>
      <b/>
      <sz val="12"/>
      <color indexed="18"/>
      <name val="新細明體"/>
      <family val="1"/>
      <charset val="136"/>
    </font>
    <font>
      <sz val="12"/>
      <color indexed="17"/>
      <name val="新細明體"/>
      <family val="1"/>
      <charset val="136"/>
    </font>
    <font>
      <sz val="12"/>
      <color indexed="8"/>
      <name val="新細明體"/>
      <family val="1"/>
      <charset val="136"/>
    </font>
    <font>
      <b/>
      <sz val="12"/>
      <color indexed="40"/>
      <name val="新細明體"/>
      <family val="1"/>
      <charset val="136"/>
    </font>
    <font>
      <b/>
      <sz val="12"/>
      <color indexed="49"/>
      <name val="新細明體"/>
      <family val="1"/>
      <charset val="136"/>
    </font>
    <font>
      <b/>
      <sz val="12"/>
      <color indexed="8"/>
      <name val="新細明體"/>
      <family val="1"/>
      <charset val="136"/>
    </font>
    <font>
      <sz val="24"/>
      <color indexed="10"/>
      <name val="Times New Roman"/>
      <family val="1"/>
    </font>
    <font>
      <shadow/>
      <sz val="24"/>
      <color indexed="10"/>
      <name val="Times New Roman"/>
      <family val="1"/>
    </font>
    <font>
      <b/>
      <sz val="12"/>
      <color indexed="53"/>
      <name val="新細明體"/>
      <family val="1"/>
      <charset val="136"/>
    </font>
    <font>
      <b/>
      <sz val="10"/>
      <color indexed="17"/>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9"/>
      <name val="新細明體"/>
      <family val="1"/>
      <charset val="136"/>
    </font>
    <font>
      <b/>
      <sz val="12"/>
      <color indexed="52"/>
      <name val="新細明體"/>
      <family val="1"/>
      <charset val="136"/>
    </font>
    <font>
      <sz val="12"/>
      <color indexed="52"/>
      <name val="新細明體"/>
      <family val="1"/>
      <charset val="136"/>
    </font>
    <font>
      <i/>
      <sz val="12"/>
      <color indexed="23"/>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b/>
      <sz val="10"/>
      <name val="新細明體"/>
      <family val="1"/>
      <charset val="136"/>
    </font>
    <font>
      <b/>
      <sz val="12"/>
      <color indexed="8"/>
      <name val="Times New Roman"/>
      <family val="1"/>
    </font>
    <font>
      <b/>
      <sz val="10"/>
      <color indexed="8"/>
      <name val="新細明體"/>
      <family val="1"/>
      <charset val="136"/>
    </font>
    <font>
      <b/>
      <sz val="10"/>
      <color indexed="10"/>
      <name val="新細明體"/>
      <family val="1"/>
      <charset val="136"/>
    </font>
    <font>
      <b/>
      <sz val="12"/>
      <color rgb="FF92D050"/>
      <name val="新細明體"/>
      <family val="1"/>
      <charset val="136"/>
    </font>
    <font>
      <b/>
      <sz val="12"/>
      <color rgb="FFFF0000"/>
      <name val="Times New Roman"/>
      <family val="1"/>
    </font>
    <font>
      <b/>
      <sz val="12"/>
      <color rgb="FFFF0000"/>
      <name val="新細明體"/>
      <family val="1"/>
      <charset val="136"/>
    </font>
    <font>
      <b/>
      <sz val="12"/>
      <color indexed="10"/>
      <name val="新細明體"/>
      <family val="1"/>
      <charset val="136"/>
      <scheme val="minor"/>
    </font>
    <font>
      <b/>
      <sz val="12"/>
      <color rgb="FFFF0000"/>
      <name val="新細明體"/>
      <family val="1"/>
      <charset val="136"/>
      <scheme val="minor"/>
    </font>
    <font>
      <b/>
      <sz val="12"/>
      <color rgb="FF0070C0"/>
      <name val="新細明體"/>
      <family val="1"/>
      <charset val="136"/>
    </font>
    <font>
      <b/>
      <sz val="12"/>
      <color theme="1"/>
      <name val="新細明體"/>
      <family val="1"/>
      <charset val="136"/>
    </font>
    <font>
      <b/>
      <sz val="10"/>
      <color rgb="FF00B0F0"/>
      <name val="新細明體"/>
      <family val="1"/>
      <charset val="136"/>
    </font>
    <font>
      <b/>
      <sz val="12"/>
      <color rgb="FF00B0F0"/>
      <name val="新細明體"/>
      <family val="1"/>
      <charset val="136"/>
    </font>
    <font>
      <b/>
      <sz val="12"/>
      <color rgb="FF00B0F0"/>
      <name val="Times New Roman"/>
      <family val="1"/>
    </font>
    <font>
      <sz val="11"/>
      <color indexed="8"/>
      <name val="新細明體"/>
      <family val="1"/>
      <charset val="136"/>
    </font>
    <font>
      <sz val="11"/>
      <color indexed="9"/>
      <name val="新細明體"/>
      <family val="1"/>
      <charset val="136"/>
    </font>
    <font>
      <sz val="11"/>
      <color indexed="20"/>
      <name val="新細明體"/>
      <family val="1"/>
      <charset val="136"/>
    </font>
    <font>
      <b/>
      <sz val="11"/>
      <color indexed="52"/>
      <name val="新細明體"/>
      <family val="1"/>
      <charset val="136"/>
    </font>
    <font>
      <b/>
      <sz val="11"/>
      <color indexed="9"/>
      <name val="新細明體"/>
      <family val="1"/>
      <charset val="136"/>
    </font>
    <font>
      <i/>
      <sz val="11"/>
      <color indexed="23"/>
      <name val="新細明體"/>
      <family val="1"/>
      <charset val="136"/>
    </font>
    <font>
      <sz val="11"/>
      <color indexed="17"/>
      <name val="新細明體"/>
      <family val="1"/>
      <charset val="136"/>
    </font>
    <font>
      <sz val="11"/>
      <color indexed="62"/>
      <name val="新細明體"/>
      <family val="1"/>
      <charset val="136"/>
    </font>
    <font>
      <sz val="11"/>
      <color indexed="52"/>
      <name val="新細明體"/>
      <family val="1"/>
      <charset val="136"/>
    </font>
    <font>
      <sz val="11"/>
      <color indexed="60"/>
      <name val="新細明體"/>
      <family val="1"/>
      <charset val="136"/>
    </font>
    <font>
      <b/>
      <sz val="11"/>
      <color indexed="63"/>
      <name val="新細明體"/>
      <family val="1"/>
      <charset val="136"/>
    </font>
    <font>
      <b/>
      <sz val="11"/>
      <color indexed="8"/>
      <name val="新細明體"/>
      <family val="1"/>
      <charset val="136"/>
    </font>
    <font>
      <sz val="11"/>
      <color indexed="10"/>
      <name val="新細明體"/>
      <family val="1"/>
      <charset val="136"/>
    </font>
    <font>
      <sz val="12"/>
      <color theme="1"/>
      <name val="新細明體"/>
      <family val="1"/>
      <charset val="136"/>
      <scheme val="minor"/>
    </font>
    <font>
      <sz val="12"/>
      <color indexed="53"/>
      <name val="新細明體"/>
      <family val="1"/>
      <charset val="136"/>
    </font>
    <font>
      <b/>
      <sz val="12"/>
      <color indexed="9"/>
      <name val="Arial"/>
      <family val="2"/>
    </font>
    <font>
      <sz val="12"/>
      <name val="Arial"/>
      <family val="2"/>
    </font>
    <font>
      <b/>
      <sz val="12"/>
      <color indexed="8"/>
      <name val="新細明體"/>
      <family val="1"/>
      <charset val="136"/>
      <scheme val="minor"/>
    </font>
    <font>
      <sz val="12"/>
      <name val="新細明體"/>
      <family val="1"/>
      <charset val="136"/>
      <scheme val="minor"/>
    </font>
    <font>
      <b/>
      <sz val="12"/>
      <name val="新細明體"/>
      <family val="1"/>
      <charset val="136"/>
      <scheme val="minor"/>
    </font>
    <font>
      <b/>
      <sz val="12"/>
      <color indexed="12"/>
      <name val="新細明體"/>
      <family val="1"/>
      <charset val="136"/>
      <scheme val="minor"/>
    </font>
    <font>
      <b/>
      <sz val="12"/>
      <color indexed="17"/>
      <name val="新細明體"/>
      <family val="1"/>
      <charset val="136"/>
      <scheme val="minor"/>
    </font>
    <font>
      <b/>
      <sz val="12"/>
      <color indexed="53"/>
      <name val="新細明體"/>
      <family val="1"/>
      <charset val="136"/>
      <scheme val="minor"/>
    </font>
    <font>
      <sz val="22"/>
      <color indexed="10"/>
      <name val="新細明體"/>
      <family val="1"/>
      <charset val="136"/>
      <scheme val="minor"/>
    </font>
    <font>
      <b/>
      <sz val="12"/>
      <color indexed="48"/>
      <name val="新細明體"/>
      <family val="1"/>
      <charset val="136"/>
      <scheme val="minor"/>
    </font>
    <font>
      <b/>
      <sz val="12"/>
      <color indexed="40"/>
      <name val="新細明體"/>
      <family val="1"/>
      <charset val="136"/>
      <scheme val="minor"/>
    </font>
    <font>
      <b/>
      <sz val="12"/>
      <color indexed="20"/>
      <name val="新細明體"/>
      <family val="1"/>
      <charset val="136"/>
      <scheme val="minor"/>
    </font>
    <font>
      <b/>
      <sz val="22"/>
      <color indexed="10"/>
      <name val="新細明體"/>
      <family val="1"/>
      <charset val="136"/>
      <scheme val="minor"/>
    </font>
    <font>
      <b/>
      <sz val="12"/>
      <color theme="4"/>
      <name val="新細明體"/>
      <family val="1"/>
      <charset val="136"/>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0"/>
        <bgColor indexed="64"/>
      </patternFill>
    </fill>
    <fill>
      <patternFill patternType="solid">
        <fgColor indexed="48"/>
        <bgColor indexed="64"/>
      </patternFill>
    </fill>
    <fill>
      <patternFill patternType="solid">
        <fgColor indexed="22"/>
        <bgColor indexed="64"/>
      </patternFill>
    </fill>
    <fill>
      <patternFill patternType="solid">
        <fgColor indexed="12"/>
        <bgColor indexed="64"/>
      </patternFill>
    </fill>
    <fill>
      <patternFill patternType="solid">
        <fgColor indexed="45"/>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13"/>
        <bgColor indexed="64"/>
      </patternFill>
    </fill>
    <fill>
      <patternFill patternType="solid">
        <fgColor indexed="11"/>
        <bgColor indexed="64"/>
      </patternFill>
    </fill>
    <fill>
      <patternFill patternType="lightDown">
        <fgColor indexed="15"/>
        <bgColor indexed="11"/>
      </patternFill>
    </fill>
    <fill>
      <patternFill patternType="lightDown">
        <fgColor indexed="15"/>
        <bgColor indexed="13"/>
      </patternFill>
    </fill>
    <fill>
      <patternFill patternType="lightDown">
        <fgColor indexed="15"/>
      </patternFill>
    </fill>
    <fill>
      <patternFill patternType="solid">
        <fgColor theme="0"/>
        <bgColor indexed="64"/>
      </patternFill>
    </fill>
    <fill>
      <patternFill patternType="solid">
        <fgColor indexed="41"/>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right style="thin">
        <color indexed="64"/>
      </right>
      <top style="double">
        <color indexed="64"/>
      </top>
      <bottom/>
      <diagonal/>
    </border>
    <border>
      <left style="thin">
        <color indexed="64"/>
      </left>
      <right/>
      <top style="double">
        <color indexed="64"/>
      </top>
      <bottom style="double">
        <color indexed="64"/>
      </bottom>
      <diagonal/>
    </border>
    <border>
      <left style="thin">
        <color indexed="64"/>
      </left>
      <right/>
      <top style="double">
        <color indexed="64"/>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medium">
        <color indexed="64"/>
      </left>
      <right/>
      <top style="medium">
        <color indexed="64"/>
      </top>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double">
        <color indexed="64"/>
      </left>
      <right style="thin">
        <color indexed="64"/>
      </right>
      <top/>
      <bottom style="double">
        <color indexed="64"/>
      </bottom>
      <diagonal/>
    </border>
    <border>
      <left style="double">
        <color indexed="64"/>
      </left>
      <right style="thin">
        <color indexed="64"/>
      </right>
      <top/>
      <bottom/>
      <diagonal/>
    </border>
  </borders>
  <cellStyleXfs count="137">
    <xf numFmtId="0" fontId="0" fillId="0" borderId="0"/>
    <xf numFmtId="0" fontId="52" fillId="2" borderId="0" applyNumberFormat="0" applyBorder="0" applyAlignment="0" applyProtection="0">
      <alignment vertical="center"/>
    </xf>
    <xf numFmtId="0" fontId="52" fillId="3" borderId="0" applyNumberFormat="0" applyBorder="0" applyAlignment="0" applyProtection="0">
      <alignment vertical="center"/>
    </xf>
    <xf numFmtId="0" fontId="52" fillId="4" borderId="0" applyNumberFormat="0" applyBorder="0" applyAlignment="0" applyProtection="0">
      <alignment vertical="center"/>
    </xf>
    <xf numFmtId="0" fontId="52" fillId="5" borderId="0" applyNumberFormat="0" applyBorder="0" applyAlignment="0" applyProtection="0">
      <alignment vertical="center"/>
    </xf>
    <xf numFmtId="0" fontId="52" fillId="6" borderId="0" applyNumberFormat="0" applyBorder="0" applyAlignment="0" applyProtection="0">
      <alignment vertical="center"/>
    </xf>
    <xf numFmtId="0" fontId="52" fillId="7" borderId="0" applyNumberFormat="0" applyBorder="0" applyAlignment="0" applyProtection="0">
      <alignment vertical="center"/>
    </xf>
    <xf numFmtId="0" fontId="52" fillId="8" borderId="0" applyNumberFormat="0" applyBorder="0" applyAlignment="0" applyProtection="0">
      <alignment vertical="center"/>
    </xf>
    <xf numFmtId="0" fontId="52" fillId="9" borderId="0" applyNumberFormat="0" applyBorder="0" applyAlignment="0" applyProtection="0">
      <alignment vertical="center"/>
    </xf>
    <xf numFmtId="0" fontId="52" fillId="10" borderId="0" applyNumberFormat="0" applyBorder="0" applyAlignment="0" applyProtection="0">
      <alignment vertical="center"/>
    </xf>
    <xf numFmtId="0" fontId="52" fillId="5" borderId="0" applyNumberFormat="0" applyBorder="0" applyAlignment="0" applyProtection="0">
      <alignment vertical="center"/>
    </xf>
    <xf numFmtId="0" fontId="52" fillId="8" borderId="0" applyNumberFormat="0" applyBorder="0" applyAlignment="0" applyProtection="0">
      <alignment vertical="center"/>
    </xf>
    <xf numFmtId="0" fontId="52" fillId="11" borderId="0" applyNumberFormat="0" applyBorder="0" applyAlignment="0" applyProtection="0">
      <alignment vertical="center"/>
    </xf>
    <xf numFmtId="0" fontId="64" fillId="12" borderId="0" applyNumberFormat="0" applyBorder="0" applyAlignment="0" applyProtection="0">
      <alignment vertical="center"/>
    </xf>
    <xf numFmtId="0" fontId="64" fillId="9" borderId="0" applyNumberFormat="0" applyBorder="0" applyAlignment="0" applyProtection="0">
      <alignment vertical="center"/>
    </xf>
    <xf numFmtId="0" fontId="64" fillId="10" borderId="0" applyNumberFormat="0" applyBorder="0" applyAlignment="0" applyProtection="0">
      <alignment vertical="center"/>
    </xf>
    <xf numFmtId="0" fontId="64" fillId="13" borderId="0" applyNumberFormat="0" applyBorder="0" applyAlignment="0" applyProtection="0">
      <alignment vertical="center"/>
    </xf>
    <xf numFmtId="0" fontId="64" fillId="14" borderId="0" applyNumberFormat="0" applyBorder="0" applyAlignment="0" applyProtection="0">
      <alignment vertical="center"/>
    </xf>
    <xf numFmtId="0" fontId="64" fillId="15" borderId="0" applyNumberFormat="0" applyBorder="0" applyAlignment="0" applyProtection="0">
      <alignment vertical="center"/>
    </xf>
    <xf numFmtId="0" fontId="4" fillId="0" borderId="0"/>
    <xf numFmtId="0" fontId="1" fillId="0" borderId="0"/>
    <xf numFmtId="0" fontId="34" fillId="0" borderId="0"/>
    <xf numFmtId="0" fontId="46" fillId="22" borderId="0" applyNumberFormat="0" applyBorder="0" applyAlignment="0" applyProtection="0">
      <alignment vertical="center"/>
    </xf>
    <xf numFmtId="0" fontId="55" fillId="0" borderId="9" applyNumberFormat="0" applyFill="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65" fillId="20" borderId="1" applyNumberFormat="0" applyAlignment="0" applyProtection="0">
      <alignment vertical="center"/>
    </xf>
    <xf numFmtId="0" fontId="66" fillId="0" borderId="6" applyNumberFormat="0" applyFill="0" applyAlignment="0" applyProtection="0">
      <alignment vertical="center"/>
    </xf>
    <xf numFmtId="0" fontId="1" fillId="23" borderId="7" applyNumberFormat="0" applyFont="0" applyAlignment="0" applyProtection="0">
      <alignment vertical="center"/>
    </xf>
    <xf numFmtId="0" fontId="67" fillId="0" borderId="0" applyNumberFormat="0" applyFill="0" applyBorder="0" applyAlignment="0" applyProtection="0">
      <alignment vertical="center"/>
    </xf>
    <xf numFmtId="0" fontId="64" fillId="16" borderId="0" applyNumberFormat="0" applyBorder="0" applyAlignment="0" applyProtection="0">
      <alignment vertical="center"/>
    </xf>
    <xf numFmtId="0" fontId="64" fillId="17" borderId="0" applyNumberFormat="0" applyBorder="0" applyAlignment="0" applyProtection="0">
      <alignment vertical="center"/>
    </xf>
    <xf numFmtId="0" fontId="64" fillId="18" borderId="0" applyNumberFormat="0" applyBorder="0" applyAlignment="0" applyProtection="0">
      <alignment vertical="center"/>
    </xf>
    <xf numFmtId="0" fontId="64" fillId="13" borderId="0" applyNumberFormat="0" applyBorder="0" applyAlignment="0" applyProtection="0">
      <alignment vertical="center"/>
    </xf>
    <xf numFmtId="0" fontId="64" fillId="14" borderId="0" applyNumberFormat="0" applyBorder="0" applyAlignment="0" applyProtection="0">
      <alignment vertical="center"/>
    </xf>
    <xf numFmtId="0" fontId="64" fillId="19" borderId="0" applyNumberFormat="0" applyBorder="0" applyAlignment="0" applyProtection="0">
      <alignment vertical="center"/>
    </xf>
    <xf numFmtId="0" fontId="60" fillId="0" borderId="0" applyNumberFormat="0" applyFill="0" applyBorder="0" applyAlignment="0" applyProtection="0">
      <alignment vertical="center"/>
    </xf>
    <xf numFmtId="0" fontId="61" fillId="0" borderId="3" applyNumberFormat="0" applyFill="0" applyAlignment="0" applyProtection="0">
      <alignment vertical="center"/>
    </xf>
    <xf numFmtId="0" fontId="62" fillId="0" borderId="4" applyNumberFormat="0" applyFill="0" applyAlignment="0" applyProtection="0">
      <alignment vertical="center"/>
    </xf>
    <xf numFmtId="0" fontId="63" fillId="0" borderId="5" applyNumberFormat="0" applyFill="0" applyAlignment="0" applyProtection="0">
      <alignment vertical="center"/>
    </xf>
    <xf numFmtId="0" fontId="63" fillId="0" borderId="0" applyNumberFormat="0" applyFill="0" applyBorder="0" applyAlignment="0" applyProtection="0">
      <alignment vertical="center"/>
    </xf>
    <xf numFmtId="0" fontId="68" fillId="7" borderId="1" applyNumberFormat="0" applyAlignment="0" applyProtection="0">
      <alignment vertical="center"/>
    </xf>
    <xf numFmtId="0" fontId="69" fillId="20" borderId="8" applyNumberFormat="0" applyAlignment="0" applyProtection="0">
      <alignment vertical="center"/>
    </xf>
    <xf numFmtId="0" fontId="70" fillId="21" borderId="2" applyNumberFormat="0" applyAlignment="0" applyProtection="0">
      <alignment vertical="center"/>
    </xf>
    <xf numFmtId="0" fontId="71" fillId="3" borderId="0" applyNumberFormat="0" applyBorder="0" applyAlignment="0" applyProtection="0">
      <alignment vertical="center"/>
    </xf>
    <xf numFmtId="0" fontId="43" fillId="0" borderId="0" applyNumberFormat="0" applyFill="0" applyBorder="0" applyAlignment="0" applyProtection="0">
      <alignment vertical="center"/>
    </xf>
    <xf numFmtId="0" fontId="34" fillId="0" borderId="0">
      <alignment vertical="center"/>
    </xf>
    <xf numFmtId="0" fontId="86" fillId="2" borderId="0" applyNumberFormat="0" applyBorder="0" applyAlignment="0" applyProtection="0">
      <alignment vertical="center"/>
    </xf>
    <xf numFmtId="0" fontId="86" fillId="3" borderId="0" applyNumberFormat="0" applyBorder="0" applyAlignment="0" applyProtection="0">
      <alignment vertical="center"/>
    </xf>
    <xf numFmtId="0" fontId="86" fillId="4" borderId="0" applyNumberFormat="0" applyBorder="0" applyAlignment="0" applyProtection="0">
      <alignment vertical="center"/>
    </xf>
    <xf numFmtId="0" fontId="86" fillId="5" borderId="0" applyNumberFormat="0" applyBorder="0" applyAlignment="0" applyProtection="0">
      <alignment vertical="center"/>
    </xf>
    <xf numFmtId="0" fontId="86" fillId="6" borderId="0" applyNumberFormat="0" applyBorder="0" applyAlignment="0" applyProtection="0">
      <alignment vertical="center"/>
    </xf>
    <xf numFmtId="0" fontId="86" fillId="7" borderId="0" applyNumberFormat="0" applyBorder="0" applyAlignment="0" applyProtection="0">
      <alignment vertical="center"/>
    </xf>
    <xf numFmtId="0" fontId="86" fillId="8" borderId="0" applyNumberFormat="0" applyBorder="0" applyAlignment="0" applyProtection="0">
      <alignment vertical="center"/>
    </xf>
    <xf numFmtId="0" fontId="86" fillId="9" borderId="0" applyNumberFormat="0" applyBorder="0" applyAlignment="0" applyProtection="0">
      <alignment vertical="center"/>
    </xf>
    <xf numFmtId="0" fontId="86" fillId="10" borderId="0" applyNumberFormat="0" applyBorder="0" applyAlignment="0" applyProtection="0">
      <alignment vertical="center"/>
    </xf>
    <xf numFmtId="0" fontId="86" fillId="5" borderId="0" applyNumberFormat="0" applyBorder="0" applyAlignment="0" applyProtection="0">
      <alignment vertical="center"/>
    </xf>
    <xf numFmtId="0" fontId="86" fillId="8" borderId="0" applyNumberFormat="0" applyBorder="0" applyAlignment="0" applyProtection="0">
      <alignment vertical="center"/>
    </xf>
    <xf numFmtId="0" fontId="86" fillId="11" borderId="0" applyNumberFormat="0" applyBorder="0" applyAlignment="0" applyProtection="0">
      <alignment vertical="center"/>
    </xf>
    <xf numFmtId="0" fontId="87" fillId="12" borderId="0" applyNumberFormat="0" applyBorder="0" applyAlignment="0" applyProtection="0">
      <alignment vertical="center"/>
    </xf>
    <xf numFmtId="0" fontId="87" fillId="9" borderId="0" applyNumberFormat="0" applyBorder="0" applyAlignment="0" applyProtection="0">
      <alignment vertical="center"/>
    </xf>
    <xf numFmtId="0" fontId="87" fillId="10" borderId="0" applyNumberFormat="0" applyBorder="0" applyAlignment="0" applyProtection="0">
      <alignment vertical="center"/>
    </xf>
    <xf numFmtId="0" fontId="87" fillId="13" borderId="0" applyNumberFormat="0" applyBorder="0" applyAlignment="0" applyProtection="0">
      <alignment vertical="center"/>
    </xf>
    <xf numFmtId="0" fontId="87" fillId="14" borderId="0" applyNumberFormat="0" applyBorder="0" applyAlignment="0" applyProtection="0">
      <alignment vertical="center"/>
    </xf>
    <xf numFmtId="0" fontId="87" fillId="15" borderId="0" applyNumberFormat="0" applyBorder="0" applyAlignment="0" applyProtection="0">
      <alignment vertical="center"/>
    </xf>
    <xf numFmtId="0" fontId="87" fillId="16" borderId="0" applyNumberFormat="0" applyBorder="0" applyAlignment="0" applyProtection="0">
      <alignment vertical="center"/>
    </xf>
    <xf numFmtId="0" fontId="87" fillId="17" borderId="0" applyNumberFormat="0" applyBorder="0" applyAlignment="0" applyProtection="0">
      <alignment vertical="center"/>
    </xf>
    <xf numFmtId="0" fontId="87" fillId="18" borderId="0" applyNumberFormat="0" applyBorder="0" applyAlignment="0" applyProtection="0">
      <alignment vertical="center"/>
    </xf>
    <xf numFmtId="0" fontId="87" fillId="13" borderId="0" applyNumberFormat="0" applyBorder="0" applyAlignment="0" applyProtection="0">
      <alignment vertical="center"/>
    </xf>
    <xf numFmtId="0" fontId="87" fillId="14" borderId="0" applyNumberFormat="0" applyBorder="0" applyAlignment="0" applyProtection="0">
      <alignment vertical="center"/>
    </xf>
    <xf numFmtId="0" fontId="87" fillId="19" borderId="0" applyNumberFormat="0" applyBorder="0" applyAlignment="0" applyProtection="0">
      <alignment vertical="center"/>
    </xf>
    <xf numFmtId="0" fontId="88" fillId="3" borderId="0" applyNumberFormat="0" applyBorder="0" applyAlignment="0" applyProtection="0">
      <alignment vertical="center"/>
    </xf>
    <xf numFmtId="0" fontId="89" fillId="20" borderId="1" applyNumberFormat="0" applyAlignment="0" applyProtection="0">
      <alignment vertical="center"/>
    </xf>
    <xf numFmtId="0" fontId="90" fillId="21" borderId="2" applyNumberFormat="0" applyAlignment="0" applyProtection="0">
      <alignment vertical="center"/>
    </xf>
    <xf numFmtId="0" fontId="91" fillId="0" borderId="0" applyNumberFormat="0" applyFill="0" applyBorder="0" applyAlignment="0" applyProtection="0">
      <alignment vertical="center"/>
    </xf>
    <xf numFmtId="0" fontId="92" fillId="4" borderId="0" applyNumberFormat="0" applyBorder="0" applyAlignment="0" applyProtection="0">
      <alignment vertical="center"/>
    </xf>
    <xf numFmtId="0" fontId="61" fillId="0" borderId="3" applyNumberFormat="0" applyFill="0" applyAlignment="0" applyProtection="0">
      <alignment vertical="center"/>
    </xf>
    <xf numFmtId="0" fontId="62" fillId="0" borderId="4" applyNumberFormat="0" applyFill="0" applyAlignment="0" applyProtection="0">
      <alignment vertical="center"/>
    </xf>
    <xf numFmtId="0" fontId="63" fillId="0" borderId="5" applyNumberFormat="0" applyFill="0" applyAlignment="0" applyProtection="0">
      <alignment vertical="center"/>
    </xf>
    <xf numFmtId="0" fontId="63" fillId="0" borderId="0" applyNumberFormat="0" applyFill="0" applyBorder="0" applyAlignment="0" applyProtection="0">
      <alignment vertical="center"/>
    </xf>
    <xf numFmtId="0" fontId="93" fillId="7" borderId="1" applyNumberFormat="0" applyAlignment="0" applyProtection="0">
      <alignment vertical="center"/>
    </xf>
    <xf numFmtId="0" fontId="94" fillId="0" borderId="6" applyNumberFormat="0" applyFill="0" applyAlignment="0" applyProtection="0">
      <alignment vertical="center"/>
    </xf>
    <xf numFmtId="0" fontId="95" fillId="22" borderId="0" applyNumberFormat="0" applyBorder="0" applyAlignment="0" applyProtection="0">
      <alignment vertical="center"/>
    </xf>
    <xf numFmtId="0" fontId="1" fillId="23" borderId="7" applyNumberFormat="0" applyFont="0" applyAlignment="0" applyProtection="0">
      <alignment vertical="center"/>
    </xf>
    <xf numFmtId="0" fontId="96" fillId="20" borderId="8" applyNumberFormat="0" applyAlignment="0" applyProtection="0">
      <alignment vertical="center"/>
    </xf>
    <xf numFmtId="0" fontId="60" fillId="0" borderId="0" applyNumberFormat="0" applyFill="0" applyBorder="0" applyAlignment="0" applyProtection="0">
      <alignment vertical="center"/>
    </xf>
    <xf numFmtId="0" fontId="97" fillId="0" borderId="9" applyNumberFormat="0" applyFill="0" applyAlignment="0" applyProtection="0">
      <alignment vertical="center"/>
    </xf>
    <xf numFmtId="0" fontId="98" fillId="0" borderId="0" applyNumberFormat="0" applyFill="0" applyBorder="0" applyAlignment="0" applyProtection="0">
      <alignment vertical="center"/>
    </xf>
    <xf numFmtId="0" fontId="51" fillId="4" borderId="0" applyNumberFormat="0" applyBorder="0" applyAlignment="0" applyProtection="0">
      <alignment vertical="center"/>
    </xf>
    <xf numFmtId="0" fontId="60" fillId="0" borderId="0" applyNumberFormat="0" applyFill="0" applyBorder="0" applyAlignment="0" applyProtection="0">
      <alignment vertical="center"/>
    </xf>
    <xf numFmtId="0" fontId="99" fillId="0" borderId="0">
      <alignment vertical="center"/>
    </xf>
    <xf numFmtId="0" fontId="52" fillId="2" borderId="0" applyNumberFormat="0" applyBorder="0" applyAlignment="0" applyProtection="0">
      <alignment vertical="center"/>
    </xf>
    <xf numFmtId="0" fontId="52" fillId="3" borderId="0" applyNumberFormat="0" applyBorder="0" applyAlignment="0" applyProtection="0">
      <alignment vertical="center"/>
    </xf>
    <xf numFmtId="0" fontId="52" fillId="4" borderId="0" applyNumberFormat="0" applyBorder="0" applyAlignment="0" applyProtection="0">
      <alignment vertical="center"/>
    </xf>
    <xf numFmtId="0" fontId="52" fillId="5" borderId="0" applyNumberFormat="0" applyBorder="0" applyAlignment="0" applyProtection="0">
      <alignment vertical="center"/>
    </xf>
    <xf numFmtId="0" fontId="52" fillId="6" borderId="0" applyNumberFormat="0" applyBorder="0" applyAlignment="0" applyProtection="0">
      <alignment vertical="center"/>
    </xf>
    <xf numFmtId="0" fontId="52" fillId="7" borderId="0" applyNumberFormat="0" applyBorder="0" applyAlignment="0" applyProtection="0">
      <alignment vertical="center"/>
    </xf>
    <xf numFmtId="0" fontId="52" fillId="8" borderId="0" applyNumberFormat="0" applyBorder="0" applyAlignment="0" applyProtection="0">
      <alignment vertical="center"/>
    </xf>
    <xf numFmtId="0" fontId="52" fillId="9" borderId="0" applyNumberFormat="0" applyBorder="0" applyAlignment="0" applyProtection="0">
      <alignment vertical="center"/>
    </xf>
    <xf numFmtId="0" fontId="52" fillId="10" borderId="0" applyNumberFormat="0" applyBorder="0" applyAlignment="0" applyProtection="0">
      <alignment vertical="center"/>
    </xf>
    <xf numFmtId="0" fontId="52" fillId="5" borderId="0" applyNumberFormat="0" applyBorder="0" applyAlignment="0" applyProtection="0">
      <alignment vertical="center"/>
    </xf>
    <xf numFmtId="0" fontId="52" fillId="8" borderId="0" applyNumberFormat="0" applyBorder="0" applyAlignment="0" applyProtection="0">
      <alignment vertical="center"/>
    </xf>
    <xf numFmtId="0" fontId="52" fillId="11" borderId="0" applyNumberFormat="0" applyBorder="0" applyAlignment="0" applyProtection="0">
      <alignment vertical="center"/>
    </xf>
    <xf numFmtId="0" fontId="64" fillId="12" borderId="0" applyNumberFormat="0" applyBorder="0" applyAlignment="0" applyProtection="0">
      <alignment vertical="center"/>
    </xf>
    <xf numFmtId="0" fontId="64" fillId="9" borderId="0" applyNumberFormat="0" applyBorder="0" applyAlignment="0" applyProtection="0">
      <alignment vertical="center"/>
    </xf>
    <xf numFmtId="0" fontId="64" fillId="10" borderId="0" applyNumberFormat="0" applyBorder="0" applyAlignment="0" applyProtection="0">
      <alignment vertical="center"/>
    </xf>
    <xf numFmtId="0" fontId="64" fillId="13" borderId="0" applyNumberFormat="0" applyBorder="0" applyAlignment="0" applyProtection="0">
      <alignment vertical="center"/>
    </xf>
    <xf numFmtId="0" fontId="64" fillId="14" borderId="0" applyNumberFormat="0" applyBorder="0" applyAlignment="0" applyProtection="0">
      <alignment vertical="center"/>
    </xf>
    <xf numFmtId="0" fontId="64" fillId="15" borderId="0" applyNumberFormat="0" applyBorder="0" applyAlignment="0" applyProtection="0">
      <alignment vertical="center"/>
    </xf>
    <xf numFmtId="0" fontId="1" fillId="0" borderId="0"/>
    <xf numFmtId="0" fontId="46" fillId="22" borderId="0" applyNumberFormat="0" applyBorder="0" applyAlignment="0" applyProtection="0">
      <alignment vertical="center"/>
    </xf>
    <xf numFmtId="0" fontId="55" fillId="0" borderId="9" applyNumberFormat="0" applyFill="0" applyAlignment="0" applyProtection="0">
      <alignment vertical="center"/>
    </xf>
    <xf numFmtId="0" fontId="51" fillId="4" borderId="0" applyNumberFormat="0" applyBorder="0" applyAlignment="0" applyProtection="0">
      <alignment vertical="center"/>
    </xf>
    <xf numFmtId="0" fontId="65" fillId="20" borderId="1" applyNumberFormat="0" applyAlignment="0" applyProtection="0">
      <alignment vertical="center"/>
    </xf>
    <xf numFmtId="0" fontId="66" fillId="0" borderId="6" applyNumberFormat="0" applyFill="0" applyAlignment="0" applyProtection="0">
      <alignment vertical="center"/>
    </xf>
    <xf numFmtId="0" fontId="1" fillId="23" borderId="7" applyNumberFormat="0" applyFont="0" applyAlignment="0" applyProtection="0">
      <alignment vertical="center"/>
    </xf>
    <xf numFmtId="0" fontId="67" fillId="0" borderId="0" applyNumberFormat="0" applyFill="0" applyBorder="0" applyAlignment="0" applyProtection="0">
      <alignment vertical="center"/>
    </xf>
    <xf numFmtId="0" fontId="64" fillId="16" borderId="0" applyNumberFormat="0" applyBorder="0" applyAlignment="0" applyProtection="0">
      <alignment vertical="center"/>
    </xf>
    <xf numFmtId="0" fontId="64" fillId="17" borderId="0" applyNumberFormat="0" applyBorder="0" applyAlignment="0" applyProtection="0">
      <alignment vertical="center"/>
    </xf>
    <xf numFmtId="0" fontId="64" fillId="18" borderId="0" applyNumberFormat="0" applyBorder="0" applyAlignment="0" applyProtection="0">
      <alignment vertical="center"/>
    </xf>
    <xf numFmtId="0" fontId="64" fillId="13" borderId="0" applyNumberFormat="0" applyBorder="0" applyAlignment="0" applyProtection="0">
      <alignment vertical="center"/>
    </xf>
    <xf numFmtId="0" fontId="64" fillId="14" borderId="0" applyNumberFormat="0" applyBorder="0" applyAlignment="0" applyProtection="0">
      <alignment vertical="center"/>
    </xf>
    <xf numFmtId="0" fontId="64" fillId="19" borderId="0" applyNumberFormat="0" applyBorder="0" applyAlignment="0" applyProtection="0">
      <alignment vertical="center"/>
    </xf>
    <xf numFmtId="0" fontId="61" fillId="0" borderId="3" applyNumberFormat="0" applyFill="0" applyAlignment="0" applyProtection="0">
      <alignment vertical="center"/>
    </xf>
    <xf numFmtId="0" fontId="62" fillId="0" borderId="4" applyNumberFormat="0" applyFill="0" applyAlignment="0" applyProtection="0">
      <alignment vertical="center"/>
    </xf>
    <xf numFmtId="0" fontId="63" fillId="0" borderId="5" applyNumberFormat="0" applyFill="0" applyAlignment="0" applyProtection="0">
      <alignment vertical="center"/>
    </xf>
    <xf numFmtId="0" fontId="63"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8" fillId="7" borderId="1" applyNumberFormat="0" applyAlignment="0" applyProtection="0">
      <alignment vertical="center"/>
    </xf>
    <xf numFmtId="0" fontId="69" fillId="20" borderId="8" applyNumberFormat="0" applyAlignment="0" applyProtection="0">
      <alignment vertical="center"/>
    </xf>
    <xf numFmtId="0" fontId="70" fillId="21" borderId="2" applyNumberFormat="0" applyAlignment="0" applyProtection="0">
      <alignment vertical="center"/>
    </xf>
    <xf numFmtId="0" fontId="71" fillId="3" borderId="0" applyNumberFormat="0" applyBorder="0" applyAlignment="0" applyProtection="0">
      <alignment vertical="center"/>
    </xf>
    <xf numFmtId="0" fontId="43" fillId="0" borderId="0" applyNumberFormat="0" applyFill="0" applyBorder="0" applyAlignment="0" applyProtection="0">
      <alignment vertical="center"/>
    </xf>
    <xf numFmtId="0" fontId="51" fillId="4" borderId="0" applyNumberFormat="0" applyBorder="0" applyAlignment="0" applyProtection="0">
      <alignment vertical="center"/>
    </xf>
  </cellStyleXfs>
  <cellXfs count="1328">
    <xf numFmtId="0" fontId="0" fillId="0" borderId="0" xfId="0"/>
    <xf numFmtId="0" fontId="0" fillId="0" borderId="0" xfId="0" applyAlignment="1">
      <alignment horizontal="center"/>
    </xf>
    <xf numFmtId="0" fontId="0" fillId="0" borderId="0" xfId="0" applyBorder="1"/>
    <xf numFmtId="0" fontId="4" fillId="0" borderId="0" xfId="19"/>
    <xf numFmtId="176" fontId="10" fillId="0" borderId="0" xfId="19" applyNumberFormat="1" applyFont="1" applyBorder="1" applyProtection="1"/>
    <xf numFmtId="176" fontId="10" fillId="0" borderId="0" xfId="19" applyNumberFormat="1" applyFont="1" applyProtection="1"/>
    <xf numFmtId="0" fontId="10" fillId="0" borderId="0" xfId="19" applyFont="1" applyProtection="1"/>
    <xf numFmtId="176" fontId="5" fillId="24" borderId="10" xfId="19" applyNumberFormat="1" applyFont="1" applyFill="1" applyBorder="1" applyAlignment="1" applyProtection="1">
      <alignment horizontal="center" vertical="center" wrapText="1"/>
    </xf>
    <xf numFmtId="0" fontId="8" fillId="25" borderId="11" xfId="19" applyFont="1" applyFill="1" applyBorder="1" applyAlignment="1" applyProtection="1">
      <alignment horizontal="left" vertical="center"/>
    </xf>
    <xf numFmtId="177" fontId="4" fillId="25" borderId="12" xfId="19" applyNumberFormat="1" applyFont="1" applyFill="1" applyBorder="1" applyProtection="1"/>
    <xf numFmtId="176" fontId="4" fillId="25" borderId="12" xfId="19" applyNumberFormat="1" applyFont="1" applyFill="1" applyBorder="1" applyProtection="1"/>
    <xf numFmtId="176" fontId="4" fillId="25" borderId="12" xfId="19" applyNumberFormat="1" applyFont="1" applyFill="1" applyBorder="1" applyAlignment="1" applyProtection="1">
      <alignment horizontal="right"/>
    </xf>
    <xf numFmtId="176" fontId="4" fillId="25" borderId="10" xfId="19" applyNumberFormat="1" applyFont="1" applyFill="1" applyBorder="1" applyProtection="1"/>
    <xf numFmtId="176" fontId="4" fillId="25" borderId="13" xfId="19" applyNumberFormat="1" applyFont="1" applyFill="1" applyBorder="1" applyProtection="1"/>
    <xf numFmtId="0" fontId="4" fillId="25" borderId="12" xfId="19" applyFont="1" applyFill="1" applyBorder="1" applyProtection="1"/>
    <xf numFmtId="176" fontId="4" fillId="25" borderId="14" xfId="19" applyNumberFormat="1" applyFont="1" applyFill="1" applyBorder="1" applyProtection="1"/>
    <xf numFmtId="176" fontId="4" fillId="25" borderId="12" xfId="19" applyNumberFormat="1" applyFont="1" applyFill="1" applyBorder="1" applyAlignment="1" applyProtection="1">
      <alignment horizontal="center"/>
    </xf>
    <xf numFmtId="176" fontId="4" fillId="25" borderId="14" xfId="19" applyNumberFormat="1" applyFont="1" applyFill="1" applyBorder="1" applyAlignment="1" applyProtection="1">
      <alignment horizontal="center"/>
    </xf>
    <xf numFmtId="176" fontId="4" fillId="26" borderId="10" xfId="19" applyNumberFormat="1" applyFont="1" applyFill="1" applyBorder="1" applyAlignment="1" applyProtection="1">
      <alignment horizontal="right"/>
    </xf>
    <xf numFmtId="178" fontId="4" fillId="0" borderId="10" xfId="19" applyNumberFormat="1" applyBorder="1"/>
    <xf numFmtId="178" fontId="4" fillId="0" borderId="10" xfId="19" applyNumberFormat="1" applyFill="1" applyBorder="1"/>
    <xf numFmtId="178" fontId="4" fillId="26" borderId="10" xfId="19" applyNumberFormat="1" applyFont="1" applyFill="1" applyBorder="1" applyProtection="1"/>
    <xf numFmtId="0" fontId="4" fillId="0" borderId="0" xfId="19" applyFill="1"/>
    <xf numFmtId="178" fontId="4" fillId="25" borderId="12" xfId="19" applyNumberFormat="1" applyFont="1" applyFill="1" applyBorder="1" applyProtection="1"/>
    <xf numFmtId="0" fontId="10" fillId="0" borderId="0" xfId="19" applyFont="1" applyFill="1" applyBorder="1" applyProtection="1"/>
    <xf numFmtId="177" fontId="10" fillId="0" borderId="0" xfId="19" applyNumberFormat="1" applyFont="1" applyFill="1" applyBorder="1" applyProtection="1"/>
    <xf numFmtId="176" fontId="10" fillId="0" borderId="0" xfId="19" applyNumberFormat="1" applyFont="1" applyFill="1" applyBorder="1" applyProtection="1"/>
    <xf numFmtId="178" fontId="10" fillId="0" borderId="0" xfId="19" applyNumberFormat="1" applyFont="1" applyFill="1" applyBorder="1" applyProtection="1"/>
    <xf numFmtId="0" fontId="10" fillId="0" borderId="0" xfId="19" applyFont="1" applyFill="1" applyBorder="1" applyAlignment="1" applyProtection="1">
      <alignment horizontal="center"/>
    </xf>
    <xf numFmtId="0" fontId="4" fillId="0" borderId="0" xfId="19" applyFont="1"/>
    <xf numFmtId="0" fontId="4" fillId="0" borderId="0" xfId="19" applyFont="1" applyFill="1" applyBorder="1" applyProtection="1"/>
    <xf numFmtId="177" fontId="10" fillId="0" borderId="0" xfId="19" applyNumberFormat="1" applyFont="1" applyProtection="1"/>
    <xf numFmtId="178" fontId="4" fillId="27" borderId="0" xfId="19" applyNumberFormat="1" applyFont="1" applyFill="1" applyBorder="1" applyAlignment="1" applyProtection="1">
      <alignment horizontal="right"/>
    </xf>
    <xf numFmtId="0" fontId="4" fillId="27" borderId="0" xfId="19" applyFill="1" applyBorder="1"/>
    <xf numFmtId="178" fontId="4" fillId="27" borderId="0" xfId="19" applyNumberFormat="1" applyFont="1" applyFill="1" applyBorder="1" applyProtection="1"/>
    <xf numFmtId="2" fontId="4" fillId="27" borderId="0" xfId="19" applyNumberFormat="1" applyFont="1" applyFill="1" applyBorder="1" applyAlignment="1" applyProtection="1">
      <alignment horizontal="center"/>
    </xf>
    <xf numFmtId="176" fontId="4" fillId="27" borderId="0" xfId="19" applyNumberFormat="1" applyFont="1" applyFill="1" applyBorder="1" applyAlignment="1" applyProtection="1">
      <alignment horizontal="center"/>
    </xf>
    <xf numFmtId="0" fontId="4" fillId="26" borderId="13" xfId="19" applyFill="1" applyBorder="1"/>
    <xf numFmtId="178" fontId="4" fillId="26" borderId="13" xfId="19" applyNumberFormat="1" applyFont="1" applyFill="1" applyBorder="1" applyProtection="1"/>
    <xf numFmtId="178" fontId="4" fillId="26" borderId="13" xfId="19" applyNumberFormat="1" applyFont="1" applyFill="1" applyBorder="1" applyAlignment="1" applyProtection="1">
      <alignment horizontal="right"/>
    </xf>
    <xf numFmtId="2" fontId="4" fillId="26" borderId="13" xfId="19" applyNumberFormat="1" applyFont="1" applyFill="1" applyBorder="1" applyAlignment="1" applyProtection="1">
      <alignment horizontal="center"/>
    </xf>
    <xf numFmtId="176" fontId="4" fillId="26" borderId="13" xfId="19" applyNumberFormat="1" applyFont="1" applyFill="1" applyBorder="1" applyAlignment="1" applyProtection="1">
      <alignment horizontal="center"/>
    </xf>
    <xf numFmtId="0" fontId="4" fillId="26" borderId="15" xfId="19" applyFill="1" applyBorder="1"/>
    <xf numFmtId="178" fontId="4" fillId="26" borderId="15" xfId="19" applyNumberFormat="1" applyFont="1" applyFill="1" applyBorder="1" applyProtection="1"/>
    <xf numFmtId="178" fontId="4" fillId="26" borderId="15" xfId="19" applyNumberFormat="1" applyFont="1" applyFill="1" applyBorder="1" applyAlignment="1" applyProtection="1">
      <alignment horizontal="right"/>
    </xf>
    <xf numFmtId="2" fontId="4" fillId="26" borderId="15" xfId="19" applyNumberFormat="1" applyFont="1" applyFill="1" applyBorder="1" applyAlignment="1" applyProtection="1">
      <alignment horizontal="center"/>
    </xf>
    <xf numFmtId="176" fontId="4" fillId="26" borderId="15" xfId="19" applyNumberFormat="1" applyFont="1" applyFill="1" applyBorder="1" applyAlignment="1" applyProtection="1">
      <alignment horizontal="center"/>
    </xf>
    <xf numFmtId="0" fontId="0" fillId="26" borderId="16" xfId="0" applyFill="1" applyBorder="1" applyAlignment="1"/>
    <xf numFmtId="0" fontId="13" fillId="0" borderId="0" xfId="19" applyFont="1" applyFill="1" applyBorder="1" applyProtection="1"/>
    <xf numFmtId="0" fontId="9" fillId="27" borderId="0" xfId="0" applyFont="1" applyFill="1" applyBorder="1" applyAlignment="1">
      <alignment horizontal="center" vertical="center"/>
    </xf>
    <xf numFmtId="0" fontId="4" fillId="0" borderId="0" xfId="19" applyAlignment="1">
      <alignment horizontal="center" vertical="center"/>
    </xf>
    <xf numFmtId="176" fontId="8" fillId="25" borderId="12" xfId="19" applyNumberFormat="1" applyFont="1" applyFill="1" applyBorder="1" applyProtection="1"/>
    <xf numFmtId="0" fontId="4" fillId="28" borderId="10" xfId="19" applyFont="1" applyFill="1" applyBorder="1" applyProtection="1"/>
    <xf numFmtId="176" fontId="4" fillId="28" borderId="10" xfId="19" applyNumberFormat="1" applyFont="1" applyFill="1" applyBorder="1" applyAlignment="1" applyProtection="1">
      <alignment horizontal="right"/>
    </xf>
    <xf numFmtId="176" fontId="4" fillId="25" borderId="13" xfId="19" applyNumberFormat="1" applyFont="1" applyFill="1" applyBorder="1" applyAlignment="1" applyProtection="1">
      <alignment horizontal="left"/>
    </xf>
    <xf numFmtId="0" fontId="4" fillId="0" borderId="0" xfId="19" applyBorder="1"/>
    <xf numFmtId="0" fontId="4" fillId="26" borderId="0" xfId="19" applyFill="1"/>
    <xf numFmtId="178" fontId="4" fillId="26" borderId="0" xfId="19" applyNumberFormat="1" applyFill="1"/>
    <xf numFmtId="178" fontId="4" fillId="28" borderId="10" xfId="19" applyNumberFormat="1" applyFont="1" applyFill="1" applyBorder="1" applyProtection="1"/>
    <xf numFmtId="178" fontId="4" fillId="0" borderId="0" xfId="19" applyNumberFormat="1"/>
    <xf numFmtId="0" fontId="13" fillId="0" borderId="0" xfId="19" applyFont="1"/>
    <xf numFmtId="0" fontId="4" fillId="0" borderId="0" xfId="19" applyBorder="1" applyAlignment="1">
      <alignment horizontal="center"/>
    </xf>
    <xf numFmtId="0" fontId="5" fillId="25" borderId="12" xfId="19" applyFont="1" applyFill="1" applyBorder="1" applyAlignment="1" applyProtection="1">
      <alignment horizontal="left" vertical="center"/>
    </xf>
    <xf numFmtId="0" fontId="4" fillId="0" borderId="17" xfId="19" applyBorder="1"/>
    <xf numFmtId="0" fontId="4" fillId="0" borderId="18" xfId="19" applyBorder="1"/>
    <xf numFmtId="176" fontId="4" fillId="28" borderId="10" xfId="19" applyNumberFormat="1" applyFont="1" applyFill="1" applyBorder="1" applyProtection="1"/>
    <xf numFmtId="0" fontId="4" fillId="25" borderId="13" xfId="19" applyFont="1" applyFill="1" applyBorder="1" applyAlignment="1" applyProtection="1">
      <alignment horizontal="left"/>
    </xf>
    <xf numFmtId="176" fontId="4" fillId="25" borderId="19" xfId="19" applyNumberFormat="1" applyFont="1" applyFill="1" applyBorder="1" applyAlignment="1" applyProtection="1">
      <alignment horizontal="left"/>
    </xf>
    <xf numFmtId="0" fontId="4" fillId="25" borderId="10" xfId="19" applyFont="1" applyFill="1" applyBorder="1" applyAlignment="1" applyProtection="1">
      <alignment horizontal="left"/>
    </xf>
    <xf numFmtId="0" fontId="4" fillId="26" borderId="10" xfId="19" applyFont="1" applyFill="1" applyBorder="1" applyProtection="1">
      <protection locked="0"/>
    </xf>
    <xf numFmtId="0" fontId="12" fillId="26" borderId="11" xfId="19" applyFont="1" applyFill="1" applyBorder="1" applyProtection="1"/>
    <xf numFmtId="0" fontId="12" fillId="26" borderId="12" xfId="19" applyFont="1" applyFill="1" applyBorder="1" applyAlignment="1" applyProtection="1">
      <alignment horizontal="right"/>
    </xf>
    <xf numFmtId="176" fontId="4" fillId="0" borderId="0" xfId="19" applyNumberFormat="1" applyProtection="1"/>
    <xf numFmtId="176" fontId="12" fillId="0" borderId="0" xfId="19" applyNumberFormat="1" applyFont="1" applyFill="1" applyBorder="1" applyAlignment="1" applyProtection="1">
      <alignment horizontal="right"/>
    </xf>
    <xf numFmtId="176" fontId="10" fillId="0" borderId="0" xfId="19" applyNumberFormat="1" applyFont="1" applyFill="1" applyAlignment="1" applyProtection="1">
      <alignment wrapText="1"/>
    </xf>
    <xf numFmtId="0" fontId="10" fillId="0" borderId="0" xfId="19" applyFont="1" applyBorder="1" applyProtection="1"/>
    <xf numFmtId="0" fontId="10" fillId="0" borderId="0" xfId="19" applyFont="1" applyFill="1" applyProtection="1"/>
    <xf numFmtId="0" fontId="11" fillId="0" borderId="0" xfId="19" applyFont="1" applyFill="1" applyAlignment="1" applyProtection="1">
      <alignment wrapText="1"/>
    </xf>
    <xf numFmtId="176" fontId="11" fillId="0" borderId="0" xfId="19" applyNumberFormat="1" applyFont="1" applyFill="1" applyAlignment="1" applyProtection="1">
      <alignment wrapText="1"/>
    </xf>
    <xf numFmtId="0" fontId="10" fillId="0" borderId="0" xfId="19" applyFont="1" applyAlignment="1" applyProtection="1">
      <alignment horizontal="center"/>
    </xf>
    <xf numFmtId="178" fontId="4" fillId="28" borderId="20" xfId="19" applyNumberFormat="1" applyFont="1" applyFill="1" applyBorder="1" applyAlignment="1" applyProtection="1">
      <alignment horizontal="right"/>
    </xf>
    <xf numFmtId="178" fontId="4" fillId="28" borderId="20" xfId="19" applyNumberFormat="1" applyFont="1" applyFill="1" applyBorder="1" applyProtection="1"/>
    <xf numFmtId="178" fontId="5" fillId="25" borderId="15" xfId="19" applyNumberFormat="1" applyFont="1" applyFill="1" applyBorder="1" applyAlignment="1" applyProtection="1">
      <alignment horizontal="left" vertical="center"/>
    </xf>
    <xf numFmtId="178" fontId="4" fillId="25" borderId="10" xfId="19" applyNumberFormat="1" applyFont="1" applyFill="1" applyBorder="1" applyAlignment="1" applyProtection="1">
      <alignment horizontal="left"/>
    </xf>
    <xf numFmtId="176" fontId="4" fillId="26" borderId="12" xfId="19" applyNumberFormat="1" applyFont="1" applyFill="1" applyBorder="1" applyAlignment="1" applyProtection="1">
      <alignment horizontal="right"/>
    </xf>
    <xf numFmtId="178" fontId="4" fillId="26" borderId="12" xfId="19" applyNumberFormat="1" applyFill="1" applyBorder="1"/>
    <xf numFmtId="0" fontId="8" fillId="25" borderId="10" xfId="19" applyFont="1" applyFill="1" applyBorder="1"/>
    <xf numFmtId="176" fontId="8" fillId="25" borderId="10" xfId="19" applyNumberFormat="1" applyFont="1" applyFill="1" applyBorder="1"/>
    <xf numFmtId="178" fontId="14" fillId="29" borderId="10" xfId="19" applyNumberFormat="1" applyFont="1" applyFill="1" applyBorder="1"/>
    <xf numFmtId="178" fontId="4" fillId="29" borderId="10" xfId="19" applyNumberFormat="1" applyFill="1" applyBorder="1"/>
    <xf numFmtId="176" fontId="4" fillId="0" borderId="0" xfId="19" applyNumberFormat="1"/>
    <xf numFmtId="0" fontId="9" fillId="27" borderId="15" xfId="0" applyFont="1" applyFill="1" applyBorder="1" applyAlignment="1">
      <alignment horizontal="center" vertical="center"/>
    </xf>
    <xf numFmtId="0" fontId="4" fillId="29" borderId="10" xfId="19" applyFont="1" applyFill="1" applyBorder="1"/>
    <xf numFmtId="0" fontId="0" fillId="27" borderId="15" xfId="0" applyFill="1" applyBorder="1" applyAlignment="1">
      <alignment vertical="center"/>
    </xf>
    <xf numFmtId="0" fontId="0" fillId="27" borderId="15" xfId="0" applyFill="1" applyBorder="1" applyAlignment="1"/>
    <xf numFmtId="176" fontId="10" fillId="27" borderId="0" xfId="19" applyNumberFormat="1" applyFont="1" applyFill="1" applyBorder="1" applyProtection="1"/>
    <xf numFmtId="0" fontId="15" fillId="27" borderId="15" xfId="0" applyFont="1" applyFill="1" applyBorder="1" applyAlignment="1">
      <alignment vertical="center"/>
    </xf>
    <xf numFmtId="0" fontId="12" fillId="0" borderId="0" xfId="19" applyFont="1" applyFill="1"/>
    <xf numFmtId="0" fontId="12" fillId="27" borderId="0" xfId="0" applyFont="1" applyFill="1" applyAlignment="1" applyProtection="1">
      <alignment vertical="center"/>
      <protection locked="0"/>
    </xf>
    <xf numFmtId="0" fontId="12" fillId="27" borderId="0" xfId="19" applyFont="1" applyFill="1" applyProtection="1">
      <protection locked="0"/>
    </xf>
    <xf numFmtId="0" fontId="0" fillId="27" borderId="0" xfId="0" applyFill="1"/>
    <xf numFmtId="0" fontId="5" fillId="24" borderId="10" xfId="19" applyFont="1" applyFill="1" applyBorder="1" applyAlignment="1" applyProtection="1">
      <alignment horizontal="center" vertical="center" wrapText="1"/>
      <protection hidden="1"/>
    </xf>
    <xf numFmtId="177" fontId="5" fillId="24" borderId="10" xfId="19" applyNumberFormat="1" applyFont="1" applyFill="1" applyBorder="1" applyAlignment="1" applyProtection="1">
      <alignment horizontal="center" vertical="center" wrapText="1"/>
      <protection hidden="1"/>
    </xf>
    <xf numFmtId="176" fontId="5" fillId="24" borderId="10" xfId="19" applyNumberFormat="1" applyFont="1" applyFill="1" applyBorder="1" applyAlignment="1" applyProtection="1">
      <alignment horizontal="center" vertical="center" wrapText="1"/>
      <protection hidden="1"/>
    </xf>
    <xf numFmtId="0" fontId="5" fillId="24" borderId="14" xfId="19" applyFont="1" applyFill="1" applyBorder="1" applyAlignment="1" applyProtection="1">
      <alignment horizontal="center" vertical="center" wrapText="1"/>
      <protection hidden="1"/>
    </xf>
    <xf numFmtId="176" fontId="4" fillId="25" borderId="12" xfId="19" applyNumberFormat="1" applyFont="1" applyFill="1" applyBorder="1" applyProtection="1">
      <protection hidden="1"/>
    </xf>
    <xf numFmtId="178" fontId="4" fillId="26" borderId="14" xfId="19" applyNumberFormat="1" applyFont="1" applyFill="1" applyBorder="1" applyAlignment="1" applyProtection="1">
      <alignment horizontal="right"/>
      <protection hidden="1"/>
    </xf>
    <xf numFmtId="0" fontId="4" fillId="29" borderId="10" xfId="19" applyFont="1" applyFill="1" applyBorder="1" applyProtection="1">
      <protection hidden="1"/>
    </xf>
    <xf numFmtId="0" fontId="4" fillId="26" borderId="10" xfId="19" applyFont="1" applyFill="1" applyBorder="1" applyProtection="1">
      <protection hidden="1"/>
    </xf>
    <xf numFmtId="0" fontId="8" fillId="25" borderId="11" xfId="19" applyFont="1" applyFill="1" applyBorder="1" applyAlignment="1" applyProtection="1">
      <alignment horizontal="left" vertical="center"/>
      <protection hidden="1"/>
    </xf>
    <xf numFmtId="0" fontId="8" fillId="25" borderId="12" xfId="19" applyFont="1" applyFill="1" applyBorder="1" applyAlignment="1" applyProtection="1">
      <alignment horizontal="right" vertical="center"/>
      <protection hidden="1"/>
    </xf>
    <xf numFmtId="0" fontId="8" fillId="27" borderId="11" xfId="19" applyFont="1" applyFill="1" applyBorder="1" applyAlignment="1" applyProtection="1">
      <alignment horizontal="left" vertical="center"/>
      <protection hidden="1"/>
    </xf>
    <xf numFmtId="0" fontId="4" fillId="27" borderId="0" xfId="19" applyFill="1" applyBorder="1" applyAlignment="1" applyProtection="1">
      <alignment horizontal="right"/>
      <protection hidden="1"/>
    </xf>
    <xf numFmtId="178" fontId="4" fillId="27" borderId="0" xfId="19" applyNumberFormat="1" applyFont="1" applyFill="1" applyBorder="1" applyAlignment="1" applyProtection="1">
      <alignment horizontal="right"/>
      <protection hidden="1"/>
    </xf>
    <xf numFmtId="0" fontId="4" fillId="26" borderId="11" xfId="19" applyFont="1" applyFill="1" applyBorder="1" applyProtection="1">
      <protection hidden="1"/>
    </xf>
    <xf numFmtId="0" fontId="4" fillId="26" borderId="11" xfId="19" applyFont="1" applyFill="1" applyBorder="1" applyAlignment="1" applyProtection="1">
      <alignment horizontal="left"/>
      <protection hidden="1"/>
    </xf>
    <xf numFmtId="0" fontId="9" fillId="27" borderId="0" xfId="0" applyFont="1" applyFill="1" applyBorder="1" applyAlignment="1" applyProtection="1">
      <alignment horizontal="center" vertical="center"/>
      <protection hidden="1"/>
    </xf>
    <xf numFmtId="0" fontId="8" fillId="25" borderId="12" xfId="19" applyFont="1" applyFill="1" applyBorder="1" applyAlignment="1" applyProtection="1">
      <alignment horizontal="left" vertical="center"/>
      <protection hidden="1"/>
    </xf>
    <xf numFmtId="0" fontId="4" fillId="28" borderId="10" xfId="19" applyFont="1" applyFill="1" applyBorder="1" applyProtection="1">
      <protection hidden="1"/>
    </xf>
    <xf numFmtId="176" fontId="4" fillId="25" borderId="12" xfId="19" applyNumberFormat="1" applyFont="1" applyFill="1" applyBorder="1" applyAlignment="1" applyProtection="1">
      <alignment horizontal="left"/>
      <protection hidden="1"/>
    </xf>
    <xf numFmtId="0" fontId="4" fillId="26" borderId="0" xfId="19" applyFill="1" applyProtection="1">
      <protection hidden="1"/>
    </xf>
    <xf numFmtId="0" fontId="4" fillId="26" borderId="0" xfId="19" applyFill="1" applyAlignment="1" applyProtection="1">
      <alignment horizontal="center"/>
      <protection hidden="1"/>
    </xf>
    <xf numFmtId="0" fontId="4" fillId="26" borderId="11" xfId="19" applyFill="1" applyBorder="1" applyProtection="1">
      <protection hidden="1"/>
    </xf>
    <xf numFmtId="0" fontId="4" fillId="26" borderId="0" xfId="19" applyFill="1" applyBorder="1" applyProtection="1">
      <protection hidden="1"/>
    </xf>
    <xf numFmtId="177" fontId="5" fillId="24" borderId="14" xfId="19" applyNumberFormat="1" applyFont="1" applyFill="1" applyBorder="1" applyAlignment="1" applyProtection="1">
      <alignment horizontal="center" vertical="center" wrapText="1"/>
      <protection hidden="1"/>
    </xf>
    <xf numFmtId="0" fontId="4" fillId="28" borderId="10" xfId="19" applyFont="1" applyFill="1" applyBorder="1" applyAlignment="1" applyProtection="1">
      <alignment horizontal="right"/>
      <protection hidden="1"/>
    </xf>
    <xf numFmtId="177" fontId="4" fillId="25" borderId="12" xfId="19" applyNumberFormat="1" applyFont="1" applyFill="1" applyBorder="1" applyProtection="1">
      <protection hidden="1"/>
    </xf>
    <xf numFmtId="177" fontId="4" fillId="28" borderId="10" xfId="19" applyNumberFormat="1" applyFont="1" applyFill="1" applyBorder="1" applyAlignment="1" applyProtection="1">
      <alignment horizontal="right"/>
      <protection hidden="1"/>
    </xf>
    <xf numFmtId="0" fontId="4" fillId="29" borderId="10" xfId="19" applyFill="1" applyBorder="1" applyProtection="1">
      <protection hidden="1"/>
    </xf>
    <xf numFmtId="178" fontId="4" fillId="26" borderId="12" xfId="19" applyNumberFormat="1" applyFont="1" applyFill="1" applyBorder="1" applyAlignment="1" applyProtection="1">
      <alignment horizontal="right"/>
      <protection hidden="1"/>
    </xf>
    <xf numFmtId="0" fontId="4" fillId="28" borderId="10" xfId="19" applyFont="1" applyFill="1" applyBorder="1" applyAlignment="1" applyProtection="1">
      <alignment horizontal="center"/>
      <protection hidden="1"/>
    </xf>
    <xf numFmtId="176" fontId="4" fillId="25" borderId="20" xfId="19" applyNumberFormat="1" applyFont="1" applyFill="1" applyBorder="1" applyProtection="1"/>
    <xf numFmtId="178" fontId="4" fillId="26" borderId="0" xfId="19" applyNumberFormat="1" applyFont="1" applyFill="1" applyBorder="1"/>
    <xf numFmtId="178" fontId="4" fillId="26" borderId="21" xfId="19" applyNumberFormat="1" applyFont="1" applyFill="1" applyBorder="1"/>
    <xf numFmtId="178" fontId="4" fillId="26" borderId="13" xfId="19" applyNumberFormat="1" applyFont="1" applyFill="1" applyBorder="1"/>
    <xf numFmtId="178" fontId="4" fillId="26" borderId="19" xfId="19" applyNumberFormat="1" applyFont="1" applyFill="1" applyBorder="1"/>
    <xf numFmtId="178" fontId="4" fillId="26" borderId="22" xfId="19" applyNumberFormat="1" applyFont="1" applyFill="1" applyBorder="1"/>
    <xf numFmtId="178" fontId="4" fillId="26" borderId="23" xfId="19" applyNumberFormat="1" applyFont="1" applyFill="1" applyBorder="1"/>
    <xf numFmtId="178" fontId="4" fillId="26" borderId="16" xfId="19" applyNumberFormat="1" applyFont="1" applyFill="1" applyBorder="1"/>
    <xf numFmtId="178" fontId="4" fillId="26" borderId="15" xfId="19" applyNumberFormat="1" applyFont="1" applyFill="1" applyBorder="1"/>
    <xf numFmtId="178" fontId="4" fillId="26" borderId="24" xfId="19" applyNumberFormat="1" applyFont="1" applyFill="1" applyBorder="1"/>
    <xf numFmtId="0" fontId="4" fillId="25" borderId="13" xfId="19" applyFont="1" applyFill="1" applyBorder="1" applyProtection="1"/>
    <xf numFmtId="0" fontId="8" fillId="27" borderId="15" xfId="0" applyFont="1" applyFill="1" applyBorder="1" applyAlignment="1">
      <alignment vertical="center"/>
    </xf>
    <xf numFmtId="0" fontId="3" fillId="27" borderId="0" xfId="0" applyFont="1" applyFill="1" applyBorder="1" applyAlignment="1" applyProtection="1">
      <alignment horizontal="center" vertical="center"/>
      <protection locked="0"/>
    </xf>
    <xf numFmtId="0" fontId="2" fillId="24" borderId="10" xfId="19" applyFont="1" applyFill="1" applyBorder="1" applyAlignment="1" applyProtection="1">
      <alignment horizontal="center" vertical="center" wrapText="1"/>
      <protection hidden="1"/>
    </xf>
    <xf numFmtId="0" fontId="2" fillId="24" borderId="22" xfId="19" applyFont="1" applyFill="1" applyBorder="1" applyAlignment="1" applyProtection="1">
      <alignment horizontal="center" vertical="center" wrapText="1"/>
      <protection hidden="1"/>
    </xf>
    <xf numFmtId="176" fontId="2" fillId="24" borderId="25" xfId="19" applyNumberFormat="1" applyFont="1" applyFill="1" applyBorder="1" applyAlignment="1" applyProtection="1">
      <alignment horizontal="center" vertical="center" wrapText="1"/>
      <protection hidden="1"/>
    </xf>
    <xf numFmtId="177" fontId="2" fillId="24" borderId="26" xfId="19" applyNumberFormat="1" applyFont="1" applyFill="1" applyBorder="1" applyAlignment="1" applyProtection="1">
      <alignment horizontal="center" vertical="center" wrapText="1"/>
      <protection hidden="1"/>
    </xf>
    <xf numFmtId="177" fontId="2" fillId="24" borderId="10" xfId="19" applyNumberFormat="1" applyFont="1" applyFill="1" applyBorder="1" applyAlignment="1" applyProtection="1">
      <alignment horizontal="center" vertical="center" wrapText="1"/>
      <protection hidden="1"/>
    </xf>
    <xf numFmtId="0" fontId="2" fillId="24" borderId="14" xfId="19" applyFont="1" applyFill="1" applyBorder="1" applyAlignment="1" applyProtection="1">
      <alignment horizontal="center" vertical="center" wrapText="1"/>
      <protection hidden="1"/>
    </xf>
    <xf numFmtId="176" fontId="2" fillId="24" borderId="10" xfId="19" applyNumberFormat="1" applyFont="1" applyFill="1" applyBorder="1" applyAlignment="1" applyProtection="1">
      <alignment horizontal="center" vertical="center" wrapText="1"/>
      <protection hidden="1"/>
    </xf>
    <xf numFmtId="176" fontId="2" fillId="24" borderId="20" xfId="19" applyNumberFormat="1" applyFont="1" applyFill="1" applyBorder="1" applyAlignment="1" applyProtection="1">
      <alignment horizontal="center" vertical="center" wrapText="1"/>
      <protection hidden="1"/>
    </xf>
    <xf numFmtId="176" fontId="2" fillId="24" borderId="19" xfId="19" applyNumberFormat="1" applyFont="1" applyFill="1" applyBorder="1" applyAlignment="1" applyProtection="1">
      <alignment horizontal="center" vertical="center" wrapText="1"/>
      <protection hidden="1"/>
    </xf>
    <xf numFmtId="176" fontId="2" fillId="24" borderId="11" xfId="19" applyNumberFormat="1" applyFont="1" applyFill="1" applyBorder="1" applyAlignment="1" applyProtection="1">
      <alignment horizontal="center" vertical="center" wrapText="1"/>
      <protection hidden="1"/>
    </xf>
    <xf numFmtId="0" fontId="10" fillId="0" borderId="0" xfId="19" applyFont="1" applyAlignment="1">
      <alignment horizontal="center" vertical="center"/>
    </xf>
    <xf numFmtId="0" fontId="17" fillId="25" borderId="12" xfId="19" applyFont="1" applyFill="1" applyBorder="1" applyAlignment="1" applyProtection="1">
      <alignment horizontal="left" vertical="center"/>
    </xf>
    <xf numFmtId="176" fontId="10" fillId="25" borderId="12" xfId="19" applyNumberFormat="1" applyFont="1" applyFill="1" applyBorder="1" applyProtection="1"/>
    <xf numFmtId="176" fontId="17" fillId="25" borderId="12" xfId="19" applyNumberFormat="1" applyFont="1" applyFill="1" applyBorder="1" applyProtection="1"/>
    <xf numFmtId="176" fontId="10" fillId="25" borderId="10" xfId="19" applyNumberFormat="1" applyFont="1" applyFill="1" applyBorder="1" applyProtection="1"/>
    <xf numFmtId="0" fontId="17" fillId="0" borderId="0" xfId="19" applyFont="1" applyFill="1" applyBorder="1"/>
    <xf numFmtId="176" fontId="17" fillId="0" borderId="0" xfId="19" applyNumberFormat="1" applyFont="1" applyFill="1" applyBorder="1"/>
    <xf numFmtId="0" fontId="10" fillId="0" borderId="0" xfId="19" applyFont="1" applyFill="1" applyBorder="1"/>
    <xf numFmtId="0" fontId="10" fillId="0" borderId="0" xfId="19" applyFont="1"/>
    <xf numFmtId="0" fontId="10" fillId="28" borderId="25" xfId="19" applyFont="1" applyFill="1" applyBorder="1" applyProtection="1"/>
    <xf numFmtId="0" fontId="10" fillId="28" borderId="22" xfId="19" applyFont="1" applyFill="1" applyBorder="1" applyProtection="1"/>
    <xf numFmtId="176" fontId="10" fillId="28" borderId="25" xfId="19" applyNumberFormat="1" applyFont="1" applyFill="1" applyBorder="1" applyAlignment="1" applyProtection="1">
      <alignment horizontal="right"/>
    </xf>
    <xf numFmtId="0" fontId="10" fillId="28" borderId="10" xfId="19" applyFont="1" applyFill="1" applyBorder="1" applyProtection="1"/>
    <xf numFmtId="176" fontId="10" fillId="28" borderId="10" xfId="19" applyNumberFormat="1" applyFont="1" applyFill="1" applyBorder="1" applyAlignment="1" applyProtection="1">
      <alignment horizontal="right"/>
    </xf>
    <xf numFmtId="176" fontId="10" fillId="28" borderId="25" xfId="19" applyNumberFormat="1" applyFont="1" applyFill="1" applyBorder="1" applyProtection="1"/>
    <xf numFmtId="0" fontId="10" fillId="28" borderId="10" xfId="19" applyFont="1" applyFill="1" applyBorder="1" applyProtection="1">
      <protection hidden="1"/>
    </xf>
    <xf numFmtId="176" fontId="10" fillId="28" borderId="25" xfId="19" applyNumberFormat="1" applyFont="1" applyFill="1" applyBorder="1" applyAlignment="1" applyProtection="1">
      <alignment horizontal="right"/>
      <protection hidden="1"/>
    </xf>
    <xf numFmtId="176" fontId="10" fillId="28" borderId="23" xfId="19" applyNumberFormat="1" applyFont="1" applyFill="1" applyBorder="1" applyAlignment="1" applyProtection="1">
      <alignment horizontal="right"/>
      <protection hidden="1"/>
    </xf>
    <xf numFmtId="176" fontId="10" fillId="28" borderId="25" xfId="19" applyNumberFormat="1" applyFont="1" applyFill="1" applyBorder="1" applyProtection="1">
      <protection hidden="1"/>
    </xf>
    <xf numFmtId="176" fontId="10" fillId="28" borderId="22" xfId="19" applyNumberFormat="1" applyFont="1" applyFill="1" applyBorder="1" applyProtection="1">
      <protection hidden="1"/>
    </xf>
    <xf numFmtId="176" fontId="10" fillId="28" borderId="23" xfId="19" applyNumberFormat="1" applyFont="1" applyFill="1" applyBorder="1" applyProtection="1">
      <protection hidden="1"/>
    </xf>
    <xf numFmtId="176" fontId="10" fillId="28" borderId="25" xfId="19" applyNumberFormat="1" applyFont="1" applyFill="1" applyBorder="1" applyAlignment="1" applyProtection="1">
      <alignment horizontal="center"/>
      <protection hidden="1"/>
    </xf>
    <xf numFmtId="176" fontId="10" fillId="28" borderId="11" xfId="19" applyNumberFormat="1" applyFont="1" applyFill="1" applyBorder="1" applyAlignment="1" applyProtection="1">
      <alignment horizontal="center"/>
      <protection hidden="1"/>
    </xf>
    <xf numFmtId="176" fontId="10" fillId="28" borderId="10" xfId="19" applyNumberFormat="1" applyFont="1" applyFill="1" applyBorder="1" applyAlignment="1" applyProtection="1">
      <alignment horizontal="center"/>
      <protection hidden="1"/>
    </xf>
    <xf numFmtId="178" fontId="10" fillId="0" borderId="0" xfId="19" applyNumberFormat="1" applyFont="1" applyFill="1" applyBorder="1"/>
    <xf numFmtId="176" fontId="10" fillId="25" borderId="12" xfId="19" applyNumberFormat="1" applyFont="1" applyFill="1" applyBorder="1" applyAlignment="1" applyProtection="1">
      <alignment horizontal="left"/>
    </xf>
    <xf numFmtId="176" fontId="10" fillId="25" borderId="13" xfId="19" applyNumberFormat="1" applyFont="1" applyFill="1" applyBorder="1" applyAlignment="1" applyProtection="1">
      <alignment horizontal="left"/>
    </xf>
    <xf numFmtId="176" fontId="10" fillId="25" borderId="0" xfId="19" applyNumberFormat="1" applyFont="1" applyFill="1" applyBorder="1" applyAlignment="1" applyProtection="1">
      <alignment horizontal="left"/>
    </xf>
    <xf numFmtId="176" fontId="10" fillId="25" borderId="0" xfId="19" applyNumberFormat="1" applyFont="1" applyFill="1" applyBorder="1" applyAlignment="1" applyProtection="1">
      <alignment horizontal="left"/>
      <protection hidden="1"/>
    </xf>
    <xf numFmtId="176" fontId="10" fillId="25" borderId="12" xfId="19" applyNumberFormat="1" applyFont="1" applyFill="1" applyBorder="1" applyAlignment="1" applyProtection="1">
      <alignment horizontal="left"/>
      <protection hidden="1"/>
    </xf>
    <xf numFmtId="0" fontId="10" fillId="25" borderId="12" xfId="19" applyFont="1" applyFill="1" applyBorder="1" applyAlignment="1" applyProtection="1">
      <alignment horizontal="left"/>
      <protection hidden="1"/>
    </xf>
    <xf numFmtId="0" fontId="10" fillId="29" borderId="26" xfId="19" applyFont="1" applyFill="1" applyBorder="1" applyProtection="1">
      <protection hidden="1"/>
    </xf>
    <xf numFmtId="0" fontId="10" fillId="29" borderId="16" xfId="19" applyFont="1" applyFill="1" applyBorder="1" applyProtection="1">
      <protection hidden="1"/>
    </xf>
    <xf numFmtId="178" fontId="10" fillId="29" borderId="16" xfId="19" applyNumberFormat="1" applyFont="1" applyFill="1" applyBorder="1" applyProtection="1">
      <protection hidden="1"/>
    </xf>
    <xf numFmtId="176" fontId="10" fillId="26" borderId="16" xfId="19" applyNumberFormat="1" applyFont="1" applyFill="1" applyBorder="1" applyAlignment="1" applyProtection="1">
      <alignment horizontal="right"/>
    </xf>
    <xf numFmtId="178" fontId="10" fillId="0" borderId="10" xfId="19" applyNumberFormat="1" applyFont="1" applyBorder="1"/>
    <xf numFmtId="178" fontId="10" fillId="30" borderId="10" xfId="19" applyNumberFormat="1" applyFont="1" applyFill="1" applyBorder="1" applyProtection="1">
      <protection hidden="1"/>
    </xf>
    <xf numFmtId="178" fontId="10" fillId="26" borderId="10" xfId="19" applyNumberFormat="1" applyFont="1" applyFill="1" applyBorder="1" applyAlignment="1" applyProtection="1">
      <alignment horizontal="right"/>
      <protection hidden="1"/>
    </xf>
    <xf numFmtId="178" fontId="10" fillId="26" borderId="10" xfId="19" applyNumberFormat="1" applyFont="1" applyFill="1" applyBorder="1" applyAlignment="1" applyProtection="1">
      <alignment horizontal="right"/>
    </xf>
    <xf numFmtId="178" fontId="10" fillId="0" borderId="10" xfId="19" applyNumberFormat="1" applyFont="1" applyFill="1" applyBorder="1"/>
    <xf numFmtId="178" fontId="10" fillId="0" borderId="10" xfId="19" applyNumberFormat="1" applyFont="1" applyFill="1" applyBorder="1" applyProtection="1">
      <protection locked="0"/>
    </xf>
    <xf numFmtId="178" fontId="10" fillId="26" borderId="24" xfId="19" applyNumberFormat="1" applyFont="1" applyFill="1" applyBorder="1" applyAlignment="1" applyProtection="1">
      <alignment horizontal="right"/>
      <protection hidden="1"/>
    </xf>
    <xf numFmtId="178" fontId="10" fillId="31" borderId="24" xfId="19" applyNumberFormat="1" applyFont="1" applyFill="1" applyBorder="1" applyAlignment="1" applyProtection="1">
      <alignment horizontal="right"/>
      <protection hidden="1"/>
    </xf>
    <xf numFmtId="178" fontId="10" fillId="30" borderId="26" xfId="19" applyNumberFormat="1" applyFont="1" applyFill="1" applyBorder="1" applyProtection="1">
      <protection hidden="1"/>
    </xf>
    <xf numFmtId="178" fontId="10" fillId="30" borderId="24" xfId="19" applyNumberFormat="1" applyFont="1" applyFill="1" applyBorder="1" applyAlignment="1" applyProtection="1">
      <alignment horizontal="center"/>
      <protection hidden="1"/>
    </xf>
    <xf numFmtId="178" fontId="10" fillId="30" borderId="26" xfId="19" applyNumberFormat="1" applyFont="1" applyFill="1" applyBorder="1" applyAlignment="1" applyProtection="1">
      <alignment horizontal="center"/>
      <protection hidden="1"/>
    </xf>
    <xf numFmtId="178" fontId="10" fillId="30" borderId="16" xfId="19" applyNumberFormat="1" applyFont="1" applyFill="1" applyBorder="1" applyAlignment="1" applyProtection="1">
      <alignment horizontal="center"/>
      <protection hidden="1"/>
    </xf>
    <xf numFmtId="176" fontId="10" fillId="30" borderId="16" xfId="19" applyNumberFormat="1" applyFont="1" applyFill="1" applyBorder="1" applyAlignment="1" applyProtection="1">
      <alignment horizontal="center"/>
      <protection hidden="1"/>
    </xf>
    <xf numFmtId="178" fontId="10" fillId="29" borderId="11" xfId="19" applyNumberFormat="1" applyFont="1" applyFill="1" applyBorder="1" applyProtection="1">
      <protection hidden="1"/>
    </xf>
    <xf numFmtId="176" fontId="10" fillId="26" borderId="11" xfId="19" applyNumberFormat="1" applyFont="1" applyFill="1" applyBorder="1" applyAlignment="1" applyProtection="1">
      <alignment horizontal="right"/>
    </xf>
    <xf numFmtId="178" fontId="10" fillId="26" borderId="14" xfId="19" applyNumberFormat="1" applyFont="1" applyFill="1" applyBorder="1" applyAlignment="1" applyProtection="1">
      <alignment horizontal="right"/>
      <protection hidden="1"/>
    </xf>
    <xf numFmtId="0" fontId="17" fillId="25" borderId="12" xfId="19" applyFont="1" applyFill="1" applyBorder="1" applyAlignment="1" applyProtection="1">
      <alignment horizontal="left" vertical="center"/>
      <protection hidden="1"/>
    </xf>
    <xf numFmtId="178" fontId="17" fillId="25" borderId="12" xfId="19" applyNumberFormat="1" applyFont="1" applyFill="1" applyBorder="1" applyAlignment="1" applyProtection="1">
      <alignment horizontal="left" vertical="center"/>
    </xf>
    <xf numFmtId="178" fontId="10" fillId="25" borderId="12" xfId="19" applyNumberFormat="1" applyFont="1" applyFill="1" applyBorder="1" applyAlignment="1" applyProtection="1">
      <alignment horizontal="left"/>
    </xf>
    <xf numFmtId="178" fontId="10" fillId="25" borderId="12" xfId="19" applyNumberFormat="1" applyFont="1" applyFill="1" applyBorder="1" applyAlignment="1" applyProtection="1">
      <alignment horizontal="right"/>
      <protection hidden="1"/>
    </xf>
    <xf numFmtId="178" fontId="10" fillId="25" borderId="12" xfId="19" applyNumberFormat="1" applyFont="1" applyFill="1" applyBorder="1" applyAlignment="1" applyProtection="1">
      <alignment horizontal="left"/>
      <protection hidden="1"/>
    </xf>
    <xf numFmtId="178" fontId="10" fillId="25" borderId="12" xfId="19" applyNumberFormat="1" applyFont="1" applyFill="1" applyBorder="1" applyAlignment="1" applyProtection="1">
      <alignment horizontal="center"/>
      <protection hidden="1"/>
    </xf>
    <xf numFmtId="176" fontId="10" fillId="25" borderId="11" xfId="19" applyNumberFormat="1" applyFont="1" applyFill="1" applyBorder="1" applyAlignment="1" applyProtection="1">
      <alignment horizontal="center"/>
      <protection hidden="1"/>
    </xf>
    <xf numFmtId="176" fontId="10" fillId="25" borderId="12" xfId="19" applyNumberFormat="1" applyFont="1" applyFill="1" applyBorder="1" applyAlignment="1" applyProtection="1">
      <alignment horizontal="center"/>
      <protection hidden="1"/>
    </xf>
    <xf numFmtId="0" fontId="10" fillId="0" borderId="0" xfId="19" applyFont="1" applyBorder="1"/>
    <xf numFmtId="0" fontId="10" fillId="29" borderId="22" xfId="19" applyFont="1" applyFill="1" applyBorder="1" applyProtection="1">
      <protection hidden="1"/>
    </xf>
    <xf numFmtId="178" fontId="10" fillId="29" borderId="21" xfId="19" applyNumberFormat="1" applyFont="1" applyFill="1" applyBorder="1" applyProtection="1">
      <protection hidden="1"/>
    </xf>
    <xf numFmtId="176" fontId="10" fillId="26" borderId="21" xfId="19" applyNumberFormat="1" applyFont="1" applyFill="1" applyBorder="1" applyAlignment="1" applyProtection="1">
      <alignment horizontal="right"/>
    </xf>
    <xf numFmtId="178" fontId="10" fillId="26" borderId="19" xfId="19" applyNumberFormat="1" applyFont="1" applyFill="1" applyBorder="1" applyAlignment="1" applyProtection="1">
      <alignment horizontal="right"/>
      <protection hidden="1"/>
    </xf>
    <xf numFmtId="0" fontId="2" fillId="24" borderId="20" xfId="19" applyFont="1" applyFill="1" applyBorder="1" applyAlignment="1" applyProtection="1">
      <alignment horizontal="center" vertical="center" wrapText="1"/>
      <protection hidden="1"/>
    </xf>
    <xf numFmtId="0" fontId="2" fillId="24" borderId="21" xfId="19" applyFont="1" applyFill="1" applyBorder="1" applyAlignment="1" applyProtection="1">
      <alignment horizontal="center" vertical="center" wrapText="1"/>
      <protection hidden="1"/>
    </xf>
    <xf numFmtId="178" fontId="10" fillId="25" borderId="12" xfId="19" applyNumberFormat="1" applyFont="1" applyFill="1" applyBorder="1" applyProtection="1"/>
    <xf numFmtId="176" fontId="10" fillId="25" borderId="12" xfId="19" applyNumberFormat="1" applyFont="1" applyFill="1" applyBorder="1" applyProtection="1">
      <protection hidden="1"/>
    </xf>
    <xf numFmtId="178" fontId="10" fillId="28" borderId="10" xfId="19" applyNumberFormat="1" applyFont="1" applyFill="1" applyBorder="1" applyProtection="1"/>
    <xf numFmtId="176" fontId="10" fillId="28" borderId="22" xfId="19" applyNumberFormat="1" applyFont="1" applyFill="1" applyBorder="1" applyAlignment="1" applyProtection="1">
      <alignment horizontal="center"/>
      <protection hidden="1"/>
    </xf>
    <xf numFmtId="178" fontId="10" fillId="25" borderId="13" xfId="19" applyNumberFormat="1" applyFont="1" applyFill="1" applyBorder="1" applyAlignment="1" applyProtection="1">
      <alignment horizontal="left"/>
    </xf>
    <xf numFmtId="0" fontId="10" fillId="0" borderId="10" xfId="19" applyFont="1" applyBorder="1"/>
    <xf numFmtId="176" fontId="11" fillId="26" borderId="16" xfId="19" applyNumberFormat="1" applyFont="1" applyFill="1" applyBorder="1" applyAlignment="1" applyProtection="1">
      <alignment horizontal="right"/>
    </xf>
    <xf numFmtId="176" fontId="11" fillId="26" borderId="11" xfId="19" applyNumberFormat="1" applyFont="1" applyFill="1" applyBorder="1" applyAlignment="1" applyProtection="1">
      <alignment horizontal="right"/>
    </xf>
    <xf numFmtId="176" fontId="11" fillId="26" borderId="21" xfId="19" applyNumberFormat="1" applyFont="1" applyFill="1" applyBorder="1" applyAlignment="1" applyProtection="1">
      <alignment horizontal="right"/>
    </xf>
    <xf numFmtId="0" fontId="18" fillId="0" borderId="0" xfId="19" applyFont="1"/>
    <xf numFmtId="178" fontId="10" fillId="0" borderId="0" xfId="19" applyNumberFormat="1" applyFont="1" applyFill="1" applyBorder="1" applyProtection="1">
      <protection hidden="1"/>
    </xf>
    <xf numFmtId="178" fontId="10" fillId="0" borderId="0" xfId="19" applyNumberFormat="1" applyFont="1" applyFill="1" applyBorder="1" applyAlignment="1" applyProtection="1">
      <alignment horizontal="center"/>
      <protection hidden="1"/>
    </xf>
    <xf numFmtId="176" fontId="10" fillId="25" borderId="14" xfId="19" applyNumberFormat="1" applyFont="1" applyFill="1" applyBorder="1" applyAlignment="1" applyProtection="1">
      <alignment horizontal="left"/>
      <protection hidden="1"/>
    </xf>
    <xf numFmtId="176" fontId="10" fillId="25" borderId="14" xfId="19" applyNumberFormat="1" applyFont="1" applyFill="1" applyBorder="1" applyAlignment="1" applyProtection="1">
      <alignment horizontal="center"/>
      <protection hidden="1"/>
    </xf>
    <xf numFmtId="178" fontId="4" fillId="26" borderId="10" xfId="19" applyNumberFormat="1" applyFill="1" applyBorder="1" applyProtection="1">
      <protection hidden="1"/>
    </xf>
    <xf numFmtId="176" fontId="10" fillId="28" borderId="10" xfId="19" applyNumberFormat="1" applyFont="1" applyFill="1" applyBorder="1" applyProtection="1">
      <protection hidden="1"/>
    </xf>
    <xf numFmtId="0" fontId="10" fillId="28" borderId="25" xfId="19" applyFont="1" applyFill="1" applyBorder="1" applyAlignment="1" applyProtection="1">
      <alignment horizontal="right"/>
      <protection hidden="1"/>
    </xf>
    <xf numFmtId="176" fontId="11" fillId="26" borderId="12" xfId="19" applyNumberFormat="1" applyFont="1" applyFill="1" applyBorder="1" applyAlignment="1" applyProtection="1">
      <alignment horizontal="right"/>
    </xf>
    <xf numFmtId="178" fontId="10" fillId="26" borderId="12" xfId="19" applyNumberFormat="1" applyFont="1" applyFill="1" applyBorder="1" applyAlignment="1" applyProtection="1">
      <alignment horizontal="right"/>
      <protection hidden="1"/>
    </xf>
    <xf numFmtId="178" fontId="10" fillId="26" borderId="12" xfId="19" applyNumberFormat="1" applyFont="1" applyFill="1" applyBorder="1" applyAlignment="1" applyProtection="1">
      <alignment horizontal="right"/>
    </xf>
    <xf numFmtId="0" fontId="10" fillId="29" borderId="10" xfId="19" applyFont="1" applyFill="1" applyBorder="1" applyProtection="1">
      <protection hidden="1"/>
    </xf>
    <xf numFmtId="0" fontId="10" fillId="29" borderId="20" xfId="19" applyFont="1" applyFill="1" applyBorder="1" applyProtection="1">
      <protection hidden="1"/>
    </xf>
    <xf numFmtId="0" fontId="10" fillId="29" borderId="21" xfId="19" applyFont="1" applyFill="1" applyBorder="1" applyProtection="1">
      <protection hidden="1"/>
    </xf>
    <xf numFmtId="0" fontId="10" fillId="29" borderId="11" xfId="19" applyFont="1" applyFill="1" applyBorder="1" applyProtection="1">
      <protection hidden="1"/>
    </xf>
    <xf numFmtId="0" fontId="17" fillId="0" borderId="0" xfId="19" applyFont="1" applyFill="1" applyBorder="1" applyAlignment="1" applyProtection="1">
      <alignment horizontal="left" vertical="center"/>
    </xf>
    <xf numFmtId="0" fontId="8" fillId="27" borderId="27" xfId="0" applyFont="1" applyFill="1" applyBorder="1" applyAlignment="1">
      <alignment vertical="center"/>
    </xf>
    <xf numFmtId="0" fontId="12" fillId="27" borderId="0" xfId="0" applyFont="1" applyFill="1" applyBorder="1" applyAlignment="1" applyProtection="1">
      <alignment vertical="center"/>
      <protection locked="0"/>
    </xf>
    <xf numFmtId="0" fontId="12" fillId="27" borderId="0" xfId="19" applyFont="1" applyFill="1" applyBorder="1" applyProtection="1">
      <protection locked="0"/>
    </xf>
    <xf numFmtId="0" fontId="12" fillId="27" borderId="28" xfId="19" applyFont="1" applyFill="1" applyBorder="1" applyProtection="1">
      <protection locked="0"/>
    </xf>
    <xf numFmtId="0" fontId="2" fillId="24" borderId="29" xfId="19" applyFont="1" applyFill="1" applyBorder="1" applyAlignment="1" applyProtection="1">
      <alignment horizontal="center" vertical="center" wrapText="1"/>
      <protection hidden="1"/>
    </xf>
    <xf numFmtId="0" fontId="17" fillId="25" borderId="30" xfId="19" applyFont="1" applyFill="1" applyBorder="1" applyAlignment="1" applyProtection="1">
      <alignment horizontal="left" vertical="center"/>
    </xf>
    <xf numFmtId="0" fontId="10" fillId="28" borderId="31" xfId="19" applyFont="1" applyFill="1" applyBorder="1" applyProtection="1">
      <protection hidden="1"/>
    </xf>
    <xf numFmtId="176" fontId="10" fillId="25" borderId="32" xfId="19" applyNumberFormat="1" applyFont="1" applyFill="1" applyBorder="1" applyAlignment="1" applyProtection="1">
      <alignment horizontal="left"/>
      <protection hidden="1"/>
    </xf>
    <xf numFmtId="0" fontId="10" fillId="29" borderId="33" xfId="19" applyFont="1" applyFill="1" applyBorder="1" applyProtection="1">
      <protection hidden="1"/>
    </xf>
    <xf numFmtId="0" fontId="10" fillId="29" borderId="34" xfId="19" applyFont="1" applyFill="1" applyBorder="1" applyProtection="1">
      <protection hidden="1"/>
    </xf>
    <xf numFmtId="0" fontId="17" fillId="25" borderId="32" xfId="19" applyFont="1" applyFill="1" applyBorder="1" applyAlignment="1" applyProtection="1">
      <alignment horizontal="left" vertical="center"/>
    </xf>
    <xf numFmtId="0" fontId="10" fillId="29" borderId="29" xfId="19" applyFont="1" applyFill="1" applyBorder="1" applyProtection="1">
      <protection hidden="1"/>
    </xf>
    <xf numFmtId="0" fontId="10" fillId="29" borderId="35" xfId="19" applyFont="1" applyFill="1" applyBorder="1" applyProtection="1">
      <protection hidden="1"/>
    </xf>
    <xf numFmtId="0" fontId="10" fillId="29" borderId="36" xfId="19" applyFont="1" applyFill="1" applyBorder="1" applyProtection="1">
      <protection hidden="1"/>
    </xf>
    <xf numFmtId="178" fontId="10" fillId="29" borderId="36" xfId="19" applyNumberFormat="1" applyFont="1" applyFill="1" applyBorder="1" applyProtection="1">
      <protection hidden="1"/>
    </xf>
    <xf numFmtId="178" fontId="10" fillId="26" borderId="37" xfId="19" applyNumberFormat="1" applyFont="1" applyFill="1" applyBorder="1" applyAlignment="1" applyProtection="1">
      <alignment horizontal="right"/>
      <protection hidden="1"/>
    </xf>
    <xf numFmtId="178" fontId="10" fillId="26" borderId="37" xfId="19" applyNumberFormat="1" applyFont="1" applyFill="1" applyBorder="1" applyAlignment="1" applyProtection="1">
      <alignment horizontal="right"/>
    </xf>
    <xf numFmtId="176" fontId="10" fillId="30" borderId="38" xfId="19" applyNumberFormat="1" applyFont="1" applyFill="1" applyBorder="1" applyAlignment="1" applyProtection="1">
      <alignment horizontal="center"/>
      <protection hidden="1"/>
    </xf>
    <xf numFmtId="0" fontId="10" fillId="28" borderId="25" xfId="19" applyFont="1" applyFill="1" applyBorder="1" applyProtection="1">
      <protection hidden="1"/>
    </xf>
    <xf numFmtId="176" fontId="10" fillId="26" borderId="22" xfId="19" applyNumberFormat="1" applyFont="1" applyFill="1" applyBorder="1" applyAlignment="1" applyProtection="1">
      <alignment horizontal="right"/>
    </xf>
    <xf numFmtId="0" fontId="12" fillId="27" borderId="23" xfId="19" applyFont="1" applyFill="1" applyBorder="1" applyProtection="1">
      <protection locked="0"/>
    </xf>
    <xf numFmtId="176" fontId="10" fillId="30" borderId="26" xfId="19" applyNumberFormat="1" applyFont="1" applyFill="1" applyBorder="1" applyAlignment="1" applyProtection="1">
      <alignment horizontal="center"/>
      <protection hidden="1"/>
    </xf>
    <xf numFmtId="0" fontId="4" fillId="25" borderId="14" xfId="19" applyFont="1" applyFill="1" applyBorder="1" applyProtection="1"/>
    <xf numFmtId="176" fontId="4" fillId="27" borderId="23" xfId="19" applyNumberFormat="1" applyFont="1" applyFill="1" applyBorder="1" applyAlignment="1" applyProtection="1">
      <alignment horizontal="center"/>
    </xf>
    <xf numFmtId="176" fontId="4" fillId="26" borderId="19" xfId="19" applyNumberFormat="1" applyFont="1" applyFill="1" applyBorder="1" applyAlignment="1" applyProtection="1">
      <alignment horizontal="center"/>
    </xf>
    <xf numFmtId="176" fontId="4" fillId="26" borderId="24" xfId="19" applyNumberFormat="1" applyFont="1" applyFill="1" applyBorder="1" applyAlignment="1" applyProtection="1">
      <alignment horizontal="center"/>
    </xf>
    <xf numFmtId="176" fontId="10" fillId="25" borderId="14" xfId="19" applyNumberFormat="1" applyFont="1" applyFill="1" applyBorder="1" applyProtection="1">
      <protection hidden="1"/>
    </xf>
    <xf numFmtId="0" fontId="0" fillId="0" borderId="0" xfId="0" applyFill="1"/>
    <xf numFmtId="176" fontId="10" fillId="25" borderId="10" xfId="19" applyNumberFormat="1" applyFont="1" applyFill="1" applyBorder="1" applyAlignment="1" applyProtection="1">
      <alignment horizontal="left"/>
    </xf>
    <xf numFmtId="0" fontId="17" fillId="25" borderId="10" xfId="19" applyFont="1" applyFill="1" applyBorder="1" applyAlignment="1" applyProtection="1">
      <alignment horizontal="left" vertical="center"/>
    </xf>
    <xf numFmtId="178" fontId="6" fillId="0" borderId="10" xfId="19" applyNumberFormat="1" applyFont="1" applyBorder="1"/>
    <xf numFmtId="0" fontId="4" fillId="29" borderId="10" xfId="19" applyFont="1" applyFill="1" applyBorder="1" applyAlignment="1" applyProtection="1">
      <alignment horizontal="right"/>
      <protection hidden="1"/>
    </xf>
    <xf numFmtId="178" fontId="4" fillId="0" borderId="10" xfId="19" applyNumberFormat="1" applyFont="1" applyBorder="1"/>
    <xf numFmtId="2" fontId="10" fillId="30" borderId="10" xfId="19" applyNumberFormat="1" applyFont="1" applyFill="1" applyBorder="1" applyProtection="1">
      <protection hidden="1"/>
    </xf>
    <xf numFmtId="2" fontId="10" fillId="25" borderId="13" xfId="19" applyNumberFormat="1" applyFont="1" applyFill="1" applyBorder="1" applyAlignment="1" applyProtection="1">
      <alignment horizontal="left"/>
    </xf>
    <xf numFmtId="2" fontId="17" fillId="25" borderId="12" xfId="19" applyNumberFormat="1" applyFont="1" applyFill="1" applyBorder="1" applyAlignment="1" applyProtection="1">
      <alignment horizontal="left" vertical="center"/>
    </xf>
    <xf numFmtId="2" fontId="10" fillId="30" borderId="39" xfId="19" applyNumberFormat="1" applyFont="1" applyFill="1" applyBorder="1" applyProtection="1">
      <protection hidden="1"/>
    </xf>
    <xf numFmtId="2" fontId="10" fillId="25" borderId="12" xfId="19" applyNumberFormat="1" applyFont="1" applyFill="1" applyBorder="1" applyAlignment="1" applyProtection="1">
      <alignment horizontal="left"/>
      <protection hidden="1"/>
    </xf>
    <xf numFmtId="2" fontId="10" fillId="30" borderId="24" xfId="19" applyNumberFormat="1" applyFont="1" applyFill="1" applyBorder="1" applyAlignment="1" applyProtection="1">
      <alignment horizontal="center"/>
      <protection hidden="1"/>
    </xf>
    <xf numFmtId="2" fontId="10" fillId="30" borderId="26" xfId="19" applyNumberFormat="1" applyFont="1" applyFill="1" applyBorder="1" applyAlignment="1" applyProtection="1">
      <alignment horizontal="center"/>
      <protection hidden="1"/>
    </xf>
    <xf numFmtId="2" fontId="10" fillId="30" borderId="40" xfId="19" applyNumberFormat="1" applyFont="1" applyFill="1" applyBorder="1" applyAlignment="1" applyProtection="1">
      <alignment horizontal="center"/>
      <protection hidden="1"/>
    </xf>
    <xf numFmtId="2" fontId="10" fillId="30" borderId="41" xfId="19" applyNumberFormat="1" applyFont="1" applyFill="1" applyBorder="1" applyAlignment="1" applyProtection="1">
      <alignment horizontal="center"/>
      <protection hidden="1"/>
    </xf>
    <xf numFmtId="0" fontId="21" fillId="0" borderId="0" xfId="0" applyFont="1" applyFill="1"/>
    <xf numFmtId="176" fontId="21" fillId="25" borderId="12" xfId="19" applyNumberFormat="1" applyFont="1" applyFill="1" applyBorder="1" applyProtection="1"/>
    <xf numFmtId="0" fontId="21" fillId="28" borderId="10" xfId="19" applyFont="1" applyFill="1" applyBorder="1" applyProtection="1"/>
    <xf numFmtId="176" fontId="21" fillId="25" borderId="13" xfId="19" applyNumberFormat="1" applyFont="1" applyFill="1" applyBorder="1" applyAlignment="1" applyProtection="1">
      <alignment horizontal="left"/>
    </xf>
    <xf numFmtId="178" fontId="21" fillId="28" borderId="20" xfId="19" applyNumberFormat="1" applyFont="1" applyFill="1" applyBorder="1" applyProtection="1"/>
    <xf numFmtId="176" fontId="22" fillId="25" borderId="12" xfId="19" applyNumberFormat="1" applyFont="1" applyFill="1" applyBorder="1" applyProtection="1"/>
    <xf numFmtId="0" fontId="22" fillId="28" borderId="10" xfId="19" applyFont="1" applyFill="1" applyBorder="1" applyProtection="1"/>
    <xf numFmtId="176" fontId="22" fillId="25" borderId="13" xfId="19" applyNumberFormat="1" applyFont="1" applyFill="1" applyBorder="1" applyAlignment="1" applyProtection="1">
      <alignment horizontal="left"/>
    </xf>
    <xf numFmtId="178" fontId="23" fillId="25" borderId="15" xfId="19" applyNumberFormat="1" applyFont="1" applyFill="1" applyBorder="1" applyAlignment="1" applyProtection="1">
      <alignment horizontal="left" vertical="center"/>
    </xf>
    <xf numFmtId="178" fontId="24" fillId="28" borderId="20" xfId="19" applyNumberFormat="1" applyFont="1" applyFill="1" applyBorder="1" applyProtection="1"/>
    <xf numFmtId="0" fontId="16" fillId="28" borderId="15" xfId="0" applyFont="1" applyFill="1" applyBorder="1" applyAlignment="1" applyProtection="1">
      <alignment horizontal="center" vertical="center"/>
      <protection locked="0"/>
    </xf>
    <xf numFmtId="0" fontId="4" fillId="28" borderId="15" xfId="0" applyFont="1" applyFill="1" applyBorder="1" applyAlignment="1">
      <alignment horizontal="center" vertical="center"/>
    </xf>
    <xf numFmtId="0" fontId="16" fillId="28" borderId="15" xfId="0" applyFont="1" applyFill="1" applyBorder="1" applyAlignment="1">
      <alignment horizontal="center" vertical="center"/>
    </xf>
    <xf numFmtId="177" fontId="10" fillId="0" borderId="0" xfId="19" applyNumberFormat="1" applyFont="1" applyBorder="1" applyProtection="1"/>
    <xf numFmtId="0" fontId="21" fillId="0" borderId="0" xfId="0" applyFont="1" applyFill="1" applyBorder="1"/>
    <xf numFmtId="178" fontId="4" fillId="0" borderId="0" xfId="19" applyNumberFormat="1" applyBorder="1"/>
    <xf numFmtId="0" fontId="1" fillId="0" borderId="10" xfId="0" applyFont="1" applyBorder="1"/>
    <xf numFmtId="178" fontId="4" fillId="0" borderId="10" xfId="19" applyNumberFormat="1" applyFont="1" applyFill="1" applyBorder="1"/>
    <xf numFmtId="0" fontId="4" fillId="0" borderId="10" xfId="0" applyFont="1" applyBorder="1"/>
    <xf numFmtId="0" fontId="1" fillId="0" borderId="10" xfId="0" applyFont="1" applyFill="1" applyBorder="1"/>
    <xf numFmtId="176" fontId="25" fillId="25" borderId="10" xfId="19" applyNumberFormat="1" applyFont="1" applyFill="1" applyBorder="1" applyAlignment="1" applyProtection="1">
      <alignment horizontal="left"/>
    </xf>
    <xf numFmtId="0" fontId="26" fillId="0" borderId="10" xfId="0" applyFont="1" applyFill="1" applyBorder="1"/>
    <xf numFmtId="0" fontId="27" fillId="25" borderId="10" xfId="19" applyFont="1" applyFill="1" applyBorder="1" applyAlignment="1" applyProtection="1">
      <alignment horizontal="left" vertical="center"/>
    </xf>
    <xf numFmtId="0" fontId="28" fillId="0" borderId="10" xfId="0" applyFont="1" applyFill="1" applyBorder="1"/>
    <xf numFmtId="0" fontId="26" fillId="0" borderId="10" xfId="0" applyFont="1" applyBorder="1"/>
    <xf numFmtId="0" fontId="28" fillId="0" borderId="10" xfId="0" applyFont="1" applyBorder="1"/>
    <xf numFmtId="178" fontId="10" fillId="0" borderId="11" xfId="19" applyNumberFormat="1" applyFont="1" applyFill="1" applyBorder="1"/>
    <xf numFmtId="178" fontId="10" fillId="0" borderId="36" xfId="19" applyNumberFormat="1" applyFont="1" applyFill="1" applyBorder="1"/>
    <xf numFmtId="0" fontId="4" fillId="0" borderId="10" xfId="0" applyFont="1" applyFill="1" applyBorder="1"/>
    <xf numFmtId="0" fontId="2" fillId="25" borderId="10" xfId="19" applyFont="1" applyFill="1" applyBorder="1" applyAlignment="1" applyProtection="1">
      <alignment horizontal="left" vertical="center"/>
    </xf>
    <xf numFmtId="178" fontId="4" fillId="26" borderId="26" xfId="19" applyNumberFormat="1" applyFill="1" applyBorder="1" applyProtection="1">
      <protection hidden="1"/>
    </xf>
    <xf numFmtId="176" fontId="10" fillId="30" borderId="36" xfId="19" applyNumberFormat="1" applyFont="1" applyFill="1" applyBorder="1" applyAlignment="1" applyProtection="1">
      <alignment horizontal="center"/>
      <protection hidden="1"/>
    </xf>
    <xf numFmtId="178" fontId="10" fillId="0" borderId="39" xfId="19" applyNumberFormat="1" applyFont="1" applyBorder="1"/>
    <xf numFmtId="0" fontId="28" fillId="0" borderId="39" xfId="0" applyFont="1" applyBorder="1"/>
    <xf numFmtId="0" fontId="28" fillId="0" borderId="39" xfId="0" applyFont="1" applyFill="1" applyBorder="1"/>
    <xf numFmtId="0" fontId="4" fillId="0" borderId="39" xfId="0" applyFont="1" applyFill="1" applyBorder="1"/>
    <xf numFmtId="178" fontId="10" fillId="30" borderId="39" xfId="19" applyNumberFormat="1" applyFont="1" applyFill="1" applyBorder="1" applyProtection="1">
      <protection hidden="1"/>
    </xf>
    <xf numFmtId="2" fontId="10" fillId="28" borderId="22" xfId="19" applyNumberFormat="1" applyFont="1" applyFill="1" applyBorder="1" applyProtection="1">
      <protection hidden="1"/>
    </xf>
    <xf numFmtId="178" fontId="10" fillId="0" borderId="11" xfId="19" applyNumberFormat="1" applyFont="1" applyBorder="1"/>
    <xf numFmtId="0" fontId="10" fillId="0" borderId="11" xfId="19" applyFont="1" applyBorder="1"/>
    <xf numFmtId="178" fontId="10" fillId="30" borderId="14" xfId="19" applyNumberFormat="1" applyFont="1" applyFill="1" applyBorder="1" applyProtection="1">
      <protection hidden="1"/>
    </xf>
    <xf numFmtId="176" fontId="10" fillId="25" borderId="13" xfId="19" applyNumberFormat="1" applyFont="1" applyFill="1" applyBorder="1" applyAlignment="1" applyProtection="1">
      <alignment horizontal="left"/>
      <protection hidden="1"/>
    </xf>
    <xf numFmtId="0" fontId="2" fillId="24" borderId="25" xfId="19" applyFont="1" applyFill="1" applyBorder="1" applyAlignment="1" applyProtection="1">
      <alignment horizontal="center" vertical="center" wrapText="1"/>
      <protection hidden="1"/>
    </xf>
    <xf numFmtId="0" fontId="2" fillId="24" borderId="26" xfId="19" applyFont="1" applyFill="1" applyBorder="1" applyAlignment="1" applyProtection="1">
      <alignment horizontal="center" vertical="center" wrapText="1"/>
      <protection hidden="1"/>
    </xf>
    <xf numFmtId="178" fontId="10" fillId="25" borderId="0" xfId="19" applyNumberFormat="1" applyFont="1" applyFill="1" applyBorder="1" applyAlignment="1" applyProtection="1">
      <alignment horizontal="left"/>
    </xf>
    <xf numFmtId="178" fontId="10" fillId="0" borderId="26" xfId="19" applyNumberFormat="1" applyFont="1" applyFill="1" applyBorder="1" applyProtection="1">
      <protection locked="0"/>
    </xf>
    <xf numFmtId="0" fontId="25" fillId="32" borderId="10" xfId="19" applyFont="1" applyFill="1" applyBorder="1" applyProtection="1">
      <protection locked="0"/>
    </xf>
    <xf numFmtId="178" fontId="25" fillId="0" borderId="10" xfId="19" applyNumberFormat="1" applyFont="1" applyFill="1" applyBorder="1"/>
    <xf numFmtId="178" fontId="25" fillId="26" borderId="10" xfId="19" applyNumberFormat="1" applyFont="1" applyFill="1" applyBorder="1" applyAlignment="1" applyProtection="1">
      <alignment horizontal="right"/>
      <protection hidden="1"/>
    </xf>
    <xf numFmtId="178" fontId="25" fillId="26" borderId="10" xfId="19" applyNumberFormat="1" applyFont="1" applyFill="1" applyBorder="1" applyAlignment="1" applyProtection="1">
      <alignment horizontal="right"/>
    </xf>
    <xf numFmtId="178" fontId="25" fillId="0" borderId="10" xfId="19" applyNumberFormat="1" applyFont="1" applyFill="1" applyBorder="1" applyProtection="1">
      <protection locked="0"/>
    </xf>
    <xf numFmtId="178" fontId="25" fillId="25" borderId="10" xfId="19" applyNumberFormat="1" applyFont="1" applyFill="1" applyBorder="1" applyAlignment="1" applyProtection="1">
      <alignment horizontal="left"/>
    </xf>
    <xf numFmtId="178" fontId="25" fillId="25" borderId="10" xfId="19" applyNumberFormat="1" applyFont="1" applyFill="1" applyBorder="1" applyAlignment="1" applyProtection="1">
      <alignment horizontal="right"/>
      <protection hidden="1"/>
    </xf>
    <xf numFmtId="178" fontId="25" fillId="25" borderId="10" xfId="19" applyNumberFormat="1" applyFont="1" applyFill="1" applyBorder="1" applyAlignment="1" applyProtection="1">
      <alignment horizontal="left"/>
      <protection hidden="1"/>
    </xf>
    <xf numFmtId="0" fontId="25" fillId="0" borderId="10" xfId="19" applyFont="1" applyBorder="1"/>
    <xf numFmtId="0" fontId="26" fillId="0" borderId="11" xfId="0" applyFont="1" applyBorder="1"/>
    <xf numFmtId="0" fontId="26" fillId="0" borderId="11" xfId="0" applyFont="1" applyFill="1" applyBorder="1"/>
    <xf numFmtId="178" fontId="10" fillId="0" borderId="14" xfId="19" applyNumberFormat="1" applyFont="1" applyFill="1" applyBorder="1" applyProtection="1">
      <protection locked="0"/>
    </xf>
    <xf numFmtId="178" fontId="25" fillId="0" borderId="14" xfId="19" applyNumberFormat="1" applyFont="1" applyFill="1" applyBorder="1" applyProtection="1">
      <protection locked="0"/>
    </xf>
    <xf numFmtId="178" fontId="10" fillId="0" borderId="24" xfId="19" applyNumberFormat="1" applyFont="1" applyFill="1" applyBorder="1" applyProtection="1">
      <protection locked="0"/>
    </xf>
    <xf numFmtId="0" fontId="26" fillId="0" borderId="14" xfId="0" applyFont="1" applyBorder="1"/>
    <xf numFmtId="176" fontId="10" fillId="30" borderId="10" xfId="19" applyNumberFormat="1" applyFont="1" applyFill="1" applyBorder="1" applyAlignment="1" applyProtection="1">
      <alignment horizontal="center"/>
      <protection hidden="1"/>
    </xf>
    <xf numFmtId="176" fontId="10" fillId="25" borderId="10" xfId="19" applyNumberFormat="1" applyFont="1" applyFill="1" applyBorder="1" applyAlignment="1" applyProtection="1">
      <alignment horizontal="left"/>
      <protection hidden="1"/>
    </xf>
    <xf numFmtId="176" fontId="10" fillId="25" borderId="10" xfId="19" applyNumberFormat="1" applyFont="1" applyFill="1" applyBorder="1" applyAlignment="1" applyProtection="1">
      <alignment horizontal="center"/>
      <protection hidden="1"/>
    </xf>
    <xf numFmtId="176" fontId="10" fillId="25" borderId="10" xfId="19" applyNumberFormat="1" applyFont="1" applyFill="1" applyBorder="1" applyProtection="1">
      <protection hidden="1"/>
    </xf>
    <xf numFmtId="0" fontId="4" fillId="26" borderId="12" xfId="19" applyFont="1" applyFill="1" applyBorder="1" applyAlignment="1" applyProtection="1">
      <alignment horizontal="left"/>
      <protection hidden="1"/>
    </xf>
    <xf numFmtId="0" fontId="0" fillId="0" borderId="0" xfId="0" applyAlignment="1">
      <alignment vertical="center"/>
    </xf>
    <xf numFmtId="0" fontId="7" fillId="25" borderId="10" xfId="19" applyFont="1" applyFill="1" applyBorder="1" applyAlignment="1" applyProtection="1">
      <alignment horizontal="left" vertical="center"/>
    </xf>
    <xf numFmtId="178" fontId="7" fillId="25" borderId="10" xfId="19" applyNumberFormat="1" applyFont="1" applyFill="1" applyBorder="1" applyAlignment="1" applyProtection="1">
      <alignment horizontal="left" vertical="center"/>
    </xf>
    <xf numFmtId="178" fontId="6" fillId="25" borderId="10" xfId="19" applyNumberFormat="1" applyFont="1" applyFill="1" applyBorder="1" applyAlignment="1" applyProtection="1">
      <alignment horizontal="left"/>
    </xf>
    <xf numFmtId="178" fontId="10" fillId="26" borderId="11" xfId="19" applyNumberFormat="1" applyFont="1" applyFill="1" applyBorder="1" applyAlignment="1" applyProtection="1">
      <alignment horizontal="right"/>
    </xf>
    <xf numFmtId="178" fontId="10" fillId="25" borderId="10" xfId="19" applyNumberFormat="1" applyFont="1" applyFill="1" applyBorder="1" applyAlignment="1" applyProtection="1">
      <alignment horizontal="left"/>
    </xf>
    <xf numFmtId="178" fontId="10" fillId="31" borderId="10" xfId="19" applyNumberFormat="1" applyFont="1" applyFill="1" applyBorder="1" applyAlignment="1" applyProtection="1">
      <alignment horizontal="right"/>
      <protection hidden="1"/>
    </xf>
    <xf numFmtId="0" fontId="10" fillId="28" borderId="22" xfId="19" applyFont="1" applyFill="1" applyBorder="1" applyProtection="1">
      <protection hidden="1"/>
    </xf>
    <xf numFmtId="0" fontId="5" fillId="24" borderId="11" xfId="19" applyFont="1" applyFill="1" applyBorder="1" applyAlignment="1" applyProtection="1">
      <alignment horizontal="center" vertical="center" wrapText="1"/>
      <protection hidden="1"/>
    </xf>
    <xf numFmtId="0" fontId="4" fillId="28" borderId="11" xfId="19" applyFont="1" applyFill="1" applyBorder="1" applyProtection="1">
      <protection hidden="1"/>
    </xf>
    <xf numFmtId="0" fontId="4" fillId="29" borderId="11" xfId="19" applyFont="1" applyFill="1" applyBorder="1" applyProtection="1">
      <protection hidden="1"/>
    </xf>
    <xf numFmtId="176" fontId="5" fillId="24" borderId="14" xfId="19" applyNumberFormat="1" applyFont="1" applyFill="1" applyBorder="1" applyAlignment="1" applyProtection="1">
      <alignment horizontal="center" vertical="center" wrapText="1"/>
      <protection hidden="1"/>
    </xf>
    <xf numFmtId="0" fontId="4" fillId="28" borderId="14" xfId="19" applyFont="1" applyFill="1" applyBorder="1" applyProtection="1">
      <protection hidden="1"/>
    </xf>
    <xf numFmtId="0" fontId="8" fillId="25" borderId="13" xfId="19" applyFont="1" applyFill="1" applyBorder="1" applyAlignment="1" applyProtection="1">
      <alignment horizontal="right" vertical="center"/>
      <protection hidden="1"/>
    </xf>
    <xf numFmtId="0" fontId="8" fillId="25" borderId="13" xfId="19" applyFont="1" applyFill="1" applyBorder="1" applyAlignment="1" applyProtection="1">
      <alignment horizontal="left" vertical="center"/>
      <protection hidden="1"/>
    </xf>
    <xf numFmtId="0" fontId="16" fillId="28" borderId="10" xfId="0" applyFont="1" applyFill="1" applyBorder="1" applyAlignment="1">
      <alignment horizontal="center" vertical="center"/>
    </xf>
    <xf numFmtId="0" fontId="4" fillId="26" borderId="0" xfId="19" applyFill="1" applyBorder="1"/>
    <xf numFmtId="178" fontId="4" fillId="26" borderId="0" xfId="19" applyNumberFormat="1" applyFont="1" applyFill="1" applyBorder="1" applyProtection="1"/>
    <xf numFmtId="178" fontId="4" fillId="26" borderId="0" xfId="19" applyNumberFormat="1" applyFont="1" applyFill="1" applyBorder="1" applyAlignment="1" applyProtection="1">
      <alignment horizontal="right"/>
    </xf>
    <xf numFmtId="2" fontId="4" fillId="26" borderId="0" xfId="19" applyNumberFormat="1" applyFont="1" applyFill="1" applyBorder="1" applyAlignment="1" applyProtection="1">
      <alignment horizontal="center"/>
    </xf>
    <xf numFmtId="176" fontId="4" fillId="26" borderId="0" xfId="19" applyNumberFormat="1" applyFont="1" applyFill="1" applyBorder="1" applyAlignment="1" applyProtection="1">
      <alignment horizontal="center"/>
    </xf>
    <xf numFmtId="176" fontId="4" fillId="26" borderId="23" xfId="19" applyNumberFormat="1" applyFont="1" applyFill="1" applyBorder="1" applyAlignment="1" applyProtection="1">
      <alignment horizontal="center"/>
    </xf>
    <xf numFmtId="176" fontId="11" fillId="26" borderId="10" xfId="19" applyNumberFormat="1" applyFont="1" applyFill="1" applyBorder="1" applyAlignment="1" applyProtection="1">
      <alignment horizontal="right"/>
    </xf>
    <xf numFmtId="0" fontId="5" fillId="33" borderId="0" xfId="0" applyFont="1" applyFill="1"/>
    <xf numFmtId="0" fontId="0" fillId="33" borderId="0" xfId="0" applyFill="1"/>
    <xf numFmtId="0" fontId="5" fillId="34" borderId="0" xfId="0" applyFont="1" applyFill="1"/>
    <xf numFmtId="0" fontId="0" fillId="34" borderId="0" xfId="0" applyFill="1"/>
    <xf numFmtId="0" fontId="0" fillId="35" borderId="0" xfId="0" applyFill="1"/>
    <xf numFmtId="0" fontId="0" fillId="36" borderId="0" xfId="0" applyFill="1"/>
    <xf numFmtId="0" fontId="0" fillId="37" borderId="0" xfId="0" applyFill="1"/>
    <xf numFmtId="0" fontId="10" fillId="28" borderId="10" xfId="19" applyFont="1" applyFill="1" applyBorder="1" applyAlignment="1" applyProtection="1">
      <alignment horizontal="right"/>
      <protection hidden="1"/>
    </xf>
    <xf numFmtId="178" fontId="4" fillId="29" borderId="10" xfId="19" applyNumberFormat="1" applyFont="1" applyFill="1" applyBorder="1"/>
    <xf numFmtId="178" fontId="10" fillId="29" borderId="26" xfId="19" applyNumberFormat="1" applyFont="1" applyFill="1" applyBorder="1" applyProtection="1">
      <protection hidden="1"/>
    </xf>
    <xf numFmtId="178" fontId="10" fillId="0" borderId="0" xfId="19" applyNumberFormat="1" applyFont="1" applyFill="1" applyBorder="1" applyProtection="1">
      <protection locked="0"/>
    </xf>
    <xf numFmtId="178" fontId="25" fillId="0" borderId="20" xfId="19" applyNumberFormat="1" applyFont="1" applyFill="1" applyBorder="1" applyProtection="1">
      <protection locked="0"/>
    </xf>
    <xf numFmtId="178" fontId="10" fillId="30" borderId="19" xfId="19" applyNumberFormat="1" applyFont="1" applyFill="1" applyBorder="1" applyProtection="1">
      <protection hidden="1"/>
    </xf>
    <xf numFmtId="0" fontId="10" fillId="28" borderId="26" xfId="19" applyFont="1" applyFill="1" applyBorder="1" applyProtection="1"/>
    <xf numFmtId="0" fontId="10" fillId="28" borderId="26" xfId="19" applyFont="1" applyFill="1" applyBorder="1" applyProtection="1">
      <protection hidden="1"/>
    </xf>
    <xf numFmtId="176" fontId="10" fillId="28" borderId="26" xfId="19" applyNumberFormat="1" applyFont="1" applyFill="1" applyBorder="1" applyProtection="1">
      <protection hidden="1"/>
    </xf>
    <xf numFmtId="0" fontId="10" fillId="0" borderId="0" xfId="19" applyFont="1" applyFill="1" applyBorder="1" applyProtection="1">
      <protection hidden="1"/>
    </xf>
    <xf numFmtId="176" fontId="10" fillId="25" borderId="15" xfId="19" applyNumberFormat="1" applyFont="1" applyFill="1" applyBorder="1" applyAlignment="1" applyProtection="1">
      <alignment horizontal="left"/>
      <protection hidden="1"/>
    </xf>
    <xf numFmtId="176" fontId="10" fillId="0" borderId="0" xfId="19" applyNumberFormat="1" applyFont="1" applyFill="1" applyBorder="1" applyAlignment="1" applyProtection="1">
      <alignment horizontal="center"/>
      <protection hidden="1"/>
    </xf>
    <xf numFmtId="176" fontId="10" fillId="0" borderId="0" xfId="19" applyNumberFormat="1" applyFont="1" applyFill="1" applyBorder="1" applyAlignment="1" applyProtection="1">
      <alignment horizontal="right"/>
    </xf>
    <xf numFmtId="0" fontId="4" fillId="0" borderId="0" xfId="0" applyFont="1" applyFill="1" applyBorder="1"/>
    <xf numFmtId="178" fontId="10" fillId="0" borderId="0" xfId="19" applyNumberFormat="1" applyFont="1" applyFill="1" applyBorder="1" applyAlignment="1" applyProtection="1">
      <alignment horizontal="right"/>
      <protection hidden="1"/>
    </xf>
    <xf numFmtId="178" fontId="10" fillId="0" borderId="0" xfId="19" applyNumberFormat="1" applyFont="1" applyFill="1" applyBorder="1" applyAlignment="1" applyProtection="1">
      <alignment horizontal="right"/>
    </xf>
    <xf numFmtId="0" fontId="10" fillId="25" borderId="15" xfId="19" applyFont="1" applyFill="1" applyBorder="1" applyAlignment="1" applyProtection="1">
      <alignment horizontal="left"/>
      <protection hidden="1"/>
    </xf>
    <xf numFmtId="0" fontId="4" fillId="0" borderId="0" xfId="19" applyFont="1" applyAlignment="1">
      <alignment vertical="center"/>
    </xf>
    <xf numFmtId="0" fontId="4" fillId="0" borderId="0" xfId="19" applyFont="1" applyAlignment="1">
      <alignment vertical="top"/>
    </xf>
    <xf numFmtId="178" fontId="10" fillId="30" borderId="10" xfId="19" applyNumberFormat="1" applyFont="1" applyFill="1" applyBorder="1" applyAlignment="1" applyProtection="1">
      <alignment horizontal="center"/>
      <protection hidden="1"/>
    </xf>
    <xf numFmtId="176" fontId="2" fillId="24" borderId="14" xfId="19" applyNumberFormat="1" applyFont="1" applyFill="1" applyBorder="1" applyAlignment="1" applyProtection="1">
      <alignment horizontal="center" vertical="center" wrapText="1"/>
      <protection hidden="1"/>
    </xf>
    <xf numFmtId="176" fontId="10" fillId="28" borderId="14" xfId="19" applyNumberFormat="1" applyFont="1" applyFill="1" applyBorder="1" applyProtection="1">
      <protection hidden="1"/>
    </xf>
    <xf numFmtId="176" fontId="10" fillId="28" borderId="16" xfId="19" applyNumberFormat="1" applyFont="1" applyFill="1" applyBorder="1" applyAlignment="1" applyProtection="1">
      <alignment horizontal="center"/>
      <protection hidden="1"/>
    </xf>
    <xf numFmtId="176" fontId="10" fillId="28" borderId="26" xfId="19" applyNumberFormat="1" applyFont="1" applyFill="1" applyBorder="1" applyAlignment="1" applyProtection="1">
      <alignment horizontal="center"/>
      <protection hidden="1"/>
    </xf>
    <xf numFmtId="0" fontId="1" fillId="0" borderId="11" xfId="0" applyFont="1" applyFill="1" applyBorder="1"/>
    <xf numFmtId="0" fontId="1" fillId="0" borderId="11" xfId="0" applyFont="1" applyBorder="1"/>
    <xf numFmtId="0" fontId="1" fillId="0" borderId="14" xfId="0" applyFont="1" applyBorder="1"/>
    <xf numFmtId="0" fontId="17" fillId="25" borderId="0" xfId="19" applyFont="1" applyFill="1" applyBorder="1" applyAlignment="1" applyProtection="1">
      <alignment horizontal="left" vertical="center"/>
      <protection hidden="1"/>
    </xf>
    <xf numFmtId="0" fontId="17" fillId="25" borderId="0" xfId="19" applyFont="1" applyFill="1" applyBorder="1" applyAlignment="1" applyProtection="1">
      <alignment horizontal="left" vertical="center"/>
    </xf>
    <xf numFmtId="0" fontId="0" fillId="0" borderId="0" xfId="0" applyAlignment="1">
      <alignment wrapText="1"/>
    </xf>
    <xf numFmtId="0" fontId="29" fillId="0" borderId="0" xfId="19" applyFont="1"/>
    <xf numFmtId="0" fontId="12" fillId="26" borderId="13" xfId="19" applyFont="1" applyFill="1" applyBorder="1"/>
    <xf numFmtId="0" fontId="12" fillId="26" borderId="0" xfId="19" applyFont="1" applyFill="1" applyBorder="1"/>
    <xf numFmtId="0" fontId="31" fillId="0" borderId="0" xfId="19" applyFont="1" applyFill="1" applyBorder="1" applyProtection="1"/>
    <xf numFmtId="0" fontId="31" fillId="0" borderId="0" xfId="0" applyFont="1"/>
    <xf numFmtId="176" fontId="30" fillId="24" borderId="10" xfId="19" applyNumberFormat="1" applyFont="1" applyFill="1" applyBorder="1" applyAlignment="1" applyProtection="1">
      <alignment horizontal="center" vertical="center" wrapText="1"/>
      <protection hidden="1"/>
    </xf>
    <xf numFmtId="0" fontId="32" fillId="0" borderId="0" xfId="0" applyFont="1"/>
    <xf numFmtId="0" fontId="32" fillId="0" borderId="0" xfId="19" applyFont="1"/>
    <xf numFmtId="0" fontId="4" fillId="25" borderId="12" xfId="19" applyFont="1" applyFill="1" applyBorder="1" applyAlignment="1" applyProtection="1">
      <alignment horizontal="center"/>
    </xf>
    <xf numFmtId="178" fontId="4" fillId="26" borderId="13" xfId="19" applyNumberFormat="1" applyFont="1" applyFill="1" applyBorder="1" applyAlignment="1" applyProtection="1">
      <alignment horizontal="center"/>
    </xf>
    <xf numFmtId="178" fontId="4" fillId="26" borderId="0" xfId="19" applyNumberFormat="1" applyFont="1" applyFill="1" applyBorder="1" applyAlignment="1" applyProtection="1">
      <alignment horizontal="center"/>
    </xf>
    <xf numFmtId="178" fontId="4" fillId="26" borderId="15" xfId="19" applyNumberFormat="1" applyFont="1" applyFill="1" applyBorder="1" applyAlignment="1" applyProtection="1">
      <alignment horizontal="center"/>
    </xf>
    <xf numFmtId="176" fontId="10" fillId="0" borderId="0" xfId="19" applyNumberFormat="1" applyFont="1" applyFill="1" applyBorder="1" applyAlignment="1" applyProtection="1">
      <alignment horizontal="center"/>
    </xf>
    <xf numFmtId="0" fontId="0" fillId="33" borderId="0" xfId="0" applyFill="1" applyAlignment="1">
      <alignment horizontal="center"/>
    </xf>
    <xf numFmtId="0" fontId="0" fillId="34" borderId="0" xfId="0" applyFill="1" applyAlignment="1">
      <alignment horizontal="center"/>
    </xf>
    <xf numFmtId="0" fontId="4" fillId="0" borderId="17" xfId="19" applyBorder="1" applyAlignment="1">
      <alignment horizontal="center"/>
    </xf>
    <xf numFmtId="0" fontId="12" fillId="27" borderId="0" xfId="19" applyFont="1" applyFill="1" applyBorder="1" applyAlignment="1" applyProtection="1">
      <alignment horizontal="center"/>
      <protection locked="0"/>
    </xf>
    <xf numFmtId="176" fontId="10" fillId="25" borderId="12" xfId="19" applyNumberFormat="1" applyFont="1" applyFill="1" applyBorder="1" applyAlignment="1" applyProtection="1">
      <alignment horizontal="center"/>
    </xf>
    <xf numFmtId="0" fontId="17" fillId="25" borderId="12" xfId="19" applyFont="1" applyFill="1" applyBorder="1" applyAlignment="1" applyProtection="1">
      <alignment horizontal="center" vertical="center"/>
    </xf>
    <xf numFmtId="0" fontId="0" fillId="0" borderId="0" xfId="0" applyAlignment="1">
      <alignment vertical="top" wrapText="1"/>
    </xf>
    <xf numFmtId="178" fontId="25" fillId="25" borderId="12" xfId="19" applyNumberFormat="1" applyFont="1" applyFill="1" applyBorder="1" applyAlignment="1" applyProtection="1">
      <alignment horizontal="left"/>
    </xf>
    <xf numFmtId="0" fontId="17" fillId="25" borderId="14" xfId="19" applyFont="1" applyFill="1" applyBorder="1" applyAlignment="1" applyProtection="1">
      <alignment horizontal="left" vertical="center"/>
      <protection hidden="1"/>
    </xf>
    <xf numFmtId="176" fontId="10" fillId="26" borderId="10" xfId="19" applyNumberFormat="1" applyFont="1" applyFill="1" applyBorder="1" applyAlignment="1" applyProtection="1">
      <alignment horizontal="right"/>
    </xf>
    <xf numFmtId="176" fontId="10" fillId="25" borderId="11" xfId="19" applyNumberFormat="1" applyFont="1" applyFill="1" applyBorder="1" applyProtection="1">
      <protection hidden="1"/>
    </xf>
    <xf numFmtId="0" fontId="17" fillId="25" borderId="14" xfId="19" applyFont="1" applyFill="1" applyBorder="1" applyAlignment="1" applyProtection="1">
      <alignment horizontal="left" vertical="center"/>
    </xf>
    <xf numFmtId="2" fontId="4" fillId="0" borderId="10" xfId="0" applyNumberFormat="1" applyFont="1" applyBorder="1"/>
    <xf numFmtId="2" fontId="23" fillId="25" borderId="15" xfId="19" applyNumberFormat="1" applyFont="1" applyFill="1" applyBorder="1" applyAlignment="1" applyProtection="1">
      <alignment horizontal="left" vertical="center"/>
    </xf>
    <xf numFmtId="2" fontId="24" fillId="28" borderId="20" xfId="19" applyNumberFormat="1" applyFont="1" applyFill="1" applyBorder="1" applyProtection="1"/>
    <xf numFmtId="0" fontId="4" fillId="26" borderId="16" xfId="19" applyFill="1" applyBorder="1" applyProtection="1">
      <protection hidden="1"/>
    </xf>
    <xf numFmtId="0" fontId="9" fillId="27" borderId="11" xfId="0" applyFont="1" applyFill="1" applyBorder="1" applyAlignment="1">
      <alignment vertical="center"/>
    </xf>
    <xf numFmtId="0" fontId="9" fillId="27" borderId="12" xfId="0" applyFont="1" applyFill="1" applyBorder="1" applyAlignment="1">
      <alignment vertical="center"/>
    </xf>
    <xf numFmtId="0" fontId="9" fillId="27" borderId="12" xfId="0" applyFont="1" applyFill="1" applyBorder="1" applyAlignment="1" applyProtection="1">
      <alignment vertical="center"/>
      <protection hidden="1"/>
    </xf>
    <xf numFmtId="0" fontId="0" fillId="0" borderId="12" xfId="0" applyBorder="1" applyAlignment="1" applyProtection="1">
      <protection hidden="1"/>
    </xf>
    <xf numFmtId="176" fontId="10" fillId="0" borderId="12" xfId="19" applyNumberFormat="1" applyFont="1" applyBorder="1" applyProtection="1"/>
    <xf numFmtId="0" fontId="10" fillId="0" borderId="12" xfId="19" applyFont="1" applyBorder="1" applyProtection="1"/>
    <xf numFmtId="0" fontId="10" fillId="0" borderId="14" xfId="19" applyFont="1" applyBorder="1" applyProtection="1"/>
    <xf numFmtId="0" fontId="15" fillId="27" borderId="16" xfId="0" applyFont="1" applyFill="1" applyBorder="1" applyAlignment="1">
      <alignment vertical="center"/>
    </xf>
    <xf numFmtId="176" fontId="10" fillId="27" borderId="15" xfId="19" applyNumberFormat="1" applyFont="1" applyFill="1" applyBorder="1" applyProtection="1"/>
    <xf numFmtId="176" fontId="10" fillId="27" borderId="15" xfId="19" applyNumberFormat="1" applyFont="1" applyFill="1" applyBorder="1" applyAlignment="1" applyProtection="1">
      <alignment horizontal="center"/>
    </xf>
    <xf numFmtId="0" fontId="10" fillId="27" borderId="15" xfId="19" applyFont="1" applyFill="1" applyBorder="1" applyProtection="1"/>
    <xf numFmtId="0" fontId="10" fillId="27" borderId="24" xfId="19" applyFont="1" applyFill="1" applyBorder="1" applyProtection="1"/>
    <xf numFmtId="0" fontId="0" fillId="0" borderId="12" xfId="0" applyBorder="1" applyAlignment="1">
      <alignment vertical="center"/>
    </xf>
    <xf numFmtId="0" fontId="10" fillId="27" borderId="0" xfId="19" applyFont="1" applyFill="1" applyBorder="1" applyProtection="1"/>
    <xf numFmtId="0" fontId="10" fillId="27" borderId="23" xfId="19" applyFont="1" applyFill="1" applyBorder="1" applyProtection="1"/>
    <xf numFmtId="0" fontId="4" fillId="0" borderId="13" xfId="19" applyBorder="1"/>
    <xf numFmtId="0" fontId="4" fillId="0" borderId="19" xfId="19" applyBorder="1"/>
    <xf numFmtId="0" fontId="8" fillId="27" borderId="16" xfId="0" applyFont="1" applyFill="1" applyBorder="1" applyAlignment="1">
      <alignment vertical="center"/>
    </xf>
    <xf numFmtId="0" fontId="17" fillId="25" borderId="11" xfId="19" applyFont="1" applyFill="1" applyBorder="1" applyAlignment="1" applyProtection="1">
      <alignment horizontal="left" vertical="center"/>
    </xf>
    <xf numFmtId="0" fontId="10" fillId="0" borderId="0" xfId="19" applyFont="1" applyFill="1"/>
    <xf numFmtId="176" fontId="10" fillId="0" borderId="0" xfId="19" applyNumberFormat="1" applyFont="1" applyFill="1" applyBorder="1" applyAlignment="1" applyProtection="1">
      <alignment horizontal="left"/>
      <protection hidden="1"/>
    </xf>
    <xf numFmtId="176" fontId="2" fillId="24" borderId="26" xfId="19" applyNumberFormat="1" applyFont="1" applyFill="1" applyBorder="1" applyAlignment="1" applyProtection="1">
      <alignment horizontal="center" vertical="center" wrapText="1"/>
      <protection hidden="1"/>
    </xf>
    <xf numFmtId="0" fontId="2" fillId="24" borderId="24" xfId="19" applyFont="1" applyFill="1" applyBorder="1" applyAlignment="1" applyProtection="1">
      <alignment horizontal="center" vertical="center" wrapText="1"/>
      <protection hidden="1"/>
    </xf>
    <xf numFmtId="176" fontId="2" fillId="24" borderId="23" xfId="19" applyNumberFormat="1" applyFont="1" applyFill="1" applyBorder="1" applyAlignment="1" applyProtection="1">
      <alignment horizontal="center" vertical="center" wrapText="1"/>
      <protection hidden="1"/>
    </xf>
    <xf numFmtId="176" fontId="2" fillId="24" borderId="16" xfId="19" applyNumberFormat="1" applyFont="1" applyFill="1" applyBorder="1" applyAlignment="1" applyProtection="1">
      <alignment horizontal="center" vertical="center" wrapText="1"/>
      <protection hidden="1"/>
    </xf>
    <xf numFmtId="0" fontId="12" fillId="27" borderId="15" xfId="0" applyFont="1" applyFill="1" applyBorder="1" applyAlignment="1" applyProtection="1">
      <alignment vertical="center"/>
      <protection locked="0"/>
    </xf>
    <xf numFmtId="0" fontId="3" fillId="27" borderId="15" xfId="0" applyFont="1" applyFill="1" applyBorder="1" applyAlignment="1" applyProtection="1">
      <alignment horizontal="center" vertical="center"/>
      <protection locked="0"/>
    </xf>
    <xf numFmtId="0" fontId="12" fillId="27" borderId="15" xfId="19" applyFont="1" applyFill="1" applyBorder="1" applyProtection="1">
      <protection locked="0"/>
    </xf>
    <xf numFmtId="0" fontId="12" fillId="27" borderId="24" xfId="19" applyFont="1" applyFill="1" applyBorder="1" applyProtection="1">
      <protection locked="0"/>
    </xf>
    <xf numFmtId="0" fontId="4" fillId="0" borderId="13" xfId="19" applyBorder="1" applyAlignment="1">
      <alignment horizontal="center"/>
    </xf>
    <xf numFmtId="178" fontId="25" fillId="25" borderId="11" xfId="19" applyNumberFormat="1" applyFont="1" applyFill="1" applyBorder="1" applyAlignment="1" applyProtection="1">
      <alignment horizontal="left"/>
    </xf>
    <xf numFmtId="0" fontId="8" fillId="27" borderId="0" xfId="0" applyFont="1" applyFill="1" applyBorder="1" applyAlignment="1">
      <alignment vertical="center"/>
    </xf>
    <xf numFmtId="0" fontId="4" fillId="28" borderId="0" xfId="0" applyFont="1" applyFill="1" applyBorder="1" applyAlignment="1">
      <alignment horizontal="center" vertical="center"/>
    </xf>
    <xf numFmtId="178" fontId="4" fillId="26" borderId="15" xfId="19" applyNumberFormat="1" applyFill="1" applyBorder="1"/>
    <xf numFmtId="178" fontId="4" fillId="0" borderId="0" xfId="19" applyNumberFormat="1" applyFill="1" applyBorder="1" applyProtection="1">
      <protection hidden="1"/>
    </xf>
    <xf numFmtId="176" fontId="10" fillId="25" borderId="11" xfId="19" applyNumberFormat="1" applyFont="1" applyFill="1" applyBorder="1" applyProtection="1"/>
    <xf numFmtId="0" fontId="12" fillId="26" borderId="10" xfId="19" applyFont="1" applyFill="1" applyBorder="1" applyAlignment="1" applyProtection="1">
      <alignment horizontal="right"/>
    </xf>
    <xf numFmtId="0" fontId="0" fillId="29" borderId="10" xfId="0" applyFill="1" applyBorder="1"/>
    <xf numFmtId="2" fontId="10" fillId="29" borderId="10" xfId="0" applyNumberFormat="1" applyFont="1" applyFill="1" applyBorder="1" applyAlignment="1" applyProtection="1">
      <alignment horizontal="center" vertical="center" wrapText="1"/>
      <protection locked="0"/>
    </xf>
    <xf numFmtId="0" fontId="0" fillId="29" borderId="10" xfId="0" applyFill="1" applyBorder="1" applyAlignment="1">
      <alignment horizontal="center"/>
    </xf>
    <xf numFmtId="2" fontId="10" fillId="29" borderId="0" xfId="0" applyNumberFormat="1" applyFont="1" applyFill="1" applyAlignment="1" applyProtection="1">
      <alignment horizontal="center" vertical="center" wrapText="1"/>
      <protection locked="0"/>
    </xf>
    <xf numFmtId="0" fontId="10" fillId="29" borderId="10" xfId="0" applyFont="1" applyFill="1" applyBorder="1" applyAlignment="1">
      <alignment horizontal="center"/>
    </xf>
    <xf numFmtId="0" fontId="4" fillId="29" borderId="10" xfId="19" applyFont="1" applyFill="1" applyBorder="1" applyAlignment="1" applyProtection="1">
      <alignment horizontal="center"/>
      <protection hidden="1"/>
    </xf>
    <xf numFmtId="0" fontId="8" fillId="25" borderId="12" xfId="19" applyFont="1" applyFill="1" applyBorder="1" applyAlignment="1" applyProtection="1">
      <alignment horizontal="center" vertical="center"/>
      <protection hidden="1"/>
    </xf>
    <xf numFmtId="2" fontId="4" fillId="28" borderId="10" xfId="19" applyNumberFormat="1" applyFont="1" applyFill="1" applyBorder="1" applyAlignment="1" applyProtection="1">
      <alignment horizontal="center"/>
      <protection hidden="1"/>
    </xf>
    <xf numFmtId="0" fontId="4" fillId="26" borderId="12" xfId="19" applyFont="1" applyFill="1" applyBorder="1" applyAlignment="1" applyProtection="1">
      <alignment horizontal="center"/>
      <protection hidden="1"/>
    </xf>
    <xf numFmtId="178" fontId="4" fillId="30" borderId="10" xfId="19" applyNumberFormat="1" applyFill="1" applyBorder="1" applyProtection="1"/>
    <xf numFmtId="178" fontId="4" fillId="30" borderId="10" xfId="19" applyNumberFormat="1" applyFont="1" applyFill="1" applyBorder="1" applyProtection="1"/>
    <xf numFmtId="178" fontId="4" fillId="30" borderId="26" xfId="19" applyNumberFormat="1" applyFont="1" applyFill="1" applyBorder="1" applyProtection="1"/>
    <xf numFmtId="178" fontId="3" fillId="30" borderId="14" xfId="19" applyNumberFormat="1" applyFont="1" applyFill="1" applyBorder="1" applyAlignment="1" applyProtection="1">
      <alignment horizontal="right"/>
    </xf>
    <xf numFmtId="178" fontId="3" fillId="30" borderId="10" xfId="19" applyNumberFormat="1" applyFont="1" applyFill="1" applyBorder="1" applyAlignment="1" applyProtection="1">
      <alignment horizontal="center"/>
    </xf>
    <xf numFmtId="2" fontId="4" fillId="30" borderId="10" xfId="19" applyNumberFormat="1" applyFont="1" applyFill="1" applyBorder="1" applyAlignment="1" applyProtection="1">
      <alignment horizontal="center"/>
    </xf>
    <xf numFmtId="178" fontId="4" fillId="26" borderId="20" xfId="19" applyNumberFormat="1" applyFont="1" applyFill="1" applyBorder="1" applyProtection="1"/>
    <xf numFmtId="176" fontId="4" fillId="30" borderId="10" xfId="19" applyNumberFormat="1" applyFont="1" applyFill="1" applyBorder="1" applyAlignment="1" applyProtection="1">
      <alignment horizontal="center"/>
    </xf>
    <xf numFmtId="176" fontId="4" fillId="26" borderId="21" xfId="19" applyNumberFormat="1" applyFont="1" applyFill="1" applyBorder="1" applyAlignment="1" applyProtection="1">
      <alignment horizontal="center"/>
    </xf>
    <xf numFmtId="176" fontId="4" fillId="30" borderId="14" xfId="19" applyNumberFormat="1" applyFont="1" applyFill="1" applyBorder="1" applyAlignment="1" applyProtection="1">
      <alignment horizontal="center"/>
    </xf>
    <xf numFmtId="176" fontId="4" fillId="26" borderId="20" xfId="19" applyNumberFormat="1" applyFont="1" applyFill="1" applyBorder="1" applyAlignment="1" applyProtection="1">
      <alignment horizontal="center"/>
    </xf>
    <xf numFmtId="178" fontId="4" fillId="26" borderId="25" xfId="19" applyNumberFormat="1" applyFont="1" applyFill="1" applyBorder="1" applyProtection="1"/>
    <xf numFmtId="176" fontId="4" fillId="26" borderId="22" xfId="19" applyNumberFormat="1" applyFont="1" applyFill="1" applyBorder="1" applyAlignment="1" applyProtection="1">
      <alignment horizontal="center"/>
    </xf>
    <xf numFmtId="176" fontId="4" fillId="26" borderId="25" xfId="19" applyNumberFormat="1" applyFont="1" applyFill="1" applyBorder="1" applyAlignment="1" applyProtection="1">
      <alignment horizontal="center"/>
    </xf>
    <xf numFmtId="178" fontId="4" fillId="26" borderId="21" xfId="19" applyNumberFormat="1" applyFont="1" applyFill="1" applyBorder="1" applyProtection="1"/>
    <xf numFmtId="178" fontId="4" fillId="26" borderId="19" xfId="19" applyNumberFormat="1" applyFont="1" applyFill="1" applyBorder="1" applyProtection="1"/>
    <xf numFmtId="178" fontId="4" fillId="26" borderId="22" xfId="19" applyNumberFormat="1" applyFont="1" applyFill="1" applyBorder="1" applyProtection="1"/>
    <xf numFmtId="178" fontId="4" fillId="26" borderId="23" xfId="19" applyNumberFormat="1" applyFont="1" applyFill="1" applyBorder="1" applyProtection="1"/>
    <xf numFmtId="178" fontId="4" fillId="26" borderId="16" xfId="19" applyNumberFormat="1" applyFont="1" applyFill="1" applyBorder="1" applyProtection="1"/>
    <xf numFmtId="178" fontId="4" fillId="26" borderId="24" xfId="19" applyNumberFormat="1" applyFont="1" applyFill="1" applyBorder="1" applyProtection="1"/>
    <xf numFmtId="178" fontId="4" fillId="26" borderId="26" xfId="19" applyNumberFormat="1" applyFont="1" applyFill="1" applyBorder="1" applyProtection="1"/>
    <xf numFmtId="176" fontId="4" fillId="26" borderId="16" xfId="19" applyNumberFormat="1" applyFont="1" applyFill="1" applyBorder="1" applyAlignment="1" applyProtection="1">
      <alignment horizontal="center"/>
    </xf>
    <xf numFmtId="176" fontId="4" fillId="26" borderId="26" xfId="19" applyNumberFormat="1" applyFont="1" applyFill="1" applyBorder="1" applyAlignment="1" applyProtection="1">
      <alignment horizontal="center"/>
    </xf>
    <xf numFmtId="176" fontId="3" fillId="25" borderId="13" xfId="19" applyNumberFormat="1" applyFont="1" applyFill="1" applyBorder="1" applyProtection="1"/>
    <xf numFmtId="176" fontId="3" fillId="25" borderId="12" xfId="19" applyNumberFormat="1" applyFont="1" applyFill="1" applyBorder="1" applyProtection="1"/>
    <xf numFmtId="176" fontId="4" fillId="25" borderId="0" xfId="19" applyNumberFormat="1" applyFont="1" applyFill="1" applyBorder="1" applyProtection="1"/>
    <xf numFmtId="0" fontId="4" fillId="27" borderId="0" xfId="19" applyFill="1" applyBorder="1" applyProtection="1"/>
    <xf numFmtId="0" fontId="4" fillId="27" borderId="0" xfId="19" applyFill="1" applyBorder="1" applyAlignment="1" applyProtection="1">
      <alignment horizontal="center"/>
    </xf>
    <xf numFmtId="178" fontId="4" fillId="30" borderId="14" xfId="19" applyNumberFormat="1" applyFill="1" applyBorder="1" applyProtection="1"/>
    <xf numFmtId="178" fontId="3" fillId="30" borderId="10" xfId="19" applyNumberFormat="1" applyFont="1" applyFill="1" applyBorder="1" applyAlignment="1" applyProtection="1">
      <alignment horizontal="right"/>
    </xf>
    <xf numFmtId="176" fontId="4" fillId="25" borderId="15" xfId="19" applyNumberFormat="1" applyFont="1" applyFill="1" applyBorder="1" applyProtection="1"/>
    <xf numFmtId="176" fontId="4" fillId="25" borderId="24" xfId="19" applyNumberFormat="1" applyFont="1" applyFill="1" applyBorder="1" applyProtection="1"/>
    <xf numFmtId="2" fontId="4" fillId="30" borderId="14" xfId="19" applyNumberFormat="1" applyFont="1" applyFill="1" applyBorder="1" applyAlignment="1" applyProtection="1">
      <alignment horizontal="center"/>
    </xf>
    <xf numFmtId="176" fontId="4" fillId="30" borderId="11" xfId="19" applyNumberFormat="1" applyFont="1" applyFill="1" applyBorder="1" applyAlignment="1" applyProtection="1">
      <alignment horizontal="center"/>
    </xf>
    <xf numFmtId="2" fontId="10" fillId="30" borderId="10" xfId="19" applyNumberFormat="1" applyFont="1" applyFill="1" applyBorder="1" applyProtection="1"/>
    <xf numFmtId="178" fontId="10" fillId="26" borderId="24" xfId="19" applyNumberFormat="1" applyFont="1" applyFill="1" applyBorder="1" applyAlignment="1" applyProtection="1">
      <alignment horizontal="right"/>
    </xf>
    <xf numFmtId="178" fontId="10" fillId="30" borderId="26" xfId="19" applyNumberFormat="1" applyFont="1" applyFill="1" applyBorder="1" applyProtection="1"/>
    <xf numFmtId="2" fontId="10" fillId="30" borderId="24" xfId="19" applyNumberFormat="1" applyFont="1" applyFill="1" applyBorder="1" applyAlignment="1" applyProtection="1">
      <alignment horizontal="center"/>
    </xf>
    <xf numFmtId="2" fontId="10" fillId="30" borderId="26" xfId="19" applyNumberFormat="1" applyFont="1" applyFill="1" applyBorder="1" applyAlignment="1" applyProtection="1">
      <alignment horizontal="center"/>
    </xf>
    <xf numFmtId="178" fontId="10" fillId="30" borderId="16" xfId="19" applyNumberFormat="1" applyFont="1" applyFill="1" applyBorder="1" applyAlignment="1" applyProtection="1">
      <alignment horizontal="center"/>
    </xf>
    <xf numFmtId="176" fontId="10" fillId="30" borderId="16" xfId="19" applyNumberFormat="1" applyFont="1" applyFill="1" applyBorder="1" applyAlignment="1" applyProtection="1">
      <alignment horizontal="center"/>
    </xf>
    <xf numFmtId="176" fontId="10" fillId="30" borderId="26" xfId="19" applyNumberFormat="1" applyFont="1" applyFill="1" applyBorder="1" applyAlignment="1" applyProtection="1">
      <alignment horizontal="center"/>
    </xf>
    <xf numFmtId="178" fontId="10" fillId="26" borderId="14" xfId="19" applyNumberFormat="1" applyFont="1" applyFill="1" applyBorder="1" applyAlignment="1" applyProtection="1">
      <alignment horizontal="right"/>
    </xf>
    <xf numFmtId="0" fontId="10" fillId="25" borderId="12" xfId="19" applyFont="1" applyFill="1" applyBorder="1" applyAlignment="1" applyProtection="1">
      <alignment horizontal="left"/>
    </xf>
    <xf numFmtId="2" fontId="10" fillId="25" borderId="12" xfId="19" applyNumberFormat="1" applyFont="1" applyFill="1" applyBorder="1" applyAlignment="1" applyProtection="1">
      <alignment horizontal="left"/>
    </xf>
    <xf numFmtId="176" fontId="10" fillId="25" borderId="14" xfId="19" applyNumberFormat="1" applyFont="1" applyFill="1" applyBorder="1" applyAlignment="1" applyProtection="1">
      <alignment horizontal="left"/>
    </xf>
    <xf numFmtId="178" fontId="10" fillId="30" borderId="10" xfId="19" applyNumberFormat="1" applyFont="1" applyFill="1" applyBorder="1" applyProtection="1"/>
    <xf numFmtId="176" fontId="10" fillId="30" borderId="11" xfId="19" applyNumberFormat="1" applyFont="1" applyFill="1" applyBorder="1" applyAlignment="1" applyProtection="1">
      <alignment horizontal="center"/>
    </xf>
    <xf numFmtId="2" fontId="10" fillId="28" borderId="22" xfId="19" applyNumberFormat="1" applyFont="1" applyFill="1" applyBorder="1" applyProtection="1"/>
    <xf numFmtId="176" fontId="10" fillId="28" borderId="25" xfId="19" applyNumberFormat="1" applyFont="1" applyFill="1" applyBorder="1" applyAlignment="1" applyProtection="1">
      <alignment horizontal="center"/>
    </xf>
    <xf numFmtId="176" fontId="10" fillId="28" borderId="11" xfId="19" applyNumberFormat="1" applyFont="1" applyFill="1" applyBorder="1" applyAlignment="1" applyProtection="1">
      <alignment horizontal="center"/>
    </xf>
    <xf numFmtId="176" fontId="10" fillId="28" borderId="10" xfId="19" applyNumberFormat="1" applyFont="1" applyFill="1" applyBorder="1" applyAlignment="1" applyProtection="1">
      <alignment horizontal="center"/>
    </xf>
    <xf numFmtId="0" fontId="10" fillId="28" borderId="25" xfId="19" applyFont="1" applyFill="1" applyBorder="1" applyAlignment="1" applyProtection="1">
      <alignment horizontal="right"/>
    </xf>
    <xf numFmtId="176" fontId="10" fillId="28" borderId="10" xfId="19" applyNumberFormat="1" applyFont="1" applyFill="1" applyBorder="1" applyProtection="1"/>
    <xf numFmtId="176" fontId="10" fillId="28" borderId="23" xfId="19" applyNumberFormat="1" applyFont="1" applyFill="1" applyBorder="1" applyProtection="1"/>
    <xf numFmtId="176" fontId="10" fillId="28" borderId="22" xfId="19" applyNumberFormat="1" applyFont="1" applyFill="1" applyBorder="1" applyAlignment="1" applyProtection="1">
      <alignment horizontal="center"/>
    </xf>
    <xf numFmtId="176" fontId="10" fillId="25" borderId="11" xfId="19" applyNumberFormat="1" applyFont="1" applyFill="1" applyBorder="1" applyAlignment="1" applyProtection="1">
      <alignment horizontal="left"/>
    </xf>
    <xf numFmtId="178" fontId="10" fillId="30" borderId="14" xfId="19" applyNumberFormat="1" applyFont="1" applyFill="1" applyBorder="1" applyProtection="1"/>
    <xf numFmtId="178" fontId="10" fillId="30" borderId="24" xfId="19" applyNumberFormat="1" applyFont="1" applyFill="1" applyBorder="1" applyAlignment="1" applyProtection="1">
      <alignment horizontal="center"/>
    </xf>
    <xf numFmtId="178" fontId="10" fillId="30" borderId="26" xfId="19" applyNumberFormat="1" applyFont="1" applyFill="1" applyBorder="1" applyAlignment="1" applyProtection="1">
      <alignment horizontal="center"/>
    </xf>
    <xf numFmtId="176" fontId="10" fillId="25" borderId="11" xfId="19" applyNumberFormat="1" applyFont="1" applyFill="1" applyBorder="1" applyAlignment="1" applyProtection="1">
      <alignment horizontal="center"/>
    </xf>
    <xf numFmtId="176" fontId="10" fillId="25" borderId="14" xfId="19" applyNumberFormat="1" applyFont="1" applyFill="1" applyBorder="1" applyAlignment="1" applyProtection="1">
      <alignment horizontal="center"/>
    </xf>
    <xf numFmtId="0" fontId="2" fillId="24" borderId="10" xfId="19" applyFont="1" applyFill="1" applyBorder="1" applyAlignment="1" applyProtection="1">
      <alignment horizontal="center" vertical="center" wrapText="1"/>
    </xf>
    <xf numFmtId="176" fontId="2" fillId="24" borderId="20" xfId="19" applyNumberFormat="1" applyFont="1" applyFill="1" applyBorder="1" applyAlignment="1" applyProtection="1">
      <alignment horizontal="center" vertical="center" wrapText="1"/>
    </xf>
    <xf numFmtId="176" fontId="2" fillId="24" borderId="10" xfId="19" applyNumberFormat="1" applyFont="1" applyFill="1" applyBorder="1" applyAlignment="1" applyProtection="1">
      <alignment horizontal="center" vertical="center" wrapText="1"/>
    </xf>
    <xf numFmtId="176" fontId="2" fillId="24" borderId="19" xfId="19" applyNumberFormat="1" applyFont="1" applyFill="1" applyBorder="1" applyAlignment="1" applyProtection="1">
      <alignment horizontal="center" vertical="center" wrapText="1"/>
    </xf>
    <xf numFmtId="0" fontId="4" fillId="0" borderId="0" xfId="19" applyProtection="1"/>
    <xf numFmtId="0" fontId="2" fillId="24" borderId="20" xfId="19" applyFont="1" applyFill="1" applyBorder="1" applyAlignment="1" applyProtection="1">
      <alignment horizontal="center" vertical="center" wrapText="1"/>
    </xf>
    <xf numFmtId="176" fontId="2" fillId="24" borderId="11" xfId="19" applyNumberFormat="1" applyFont="1" applyFill="1" applyBorder="1" applyAlignment="1" applyProtection="1">
      <alignment horizontal="center" vertical="center" wrapText="1"/>
    </xf>
    <xf numFmtId="176" fontId="10" fillId="25" borderId="14" xfId="19" applyNumberFormat="1" applyFont="1" applyFill="1" applyBorder="1" applyProtection="1"/>
    <xf numFmtId="0" fontId="10" fillId="28" borderId="10" xfId="19" applyFont="1" applyFill="1" applyBorder="1" applyAlignment="1" applyProtection="1">
      <alignment horizontal="right"/>
    </xf>
    <xf numFmtId="0" fontId="10" fillId="29" borderId="26" xfId="19" applyFont="1" applyFill="1" applyBorder="1" applyProtection="1"/>
    <xf numFmtId="176" fontId="10" fillId="30" borderId="10" xfId="19" applyNumberFormat="1" applyFont="1" applyFill="1" applyBorder="1" applyAlignment="1" applyProtection="1">
      <alignment horizontal="center"/>
    </xf>
    <xf numFmtId="0" fontId="10" fillId="29" borderId="10" xfId="19" applyFont="1" applyFill="1" applyBorder="1" applyProtection="1"/>
    <xf numFmtId="176" fontId="10" fillId="25" borderId="10" xfId="19" applyNumberFormat="1" applyFont="1" applyFill="1" applyBorder="1" applyAlignment="1" applyProtection="1">
      <alignment horizontal="center"/>
    </xf>
    <xf numFmtId="0" fontId="10" fillId="29" borderId="20" xfId="19" applyFont="1" applyFill="1" applyBorder="1" applyProtection="1"/>
    <xf numFmtId="178" fontId="10" fillId="0" borderId="0" xfId="19" applyNumberFormat="1" applyFont="1" applyFill="1" applyBorder="1" applyAlignment="1" applyProtection="1">
      <alignment horizontal="center"/>
    </xf>
    <xf numFmtId="0" fontId="10" fillId="29" borderId="16" xfId="19" applyFont="1" applyFill="1" applyBorder="1" applyProtection="1"/>
    <xf numFmtId="0" fontId="10" fillId="29" borderId="11" xfId="19" applyFont="1" applyFill="1" applyBorder="1" applyProtection="1"/>
    <xf numFmtId="0" fontId="10" fillId="29" borderId="21" xfId="19" applyFont="1" applyFill="1" applyBorder="1" applyProtection="1"/>
    <xf numFmtId="0" fontId="2" fillId="24" borderId="21" xfId="19" applyFont="1" applyFill="1" applyBorder="1" applyAlignment="1" applyProtection="1">
      <alignment horizontal="center" vertical="center" wrapText="1"/>
    </xf>
    <xf numFmtId="176" fontId="10" fillId="0" borderId="0" xfId="19" applyNumberFormat="1" applyFont="1" applyFill="1" applyBorder="1" applyAlignment="1" applyProtection="1">
      <alignment horizontal="left"/>
    </xf>
    <xf numFmtId="0" fontId="10" fillId="25" borderId="12" xfId="19" applyFont="1" applyFill="1" applyBorder="1" applyAlignment="1" applyProtection="1">
      <alignment horizontal="center"/>
    </xf>
    <xf numFmtId="178" fontId="10" fillId="25" borderId="12" xfId="19" applyNumberFormat="1" applyFont="1" applyFill="1" applyBorder="1" applyAlignment="1" applyProtection="1">
      <alignment horizontal="center"/>
    </xf>
    <xf numFmtId="0" fontId="4" fillId="26" borderId="0" xfId="19" applyFill="1" applyProtection="1"/>
    <xf numFmtId="0" fontId="4" fillId="26" borderId="0" xfId="19" applyFill="1" applyAlignment="1" applyProtection="1">
      <alignment horizontal="center"/>
    </xf>
    <xf numFmtId="0" fontId="4" fillId="26" borderId="16" xfId="19" applyFill="1" applyBorder="1" applyProtection="1"/>
    <xf numFmtId="0" fontId="4" fillId="26" borderId="0" xfId="19" applyFill="1" applyBorder="1" applyProtection="1"/>
    <xf numFmtId="178" fontId="4" fillId="26" borderId="26" xfId="19" applyNumberFormat="1" applyFill="1" applyBorder="1" applyProtection="1"/>
    <xf numFmtId="0" fontId="0" fillId="0" borderId="0" xfId="0" applyProtection="1"/>
    <xf numFmtId="0" fontId="0" fillId="0" borderId="0" xfId="0" applyAlignment="1" applyProtection="1">
      <alignment horizontal="center"/>
    </xf>
    <xf numFmtId="176" fontId="10" fillId="28" borderId="23" xfId="19" applyNumberFormat="1" applyFont="1" applyFill="1" applyBorder="1" applyAlignment="1" applyProtection="1">
      <alignment horizontal="right"/>
    </xf>
    <xf numFmtId="178" fontId="10" fillId="25" borderId="12" xfId="19" applyNumberFormat="1" applyFont="1" applyFill="1" applyBorder="1" applyAlignment="1" applyProtection="1">
      <alignment horizontal="right"/>
    </xf>
    <xf numFmtId="178" fontId="10" fillId="26" borderId="19" xfId="19" applyNumberFormat="1" applyFont="1" applyFill="1" applyBorder="1" applyAlignment="1" applyProtection="1">
      <alignment horizontal="right"/>
    </xf>
    <xf numFmtId="0" fontId="4" fillId="26" borderId="15" xfId="19" applyFill="1" applyBorder="1" applyProtection="1"/>
    <xf numFmtId="0" fontId="4" fillId="26" borderId="15" xfId="19" applyFill="1" applyBorder="1" applyAlignment="1" applyProtection="1">
      <alignment horizontal="center"/>
    </xf>
    <xf numFmtId="0" fontId="4" fillId="26" borderId="11" xfId="19" applyFill="1" applyBorder="1" applyProtection="1"/>
    <xf numFmtId="178" fontId="4" fillId="26" borderId="10" xfId="19" applyNumberFormat="1" applyFill="1" applyBorder="1" applyProtection="1"/>
    <xf numFmtId="178" fontId="10" fillId="30" borderId="26" xfId="19" applyNumberFormat="1" applyFont="1" applyFill="1" applyBorder="1" applyAlignment="1" applyProtection="1">
      <alignment horizontal="right"/>
    </xf>
    <xf numFmtId="176" fontId="2" fillId="24" borderId="14" xfId="19" applyNumberFormat="1" applyFont="1" applyFill="1" applyBorder="1" applyAlignment="1" applyProtection="1">
      <alignment horizontal="center" vertical="center" wrapText="1"/>
    </xf>
    <xf numFmtId="176" fontId="10" fillId="25" borderId="15" xfId="19" applyNumberFormat="1" applyFont="1" applyFill="1" applyBorder="1" applyAlignment="1" applyProtection="1">
      <alignment horizontal="left"/>
    </xf>
    <xf numFmtId="0" fontId="10" fillId="25" borderId="15" xfId="19" applyFont="1" applyFill="1" applyBorder="1" applyAlignment="1" applyProtection="1">
      <alignment horizontal="left"/>
    </xf>
    <xf numFmtId="178" fontId="10" fillId="30" borderId="19" xfId="19" applyNumberFormat="1" applyFont="1" applyFill="1" applyBorder="1" applyProtection="1"/>
    <xf numFmtId="178" fontId="10" fillId="30" borderId="10" xfId="19" applyNumberFormat="1" applyFont="1" applyFill="1" applyBorder="1" applyAlignment="1" applyProtection="1">
      <alignment horizontal="center"/>
    </xf>
    <xf numFmtId="176" fontId="10" fillId="28" borderId="14" xfId="19" applyNumberFormat="1" applyFont="1" applyFill="1" applyBorder="1" applyProtection="1"/>
    <xf numFmtId="176" fontId="10" fillId="28" borderId="26" xfId="19" applyNumberFormat="1" applyFont="1" applyFill="1" applyBorder="1" applyAlignment="1" applyProtection="1">
      <alignment horizontal="center"/>
    </xf>
    <xf numFmtId="176" fontId="10" fillId="28" borderId="16" xfId="19" applyNumberFormat="1" applyFont="1" applyFill="1" applyBorder="1" applyAlignment="1" applyProtection="1">
      <alignment horizontal="center"/>
    </xf>
    <xf numFmtId="0" fontId="5" fillId="24" borderId="14" xfId="19" applyFont="1" applyFill="1" applyBorder="1" applyAlignment="1" applyProtection="1">
      <alignment horizontal="center" vertical="center" wrapText="1"/>
    </xf>
    <xf numFmtId="0" fontId="4" fillId="0" borderId="0" xfId="19" applyAlignment="1" applyProtection="1">
      <alignment horizontal="center" vertical="center"/>
    </xf>
    <xf numFmtId="178" fontId="4" fillId="26" borderId="10" xfId="19" applyNumberFormat="1" applyFont="1" applyFill="1" applyBorder="1" applyAlignment="1" applyProtection="1">
      <alignment horizontal="right"/>
    </xf>
    <xf numFmtId="178" fontId="4" fillId="30" borderId="10" xfId="19" applyNumberFormat="1" applyFont="1" applyFill="1" applyBorder="1" applyAlignment="1" applyProtection="1">
      <alignment horizontal="center"/>
    </xf>
    <xf numFmtId="0" fontId="4" fillId="0" borderId="0" xfId="19" applyFill="1" applyProtection="1"/>
    <xf numFmtId="0" fontId="0" fillId="27" borderId="0" xfId="0" applyFill="1" applyProtection="1"/>
    <xf numFmtId="176" fontId="4" fillId="28" borderId="10" xfId="19" applyNumberFormat="1" applyFont="1" applyFill="1" applyBorder="1" applyAlignment="1" applyProtection="1">
      <alignment horizontal="center"/>
    </xf>
    <xf numFmtId="178" fontId="4" fillId="28" borderId="19" xfId="19" applyNumberFormat="1" applyFont="1" applyFill="1" applyBorder="1" applyProtection="1"/>
    <xf numFmtId="178" fontId="4" fillId="28" borderId="14" xfId="19" applyNumberFormat="1" applyFont="1" applyFill="1" applyBorder="1" applyProtection="1"/>
    <xf numFmtId="176" fontId="4" fillId="28" borderId="11" xfId="19" applyNumberFormat="1" applyFont="1" applyFill="1" applyBorder="1" applyAlignment="1" applyProtection="1">
      <alignment horizontal="center"/>
    </xf>
    <xf numFmtId="178" fontId="5" fillId="25" borderId="12" xfId="19" applyNumberFormat="1" applyFont="1" applyFill="1" applyBorder="1" applyAlignment="1" applyProtection="1">
      <alignment horizontal="left" vertical="center"/>
    </xf>
    <xf numFmtId="178" fontId="4" fillId="25" borderId="12" xfId="19" applyNumberFormat="1" applyFont="1" applyFill="1" applyBorder="1" applyAlignment="1" applyProtection="1">
      <alignment horizontal="left"/>
    </xf>
    <xf numFmtId="178" fontId="4" fillId="25" borderId="14" xfId="19" applyNumberFormat="1" applyFont="1" applyFill="1" applyBorder="1" applyAlignment="1" applyProtection="1">
      <alignment horizontal="left"/>
    </xf>
    <xf numFmtId="0" fontId="4" fillId="28" borderId="10" xfId="19" applyFont="1" applyFill="1" applyBorder="1" applyAlignment="1" applyProtection="1">
      <alignment horizontal="center"/>
    </xf>
    <xf numFmtId="0" fontId="4" fillId="28" borderId="11" xfId="19" applyFont="1" applyFill="1" applyBorder="1" applyAlignment="1" applyProtection="1">
      <alignment horizontal="center"/>
    </xf>
    <xf numFmtId="0" fontId="4" fillId="0" borderId="0" xfId="19" applyFont="1" applyProtection="1"/>
    <xf numFmtId="178" fontId="4" fillId="26" borderId="12" xfId="19" applyNumberFormat="1" applyFont="1" applyFill="1" applyBorder="1" applyProtection="1"/>
    <xf numFmtId="178" fontId="4" fillId="26" borderId="12" xfId="19" applyNumberFormat="1" applyFont="1" applyFill="1" applyBorder="1" applyAlignment="1" applyProtection="1">
      <alignment horizontal="right"/>
    </xf>
    <xf numFmtId="178" fontId="4" fillId="26" borderId="14" xfId="19" applyNumberFormat="1" applyFont="1" applyFill="1" applyBorder="1" applyProtection="1"/>
    <xf numFmtId="176" fontId="4" fillId="26" borderId="14" xfId="19" applyNumberFormat="1" applyFont="1" applyFill="1" applyBorder="1" applyProtection="1"/>
    <xf numFmtId="176" fontId="4" fillId="26" borderId="14" xfId="19" applyNumberFormat="1" applyFont="1" applyFill="1" applyBorder="1" applyAlignment="1" applyProtection="1">
      <alignment horizontal="center"/>
    </xf>
    <xf numFmtId="176" fontId="4" fillId="26" borderId="12" xfId="19" applyNumberFormat="1" applyFont="1" applyFill="1" applyBorder="1" applyAlignment="1" applyProtection="1">
      <alignment horizontal="center"/>
    </xf>
    <xf numFmtId="178" fontId="4" fillId="28" borderId="10" xfId="19" applyNumberFormat="1" applyFont="1" applyFill="1" applyBorder="1" applyAlignment="1" applyProtection="1">
      <alignment horizontal="right"/>
    </xf>
    <xf numFmtId="178" fontId="4" fillId="28" borderId="14" xfId="19" applyNumberFormat="1" applyFont="1" applyFill="1" applyBorder="1" applyAlignment="1" applyProtection="1">
      <alignment horizontal="right"/>
    </xf>
    <xf numFmtId="178" fontId="4" fillId="0" borderId="10" xfId="19" applyNumberFormat="1" applyBorder="1" applyProtection="1"/>
    <xf numFmtId="0" fontId="4" fillId="0" borderId="10" xfId="0" applyFont="1" applyBorder="1" applyProtection="1"/>
    <xf numFmtId="178" fontId="4" fillId="0" borderId="10" xfId="19" applyNumberFormat="1" applyFont="1" applyBorder="1" applyProtection="1"/>
    <xf numFmtId="0" fontId="0" fillId="0" borderId="0" xfId="0" applyFill="1" applyProtection="1"/>
    <xf numFmtId="0" fontId="0" fillId="0" borderId="0" xfId="0" applyFill="1" applyProtection="1">
      <protection locked="0"/>
    </xf>
    <xf numFmtId="178" fontId="10" fillId="26" borderId="10" xfId="19" applyNumberFormat="1" applyFont="1" applyFill="1" applyBorder="1" applyAlignment="1" applyProtection="1">
      <alignment horizontal="right"/>
      <protection locked="0"/>
    </xf>
    <xf numFmtId="178" fontId="10" fillId="25" borderId="10" xfId="19" applyNumberFormat="1" applyFont="1" applyFill="1" applyBorder="1" applyAlignment="1" applyProtection="1">
      <alignment horizontal="left"/>
      <protection locked="0"/>
    </xf>
    <xf numFmtId="178" fontId="10" fillId="25" borderId="12" xfId="19" applyNumberFormat="1" applyFont="1" applyFill="1" applyBorder="1" applyAlignment="1" applyProtection="1">
      <alignment horizontal="right"/>
      <protection locked="0"/>
    </xf>
    <xf numFmtId="178" fontId="25" fillId="25" borderId="10" xfId="19" applyNumberFormat="1" applyFont="1" applyFill="1" applyBorder="1" applyAlignment="1" applyProtection="1">
      <alignment horizontal="left"/>
      <protection locked="0"/>
    </xf>
    <xf numFmtId="1" fontId="33" fillId="29" borderId="10" xfId="0" applyNumberFormat="1" applyFont="1" applyFill="1" applyBorder="1" applyAlignment="1" applyProtection="1">
      <alignment horizontal="center" vertical="center" wrapText="1"/>
      <protection locked="0"/>
    </xf>
    <xf numFmtId="1" fontId="4" fillId="25" borderId="12" xfId="19" applyNumberFormat="1" applyFont="1" applyFill="1" applyBorder="1" applyProtection="1">
      <protection hidden="1"/>
    </xf>
    <xf numFmtId="0" fontId="4" fillId="29" borderId="10" xfId="19" applyFont="1" applyFill="1" applyBorder="1" applyProtection="1"/>
    <xf numFmtId="0" fontId="8" fillId="25" borderId="12" xfId="19" applyFont="1" applyFill="1" applyBorder="1" applyAlignment="1" applyProtection="1">
      <alignment horizontal="right" vertical="center"/>
    </xf>
    <xf numFmtId="2" fontId="4" fillId="25" borderId="12" xfId="19" applyNumberFormat="1" applyFont="1" applyFill="1" applyBorder="1" applyProtection="1"/>
    <xf numFmtId="1" fontId="4" fillId="29" borderId="10" xfId="19" applyNumberFormat="1" applyFont="1" applyFill="1" applyBorder="1" applyProtection="1"/>
    <xf numFmtId="1" fontId="4" fillId="29" borderId="10" xfId="19" applyNumberFormat="1" applyFont="1" applyFill="1" applyBorder="1" applyAlignment="1" applyProtection="1">
      <alignment horizontal="right"/>
    </xf>
    <xf numFmtId="1" fontId="33" fillId="29" borderId="10" xfId="0" applyNumberFormat="1" applyFont="1" applyFill="1" applyBorder="1" applyAlignment="1" applyProtection="1">
      <alignment horizontal="center" vertical="center" wrapText="1"/>
    </xf>
    <xf numFmtId="1" fontId="8" fillId="25" borderId="11" xfId="19" applyNumberFormat="1" applyFont="1" applyFill="1" applyBorder="1" applyAlignment="1" applyProtection="1">
      <alignment horizontal="left" vertical="center"/>
    </xf>
    <xf numFmtId="1" fontId="8" fillId="25" borderId="12" xfId="19" applyNumberFormat="1" applyFont="1" applyFill="1" applyBorder="1" applyAlignment="1" applyProtection="1">
      <alignment horizontal="right" vertical="center"/>
    </xf>
    <xf numFmtId="1" fontId="4" fillId="25" borderId="12" xfId="19" applyNumberFormat="1" applyFont="1" applyFill="1" applyBorder="1" applyProtection="1"/>
    <xf numFmtId="1" fontId="17" fillId="25" borderId="12" xfId="19" applyNumberFormat="1" applyFont="1" applyFill="1" applyBorder="1" applyAlignment="1" applyProtection="1">
      <alignment horizontal="left" vertical="center"/>
    </xf>
    <xf numFmtId="1" fontId="17" fillId="25" borderId="10" xfId="19" applyNumberFormat="1" applyFont="1" applyFill="1" applyBorder="1" applyAlignment="1" applyProtection="1">
      <alignment horizontal="left" vertical="center"/>
    </xf>
    <xf numFmtId="1" fontId="10" fillId="28" borderId="22" xfId="19" applyNumberFormat="1" applyFont="1" applyFill="1" applyBorder="1" applyProtection="1"/>
    <xf numFmtId="1" fontId="4" fillId="26" borderId="0" xfId="19" applyNumberFormat="1" applyFill="1" applyProtection="1"/>
    <xf numFmtId="1" fontId="2" fillId="24" borderId="21" xfId="19" applyNumberFormat="1" applyFont="1" applyFill="1" applyBorder="1" applyAlignment="1" applyProtection="1">
      <alignment horizontal="center" vertical="center" wrapText="1"/>
    </xf>
    <xf numFmtId="1" fontId="4" fillId="26" borderId="15" xfId="19" applyNumberFormat="1" applyFill="1" applyBorder="1" applyProtection="1"/>
    <xf numFmtId="1" fontId="2" fillId="24" borderId="10" xfId="19" applyNumberFormat="1" applyFont="1" applyFill="1" applyBorder="1" applyAlignment="1" applyProtection="1">
      <alignment horizontal="center" vertical="center" wrapText="1"/>
    </xf>
    <xf numFmtId="2" fontId="10" fillId="29" borderId="10" xfId="0" applyNumberFormat="1" applyFont="1" applyFill="1" applyBorder="1" applyAlignment="1" applyProtection="1">
      <alignment horizontal="center" vertical="center" wrapText="1"/>
    </xf>
    <xf numFmtId="0" fontId="0" fillId="29" borderId="10" xfId="0" applyFill="1" applyBorder="1" applyAlignment="1" applyProtection="1">
      <alignment horizontal="center"/>
    </xf>
    <xf numFmtId="2" fontId="4" fillId="28" borderId="10" xfId="19" applyNumberFormat="1" applyFont="1" applyFill="1" applyBorder="1" applyProtection="1"/>
    <xf numFmtId="2" fontId="4" fillId="25" borderId="12" xfId="19" applyNumberFormat="1" applyFont="1" applyFill="1" applyBorder="1" applyAlignment="1" applyProtection="1">
      <alignment horizontal="left"/>
    </xf>
    <xf numFmtId="1" fontId="4" fillId="28" borderId="10" xfId="19" applyNumberFormat="1" applyFont="1" applyFill="1" applyBorder="1" applyProtection="1"/>
    <xf numFmtId="1" fontId="4" fillId="25" borderId="12" xfId="19" applyNumberFormat="1" applyFont="1" applyFill="1" applyBorder="1" applyAlignment="1" applyProtection="1">
      <alignment horizontal="left"/>
    </xf>
    <xf numFmtId="0" fontId="4" fillId="29" borderId="11" xfId="19" applyFont="1" applyFill="1" applyBorder="1" applyProtection="1"/>
    <xf numFmtId="0" fontId="4" fillId="28" borderId="11" xfId="19" applyFont="1" applyFill="1" applyBorder="1" applyProtection="1"/>
    <xf numFmtId="0" fontId="4" fillId="28" borderId="10" xfId="19" applyFont="1" applyFill="1" applyBorder="1" applyAlignment="1" applyProtection="1">
      <alignment horizontal="right"/>
    </xf>
    <xf numFmtId="0" fontId="8" fillId="25" borderId="13" xfId="19" applyFont="1" applyFill="1" applyBorder="1" applyAlignment="1" applyProtection="1">
      <alignment horizontal="left" vertical="center"/>
    </xf>
    <xf numFmtId="2" fontId="10" fillId="29" borderId="0" xfId="0" applyNumberFormat="1" applyFont="1" applyFill="1" applyAlignment="1" applyProtection="1">
      <alignment horizontal="center" vertical="center" wrapText="1"/>
    </xf>
    <xf numFmtId="0" fontId="8" fillId="25" borderId="12" xfId="19" applyFont="1" applyFill="1" applyBorder="1" applyAlignment="1" applyProtection="1">
      <alignment horizontal="left" vertical="center"/>
    </xf>
    <xf numFmtId="3" fontId="33" fillId="29" borderId="10" xfId="0" applyNumberFormat="1" applyFont="1" applyFill="1" applyBorder="1" applyAlignment="1" applyProtection="1">
      <alignment horizontal="center" vertical="center" wrapText="1"/>
    </xf>
    <xf numFmtId="3" fontId="4" fillId="27" borderId="12" xfId="19" applyNumberFormat="1" applyFont="1" applyFill="1" applyBorder="1" applyAlignment="1" applyProtection="1">
      <alignment horizontal="left"/>
    </xf>
    <xf numFmtId="3" fontId="4" fillId="28" borderId="20" xfId="19" applyNumberFormat="1" applyFont="1" applyFill="1" applyBorder="1" applyProtection="1"/>
    <xf numFmtId="0" fontId="4" fillId="29" borderId="10" xfId="19" applyFill="1" applyBorder="1" applyProtection="1"/>
    <xf numFmtId="0" fontId="4" fillId="29" borderId="10" xfId="19" applyFont="1" applyFill="1" applyBorder="1" applyAlignment="1" applyProtection="1">
      <alignment horizontal="center"/>
    </xf>
    <xf numFmtId="0" fontId="8" fillId="25" borderId="12" xfId="19" applyFont="1" applyFill="1" applyBorder="1" applyAlignment="1" applyProtection="1">
      <alignment horizontal="center" vertical="center"/>
    </xf>
    <xf numFmtId="0" fontId="10" fillId="29" borderId="10" xfId="0" applyFont="1" applyFill="1" applyBorder="1" applyAlignment="1" applyProtection="1">
      <alignment horizontal="center"/>
    </xf>
    <xf numFmtId="1" fontId="10" fillId="29" borderId="10" xfId="0" applyNumberFormat="1" applyFont="1" applyFill="1" applyBorder="1" applyAlignment="1" applyProtection="1">
      <alignment horizontal="center" vertical="center" wrapText="1"/>
    </xf>
    <xf numFmtId="1" fontId="4" fillId="29" borderId="10" xfId="19" applyNumberFormat="1" applyFill="1" applyBorder="1" applyProtection="1"/>
    <xf numFmtId="1" fontId="4" fillId="29" borderId="10" xfId="19" applyNumberFormat="1" applyFont="1" applyFill="1" applyBorder="1" applyAlignment="1" applyProtection="1">
      <alignment horizontal="center"/>
    </xf>
    <xf numFmtId="1" fontId="8" fillId="25" borderId="12" xfId="19" applyNumberFormat="1" applyFont="1" applyFill="1" applyBorder="1" applyAlignment="1" applyProtection="1">
      <alignment horizontal="center" vertical="center"/>
    </xf>
    <xf numFmtId="1" fontId="4" fillId="28" borderId="10" xfId="19" applyNumberFormat="1" applyFont="1" applyFill="1" applyBorder="1" applyAlignment="1" applyProtection="1">
      <alignment horizontal="center"/>
    </xf>
    <xf numFmtId="1" fontId="10" fillId="29" borderId="0" xfId="0" applyNumberFormat="1" applyFont="1" applyFill="1" applyAlignment="1" applyProtection="1">
      <alignment horizontal="center" vertical="center" wrapText="1"/>
    </xf>
    <xf numFmtId="1" fontId="10" fillId="29" borderId="10" xfId="0" applyNumberFormat="1" applyFont="1" applyFill="1" applyBorder="1" applyAlignment="1" applyProtection="1">
      <alignment horizontal="center"/>
    </xf>
    <xf numFmtId="1" fontId="0" fillId="29" borderId="10" xfId="0" applyNumberFormat="1" applyFill="1" applyBorder="1" applyAlignment="1" applyProtection="1">
      <alignment horizontal="center"/>
    </xf>
    <xf numFmtId="177" fontId="4" fillId="28" borderId="10" xfId="19" applyNumberFormat="1" applyFont="1" applyFill="1" applyBorder="1" applyAlignment="1" applyProtection="1">
      <alignment horizontal="right"/>
    </xf>
    <xf numFmtId="2" fontId="4" fillId="28" borderId="10" xfId="19" applyNumberFormat="1" applyFont="1" applyFill="1" applyBorder="1" applyAlignment="1" applyProtection="1">
      <alignment horizontal="center"/>
    </xf>
    <xf numFmtId="178" fontId="10" fillId="0" borderId="10" xfId="19" applyNumberFormat="1" applyFont="1" applyBorder="1" applyProtection="1"/>
    <xf numFmtId="0" fontId="1" fillId="0" borderId="10" xfId="0" applyFont="1" applyBorder="1" applyProtection="1"/>
    <xf numFmtId="0" fontId="1" fillId="0" borderId="10" xfId="0" applyFont="1" applyFill="1" applyBorder="1" applyProtection="1"/>
    <xf numFmtId="178" fontId="4" fillId="0" borderId="10" xfId="19" applyNumberFormat="1" applyFont="1" applyFill="1" applyBorder="1" applyProtection="1"/>
    <xf numFmtId="0" fontId="10" fillId="33" borderId="0" xfId="19" applyFont="1" applyFill="1" applyAlignment="1" applyProtection="1">
      <alignment horizontal="center"/>
    </xf>
    <xf numFmtId="0" fontId="10" fillId="34" borderId="0" xfId="19" applyFont="1" applyFill="1" applyAlignment="1" applyProtection="1">
      <alignment horizontal="center"/>
    </xf>
    <xf numFmtId="0" fontId="4" fillId="33" borderId="0" xfId="19" applyFont="1" applyFill="1" applyAlignment="1" applyProtection="1">
      <alignment horizontal="center"/>
    </xf>
    <xf numFmtId="0" fontId="4" fillId="34" borderId="0" xfId="19" applyFont="1" applyFill="1" applyAlignment="1" applyProtection="1">
      <alignment horizontal="center"/>
    </xf>
    <xf numFmtId="0" fontId="0" fillId="0" borderId="0" xfId="0" applyFill="1" applyBorder="1" applyProtection="1"/>
    <xf numFmtId="0" fontId="0" fillId="0" borderId="0" xfId="0" applyFill="1" applyBorder="1" applyProtection="1">
      <protection locked="0"/>
    </xf>
    <xf numFmtId="2" fontId="1" fillId="28" borderId="20" xfId="19" applyNumberFormat="1" applyFont="1" applyFill="1" applyBorder="1" applyProtection="1"/>
    <xf numFmtId="178" fontId="1" fillId="28" borderId="20" xfId="19" applyNumberFormat="1" applyFont="1" applyFill="1" applyBorder="1" applyProtection="1"/>
    <xf numFmtId="178" fontId="4" fillId="30" borderId="10" xfId="19" applyNumberFormat="1" applyFill="1" applyBorder="1"/>
    <xf numFmtId="0" fontId="12" fillId="0" borderId="0" xfId="19" applyFont="1" applyProtection="1"/>
    <xf numFmtId="0" fontId="34" fillId="32" borderId="0" xfId="21" applyFill="1" applyBorder="1" applyAlignment="1" applyProtection="1">
      <alignment horizontal="center"/>
    </xf>
    <xf numFmtId="0" fontId="38" fillId="32" borderId="0" xfId="21" applyFont="1" applyFill="1" applyBorder="1" applyAlignment="1" applyProtection="1">
      <alignment horizontal="center"/>
    </xf>
    <xf numFmtId="182" fontId="38" fillId="32" borderId="10" xfId="21" applyNumberFormat="1" applyFont="1" applyFill="1" applyBorder="1" applyAlignment="1" applyProtection="1">
      <alignment horizontal="center"/>
    </xf>
    <xf numFmtId="180" fontId="42" fillId="32" borderId="43" xfId="21" applyNumberFormat="1" applyFont="1" applyFill="1" applyBorder="1" applyAlignment="1" applyProtection="1">
      <alignment horizontal="center" vertical="center"/>
      <protection locked="0"/>
    </xf>
    <xf numFmtId="180" fontId="42" fillId="32" borderId="26" xfId="21" applyNumberFormat="1" applyFont="1" applyFill="1" applyBorder="1" applyAlignment="1" applyProtection="1">
      <alignment horizontal="center" vertical="center"/>
      <protection locked="0"/>
    </xf>
    <xf numFmtId="180" fontId="42" fillId="32" borderId="42" xfId="21" applyNumberFormat="1" applyFont="1" applyFill="1" applyBorder="1" applyAlignment="1" applyProtection="1">
      <alignment horizontal="center" vertical="center"/>
      <protection locked="0"/>
    </xf>
    <xf numFmtId="180" fontId="42" fillId="32" borderId="20" xfId="21" applyNumberFormat="1" applyFont="1" applyFill="1" applyBorder="1" applyAlignment="1" applyProtection="1">
      <alignment horizontal="center" vertical="center"/>
      <protection locked="0"/>
    </xf>
    <xf numFmtId="49" fontId="39" fillId="33" borderId="44" xfId="21" applyNumberFormat="1" applyFont="1" applyFill="1" applyBorder="1" applyAlignment="1" applyProtection="1">
      <alignment horizontal="center" vertical="center" wrapText="1"/>
    </xf>
    <xf numFmtId="0" fontId="34" fillId="0" borderId="0" xfId="21" applyProtection="1"/>
    <xf numFmtId="0" fontId="34" fillId="32" borderId="0" xfId="21" applyFill="1" applyBorder="1" applyProtection="1"/>
    <xf numFmtId="0" fontId="39" fillId="33" borderId="44" xfId="21" applyFont="1" applyFill="1" applyBorder="1" applyAlignment="1" applyProtection="1">
      <alignment horizontal="center" vertical="center" wrapText="1"/>
    </xf>
    <xf numFmtId="49" fontId="38" fillId="33" borderId="45" xfId="21" applyNumberFormat="1" applyFont="1" applyFill="1" applyBorder="1" applyAlignment="1" applyProtection="1">
      <alignment horizontal="center" vertical="center" wrapText="1"/>
    </xf>
    <xf numFmtId="0" fontId="39" fillId="33" borderId="44" xfId="21" applyFont="1" applyFill="1" applyBorder="1" applyAlignment="1" applyProtection="1">
      <alignment horizontal="center" vertical="center"/>
    </xf>
    <xf numFmtId="180" fontId="39" fillId="33" borderId="44" xfId="21" applyNumberFormat="1" applyFont="1" applyFill="1" applyBorder="1" applyAlignment="1" applyProtection="1">
      <alignment horizontal="center" vertical="center" wrapText="1"/>
    </xf>
    <xf numFmtId="0" fontId="38" fillId="33" borderId="44" xfId="21" applyFont="1" applyFill="1" applyBorder="1" applyAlignment="1" applyProtection="1">
      <alignment horizontal="center" vertical="center" wrapText="1"/>
    </xf>
    <xf numFmtId="0" fontId="34" fillId="0" borderId="0" xfId="21" applyAlignment="1" applyProtection="1">
      <alignment vertical="center"/>
    </xf>
    <xf numFmtId="0" fontId="34" fillId="0" borderId="0" xfId="21" applyBorder="1" applyProtection="1"/>
    <xf numFmtId="0" fontId="34" fillId="32" borderId="0" xfId="21" applyFill="1" applyBorder="1" applyAlignment="1" applyProtection="1"/>
    <xf numFmtId="0" fontId="36" fillId="32" borderId="0" xfId="21" applyFont="1" applyFill="1" applyBorder="1" applyProtection="1"/>
    <xf numFmtId="182" fontId="38" fillId="32" borderId="43" xfId="21" applyNumberFormat="1" applyFont="1" applyFill="1" applyBorder="1" applyAlignment="1" applyProtection="1">
      <alignment horizontal="center"/>
    </xf>
    <xf numFmtId="182" fontId="38" fillId="32" borderId="42" xfId="21" applyNumberFormat="1" applyFont="1" applyFill="1" applyBorder="1" applyAlignment="1" applyProtection="1">
      <alignment horizontal="center"/>
    </xf>
    <xf numFmtId="0" fontId="45" fillId="32" borderId="0" xfId="21" applyFont="1" applyFill="1" applyBorder="1" applyAlignment="1" applyProtection="1">
      <alignment horizontal="center"/>
    </xf>
    <xf numFmtId="179" fontId="34" fillId="32" borderId="0" xfId="21" applyNumberFormat="1" applyFill="1" applyBorder="1" applyAlignment="1" applyProtection="1">
      <alignment horizontal="center"/>
    </xf>
    <xf numFmtId="0" fontId="37" fillId="32" borderId="0" xfId="21" applyFont="1" applyFill="1" applyBorder="1" applyProtection="1"/>
    <xf numFmtId="0" fontId="53" fillId="32" borderId="0" xfId="21" applyFont="1" applyFill="1" applyBorder="1" applyProtection="1"/>
    <xf numFmtId="0" fontId="54" fillId="32" borderId="0" xfId="21" applyFont="1" applyFill="1" applyBorder="1" applyProtection="1"/>
    <xf numFmtId="0" fontId="38" fillId="32" borderId="0" xfId="21" applyFont="1" applyFill="1" applyBorder="1" applyProtection="1"/>
    <xf numFmtId="182" fontId="41" fillId="0" borderId="0" xfId="21" applyNumberFormat="1" applyFont="1" applyBorder="1" applyProtection="1"/>
    <xf numFmtId="180" fontId="38" fillId="32" borderId="0" xfId="21" applyNumberFormat="1" applyFont="1" applyFill="1" applyBorder="1" applyAlignment="1" applyProtection="1">
      <alignment horizontal="center"/>
    </xf>
    <xf numFmtId="182" fontId="38" fillId="32" borderId="0" xfId="21" applyNumberFormat="1" applyFont="1" applyFill="1" applyBorder="1" applyAlignment="1" applyProtection="1">
      <alignment horizontal="center"/>
    </xf>
    <xf numFmtId="179" fontId="38" fillId="32" borderId="42" xfId="21" applyNumberFormat="1" applyFont="1" applyFill="1" applyBorder="1" applyAlignment="1" applyProtection="1">
      <alignment horizontal="center" vertical="center"/>
    </xf>
    <xf numFmtId="179" fontId="38" fillId="32" borderId="43" xfId="21" applyNumberFormat="1" applyFont="1" applyFill="1" applyBorder="1" applyAlignment="1" applyProtection="1">
      <alignment horizontal="center" vertical="center"/>
    </xf>
    <xf numFmtId="179" fontId="38" fillId="32" borderId="26" xfId="21" applyNumberFormat="1" applyFont="1" applyFill="1" applyBorder="1" applyAlignment="1" applyProtection="1">
      <alignment horizontal="center" vertical="center"/>
    </xf>
    <xf numFmtId="179" fontId="38" fillId="32" borderId="20" xfId="21" applyNumberFormat="1" applyFont="1" applyFill="1" applyBorder="1" applyAlignment="1" applyProtection="1">
      <alignment horizontal="center" vertical="center"/>
    </xf>
    <xf numFmtId="49" fontId="38" fillId="33" borderId="56" xfId="21" applyNumberFormat="1" applyFont="1" applyFill="1" applyBorder="1" applyAlignment="1" applyProtection="1">
      <alignment horizontal="center" vertical="center" wrapText="1"/>
    </xf>
    <xf numFmtId="49" fontId="38" fillId="33" borderId="57" xfId="21" applyNumberFormat="1" applyFont="1" applyFill="1" applyBorder="1" applyAlignment="1" applyProtection="1">
      <alignment horizontal="center" vertical="center" wrapText="1"/>
    </xf>
    <xf numFmtId="0" fontId="39" fillId="33" borderId="58" xfId="21" applyFont="1" applyFill="1" applyBorder="1" applyAlignment="1" applyProtection="1">
      <alignment horizontal="center" vertical="center" wrapText="1"/>
    </xf>
    <xf numFmtId="180" fontId="39" fillId="33" borderId="58" xfId="21" applyNumberFormat="1" applyFont="1" applyFill="1" applyBorder="1" applyAlignment="1" applyProtection="1">
      <alignment horizontal="center" vertical="center" wrapText="1"/>
    </xf>
    <xf numFmtId="180" fontId="40" fillId="33" borderId="58" xfId="21" applyNumberFormat="1" applyFont="1" applyFill="1" applyBorder="1" applyAlignment="1" applyProtection="1">
      <alignment horizontal="center" vertical="center" wrapText="1"/>
    </xf>
    <xf numFmtId="0" fontId="72" fillId="0" borderId="47" xfId="0" applyFont="1" applyBorder="1" applyAlignment="1" applyProtection="1">
      <alignment vertical="top" wrapText="1"/>
    </xf>
    <xf numFmtId="0" fontId="72" fillId="0" borderId="48" xfId="0" applyFont="1" applyBorder="1" applyAlignment="1" applyProtection="1">
      <alignment vertical="top" wrapText="1"/>
    </xf>
    <xf numFmtId="180" fontId="44" fillId="0" borderId="43" xfId="21" applyNumberFormat="1" applyFont="1" applyBorder="1" applyAlignment="1" applyProtection="1">
      <alignment horizontal="center" vertical="center"/>
    </xf>
    <xf numFmtId="180" fontId="73" fillId="0" borderId="42" xfId="21" applyNumberFormat="1" applyFont="1" applyBorder="1" applyAlignment="1" applyProtection="1">
      <alignment horizontal="center" vertical="center"/>
    </xf>
    <xf numFmtId="180" fontId="44" fillId="0" borderId="42" xfId="21" applyNumberFormat="1" applyFont="1" applyBorder="1" applyAlignment="1" applyProtection="1">
      <alignment horizontal="center"/>
    </xf>
    <xf numFmtId="180" fontId="73" fillId="0" borderId="20" xfId="21" applyNumberFormat="1" applyFont="1" applyBorder="1" applyAlignment="1" applyProtection="1">
      <alignment horizontal="center" vertical="center"/>
    </xf>
    <xf numFmtId="180" fontId="73" fillId="0" borderId="43" xfId="21" applyNumberFormat="1" applyFont="1" applyBorder="1" applyAlignment="1" applyProtection="1">
      <alignment horizontal="center" vertical="center"/>
    </xf>
    <xf numFmtId="180" fontId="44" fillId="0" borderId="43" xfId="21" applyNumberFormat="1" applyFont="1" applyBorder="1" applyAlignment="1" applyProtection="1">
      <alignment horizontal="center"/>
    </xf>
    <xf numFmtId="0" fontId="56" fillId="0" borderId="0" xfId="0" applyFont="1" applyProtection="1"/>
    <xf numFmtId="0" fontId="72" fillId="0" borderId="47" xfId="0" applyFont="1" applyBorder="1" applyAlignment="1" applyProtection="1">
      <alignment vertical="center" wrapText="1"/>
    </xf>
    <xf numFmtId="180" fontId="38" fillId="0" borderId="42" xfId="21" applyNumberFormat="1" applyFont="1" applyBorder="1" applyAlignment="1" applyProtection="1">
      <alignment horizontal="center" vertical="center"/>
    </xf>
    <xf numFmtId="0" fontId="72" fillId="0" borderId="48" xfId="0" applyFont="1" applyBorder="1" applyAlignment="1" applyProtection="1">
      <alignment vertical="center" wrapText="1"/>
    </xf>
    <xf numFmtId="180" fontId="38" fillId="0" borderId="43" xfId="21" applyNumberFormat="1" applyFont="1" applyBorder="1" applyAlignment="1" applyProtection="1">
      <alignment horizontal="center" vertical="center"/>
    </xf>
    <xf numFmtId="182" fontId="38" fillId="32" borderId="26" xfId="21" applyNumberFormat="1" applyFont="1" applyFill="1" applyBorder="1" applyAlignment="1" applyProtection="1">
      <alignment horizontal="center"/>
    </xf>
    <xf numFmtId="182" fontId="38" fillId="32" borderId="20" xfId="21" applyNumberFormat="1" applyFont="1" applyFill="1" applyBorder="1" applyAlignment="1" applyProtection="1">
      <alignment horizontal="center"/>
    </xf>
    <xf numFmtId="0" fontId="72" fillId="0" borderId="61" xfId="0" applyFont="1" applyBorder="1" applyAlignment="1" applyProtection="1">
      <alignment vertical="center" wrapText="1"/>
    </xf>
    <xf numFmtId="180" fontId="44" fillId="0" borderId="42" xfId="21" applyNumberFormat="1" applyFont="1" applyBorder="1" applyAlignment="1" applyProtection="1">
      <alignment horizontal="center" vertical="center"/>
    </xf>
    <xf numFmtId="182" fontId="38" fillId="32" borderId="42" xfId="21" applyNumberFormat="1" applyFont="1" applyFill="1" applyBorder="1" applyAlignment="1" applyProtection="1">
      <alignment horizontal="center" vertical="center"/>
    </xf>
    <xf numFmtId="182" fontId="38" fillId="32" borderId="43" xfId="21" applyNumberFormat="1" applyFont="1" applyFill="1" applyBorder="1" applyAlignment="1" applyProtection="1">
      <alignment horizontal="center" vertical="center"/>
    </xf>
    <xf numFmtId="179" fontId="38" fillId="0" borderId="42" xfId="21" applyNumberFormat="1" applyFont="1" applyBorder="1" applyAlignment="1" applyProtection="1">
      <alignment horizontal="center"/>
    </xf>
    <xf numFmtId="179" fontId="38" fillId="0" borderId="43" xfId="21" applyNumberFormat="1" applyFont="1" applyBorder="1" applyAlignment="1" applyProtection="1">
      <alignment horizontal="center"/>
    </xf>
    <xf numFmtId="179" fontId="38" fillId="0" borderId="42" xfId="21" applyNumberFormat="1" applyFont="1" applyBorder="1" applyAlignment="1" applyProtection="1">
      <alignment horizontal="center" vertical="center"/>
    </xf>
    <xf numFmtId="179" fontId="38" fillId="0" borderId="43" xfId="21" applyNumberFormat="1" applyFont="1" applyBorder="1" applyAlignment="1" applyProtection="1">
      <alignment horizontal="center" vertical="center"/>
    </xf>
    <xf numFmtId="0" fontId="74" fillId="0" borderId="47" xfId="0" applyFont="1" applyBorder="1" applyAlignment="1" applyProtection="1">
      <alignment vertical="top" wrapText="1"/>
    </xf>
    <xf numFmtId="0" fontId="74" fillId="0" borderId="48" xfId="0" applyFont="1" applyBorder="1" applyAlignment="1" applyProtection="1">
      <alignment vertical="top" wrapText="1"/>
    </xf>
    <xf numFmtId="0" fontId="74" fillId="0" borderId="47" xfId="0" applyFont="1" applyBorder="1" applyAlignment="1" applyProtection="1">
      <alignment vertical="center" wrapText="1"/>
    </xf>
    <xf numFmtId="0" fontId="74" fillId="0" borderId="48" xfId="0" applyFont="1" applyBorder="1" applyAlignment="1" applyProtection="1">
      <alignment vertical="center" wrapText="1"/>
    </xf>
    <xf numFmtId="0" fontId="59" fillId="0" borderId="0" xfId="0" applyFont="1" applyBorder="1" applyAlignment="1" applyProtection="1">
      <alignment vertical="top" wrapText="1"/>
    </xf>
    <xf numFmtId="180" fontId="42" fillId="0" borderId="0" xfId="21" applyNumberFormat="1" applyFont="1" applyBorder="1" applyProtection="1"/>
    <xf numFmtId="180" fontId="42" fillId="32" borderId="0" xfId="21" applyNumberFormat="1" applyFont="1" applyFill="1" applyBorder="1" applyAlignment="1" applyProtection="1">
      <alignment horizontal="center"/>
    </xf>
    <xf numFmtId="0" fontId="58" fillId="0" borderId="0" xfId="21" applyFont="1" applyBorder="1" applyAlignment="1" applyProtection="1">
      <alignment horizontal="center" vertical="center"/>
    </xf>
    <xf numFmtId="0" fontId="58" fillId="0" borderId="0" xfId="21" applyFont="1" applyBorder="1" applyAlignment="1" applyProtection="1">
      <alignment horizontal="center" vertical="center" wrapText="1"/>
    </xf>
    <xf numFmtId="0" fontId="38" fillId="0" borderId="47" xfId="0" applyFont="1" applyBorder="1" applyProtection="1"/>
    <xf numFmtId="0" fontId="38" fillId="0" borderId="48" xfId="0" applyFont="1" applyBorder="1" applyProtection="1"/>
    <xf numFmtId="49" fontId="38" fillId="33" borderId="62" xfId="21" applyNumberFormat="1" applyFont="1" applyFill="1" applyBorder="1" applyAlignment="1" applyProtection="1">
      <alignment horizontal="center" vertical="center" wrapText="1"/>
    </xf>
    <xf numFmtId="0" fontId="44" fillId="0" borderId="42" xfId="0" applyFont="1" applyBorder="1" applyAlignment="1" applyProtection="1">
      <alignment horizontal="center"/>
    </xf>
    <xf numFmtId="0" fontId="38" fillId="0" borderId="52" xfId="0" applyFont="1" applyBorder="1" applyProtection="1"/>
    <xf numFmtId="0" fontId="44" fillId="0" borderId="10" xfId="0" applyFont="1" applyBorder="1" applyAlignment="1" applyProtection="1">
      <alignment horizontal="center"/>
    </xf>
    <xf numFmtId="0" fontId="44" fillId="0" borderId="43" xfId="0" applyFont="1" applyBorder="1" applyAlignment="1" applyProtection="1">
      <alignment horizontal="center"/>
    </xf>
    <xf numFmtId="0" fontId="38" fillId="33" borderId="63" xfId="21" applyFont="1" applyFill="1" applyBorder="1" applyAlignment="1" applyProtection="1">
      <alignment horizontal="center" vertical="center" wrapText="1"/>
    </xf>
    <xf numFmtId="0" fontId="34" fillId="32" borderId="0" xfId="21" applyFill="1" applyBorder="1" applyAlignment="1" applyProtection="1">
      <alignment horizontal="center" vertical="center"/>
    </xf>
    <xf numFmtId="0" fontId="38" fillId="33" borderId="64" xfId="21" applyFont="1" applyFill="1" applyBorder="1" applyAlignment="1" applyProtection="1">
      <alignment horizontal="center" vertical="center" wrapText="1"/>
    </xf>
    <xf numFmtId="0" fontId="55" fillId="0" borderId="47" xfId="0" applyFont="1" applyBorder="1" applyAlignment="1" applyProtection="1">
      <alignment vertical="center" wrapText="1"/>
    </xf>
    <xf numFmtId="0" fontId="55" fillId="0" borderId="54" xfId="0" applyFont="1" applyBorder="1" applyAlignment="1" applyProtection="1">
      <alignment vertical="center" wrapText="1"/>
    </xf>
    <xf numFmtId="0" fontId="73" fillId="0" borderId="65" xfId="0" applyFont="1" applyBorder="1" applyAlignment="1" applyProtection="1">
      <alignment vertical="center" wrapText="1"/>
    </xf>
    <xf numFmtId="0" fontId="73" fillId="0" borderId="66" xfId="0" applyFont="1" applyBorder="1" applyAlignment="1" applyProtection="1">
      <alignment vertical="center" wrapText="1"/>
    </xf>
    <xf numFmtId="0" fontId="36" fillId="32" borderId="0" xfId="21" applyFont="1" applyFill="1" applyBorder="1" applyAlignment="1" applyProtection="1">
      <alignment vertical="center"/>
    </xf>
    <xf numFmtId="0" fontId="34" fillId="32" borderId="0" xfId="21" applyFill="1" applyBorder="1" applyAlignment="1" applyProtection="1">
      <alignment vertical="center"/>
    </xf>
    <xf numFmtId="180" fontId="44" fillId="0" borderId="20" xfId="21" applyNumberFormat="1" applyFont="1" applyBorder="1" applyAlignment="1" applyProtection="1">
      <alignment horizontal="center" vertical="center"/>
    </xf>
    <xf numFmtId="182" fontId="34" fillId="0" borderId="0" xfId="21" applyNumberFormat="1" applyAlignment="1" applyProtection="1">
      <alignment vertical="center"/>
    </xf>
    <xf numFmtId="0" fontId="48" fillId="0" borderId="0" xfId="21" applyFont="1" applyAlignment="1" applyProtection="1">
      <alignment vertical="center"/>
    </xf>
    <xf numFmtId="0" fontId="34" fillId="0" borderId="0" xfId="21" applyFont="1" applyAlignment="1" applyProtection="1">
      <alignment vertical="center"/>
    </xf>
    <xf numFmtId="180" fontId="76" fillId="0" borderId="42" xfId="21" applyNumberFormat="1" applyFont="1" applyBorder="1" applyAlignment="1" applyProtection="1">
      <alignment horizontal="center" vertical="center"/>
    </xf>
    <xf numFmtId="180" fontId="76" fillId="0" borderId="43" xfId="21" applyNumberFormat="1" applyFont="1" applyBorder="1" applyAlignment="1" applyProtection="1">
      <alignment horizontal="center" vertical="center"/>
    </xf>
    <xf numFmtId="180" fontId="38" fillId="0" borderId="26" xfId="21" applyNumberFormat="1" applyFont="1" applyBorder="1" applyAlignment="1" applyProtection="1">
      <alignment horizontal="center" vertical="center"/>
    </xf>
    <xf numFmtId="180" fontId="81" fillId="32" borderId="42" xfId="21" applyNumberFormat="1" applyFont="1" applyFill="1" applyBorder="1" applyAlignment="1" applyProtection="1">
      <alignment horizontal="center" vertical="center"/>
      <protection locked="0"/>
    </xf>
    <xf numFmtId="180" fontId="81" fillId="32" borderId="20" xfId="21" applyNumberFormat="1" applyFont="1" applyFill="1" applyBorder="1" applyAlignment="1" applyProtection="1">
      <alignment horizontal="center" vertical="center"/>
      <protection locked="0"/>
    </xf>
    <xf numFmtId="180" fontId="81" fillId="32" borderId="43" xfId="21" applyNumberFormat="1" applyFont="1" applyFill="1" applyBorder="1" applyAlignment="1" applyProtection="1">
      <alignment horizontal="center" vertical="center"/>
      <protection locked="0"/>
    </xf>
    <xf numFmtId="180" fontId="81" fillId="32" borderId="26" xfId="21" applyNumberFormat="1" applyFont="1" applyFill="1" applyBorder="1" applyAlignment="1" applyProtection="1">
      <alignment horizontal="center" vertical="center"/>
      <protection locked="0"/>
    </xf>
    <xf numFmtId="180" fontId="81" fillId="0" borderId="43" xfId="21" applyNumberFormat="1" applyFont="1" applyBorder="1" applyAlignment="1" applyProtection="1">
      <alignment horizontal="center" vertical="center"/>
      <protection locked="0"/>
    </xf>
    <xf numFmtId="180" fontId="81" fillId="32" borderId="42" xfId="21" applyNumberFormat="1" applyFont="1" applyFill="1" applyBorder="1" applyAlignment="1" applyProtection="1">
      <alignment horizontal="center"/>
      <protection locked="0"/>
    </xf>
    <xf numFmtId="180" fontId="81" fillId="32" borderId="43" xfId="21" applyNumberFormat="1" applyFont="1" applyFill="1" applyBorder="1" applyAlignment="1" applyProtection="1">
      <alignment horizontal="center"/>
      <protection locked="0"/>
    </xf>
    <xf numFmtId="180" fontId="81" fillId="32" borderId="26" xfId="21" applyNumberFormat="1" applyFont="1" applyFill="1" applyBorder="1" applyAlignment="1" applyProtection="1">
      <alignment horizontal="center"/>
      <protection locked="0"/>
    </xf>
    <xf numFmtId="180" fontId="81" fillId="32" borderId="20" xfId="21" applyNumberFormat="1" applyFont="1" applyFill="1" applyBorder="1" applyAlignment="1" applyProtection="1">
      <alignment horizontal="center"/>
      <protection locked="0"/>
    </xf>
    <xf numFmtId="0" fontId="38" fillId="0" borderId="61" xfId="0" applyFont="1" applyBorder="1" applyProtection="1"/>
    <xf numFmtId="0" fontId="82" fillId="0" borderId="42" xfId="0" applyFont="1" applyBorder="1" applyAlignment="1" applyProtection="1">
      <alignment horizontal="center"/>
    </xf>
    <xf numFmtId="0" fontId="82" fillId="0" borderId="43" xfId="0" applyFont="1" applyBorder="1" applyAlignment="1" applyProtection="1">
      <alignment horizontal="center"/>
    </xf>
    <xf numFmtId="0" fontId="81" fillId="32" borderId="10" xfId="21" applyFont="1" applyFill="1" applyBorder="1" applyAlignment="1" applyProtection="1">
      <alignment horizontal="center"/>
      <protection locked="0"/>
    </xf>
    <xf numFmtId="0" fontId="81" fillId="32" borderId="43" xfId="21" applyFont="1" applyFill="1" applyBorder="1" applyAlignment="1" applyProtection="1">
      <alignment horizontal="center"/>
      <protection locked="0"/>
    </xf>
    <xf numFmtId="0" fontId="82" fillId="0" borderId="10" xfId="0" applyFont="1" applyBorder="1" applyAlignment="1" applyProtection="1">
      <alignment horizontal="center"/>
    </xf>
    <xf numFmtId="0" fontId="83" fillId="0" borderId="59" xfId="0" applyFont="1" applyBorder="1" applyAlignment="1" applyProtection="1">
      <alignment vertical="center" wrapText="1"/>
    </xf>
    <xf numFmtId="0" fontId="83" fillId="0" borderId="60" xfId="0" applyFont="1" applyBorder="1" applyAlignment="1" applyProtection="1">
      <alignment vertical="center" wrapText="1"/>
    </xf>
    <xf numFmtId="0" fontId="83" fillId="0" borderId="59" xfId="0" applyFont="1" applyFill="1" applyBorder="1" applyAlignment="1" applyProtection="1">
      <alignment vertical="center" wrapText="1"/>
    </xf>
    <xf numFmtId="0" fontId="83" fillId="0" borderId="19" xfId="0" applyFont="1" applyFill="1" applyBorder="1" applyAlignment="1" applyProtection="1">
      <alignment vertical="center" wrapText="1"/>
    </xf>
    <xf numFmtId="0" fontId="83" fillId="0" borderId="60" xfId="0" applyFont="1" applyFill="1" applyBorder="1" applyAlignment="1" applyProtection="1">
      <alignment vertical="center" wrapText="1"/>
    </xf>
    <xf numFmtId="0" fontId="83" fillId="0" borderId="59" xfId="0" applyFont="1" applyBorder="1" applyAlignment="1" applyProtection="1">
      <alignment vertical="top" wrapText="1"/>
    </xf>
    <xf numFmtId="0" fontId="83" fillId="0" borderId="60" xfId="0" applyFont="1" applyBorder="1" applyAlignment="1" applyProtection="1">
      <alignment vertical="top" wrapText="1"/>
    </xf>
    <xf numFmtId="0" fontId="84" fillId="0" borderId="47" xfId="0" applyFont="1" applyBorder="1" applyAlignment="1" applyProtection="1">
      <alignment vertical="center" wrapText="1"/>
    </xf>
    <xf numFmtId="0" fontId="84" fillId="0" borderId="48" xfId="0" applyFont="1" applyBorder="1" applyAlignment="1" applyProtection="1">
      <alignment vertical="center" wrapText="1"/>
    </xf>
    <xf numFmtId="0" fontId="84" fillId="0" borderId="61" xfId="0" applyFont="1" applyBorder="1" applyAlignment="1" applyProtection="1">
      <alignment vertical="center" wrapText="1"/>
    </xf>
    <xf numFmtId="0" fontId="84" fillId="0" borderId="54" xfId="0" applyFont="1" applyBorder="1" applyAlignment="1" applyProtection="1">
      <alignment vertical="center" wrapText="1"/>
    </xf>
    <xf numFmtId="182" fontId="84" fillId="0" borderId="43" xfId="21" applyNumberFormat="1" applyFont="1" applyBorder="1" applyAlignment="1" applyProtection="1">
      <alignment vertical="center" wrapText="1"/>
    </xf>
    <xf numFmtId="0" fontId="84" fillId="0" borderId="42" xfId="0" applyFont="1" applyBorder="1" applyProtection="1"/>
    <xf numFmtId="0" fontId="84" fillId="0" borderId="43" xfId="0" applyFont="1" applyBorder="1" applyProtection="1"/>
    <xf numFmtId="0" fontId="84" fillId="0" borderId="26" xfId="0" applyFont="1" applyBorder="1" applyProtection="1"/>
    <xf numFmtId="0" fontId="34" fillId="0" borderId="0" xfId="21" applyFill="1" applyBorder="1" applyProtection="1"/>
    <xf numFmtId="0" fontId="34" fillId="0" borderId="0" xfId="21" applyProtection="1"/>
    <xf numFmtId="49" fontId="39" fillId="33" borderId="58" xfId="21" applyNumberFormat="1" applyFont="1" applyFill="1" applyBorder="1" applyAlignment="1" applyProtection="1">
      <alignment horizontal="center" vertical="center" wrapText="1"/>
    </xf>
    <xf numFmtId="0" fontId="39" fillId="33" borderId="51" xfId="21" applyFont="1" applyFill="1" applyBorder="1" applyAlignment="1" applyProtection="1">
      <alignment horizontal="center" vertical="center" wrapText="1"/>
    </xf>
    <xf numFmtId="0" fontId="72" fillId="0" borderId="73" xfId="0" applyFont="1" applyBorder="1" applyAlignment="1" applyProtection="1">
      <alignment vertical="top" wrapText="1"/>
    </xf>
    <xf numFmtId="0" fontId="83" fillId="38" borderId="52" xfId="0" applyFont="1" applyFill="1" applyBorder="1" applyAlignment="1" applyProtection="1">
      <alignment vertical="top" wrapText="1"/>
    </xf>
    <xf numFmtId="179" fontId="39" fillId="0" borderId="42" xfId="21" applyNumberFormat="1" applyFont="1" applyBorder="1" applyAlignment="1" applyProtection="1">
      <alignment horizontal="center"/>
    </xf>
    <xf numFmtId="180" fontId="44" fillId="0" borderId="44" xfId="21" applyNumberFormat="1" applyFont="1" applyBorder="1" applyAlignment="1" applyProtection="1">
      <alignment horizontal="center" vertical="center"/>
    </xf>
    <xf numFmtId="0" fontId="72" fillId="0" borderId="74" xfId="0" applyFont="1" applyBorder="1" applyAlignment="1" applyProtection="1">
      <alignment vertical="top" wrapText="1"/>
    </xf>
    <xf numFmtId="0" fontId="83" fillId="38" borderId="48" xfId="0" applyFont="1" applyFill="1" applyBorder="1" applyAlignment="1" applyProtection="1">
      <alignment vertical="top" wrapText="1"/>
    </xf>
    <xf numFmtId="0" fontId="34" fillId="0" borderId="0" xfId="21" applyAlignment="1" applyProtection="1">
      <alignment horizontal="center"/>
    </xf>
    <xf numFmtId="0" fontId="100" fillId="0" borderId="0" xfId="21" applyFont="1" applyProtection="1"/>
    <xf numFmtId="180" fontId="55" fillId="0" borderId="42" xfId="21" applyNumberFormat="1" applyFont="1" applyBorder="1" applyAlignment="1" applyProtection="1">
      <alignment horizontal="center"/>
      <protection locked="0"/>
    </xf>
    <xf numFmtId="180" fontId="81" fillId="32" borderId="10" xfId="21" applyNumberFormat="1" applyFont="1" applyFill="1" applyBorder="1" applyAlignment="1" applyProtection="1">
      <alignment horizontal="center"/>
    </xf>
    <xf numFmtId="0" fontId="114" fillId="0" borderId="42" xfId="0" applyFont="1" applyBorder="1" applyAlignment="1" applyProtection="1">
      <alignment horizontal="center"/>
    </xf>
    <xf numFmtId="49" fontId="39" fillId="33" borderId="44" xfId="21" applyNumberFormat="1" applyFont="1" applyFill="1" applyBorder="1" applyAlignment="1" applyProtection="1">
      <alignment horizontal="center" vertical="center" wrapText="1"/>
    </xf>
    <xf numFmtId="180" fontId="39" fillId="33" borderId="44" xfId="21" applyNumberFormat="1" applyFont="1" applyFill="1" applyBorder="1" applyAlignment="1" applyProtection="1">
      <alignment horizontal="center" vertical="center" wrapText="1"/>
    </xf>
    <xf numFmtId="180" fontId="44" fillId="0" borderId="42" xfId="21" applyNumberFormat="1" applyFont="1" applyBorder="1" applyAlignment="1" applyProtection="1">
      <alignment horizontal="center"/>
    </xf>
    <xf numFmtId="180" fontId="44" fillId="0" borderId="43" xfId="21" applyNumberFormat="1" applyFont="1" applyBorder="1" applyAlignment="1" applyProtection="1">
      <alignment horizontal="center"/>
    </xf>
    <xf numFmtId="180" fontId="44" fillId="0" borderId="42" xfId="21" applyNumberFormat="1" applyFont="1" applyBorder="1" applyAlignment="1" applyProtection="1">
      <alignment horizontal="center" vertical="center"/>
    </xf>
    <xf numFmtId="0" fontId="38" fillId="33" borderId="58" xfId="21" applyFont="1" applyFill="1" applyBorder="1" applyAlignment="1" applyProtection="1">
      <alignment horizontal="center" vertical="center" wrapText="1"/>
    </xf>
    <xf numFmtId="0" fontId="34" fillId="32" borderId="0" xfId="21" applyFill="1" applyBorder="1" applyAlignment="1" applyProtection="1">
      <alignment vertical="center"/>
    </xf>
    <xf numFmtId="180" fontId="44" fillId="0" borderId="20" xfId="21" applyNumberFormat="1" applyFont="1" applyBorder="1" applyAlignment="1" applyProtection="1">
      <alignment horizontal="center" vertical="center"/>
    </xf>
    <xf numFmtId="182" fontId="34" fillId="0" borderId="0" xfId="21" applyNumberFormat="1" applyAlignment="1" applyProtection="1">
      <alignment vertical="center"/>
    </xf>
    <xf numFmtId="182" fontId="105" fillId="32" borderId="42" xfId="21" applyNumberFormat="1" applyFont="1" applyFill="1" applyBorder="1" applyAlignment="1" applyProtection="1">
      <alignment horizontal="center"/>
    </xf>
    <xf numFmtId="182" fontId="105" fillId="32" borderId="43" xfId="21" applyNumberFormat="1" applyFont="1" applyFill="1" applyBorder="1" applyAlignment="1" applyProtection="1">
      <alignment horizontal="center"/>
    </xf>
    <xf numFmtId="182" fontId="105" fillId="32" borderId="20" xfId="21" applyNumberFormat="1" applyFont="1" applyFill="1" applyBorder="1" applyAlignment="1" applyProtection="1">
      <alignment horizontal="center"/>
    </xf>
    <xf numFmtId="0" fontId="0" fillId="0" borderId="0" xfId="0" applyProtection="1"/>
    <xf numFmtId="180" fontId="42" fillId="32" borderId="42" xfId="21" applyNumberFormat="1" applyFont="1" applyFill="1" applyBorder="1" applyAlignment="1" applyProtection="1">
      <alignment horizontal="center"/>
      <protection locked="0"/>
    </xf>
    <xf numFmtId="0" fontId="42" fillId="32" borderId="10" xfId="21" applyFont="1" applyFill="1" applyBorder="1" applyAlignment="1" applyProtection="1">
      <alignment horizontal="center"/>
      <protection locked="0"/>
    </xf>
    <xf numFmtId="180" fontId="42" fillId="32" borderId="10" xfId="21" applyNumberFormat="1" applyFont="1" applyFill="1" applyBorder="1" applyAlignment="1" applyProtection="1">
      <alignment horizontal="center"/>
      <protection locked="0"/>
    </xf>
    <xf numFmtId="0" fontId="42" fillId="32" borderId="43" xfId="21" applyFont="1" applyFill="1" applyBorder="1" applyAlignment="1" applyProtection="1">
      <alignment horizontal="center"/>
      <protection locked="0"/>
    </xf>
    <xf numFmtId="0" fontId="34" fillId="32" borderId="0" xfId="21" applyFill="1" applyBorder="1" applyAlignment="1" applyProtection="1">
      <alignment horizontal="center"/>
    </xf>
    <xf numFmtId="0" fontId="38" fillId="32" borderId="0" xfId="21" applyFont="1" applyFill="1" applyBorder="1" applyAlignment="1" applyProtection="1">
      <alignment horizontal="center"/>
    </xf>
    <xf numFmtId="182" fontId="38" fillId="32" borderId="10" xfId="21" applyNumberFormat="1" applyFont="1" applyFill="1" applyBorder="1" applyAlignment="1" applyProtection="1">
      <alignment horizontal="center"/>
    </xf>
    <xf numFmtId="180" fontId="42" fillId="32" borderId="43" xfId="21" applyNumberFormat="1" applyFont="1" applyFill="1" applyBorder="1" applyAlignment="1" applyProtection="1">
      <alignment horizontal="center"/>
      <protection locked="0"/>
    </xf>
    <xf numFmtId="180" fontId="42" fillId="32" borderId="43" xfId="21" applyNumberFormat="1" applyFont="1" applyFill="1" applyBorder="1" applyAlignment="1" applyProtection="1">
      <alignment horizontal="center" vertical="center"/>
      <protection locked="0"/>
    </xf>
    <xf numFmtId="180" fontId="42" fillId="32" borderId="26" xfId="21" applyNumberFormat="1" applyFont="1" applyFill="1" applyBorder="1" applyAlignment="1" applyProtection="1">
      <alignment horizontal="center"/>
      <protection locked="0"/>
    </xf>
    <xf numFmtId="180" fontId="42" fillId="32" borderId="20" xfId="21" applyNumberFormat="1" applyFont="1" applyFill="1" applyBorder="1" applyAlignment="1" applyProtection="1">
      <alignment horizontal="center"/>
      <protection locked="0"/>
    </xf>
    <xf numFmtId="180" fontId="42" fillId="32" borderId="42" xfId="21" applyNumberFormat="1" applyFont="1" applyFill="1" applyBorder="1" applyAlignment="1" applyProtection="1">
      <alignment horizontal="center" vertical="center"/>
      <protection locked="0"/>
    </xf>
    <xf numFmtId="49" fontId="39" fillId="33" borderId="44" xfId="21" applyNumberFormat="1" applyFont="1" applyFill="1" applyBorder="1" applyAlignment="1" applyProtection="1">
      <alignment horizontal="center" vertical="center" wrapText="1"/>
    </xf>
    <xf numFmtId="0" fontId="34" fillId="0" borderId="0" xfId="21" applyProtection="1"/>
    <xf numFmtId="0" fontId="34" fillId="32" borderId="0" xfId="21" applyFill="1" applyBorder="1" applyProtection="1"/>
    <xf numFmtId="0" fontId="39" fillId="33" borderId="44" xfId="21" applyFont="1" applyFill="1" applyBorder="1" applyAlignment="1" applyProtection="1">
      <alignment horizontal="center" vertical="center" wrapText="1"/>
    </xf>
    <xf numFmtId="49" fontId="38" fillId="33" borderId="45" xfId="21" applyNumberFormat="1" applyFont="1" applyFill="1" applyBorder="1" applyAlignment="1" applyProtection="1">
      <alignment horizontal="center" vertical="center" wrapText="1"/>
    </xf>
    <xf numFmtId="180" fontId="39" fillId="33" borderId="44" xfId="21" applyNumberFormat="1" applyFont="1" applyFill="1" applyBorder="1" applyAlignment="1" applyProtection="1">
      <alignment horizontal="center" vertical="center" wrapText="1"/>
    </xf>
    <xf numFmtId="180" fontId="40" fillId="33" borderId="44" xfId="21" applyNumberFormat="1" applyFont="1" applyFill="1" applyBorder="1" applyAlignment="1" applyProtection="1">
      <alignment horizontal="center" vertical="center" wrapText="1"/>
    </xf>
    <xf numFmtId="0" fontId="38" fillId="33" borderId="44" xfId="21" applyFont="1" applyFill="1" applyBorder="1" applyAlignment="1" applyProtection="1">
      <alignment horizontal="center" vertical="center" wrapText="1"/>
    </xf>
    <xf numFmtId="0" fontId="34" fillId="0" borderId="0" xfId="21" applyAlignment="1" applyProtection="1">
      <alignment vertical="center"/>
    </xf>
    <xf numFmtId="0" fontId="34" fillId="32" borderId="0" xfId="21" applyFill="1" applyBorder="1" applyAlignment="1" applyProtection="1"/>
    <xf numFmtId="0" fontId="36" fillId="32" borderId="0" xfId="21" applyFont="1" applyFill="1" applyBorder="1" applyProtection="1"/>
    <xf numFmtId="180" fontId="34" fillId="32" borderId="0" xfId="21" applyNumberFormat="1" applyFill="1" applyBorder="1" applyAlignment="1" applyProtection="1">
      <alignment horizontal="center"/>
    </xf>
    <xf numFmtId="0" fontId="50" fillId="32" borderId="0" xfId="21" applyFont="1" applyFill="1" applyBorder="1" applyAlignment="1" applyProtection="1">
      <alignment horizontal="center"/>
    </xf>
    <xf numFmtId="182" fontId="38" fillId="32" borderId="43" xfId="21" applyNumberFormat="1" applyFont="1" applyFill="1" applyBorder="1" applyAlignment="1" applyProtection="1">
      <alignment horizontal="center"/>
    </xf>
    <xf numFmtId="182" fontId="38" fillId="32" borderId="42" xfId="21" applyNumberFormat="1" applyFont="1" applyFill="1" applyBorder="1" applyAlignment="1" applyProtection="1">
      <alignment horizontal="center"/>
    </xf>
    <xf numFmtId="182" fontId="38" fillId="32" borderId="20" xfId="21" applyNumberFormat="1" applyFont="1" applyFill="1" applyBorder="1" applyAlignment="1" applyProtection="1">
      <alignment horizontal="center"/>
    </xf>
    <xf numFmtId="182" fontId="34" fillId="0" borderId="0" xfId="21" applyNumberFormat="1" applyProtection="1"/>
    <xf numFmtId="0" fontId="48" fillId="0" borderId="0" xfId="21" applyFont="1" applyProtection="1"/>
    <xf numFmtId="0" fontId="34" fillId="0" borderId="0" xfId="21" applyFont="1" applyProtection="1"/>
    <xf numFmtId="0" fontId="45" fillId="32" borderId="0" xfId="21" applyFont="1" applyFill="1" applyBorder="1" applyAlignment="1" applyProtection="1">
      <alignment horizontal="center"/>
    </xf>
    <xf numFmtId="179" fontId="45" fillId="32" borderId="0" xfId="21" applyNumberFormat="1" applyFont="1" applyFill="1" applyBorder="1" applyAlignment="1" applyProtection="1">
      <alignment horizontal="center"/>
    </xf>
    <xf numFmtId="179" fontId="34" fillId="32" borderId="0" xfId="21" applyNumberFormat="1" applyFill="1" applyBorder="1" applyAlignment="1" applyProtection="1">
      <alignment horizontal="center"/>
    </xf>
    <xf numFmtId="0" fontId="37" fillId="32" borderId="0" xfId="21" applyFont="1" applyFill="1" applyBorder="1" applyProtection="1"/>
    <xf numFmtId="0" fontId="53" fillId="32" borderId="0" xfId="21" applyFont="1" applyFill="1" applyBorder="1" applyProtection="1"/>
    <xf numFmtId="0" fontId="54" fillId="32" borderId="0" xfId="21" applyFont="1" applyFill="1" applyBorder="1" applyProtection="1"/>
    <xf numFmtId="179" fontId="38" fillId="32" borderId="0" xfId="21" applyNumberFormat="1" applyFont="1" applyFill="1" applyBorder="1" applyAlignment="1" applyProtection="1">
      <alignment horizontal="center"/>
    </xf>
    <xf numFmtId="49" fontId="38" fillId="33" borderId="56" xfId="21" applyNumberFormat="1" applyFont="1" applyFill="1" applyBorder="1" applyAlignment="1" applyProtection="1">
      <alignment horizontal="center" vertical="center" wrapText="1"/>
    </xf>
    <xf numFmtId="179" fontId="38" fillId="32" borderId="42" xfId="21" applyNumberFormat="1" applyFont="1" applyFill="1" applyBorder="1" applyAlignment="1" applyProtection="1">
      <alignment horizontal="center"/>
    </xf>
    <xf numFmtId="179" fontId="38" fillId="32" borderId="20" xfId="21" applyNumberFormat="1" applyFont="1" applyFill="1" applyBorder="1" applyAlignment="1" applyProtection="1">
      <alignment horizontal="center"/>
    </xf>
    <xf numFmtId="179" fontId="38" fillId="32" borderId="43" xfId="21" applyNumberFormat="1" applyFont="1" applyFill="1" applyBorder="1" applyAlignment="1" applyProtection="1">
      <alignment horizontal="center"/>
    </xf>
    <xf numFmtId="179" fontId="38" fillId="32" borderId="26" xfId="21" applyNumberFormat="1" applyFont="1" applyFill="1" applyBorder="1" applyAlignment="1" applyProtection="1">
      <alignment horizontal="center"/>
    </xf>
    <xf numFmtId="0" fontId="39" fillId="33" borderId="58" xfId="21" applyFont="1" applyFill="1" applyBorder="1" applyAlignment="1" applyProtection="1">
      <alignment horizontal="center" vertical="center" wrapText="1"/>
    </xf>
    <xf numFmtId="180" fontId="39" fillId="33" borderId="58" xfId="21" applyNumberFormat="1" applyFont="1" applyFill="1" applyBorder="1" applyAlignment="1" applyProtection="1">
      <alignment horizontal="center" vertical="center" wrapText="1"/>
    </xf>
    <xf numFmtId="180" fontId="40" fillId="33" borderId="58" xfId="21" applyNumberFormat="1" applyFont="1" applyFill="1" applyBorder="1" applyAlignment="1" applyProtection="1">
      <alignment horizontal="center" vertical="center" wrapText="1"/>
    </xf>
    <xf numFmtId="179" fontId="39" fillId="0" borderId="42" xfId="21" applyNumberFormat="1" applyFont="1" applyBorder="1" applyAlignment="1" applyProtection="1">
      <alignment horizontal="center"/>
    </xf>
    <xf numFmtId="49" fontId="38" fillId="33" borderId="57" xfId="21" applyNumberFormat="1" applyFont="1" applyFill="1" applyBorder="1" applyAlignment="1" applyProtection="1">
      <alignment horizontal="center" vertical="center" wrapText="1"/>
    </xf>
    <xf numFmtId="0" fontId="74" fillId="0" borderId="47" xfId="0" applyFont="1" applyBorder="1" applyAlignment="1" applyProtection="1">
      <alignment vertical="top" wrapText="1"/>
    </xf>
    <xf numFmtId="0" fontId="74" fillId="0" borderId="48" xfId="0" applyFont="1" applyBorder="1" applyAlignment="1" applyProtection="1">
      <alignment vertical="top" wrapText="1"/>
    </xf>
    <xf numFmtId="179" fontId="73" fillId="0" borderId="10" xfId="21" applyNumberFormat="1" applyFont="1" applyBorder="1" applyAlignment="1" applyProtection="1">
      <alignment horizontal="center"/>
    </xf>
    <xf numFmtId="179" fontId="73" fillId="0" borderId="43" xfId="21" applyNumberFormat="1" applyFont="1" applyBorder="1" applyAlignment="1" applyProtection="1">
      <alignment horizontal="center"/>
    </xf>
    <xf numFmtId="0" fontId="74" fillId="0" borderId="52" xfId="0" applyFont="1" applyBorder="1" applyProtection="1"/>
    <xf numFmtId="0" fontId="74" fillId="0" borderId="48" xfId="0" applyFont="1" applyBorder="1" applyProtection="1"/>
    <xf numFmtId="0" fontId="21" fillId="0" borderId="0" xfId="0" applyFont="1" applyProtection="1"/>
    <xf numFmtId="180" fontId="73" fillId="0" borderId="42" xfId="21" applyNumberFormat="1" applyFont="1" applyBorder="1" applyAlignment="1" applyProtection="1">
      <alignment horizontal="center" vertical="center"/>
    </xf>
    <xf numFmtId="180" fontId="73" fillId="0" borderId="20" xfId="21" applyNumberFormat="1" applyFont="1" applyBorder="1" applyAlignment="1" applyProtection="1">
      <alignment horizontal="center" vertical="center"/>
    </xf>
    <xf numFmtId="180" fontId="73" fillId="0" borderId="43" xfId="21" applyNumberFormat="1" applyFont="1" applyBorder="1" applyAlignment="1" applyProtection="1">
      <alignment horizontal="center" vertical="center"/>
    </xf>
    <xf numFmtId="180" fontId="55" fillId="0" borderId="43" xfId="21" applyNumberFormat="1" applyFont="1" applyBorder="1" applyAlignment="1" applyProtection="1">
      <alignment horizontal="center"/>
      <protection locked="0"/>
    </xf>
    <xf numFmtId="0" fontId="39" fillId="33" borderId="46" xfId="21" applyFont="1" applyFill="1" applyBorder="1" applyAlignment="1" applyProtection="1">
      <alignment horizontal="center" vertical="center" wrapText="1"/>
    </xf>
    <xf numFmtId="180" fontId="38" fillId="32" borderId="42" xfId="21" applyNumberFormat="1" applyFont="1" applyFill="1" applyBorder="1" applyAlignment="1" applyProtection="1">
      <alignment horizontal="center"/>
      <protection locked="0"/>
    </xf>
    <xf numFmtId="180" fontId="38" fillId="32" borderId="20" xfId="21" applyNumberFormat="1" applyFont="1" applyFill="1" applyBorder="1" applyAlignment="1" applyProtection="1">
      <alignment horizontal="center"/>
      <protection locked="0"/>
    </xf>
    <xf numFmtId="180" fontId="38" fillId="32" borderId="43" xfId="21" applyNumberFormat="1" applyFont="1" applyFill="1" applyBorder="1" applyAlignment="1" applyProtection="1">
      <alignment horizontal="center"/>
      <protection locked="0"/>
    </xf>
    <xf numFmtId="180" fontId="38" fillId="32" borderId="26" xfId="21" applyNumberFormat="1" applyFont="1" applyFill="1" applyBorder="1" applyAlignment="1" applyProtection="1">
      <alignment horizontal="center"/>
      <protection locked="0"/>
    </xf>
    <xf numFmtId="0" fontId="74" fillId="0" borderId="52" xfId="0" applyFont="1" applyBorder="1" applyAlignment="1" applyProtection="1">
      <alignment vertical="top" wrapText="1"/>
    </xf>
    <xf numFmtId="49" fontId="38" fillId="33" borderId="62" xfId="21" applyNumberFormat="1" applyFont="1" applyFill="1" applyBorder="1" applyAlignment="1" applyProtection="1">
      <alignment horizontal="center" vertical="center" wrapText="1"/>
    </xf>
    <xf numFmtId="180" fontId="44" fillId="0" borderId="43" xfId="21" applyNumberFormat="1" applyFont="1" applyBorder="1" applyAlignment="1" applyProtection="1">
      <alignment horizontal="center" vertical="center"/>
    </xf>
    <xf numFmtId="180" fontId="44" fillId="0" borderId="42" xfId="21" applyNumberFormat="1" applyFont="1" applyBorder="1" applyAlignment="1" applyProtection="1">
      <alignment horizontal="center"/>
    </xf>
    <xf numFmtId="180" fontId="44" fillId="0" borderId="43" xfId="21" applyNumberFormat="1" applyFont="1" applyBorder="1" applyAlignment="1" applyProtection="1">
      <alignment horizontal="center"/>
    </xf>
    <xf numFmtId="180" fontId="44" fillId="0" borderId="20" xfId="21" applyNumberFormat="1" applyFont="1" applyBorder="1" applyAlignment="1" applyProtection="1">
      <alignment horizontal="center"/>
    </xf>
    <xf numFmtId="180" fontId="42" fillId="32" borderId="10" xfId="21" applyNumberFormat="1" applyFont="1" applyFill="1" applyBorder="1" applyAlignment="1" applyProtection="1">
      <alignment horizontal="center" vertical="center"/>
      <protection locked="0"/>
    </xf>
    <xf numFmtId="180" fontId="38" fillId="32" borderId="10" xfId="21" applyNumberFormat="1" applyFont="1" applyFill="1" applyBorder="1" applyAlignment="1" applyProtection="1">
      <alignment horizontal="center"/>
      <protection locked="0"/>
    </xf>
    <xf numFmtId="0" fontId="55" fillId="0" borderId="59" xfId="0" applyFont="1" applyBorder="1" applyAlignment="1" applyProtection="1">
      <alignment horizontal="center" vertical="top" wrapText="1"/>
    </xf>
    <xf numFmtId="0" fontId="55" fillId="0" borderId="60" xfId="0" applyFont="1" applyBorder="1" applyAlignment="1" applyProtection="1">
      <alignment horizontal="center" vertical="top" wrapText="1"/>
    </xf>
    <xf numFmtId="0" fontId="55" fillId="0" borderId="52" xfId="0" applyFont="1" applyBorder="1" applyProtection="1"/>
    <xf numFmtId="0" fontId="55" fillId="0" borderId="14" xfId="0" applyFont="1" applyBorder="1" applyAlignment="1" applyProtection="1">
      <alignment horizontal="center"/>
    </xf>
    <xf numFmtId="0" fontId="47" fillId="39" borderId="52" xfId="0" applyFont="1" applyFill="1" applyBorder="1" applyAlignment="1">
      <alignment horizontal="left"/>
    </xf>
    <xf numFmtId="0" fontId="47" fillId="39" borderId="48" xfId="0" applyFont="1" applyFill="1" applyBorder="1" applyAlignment="1">
      <alignment horizontal="left"/>
    </xf>
    <xf numFmtId="0" fontId="1" fillId="0" borderId="0" xfId="0" applyFont="1"/>
    <xf numFmtId="0" fontId="47" fillId="39" borderId="61" xfId="0" applyFont="1" applyFill="1" applyBorder="1" applyAlignment="1">
      <alignment horizontal="left"/>
    </xf>
    <xf numFmtId="0" fontId="74" fillId="0" borderId="47" xfId="0" applyFont="1" applyBorder="1" applyProtection="1"/>
    <xf numFmtId="179" fontId="73" fillId="0" borderId="42" xfId="21" applyNumberFormat="1" applyFont="1" applyBorder="1" applyAlignment="1" applyProtection="1">
      <alignment horizontal="center"/>
    </xf>
    <xf numFmtId="0" fontId="74" fillId="0" borderId="42" xfId="0" applyFont="1" applyBorder="1" applyAlignment="1" applyProtection="1">
      <alignment horizontal="center" vertical="top" wrapText="1"/>
    </xf>
    <xf numFmtId="179" fontId="75" fillId="0" borderId="42" xfId="0" applyNumberFormat="1" applyFont="1" applyBorder="1" applyAlignment="1" applyProtection="1">
      <alignment horizontal="center" vertical="top" wrapText="1"/>
    </xf>
    <xf numFmtId="0" fontId="74" fillId="0" borderId="10" xfId="0" applyFont="1" applyBorder="1" applyAlignment="1" applyProtection="1">
      <alignment horizontal="center" vertical="top" wrapText="1"/>
    </xf>
    <xf numFmtId="179" fontId="75" fillId="0" borderId="10" xfId="0" applyNumberFormat="1" applyFont="1" applyBorder="1" applyAlignment="1" applyProtection="1">
      <alignment horizontal="center" vertical="top" wrapText="1"/>
    </xf>
    <xf numFmtId="0" fontId="74" fillId="0" borderId="43" xfId="0" applyFont="1" applyBorder="1" applyAlignment="1" applyProtection="1">
      <alignment horizontal="center" vertical="top" wrapText="1"/>
    </xf>
    <xf numFmtId="179" fontId="75" fillId="0" borderId="43" xfId="0" applyNumberFormat="1" applyFont="1" applyBorder="1" applyAlignment="1" applyProtection="1">
      <alignment horizontal="center" vertical="top" wrapText="1"/>
    </xf>
    <xf numFmtId="0" fontId="38" fillId="33" borderId="51" xfId="21" applyFont="1" applyFill="1" applyBorder="1" applyAlignment="1" applyProtection="1">
      <alignment horizontal="center" vertical="center" wrapText="1"/>
    </xf>
    <xf numFmtId="0" fontId="101" fillId="27" borderId="0" xfId="0" applyFont="1" applyFill="1" applyAlignment="1">
      <alignment horizontal="center" vertical="center"/>
    </xf>
    <xf numFmtId="0" fontId="101" fillId="27" borderId="0" xfId="0" applyFont="1" applyFill="1" applyAlignment="1">
      <alignment horizontal="center" vertical="center" wrapText="1"/>
    </xf>
    <xf numFmtId="0" fontId="102" fillId="0" borderId="0" xfId="0" applyFont="1" applyAlignment="1">
      <alignment horizontal="center" vertical="center"/>
    </xf>
    <xf numFmtId="14" fontId="102" fillId="0" borderId="0" xfId="0" applyNumberFormat="1" applyFont="1" applyAlignment="1">
      <alignment horizontal="left" vertical="center"/>
    </xf>
    <xf numFmtId="0" fontId="102" fillId="0" borderId="0" xfId="0" applyFont="1" applyFill="1" applyAlignment="1">
      <alignment vertical="center" wrapText="1"/>
    </xf>
    <xf numFmtId="0" fontId="102" fillId="0" borderId="0" xfId="0" applyFont="1" applyAlignment="1">
      <alignment horizontal="left" vertical="center" wrapText="1"/>
    </xf>
    <xf numFmtId="0" fontId="103" fillId="0" borderId="47" xfId="0" applyFont="1" applyBorder="1" applyAlignment="1" applyProtection="1">
      <alignment vertical="top" wrapText="1"/>
    </xf>
    <xf numFmtId="0" fontId="103" fillId="0" borderId="54" xfId="0" applyFont="1" applyBorder="1" applyAlignment="1" applyProtection="1">
      <alignment vertical="top" wrapText="1"/>
    </xf>
    <xf numFmtId="0" fontId="103" fillId="0" borderId="65" xfId="0" applyFont="1" applyBorder="1" applyAlignment="1" applyProtection="1">
      <alignment vertical="top" wrapText="1"/>
    </xf>
    <xf numFmtId="0" fontId="103" fillId="0" borderId="66" xfId="0" applyFont="1" applyBorder="1" applyAlignment="1" applyProtection="1">
      <alignment vertical="top" wrapText="1"/>
    </xf>
    <xf numFmtId="0" fontId="104" fillId="32" borderId="0" xfId="21" applyFont="1" applyFill="1" applyBorder="1" applyAlignment="1" applyProtection="1">
      <alignment horizontal="center"/>
    </xf>
    <xf numFmtId="0" fontId="104" fillId="32" borderId="0" xfId="21" applyFont="1" applyFill="1" applyBorder="1" applyProtection="1"/>
    <xf numFmtId="49" fontId="105" fillId="33" borderId="56" xfId="21" applyNumberFormat="1" applyFont="1" applyFill="1" applyBorder="1" applyAlignment="1" applyProtection="1">
      <alignment horizontal="center" vertical="center" wrapText="1"/>
    </xf>
    <xf numFmtId="49" fontId="105" fillId="33" borderId="57" xfId="21" applyNumberFormat="1" applyFont="1" applyFill="1" applyBorder="1" applyAlignment="1" applyProtection="1">
      <alignment horizontal="center" vertical="center" wrapText="1"/>
    </xf>
    <xf numFmtId="0" fontId="105" fillId="33" borderId="44" xfId="21" applyFont="1" applyFill="1" applyBorder="1" applyAlignment="1" applyProtection="1">
      <alignment horizontal="center" vertical="center" wrapText="1"/>
    </xf>
    <xf numFmtId="180" fontId="105" fillId="33" borderId="44" xfId="21" applyNumberFormat="1" applyFont="1" applyFill="1" applyBorder="1" applyAlignment="1" applyProtection="1">
      <alignment horizontal="center" vertical="center" wrapText="1"/>
    </xf>
    <xf numFmtId="180" fontId="105" fillId="33" borderId="58" xfId="21" applyNumberFormat="1" applyFont="1" applyFill="1" applyBorder="1" applyAlignment="1" applyProtection="1">
      <alignment horizontal="center" vertical="center" wrapText="1"/>
    </xf>
    <xf numFmtId="0" fontId="105" fillId="33" borderId="58" xfId="21" applyFont="1" applyFill="1" applyBorder="1" applyAlignment="1" applyProtection="1">
      <alignment horizontal="center" vertical="center" wrapText="1"/>
    </xf>
    <xf numFmtId="180" fontId="106" fillId="32" borderId="42" xfId="21" applyNumberFormat="1" applyFont="1" applyFill="1" applyBorder="1" applyAlignment="1" applyProtection="1">
      <alignment horizontal="center"/>
      <protection locked="0"/>
    </xf>
    <xf numFmtId="182" fontId="105" fillId="32" borderId="42" xfId="21" applyNumberFormat="1" applyFont="1" applyFill="1" applyBorder="1" applyAlignment="1" applyProtection="1">
      <alignment horizontal="center"/>
    </xf>
    <xf numFmtId="180" fontId="106" fillId="32" borderId="43" xfId="21" applyNumberFormat="1" applyFont="1" applyFill="1" applyBorder="1" applyAlignment="1" applyProtection="1">
      <alignment horizontal="center"/>
      <protection locked="0"/>
    </xf>
    <xf numFmtId="182" fontId="105" fillId="32" borderId="43" xfId="21" applyNumberFormat="1" applyFont="1" applyFill="1" applyBorder="1" applyAlignment="1" applyProtection="1">
      <alignment horizontal="center"/>
    </xf>
    <xf numFmtId="182" fontId="105" fillId="32" borderId="26" xfId="21" applyNumberFormat="1" applyFont="1" applyFill="1" applyBorder="1" applyAlignment="1" applyProtection="1">
      <alignment horizontal="center"/>
    </xf>
    <xf numFmtId="182" fontId="105" fillId="32" borderId="20" xfId="21" applyNumberFormat="1" applyFont="1" applyFill="1" applyBorder="1" applyAlignment="1" applyProtection="1">
      <alignment horizontal="center"/>
    </xf>
    <xf numFmtId="180" fontId="106" fillId="32" borderId="42" xfId="21" applyNumberFormat="1" applyFont="1" applyFill="1" applyBorder="1" applyAlignment="1" applyProtection="1">
      <alignment horizontal="center" vertical="center"/>
      <protection locked="0"/>
    </xf>
    <xf numFmtId="180" fontId="106" fillId="32" borderId="43" xfId="21" applyNumberFormat="1" applyFont="1" applyFill="1" applyBorder="1" applyAlignment="1" applyProtection="1">
      <alignment horizontal="center" vertical="center"/>
      <protection locked="0"/>
    </xf>
    <xf numFmtId="179" fontId="105" fillId="0" borderId="42" xfId="21" applyNumberFormat="1" applyFont="1" applyBorder="1" applyAlignment="1" applyProtection="1">
      <alignment horizontal="center"/>
    </xf>
    <xf numFmtId="179" fontId="105" fillId="0" borderId="43" xfId="21" applyNumberFormat="1" applyFont="1" applyBorder="1" applyAlignment="1" applyProtection="1">
      <alignment horizontal="center"/>
    </xf>
    <xf numFmtId="182" fontId="107" fillId="0" borderId="0" xfId="21" applyNumberFormat="1" applyFont="1" applyBorder="1" applyProtection="1"/>
    <xf numFmtId="180" fontId="105" fillId="32" borderId="0" xfId="21" applyNumberFormat="1" applyFont="1" applyFill="1" applyBorder="1" applyAlignment="1" applyProtection="1">
      <alignment horizontal="center"/>
    </xf>
    <xf numFmtId="182" fontId="105" fillId="32" borderId="0" xfId="21" applyNumberFormat="1" applyFont="1" applyFill="1" applyBorder="1" applyAlignment="1" applyProtection="1">
      <alignment horizontal="center"/>
    </xf>
    <xf numFmtId="0" fontId="109" fillId="32" borderId="0" xfId="21" applyFont="1" applyFill="1" applyBorder="1" applyProtection="1"/>
    <xf numFmtId="0" fontId="79" fillId="32" borderId="0" xfId="21" applyFont="1" applyFill="1" applyBorder="1" applyAlignment="1" applyProtection="1">
      <alignment horizontal="center"/>
    </xf>
    <xf numFmtId="179" fontId="104" fillId="32" borderId="0" xfId="21" applyNumberFormat="1" applyFont="1" applyFill="1" applyBorder="1" applyAlignment="1" applyProtection="1">
      <alignment horizontal="center"/>
    </xf>
    <xf numFmtId="0" fontId="105" fillId="32" borderId="0" xfId="21" applyFont="1" applyFill="1" applyBorder="1" applyAlignment="1" applyProtection="1">
      <alignment horizontal="center"/>
    </xf>
    <xf numFmtId="0" fontId="105" fillId="33" borderId="46" xfId="21" applyFont="1" applyFill="1" applyBorder="1" applyAlignment="1" applyProtection="1">
      <alignment horizontal="center" vertical="center" wrapText="1"/>
    </xf>
    <xf numFmtId="0" fontId="110" fillId="32" borderId="0" xfId="21" applyFont="1" applyFill="1" applyBorder="1" applyProtection="1"/>
    <xf numFmtId="0" fontId="105" fillId="0" borderId="47" xfId="0" applyFont="1" applyBorder="1" applyProtection="1"/>
    <xf numFmtId="0" fontId="105" fillId="0" borderId="48" xfId="0" applyFont="1" applyBorder="1" applyProtection="1"/>
    <xf numFmtId="0" fontId="111" fillId="32" borderId="0" xfId="21" applyFont="1" applyFill="1" applyBorder="1" applyProtection="1"/>
    <xf numFmtId="0" fontId="112" fillId="0" borderId="0" xfId="0" applyFont="1" applyBorder="1" applyProtection="1"/>
    <xf numFmtId="183" fontId="106" fillId="0" borderId="0" xfId="0" applyNumberFormat="1" applyFont="1" applyBorder="1" applyProtection="1"/>
    <xf numFmtId="0" fontId="106" fillId="32" borderId="0" xfId="21" applyFont="1" applyFill="1" applyBorder="1" applyAlignment="1" applyProtection="1">
      <alignment horizontal="left"/>
    </xf>
    <xf numFmtId="0" fontId="112" fillId="32" borderId="0" xfId="21" applyFont="1" applyFill="1" applyBorder="1" applyAlignment="1" applyProtection="1">
      <alignment horizontal="center" vertical="center"/>
    </xf>
    <xf numFmtId="181" fontId="112" fillId="32" borderId="0" xfId="21" applyNumberFormat="1" applyFont="1" applyFill="1" applyBorder="1" applyAlignment="1" applyProtection="1">
      <alignment horizontal="center" vertical="center" wrapText="1"/>
    </xf>
    <xf numFmtId="0" fontId="113" fillId="0" borderId="0" xfId="0" applyFont="1" applyBorder="1" applyProtection="1"/>
    <xf numFmtId="0" fontId="103" fillId="0" borderId="47" xfId="0" applyFont="1" applyBorder="1" applyProtection="1"/>
    <xf numFmtId="179" fontId="79" fillId="0" borderId="42" xfId="0" applyNumberFormat="1" applyFont="1" applyBorder="1" applyAlignment="1" applyProtection="1">
      <alignment horizontal="center"/>
    </xf>
    <xf numFmtId="180" fontId="105" fillId="32" borderId="42" xfId="21" applyNumberFormat="1" applyFont="1" applyFill="1" applyBorder="1" applyAlignment="1" applyProtection="1">
      <alignment horizontal="center"/>
      <protection locked="0"/>
    </xf>
    <xf numFmtId="0" fontId="103" fillId="0" borderId="48" xfId="0" applyFont="1" applyBorder="1" applyProtection="1"/>
    <xf numFmtId="179" fontId="79" fillId="0" borderId="43" xfId="0" applyNumberFormat="1" applyFont="1" applyBorder="1" applyAlignment="1" applyProtection="1">
      <alignment horizontal="center"/>
    </xf>
    <xf numFmtId="180" fontId="105" fillId="32" borderId="43" xfId="21" applyNumberFormat="1" applyFont="1" applyFill="1" applyBorder="1" applyAlignment="1" applyProtection="1">
      <alignment horizontal="center"/>
      <protection locked="0"/>
    </xf>
    <xf numFmtId="0" fontId="38" fillId="0" borderId="73" xfId="0" applyFont="1" applyBorder="1" applyAlignment="1" applyProtection="1">
      <alignment vertical="top" wrapText="1"/>
    </xf>
    <xf numFmtId="0" fontId="38" fillId="0" borderId="75" xfId="0" applyFont="1" applyBorder="1" applyAlignment="1" applyProtection="1">
      <alignment vertical="top" wrapText="1"/>
    </xf>
    <xf numFmtId="0" fontId="38" fillId="0" borderId="74" xfId="0" applyFont="1" applyBorder="1" applyAlignment="1" applyProtection="1">
      <alignment vertical="top" wrapText="1"/>
    </xf>
    <xf numFmtId="0" fontId="83" fillId="38" borderId="52" xfId="0" applyFont="1" applyFill="1" applyBorder="1" applyAlignment="1" applyProtection="1">
      <alignment vertical="top" wrapText="1"/>
    </xf>
    <xf numFmtId="0" fontId="83" fillId="38" borderId="48" xfId="0" applyFont="1" applyFill="1" applyBorder="1" applyAlignment="1" applyProtection="1">
      <alignment vertical="top" wrapText="1"/>
    </xf>
    <xf numFmtId="0" fontId="78" fillId="32" borderId="0" xfId="21" applyFont="1" applyFill="1" applyBorder="1" applyAlignment="1" applyProtection="1">
      <alignment horizontal="center"/>
    </xf>
    <xf numFmtId="179" fontId="78" fillId="32" borderId="44" xfId="21" applyNumberFormat="1" applyFont="1" applyFill="1" applyBorder="1" applyAlignment="1" applyProtection="1">
      <alignment horizontal="center"/>
    </xf>
    <xf numFmtId="179" fontId="78" fillId="32" borderId="20" xfId="21" applyNumberFormat="1" applyFont="1" applyFill="1" applyBorder="1" applyAlignment="1" applyProtection="1">
      <alignment horizontal="center"/>
    </xf>
    <xf numFmtId="179" fontId="78" fillId="32" borderId="10" xfId="21" applyNumberFormat="1" applyFont="1" applyFill="1" applyBorder="1" applyAlignment="1" applyProtection="1">
      <alignment horizontal="center"/>
    </xf>
    <xf numFmtId="0" fontId="84" fillId="38" borderId="42" xfId="0" applyFont="1" applyFill="1" applyBorder="1" applyAlignment="1" applyProtection="1">
      <alignment vertical="center" wrapText="1"/>
    </xf>
    <xf numFmtId="0" fontId="84" fillId="38" borderId="20" xfId="0" applyFont="1" applyFill="1" applyBorder="1" applyAlignment="1" applyProtection="1">
      <alignment vertical="center" wrapText="1"/>
    </xf>
    <xf numFmtId="0" fontId="84" fillId="38" borderId="43" xfId="0" applyFont="1" applyFill="1" applyBorder="1" applyAlignment="1" applyProtection="1">
      <alignment vertical="center" wrapText="1"/>
    </xf>
    <xf numFmtId="0" fontId="83" fillId="38" borderId="47" xfId="0" applyFont="1" applyFill="1" applyBorder="1" applyAlignment="1" applyProtection="1">
      <alignment vertical="top" wrapText="1"/>
    </xf>
    <xf numFmtId="0" fontId="84" fillId="38" borderId="42" xfId="0" applyFont="1" applyFill="1" applyBorder="1" applyProtection="1"/>
    <xf numFmtId="0" fontId="84" fillId="38" borderId="43" xfId="0" applyFont="1" applyFill="1" applyBorder="1" applyProtection="1"/>
    <xf numFmtId="179" fontId="84" fillId="32" borderId="42" xfId="21" applyNumberFormat="1" applyFont="1" applyFill="1" applyBorder="1" applyAlignment="1" applyProtection="1">
      <alignment horizontal="center"/>
    </xf>
    <xf numFmtId="179" fontId="84" fillId="32" borderId="10" xfId="21" applyNumberFormat="1" applyFont="1" applyFill="1" applyBorder="1" applyAlignment="1" applyProtection="1">
      <alignment horizontal="center"/>
    </xf>
    <xf numFmtId="179" fontId="84" fillId="32" borderId="43" xfId="21" applyNumberFormat="1" applyFont="1" applyFill="1" applyBorder="1" applyAlignment="1" applyProtection="1">
      <alignment horizontal="center"/>
    </xf>
    <xf numFmtId="0" fontId="85" fillId="38" borderId="42" xfId="0" applyFont="1" applyFill="1" applyBorder="1" applyAlignment="1" applyProtection="1">
      <alignment vertical="center" wrapText="1"/>
    </xf>
    <xf numFmtId="0" fontId="85" fillId="38" borderId="43" xfId="0" applyFont="1" applyFill="1" applyBorder="1" applyAlignment="1" applyProtection="1">
      <alignment vertical="center" wrapText="1"/>
    </xf>
    <xf numFmtId="179" fontId="78" fillId="32" borderId="70" xfId="21" applyNumberFormat="1" applyFont="1" applyFill="1" applyBorder="1" applyAlignment="1" applyProtection="1">
      <alignment horizontal="center"/>
    </xf>
    <xf numFmtId="179" fontId="78" fillId="32" borderId="26" xfId="21" applyNumberFormat="1" applyFont="1" applyFill="1" applyBorder="1" applyAlignment="1" applyProtection="1">
      <alignment horizontal="center"/>
    </xf>
    <xf numFmtId="0" fontId="84" fillId="38" borderId="26" xfId="0" applyFont="1" applyFill="1" applyBorder="1" applyAlignment="1" applyProtection="1">
      <alignment vertical="center" wrapText="1"/>
    </xf>
    <xf numFmtId="179" fontId="78" fillId="32" borderId="43" xfId="21" applyNumberFormat="1" applyFont="1" applyFill="1" applyBorder="1" applyAlignment="1" applyProtection="1">
      <alignment horizontal="center"/>
    </xf>
    <xf numFmtId="179" fontId="45" fillId="0" borderId="42" xfId="21" applyNumberFormat="1" applyFont="1" applyBorder="1" applyAlignment="1" applyProtection="1">
      <alignment horizontal="center"/>
    </xf>
    <xf numFmtId="179" fontId="45" fillId="0" borderId="43" xfId="21" applyNumberFormat="1" applyFont="1" applyBorder="1" applyAlignment="1" applyProtection="1">
      <alignment horizontal="center"/>
    </xf>
    <xf numFmtId="179" fontId="45" fillId="0" borderId="10" xfId="21" applyNumberFormat="1" applyFont="1" applyBorder="1" applyAlignment="1" applyProtection="1">
      <alignment horizontal="center"/>
    </xf>
    <xf numFmtId="0" fontId="83" fillId="0" borderId="59" xfId="0" applyFont="1" applyBorder="1" applyProtection="1"/>
    <xf numFmtId="0" fontId="83" fillId="0" borderId="14" xfId="0" applyFont="1" applyBorder="1" applyProtection="1"/>
    <xf numFmtId="0" fontId="83" fillId="0" borderId="60" xfId="0" applyFont="1" applyBorder="1" applyProtection="1"/>
    <xf numFmtId="0" fontId="83" fillId="0" borderId="47" xfId="0" applyFont="1" applyBorder="1" applyAlignment="1" applyProtection="1">
      <alignment vertical="top" wrapText="1"/>
    </xf>
    <xf numFmtId="0" fontId="83" fillId="0" borderId="48" xfId="0" applyFont="1" applyBorder="1" applyAlignment="1" applyProtection="1">
      <alignment vertical="top" wrapText="1"/>
    </xf>
    <xf numFmtId="0" fontId="83" fillId="0" borderId="52" xfId="0" applyFont="1" applyBorder="1" applyAlignment="1" applyProtection="1">
      <alignment vertical="top" wrapText="1"/>
    </xf>
    <xf numFmtId="0" fontId="44" fillId="38" borderId="53" xfId="0" applyFont="1" applyFill="1" applyBorder="1" applyAlignment="1">
      <alignment horizontal="left" vertical="center"/>
    </xf>
    <xf numFmtId="0" fontId="44" fillId="38" borderId="50" xfId="0" applyFont="1" applyFill="1" applyBorder="1" applyAlignment="1">
      <alignment horizontal="left" vertical="center"/>
    </xf>
    <xf numFmtId="0" fontId="44" fillId="38" borderId="68" xfId="0" applyFont="1" applyFill="1" applyBorder="1" applyAlignment="1">
      <alignment horizontal="left" vertical="center"/>
    </xf>
    <xf numFmtId="182" fontId="84" fillId="38" borderId="43" xfId="21" applyNumberFormat="1" applyFont="1" applyFill="1" applyBorder="1" applyAlignment="1" applyProtection="1">
      <alignment vertical="center" wrapText="1"/>
    </xf>
    <xf numFmtId="180" fontId="42" fillId="32" borderId="42" xfId="21" applyNumberFormat="1" applyFont="1" applyFill="1" applyBorder="1" applyAlignment="1" applyProtection="1">
      <alignment horizontal="center"/>
    </xf>
    <xf numFmtId="180" fontId="42" fillId="32" borderId="43" xfId="21" applyNumberFormat="1" applyFont="1" applyFill="1" applyBorder="1" applyAlignment="1" applyProtection="1">
      <alignment horizontal="center"/>
    </xf>
    <xf numFmtId="180" fontId="81" fillId="32" borderId="42" xfId="21" applyNumberFormat="1" applyFont="1" applyFill="1" applyBorder="1" applyAlignment="1" applyProtection="1">
      <alignment horizontal="center"/>
    </xf>
    <xf numFmtId="180" fontId="81" fillId="32" borderId="43" xfId="21" applyNumberFormat="1" applyFont="1" applyFill="1" applyBorder="1" applyAlignment="1" applyProtection="1">
      <alignment horizontal="center"/>
    </xf>
    <xf numFmtId="180" fontId="81" fillId="32" borderId="26" xfId="21" applyNumberFormat="1" applyFont="1" applyFill="1" applyBorder="1" applyAlignment="1" applyProtection="1">
      <alignment horizontal="center"/>
    </xf>
    <xf numFmtId="180" fontId="81" fillId="32" borderId="20" xfId="21" applyNumberFormat="1" applyFont="1" applyFill="1" applyBorder="1" applyAlignment="1" applyProtection="1">
      <alignment horizontal="center"/>
    </xf>
    <xf numFmtId="180" fontId="81" fillId="32" borderId="42" xfId="21" applyNumberFormat="1" applyFont="1" applyFill="1" applyBorder="1" applyAlignment="1" applyProtection="1">
      <alignment horizontal="center" vertical="center"/>
    </xf>
    <xf numFmtId="180" fontId="81" fillId="32" borderId="43" xfId="21" applyNumberFormat="1" applyFont="1" applyFill="1" applyBorder="1" applyAlignment="1" applyProtection="1">
      <alignment horizontal="center" vertical="center"/>
    </xf>
    <xf numFmtId="0" fontId="114" fillId="0" borderId="10" xfId="0" applyFont="1" applyBorder="1" applyAlignment="1" applyProtection="1">
      <alignment horizontal="center"/>
    </xf>
    <xf numFmtId="180" fontId="84" fillId="32" borderId="26" xfId="21" applyNumberFormat="1" applyFont="1" applyFill="1" applyBorder="1" applyAlignment="1" applyProtection="1">
      <alignment horizontal="center" vertical="center"/>
    </xf>
    <xf numFmtId="180" fontId="55" fillId="0" borderId="43" xfId="21" applyNumberFormat="1" applyFont="1" applyBorder="1" applyAlignment="1" applyProtection="1">
      <alignment horizontal="center" vertical="center"/>
      <protection locked="0"/>
    </xf>
    <xf numFmtId="0" fontId="44" fillId="0" borderId="26" xfId="0" applyFont="1" applyBorder="1" applyAlignment="1" applyProtection="1">
      <alignment horizontal="center"/>
    </xf>
    <xf numFmtId="180" fontId="55" fillId="0" borderId="42" xfId="21" applyNumberFormat="1" applyFont="1" applyBorder="1" applyAlignment="1" applyProtection="1">
      <alignment horizontal="center" vertical="center"/>
      <protection locked="0"/>
    </xf>
    <xf numFmtId="0" fontId="114" fillId="0" borderId="43" xfId="0" applyFont="1" applyBorder="1" applyAlignment="1" applyProtection="1">
      <alignment horizontal="center"/>
    </xf>
    <xf numFmtId="0" fontId="110" fillId="32" borderId="0" xfId="21" applyFont="1" applyFill="1" applyBorder="1" applyProtection="1">
      <protection locked="0"/>
    </xf>
    <xf numFmtId="0" fontId="44" fillId="0" borderId="20" xfId="0" applyFont="1" applyBorder="1" applyAlignment="1" applyProtection="1">
      <alignment horizontal="center"/>
    </xf>
    <xf numFmtId="180" fontId="84" fillId="32" borderId="43" xfId="21" applyNumberFormat="1" applyFont="1" applyFill="1" applyBorder="1" applyAlignment="1" applyProtection="1">
      <alignment horizontal="center" vertical="center"/>
    </xf>
    <xf numFmtId="180" fontId="84" fillId="32" borderId="20" xfId="21" applyNumberFormat="1" applyFont="1" applyFill="1" applyBorder="1" applyAlignment="1" applyProtection="1">
      <alignment horizontal="center" vertical="center"/>
    </xf>
    <xf numFmtId="180" fontId="84" fillId="32" borderId="42" xfId="21" applyNumberFormat="1" applyFont="1" applyFill="1" applyBorder="1" applyAlignment="1" applyProtection="1">
      <alignment horizontal="center" vertical="center"/>
    </xf>
    <xf numFmtId="180" fontId="42" fillId="32" borderId="10" xfId="21" applyNumberFormat="1" applyFont="1" applyFill="1" applyBorder="1" applyAlignment="1" applyProtection="1">
      <alignment horizontal="center"/>
    </xf>
    <xf numFmtId="180" fontId="84" fillId="0" borderId="43" xfId="21" applyNumberFormat="1" applyFont="1" applyBorder="1" applyAlignment="1" applyProtection="1">
      <alignment horizontal="center" vertical="center"/>
    </xf>
    <xf numFmtId="0" fontId="34" fillId="32" borderId="0" xfId="21" applyFill="1" applyBorder="1" applyAlignment="1" applyProtection="1">
      <alignment horizontal="center"/>
    </xf>
    <xf numFmtId="0" fontId="38" fillId="32" borderId="0" xfId="21" applyFont="1" applyFill="1" applyBorder="1" applyAlignment="1" applyProtection="1">
      <alignment horizontal="center"/>
    </xf>
    <xf numFmtId="182" fontId="38" fillId="32" borderId="10" xfId="21" applyNumberFormat="1" applyFont="1" applyFill="1" applyBorder="1" applyAlignment="1" applyProtection="1">
      <alignment horizontal="center"/>
    </xf>
    <xf numFmtId="180" fontId="42" fillId="32" borderId="43" xfId="21" applyNumberFormat="1" applyFont="1" applyFill="1" applyBorder="1" applyAlignment="1" applyProtection="1">
      <alignment horizontal="center" vertical="center"/>
      <protection locked="0"/>
    </xf>
    <xf numFmtId="180" fontId="42" fillId="32" borderId="42" xfId="21" applyNumberFormat="1" applyFont="1" applyFill="1" applyBorder="1" applyAlignment="1" applyProtection="1">
      <alignment horizontal="center" vertical="center"/>
      <protection locked="0"/>
    </xf>
    <xf numFmtId="0" fontId="34" fillId="32" borderId="0" xfId="21" applyFill="1" applyBorder="1" applyProtection="1"/>
    <xf numFmtId="0" fontId="39" fillId="33" borderId="44" xfId="21" applyFont="1" applyFill="1" applyBorder="1" applyAlignment="1" applyProtection="1">
      <alignment horizontal="center" vertical="center" wrapText="1"/>
    </xf>
    <xf numFmtId="180" fontId="39" fillId="33" borderId="44" xfId="21" applyNumberFormat="1" applyFont="1" applyFill="1" applyBorder="1" applyAlignment="1" applyProtection="1">
      <alignment horizontal="center" vertical="center" wrapText="1"/>
    </xf>
    <xf numFmtId="0" fontId="38" fillId="33" borderId="44" xfId="21" applyFont="1" applyFill="1" applyBorder="1" applyAlignment="1" applyProtection="1">
      <alignment horizontal="center" vertical="center" wrapText="1"/>
    </xf>
    <xf numFmtId="0" fontId="36" fillId="32" borderId="0" xfId="21" applyFont="1" applyFill="1" applyBorder="1" applyProtection="1"/>
    <xf numFmtId="182" fontId="38" fillId="32" borderId="43" xfId="21" applyNumberFormat="1" applyFont="1" applyFill="1" applyBorder="1" applyAlignment="1" applyProtection="1">
      <alignment horizontal="center"/>
    </xf>
    <xf numFmtId="182" fontId="38" fillId="32" borderId="42" xfId="21" applyNumberFormat="1" applyFont="1" applyFill="1" applyBorder="1" applyAlignment="1" applyProtection="1">
      <alignment horizontal="center"/>
    </xf>
    <xf numFmtId="0" fontId="45" fillId="32" borderId="0" xfId="21" applyFont="1" applyFill="1" applyBorder="1" applyAlignment="1" applyProtection="1">
      <alignment horizontal="center"/>
    </xf>
    <xf numFmtId="179" fontId="45" fillId="32" borderId="0" xfId="21" applyNumberFormat="1" applyFont="1" applyFill="1" applyBorder="1" applyAlignment="1" applyProtection="1">
      <alignment horizontal="center"/>
    </xf>
    <xf numFmtId="179" fontId="34" fillId="32" borderId="0" xfId="21" applyNumberFormat="1" applyFill="1" applyBorder="1" applyAlignment="1" applyProtection="1">
      <alignment horizontal="center"/>
    </xf>
    <xf numFmtId="0" fontId="34" fillId="32" borderId="0" xfId="21" applyFill="1" applyBorder="1" applyAlignment="1" applyProtection="1">
      <alignment horizontal="left"/>
    </xf>
    <xf numFmtId="0" fontId="37" fillId="32" borderId="0" xfId="21" applyFont="1" applyFill="1" applyBorder="1" applyProtection="1"/>
    <xf numFmtId="0" fontId="53" fillId="32" borderId="0" xfId="21" applyFont="1" applyFill="1" applyBorder="1" applyProtection="1"/>
    <xf numFmtId="0" fontId="54" fillId="32" borderId="0" xfId="21" applyFont="1" applyFill="1" applyBorder="1" applyProtection="1"/>
    <xf numFmtId="179" fontId="38" fillId="32" borderId="0" xfId="21" applyNumberFormat="1" applyFont="1" applyFill="1" applyBorder="1" applyAlignment="1" applyProtection="1">
      <alignment horizontal="center"/>
    </xf>
    <xf numFmtId="49" fontId="38" fillId="33" borderId="56" xfId="21" applyNumberFormat="1" applyFont="1" applyFill="1" applyBorder="1" applyAlignment="1" applyProtection="1">
      <alignment horizontal="center" vertical="center" wrapText="1"/>
    </xf>
    <xf numFmtId="49" fontId="38" fillId="33" borderId="57" xfId="21" applyNumberFormat="1" applyFont="1" applyFill="1" applyBorder="1" applyAlignment="1" applyProtection="1">
      <alignment horizontal="center" vertical="center" wrapText="1"/>
    </xf>
    <xf numFmtId="0" fontId="39" fillId="33" borderId="58" xfId="21" applyFont="1" applyFill="1" applyBorder="1" applyAlignment="1" applyProtection="1">
      <alignment horizontal="center" vertical="center" wrapText="1"/>
    </xf>
    <xf numFmtId="180" fontId="40" fillId="33" borderId="58" xfId="21" applyNumberFormat="1" applyFont="1" applyFill="1" applyBorder="1" applyAlignment="1" applyProtection="1">
      <alignment horizontal="center" vertical="center" wrapText="1"/>
    </xf>
    <xf numFmtId="180" fontId="73" fillId="0" borderId="42" xfId="21" applyNumberFormat="1" applyFont="1" applyBorder="1" applyAlignment="1" applyProtection="1">
      <alignment horizontal="center" vertical="center"/>
    </xf>
    <xf numFmtId="180" fontId="73" fillId="0" borderId="43" xfId="21" applyNumberFormat="1" applyFont="1" applyBorder="1" applyAlignment="1" applyProtection="1">
      <alignment horizontal="center" vertical="center"/>
    </xf>
    <xf numFmtId="182" fontId="38" fillId="32" borderId="20" xfId="21" applyNumberFormat="1" applyFont="1" applyFill="1" applyBorder="1" applyAlignment="1" applyProtection="1">
      <alignment horizontal="center"/>
    </xf>
    <xf numFmtId="0" fontId="74" fillId="0" borderId="47" xfId="0" applyFont="1" applyBorder="1" applyAlignment="1" applyProtection="1">
      <alignment vertical="top" wrapText="1"/>
    </xf>
    <xf numFmtId="0" fontId="74" fillId="0" borderId="48" xfId="0" applyFont="1" applyBorder="1" applyAlignment="1" applyProtection="1">
      <alignment vertical="top" wrapText="1"/>
    </xf>
    <xf numFmtId="0" fontId="74" fillId="0" borderId="52" xfId="0" applyFont="1" applyBorder="1" applyAlignment="1" applyProtection="1">
      <alignment vertical="top" wrapText="1"/>
    </xf>
    <xf numFmtId="180" fontId="42" fillId="32" borderId="10" xfId="21" applyNumberFormat="1" applyFont="1" applyFill="1" applyBorder="1" applyAlignment="1" applyProtection="1">
      <alignment horizontal="center" vertical="center"/>
      <protection locked="0"/>
    </xf>
    <xf numFmtId="0" fontId="38" fillId="33" borderId="46" xfId="21" applyFont="1" applyFill="1" applyBorder="1" applyAlignment="1" applyProtection="1">
      <alignment horizontal="center" vertical="center" wrapText="1"/>
    </xf>
    <xf numFmtId="180" fontId="45" fillId="0" borderId="42" xfId="21" applyNumberFormat="1" applyFont="1" applyBorder="1" applyAlignment="1" applyProtection="1">
      <alignment horizontal="center" vertical="center"/>
    </xf>
    <xf numFmtId="180" fontId="73" fillId="0" borderId="10" xfId="21" applyNumberFormat="1" applyFont="1" applyBorder="1" applyAlignment="1" applyProtection="1">
      <alignment horizontal="center" vertical="center"/>
    </xf>
    <xf numFmtId="180" fontId="45" fillId="0" borderId="10" xfId="21" applyNumberFormat="1" applyFont="1" applyBorder="1" applyAlignment="1" applyProtection="1">
      <alignment horizontal="center" vertical="center"/>
    </xf>
    <xf numFmtId="180" fontId="73" fillId="32" borderId="10" xfId="21" applyNumberFormat="1" applyFont="1" applyFill="1" applyBorder="1" applyAlignment="1" applyProtection="1">
      <alignment horizontal="center" vertical="center"/>
    </xf>
    <xf numFmtId="180" fontId="45" fillId="32" borderId="10" xfId="21" applyNumberFormat="1" applyFont="1" applyFill="1" applyBorder="1" applyAlignment="1" applyProtection="1">
      <alignment horizontal="center" vertical="center"/>
    </xf>
    <xf numFmtId="180" fontId="45" fillId="0" borderId="43" xfId="21" applyNumberFormat="1" applyFont="1" applyBorder="1" applyAlignment="1" applyProtection="1">
      <alignment horizontal="center" vertical="center"/>
    </xf>
    <xf numFmtId="179" fontId="79" fillId="0" borderId="42" xfId="21" applyNumberFormat="1" applyFont="1" applyBorder="1" applyAlignment="1" applyProtection="1">
      <alignment horizontal="center"/>
    </xf>
    <xf numFmtId="179" fontId="79" fillId="0" borderId="43" xfId="21" applyNumberFormat="1" applyFont="1" applyBorder="1" applyAlignment="1" applyProtection="1">
      <alignment horizontal="center"/>
    </xf>
    <xf numFmtId="0" fontId="84" fillId="0" borderId="47" xfId="0" applyFont="1" applyBorder="1" applyProtection="1"/>
    <xf numFmtId="0" fontId="84" fillId="0" borderId="48" xfId="0" applyFont="1" applyBorder="1" applyProtection="1"/>
    <xf numFmtId="0" fontId="84" fillId="0" borderId="42" xfId="0" applyFont="1" applyBorder="1" applyProtection="1"/>
    <xf numFmtId="0" fontId="84" fillId="0" borderId="43" xfId="0" applyFont="1" applyBorder="1" applyProtection="1"/>
    <xf numFmtId="180" fontId="81" fillId="32" borderId="44" xfId="21" applyNumberFormat="1" applyFont="1" applyFill="1" applyBorder="1" applyAlignment="1" applyProtection="1">
      <alignment horizontal="center"/>
    </xf>
    <xf numFmtId="0" fontId="38" fillId="32" borderId="0" xfId="21" applyFont="1" applyFill="1" applyBorder="1" applyAlignment="1" applyProtection="1">
      <alignment horizontal="center"/>
    </xf>
    <xf numFmtId="182" fontId="38" fillId="32" borderId="10" xfId="21" applyNumberFormat="1" applyFont="1" applyFill="1" applyBorder="1" applyAlignment="1" applyProtection="1">
      <alignment horizontal="center"/>
    </xf>
    <xf numFmtId="180" fontId="42" fillId="32" borderId="43" xfId="21" applyNumberFormat="1" applyFont="1" applyFill="1" applyBorder="1" applyAlignment="1" applyProtection="1">
      <alignment horizontal="center" vertical="center"/>
      <protection locked="0"/>
    </xf>
    <xf numFmtId="0" fontId="34" fillId="32" borderId="0" xfId="21" applyFill="1" applyBorder="1" applyProtection="1"/>
    <xf numFmtId="0" fontId="36" fillId="32" borderId="0" xfId="21" applyFont="1" applyFill="1" applyBorder="1" applyProtection="1"/>
    <xf numFmtId="182" fontId="38" fillId="32" borderId="43" xfId="21" applyNumberFormat="1" applyFont="1" applyFill="1" applyBorder="1" applyAlignment="1" applyProtection="1">
      <alignment horizontal="center"/>
    </xf>
    <xf numFmtId="0" fontId="45" fillId="32" borderId="0" xfId="21" applyFont="1" applyFill="1" applyBorder="1" applyAlignment="1" applyProtection="1">
      <alignment horizontal="center"/>
    </xf>
    <xf numFmtId="179" fontId="34" fillId="32" borderId="0" xfId="21" applyNumberFormat="1" applyFill="1" applyBorder="1" applyAlignment="1" applyProtection="1">
      <alignment horizontal="center"/>
    </xf>
    <xf numFmtId="0" fontId="37" fillId="32" borderId="0" xfId="21" applyFont="1" applyFill="1" applyBorder="1" applyProtection="1"/>
    <xf numFmtId="0" fontId="53" fillId="32" borderId="0" xfId="21" applyFont="1" applyFill="1" applyBorder="1" applyProtection="1"/>
    <xf numFmtId="0" fontId="54" fillId="32" borderId="0" xfId="21" applyFont="1" applyFill="1" applyBorder="1" applyProtection="1"/>
    <xf numFmtId="0" fontId="38" fillId="33" borderId="51" xfId="21" applyFont="1" applyFill="1" applyBorder="1" applyAlignment="1" applyProtection="1">
      <alignment horizontal="center" vertical="center" wrapText="1"/>
    </xf>
    <xf numFmtId="49" fontId="38" fillId="33" borderId="56" xfId="21" applyNumberFormat="1" applyFont="1" applyFill="1" applyBorder="1" applyAlignment="1" applyProtection="1">
      <alignment horizontal="center" vertical="center" wrapText="1"/>
    </xf>
    <xf numFmtId="49" fontId="38" fillId="33" borderId="57" xfId="21" applyNumberFormat="1" applyFont="1" applyFill="1" applyBorder="1" applyAlignment="1" applyProtection="1">
      <alignment horizontal="center" vertical="center" wrapText="1"/>
    </xf>
    <xf numFmtId="0" fontId="39" fillId="33" borderId="58" xfId="21" applyFont="1" applyFill="1" applyBorder="1" applyAlignment="1" applyProtection="1">
      <alignment horizontal="center" vertical="center" wrapText="1"/>
    </xf>
    <xf numFmtId="180" fontId="39" fillId="33" borderId="58" xfId="21" applyNumberFormat="1" applyFont="1" applyFill="1" applyBorder="1" applyAlignment="1" applyProtection="1">
      <alignment horizontal="center" vertical="center" wrapText="1"/>
    </xf>
    <xf numFmtId="180" fontId="40" fillId="33" borderId="58" xfId="21" applyNumberFormat="1" applyFont="1" applyFill="1" applyBorder="1" applyAlignment="1" applyProtection="1">
      <alignment horizontal="center" vertical="center" wrapText="1"/>
    </xf>
    <xf numFmtId="180" fontId="42" fillId="32" borderId="10" xfId="21" applyNumberFormat="1" applyFont="1" applyFill="1" applyBorder="1" applyAlignment="1" applyProtection="1">
      <alignment horizontal="center" vertical="center"/>
      <protection locked="0"/>
    </xf>
    <xf numFmtId="0" fontId="55" fillId="0" borderId="47" xfId="0" applyFont="1" applyBorder="1" applyProtection="1"/>
    <xf numFmtId="0" fontId="55" fillId="0" borderId="48" xfId="0" applyFont="1" applyBorder="1" applyProtection="1"/>
    <xf numFmtId="179" fontId="44" fillId="32" borderId="10" xfId="21" applyNumberFormat="1" applyFont="1" applyFill="1" applyBorder="1" applyAlignment="1" applyProtection="1">
      <alignment horizontal="center"/>
    </xf>
    <xf numFmtId="0" fontId="55" fillId="0" borderId="43" xfId="0" applyFont="1" applyBorder="1" applyAlignment="1" applyProtection="1">
      <alignment horizontal="center"/>
    </xf>
    <xf numFmtId="179" fontId="44" fillId="32" borderId="43" xfId="21" applyNumberFormat="1" applyFont="1" applyFill="1" applyBorder="1" applyAlignment="1" applyProtection="1">
      <alignment horizontal="center"/>
    </xf>
    <xf numFmtId="180" fontId="42" fillId="32" borderId="42" xfId="21" applyNumberFormat="1" applyFont="1" applyFill="1" applyBorder="1" applyAlignment="1" applyProtection="1">
      <alignment horizontal="center"/>
      <protection locked="0"/>
    </xf>
    <xf numFmtId="0" fontId="38" fillId="32" borderId="0" xfId="21" applyFont="1" applyFill="1" applyBorder="1" applyAlignment="1" applyProtection="1">
      <alignment horizontal="center"/>
    </xf>
    <xf numFmtId="182" fontId="38" fillId="32" borderId="10" xfId="21" applyNumberFormat="1" applyFont="1" applyFill="1" applyBorder="1" applyAlignment="1" applyProtection="1">
      <alignment horizontal="center"/>
    </xf>
    <xf numFmtId="0" fontId="34" fillId="32" borderId="0" xfId="21" applyFill="1" applyBorder="1" applyProtection="1"/>
    <xf numFmtId="0" fontId="39" fillId="33" borderId="44" xfId="21" applyFont="1" applyFill="1" applyBorder="1" applyAlignment="1" applyProtection="1">
      <alignment horizontal="center" vertical="center" wrapText="1"/>
    </xf>
    <xf numFmtId="49" fontId="38" fillId="33" borderId="45" xfId="21" applyNumberFormat="1" applyFont="1" applyFill="1" applyBorder="1" applyAlignment="1" applyProtection="1">
      <alignment horizontal="center" vertical="center" wrapText="1"/>
    </xf>
    <xf numFmtId="0" fontId="36" fillId="32" borderId="0" xfId="21" applyFont="1" applyFill="1" applyBorder="1" applyProtection="1"/>
    <xf numFmtId="182" fontId="38" fillId="32" borderId="43" xfId="21" applyNumberFormat="1" applyFont="1" applyFill="1" applyBorder="1" applyAlignment="1" applyProtection="1">
      <alignment horizontal="center"/>
    </xf>
    <xf numFmtId="182" fontId="38" fillId="32" borderId="42" xfId="21" applyNumberFormat="1" applyFont="1" applyFill="1" applyBorder="1" applyAlignment="1" applyProtection="1">
      <alignment horizontal="center"/>
    </xf>
    <xf numFmtId="0" fontId="45" fillId="32" borderId="0" xfId="21" applyFont="1" applyFill="1" applyBorder="1" applyAlignment="1" applyProtection="1">
      <alignment horizontal="center"/>
    </xf>
    <xf numFmtId="179" fontId="45" fillId="32" borderId="0" xfId="21" applyNumberFormat="1" applyFont="1" applyFill="1" applyBorder="1" applyAlignment="1" applyProtection="1">
      <alignment horizontal="center"/>
    </xf>
    <xf numFmtId="179" fontId="34" fillId="32" borderId="0" xfId="21" applyNumberFormat="1" applyFill="1" applyBorder="1" applyAlignment="1" applyProtection="1">
      <alignment horizontal="center"/>
    </xf>
    <xf numFmtId="0" fontId="37" fillId="32" borderId="0" xfId="21" applyFont="1" applyFill="1" applyBorder="1" applyProtection="1"/>
    <xf numFmtId="0" fontId="53" fillId="32" borderId="0" xfId="21" applyFont="1" applyFill="1" applyBorder="1" applyProtection="1"/>
    <xf numFmtId="0" fontId="54" fillId="32" borderId="0" xfId="21" applyFont="1" applyFill="1" applyBorder="1" applyProtection="1"/>
    <xf numFmtId="179" fontId="38" fillId="32" borderId="0" xfId="21" applyNumberFormat="1" applyFont="1" applyFill="1" applyBorder="1" applyAlignment="1" applyProtection="1">
      <alignment horizontal="center"/>
    </xf>
    <xf numFmtId="0" fontId="39" fillId="33" borderId="58" xfId="21" applyFont="1" applyFill="1" applyBorder="1" applyAlignment="1" applyProtection="1">
      <alignment horizontal="center" vertical="center" wrapText="1"/>
    </xf>
    <xf numFmtId="180" fontId="39" fillId="33" borderId="58" xfId="21" applyNumberFormat="1" applyFont="1" applyFill="1" applyBorder="1" applyAlignment="1" applyProtection="1">
      <alignment horizontal="center" vertical="center" wrapText="1"/>
    </xf>
    <xf numFmtId="180" fontId="40" fillId="33" borderId="58" xfId="21" applyNumberFormat="1" applyFont="1" applyFill="1" applyBorder="1" applyAlignment="1" applyProtection="1">
      <alignment horizontal="center" vertical="center" wrapText="1"/>
    </xf>
    <xf numFmtId="0" fontId="38" fillId="33" borderId="46" xfId="21" applyFont="1" applyFill="1" applyBorder="1" applyAlignment="1" applyProtection="1">
      <alignment horizontal="center" vertical="center" wrapText="1"/>
    </xf>
    <xf numFmtId="49" fontId="38" fillId="33" borderId="62" xfId="21" applyNumberFormat="1" applyFont="1" applyFill="1" applyBorder="1" applyAlignment="1" applyProtection="1">
      <alignment horizontal="center" vertical="center" wrapText="1"/>
    </xf>
    <xf numFmtId="0" fontId="38" fillId="33" borderId="64" xfId="21" applyFont="1" applyFill="1" applyBorder="1" applyAlignment="1" applyProtection="1">
      <alignment horizontal="center" vertical="center" wrapText="1"/>
    </xf>
    <xf numFmtId="0" fontId="38" fillId="0" borderId="42" xfId="0" applyFont="1" applyBorder="1" applyAlignment="1" applyProtection="1">
      <alignment horizontal="center" vertical="top" wrapText="1"/>
    </xf>
    <xf numFmtId="0" fontId="38" fillId="0" borderId="10" xfId="0" applyFont="1" applyBorder="1" applyAlignment="1" applyProtection="1">
      <alignment horizontal="center" vertical="top" wrapText="1"/>
    </xf>
    <xf numFmtId="0" fontId="38" fillId="0" borderId="43" xfId="0" applyFont="1" applyBorder="1" applyAlignment="1" applyProtection="1">
      <alignment horizontal="center" vertical="top" wrapText="1"/>
    </xf>
    <xf numFmtId="0" fontId="84" fillId="0" borderId="10" xfId="0" applyFont="1" applyBorder="1" applyAlignment="1" applyProtection="1">
      <alignment vertical="top" wrapText="1"/>
    </xf>
    <xf numFmtId="0" fontId="84" fillId="0" borderId="43" xfId="0" applyFont="1" applyBorder="1" applyAlignment="1" applyProtection="1">
      <alignment vertical="top" wrapText="1"/>
    </xf>
    <xf numFmtId="0" fontId="0" fillId="0" borderId="0" xfId="0"/>
    <xf numFmtId="180" fontId="42" fillId="32" borderId="42" xfId="21" applyNumberFormat="1" applyFont="1" applyFill="1" applyBorder="1" applyAlignment="1" applyProtection="1">
      <alignment horizontal="center"/>
      <protection locked="0"/>
    </xf>
    <xf numFmtId="180" fontId="42" fillId="32" borderId="10" xfId="21" applyNumberFormat="1" applyFont="1" applyFill="1" applyBorder="1" applyAlignment="1" applyProtection="1">
      <alignment horizontal="center"/>
      <protection locked="0"/>
    </xf>
    <xf numFmtId="0" fontId="34" fillId="32" borderId="0" xfId="21" applyFill="1" applyBorder="1" applyAlignment="1" applyProtection="1">
      <alignment horizontal="center"/>
    </xf>
    <xf numFmtId="0" fontId="38" fillId="32" borderId="0" xfId="21" applyFont="1" applyFill="1" applyBorder="1" applyAlignment="1" applyProtection="1">
      <alignment horizontal="center"/>
    </xf>
    <xf numFmtId="0" fontId="44" fillId="32" borderId="0" xfId="21" applyFont="1" applyFill="1" applyBorder="1" applyAlignment="1" applyProtection="1">
      <alignment horizontal="center"/>
    </xf>
    <xf numFmtId="182" fontId="38" fillId="32" borderId="10" xfId="21" applyNumberFormat="1" applyFont="1" applyFill="1" applyBorder="1" applyAlignment="1" applyProtection="1">
      <alignment horizontal="center"/>
    </xf>
    <xf numFmtId="180" fontId="42" fillId="32" borderId="43" xfId="21" applyNumberFormat="1" applyFont="1" applyFill="1" applyBorder="1" applyAlignment="1" applyProtection="1">
      <alignment horizontal="center"/>
      <protection locked="0"/>
    </xf>
    <xf numFmtId="180" fontId="42" fillId="32" borderId="43" xfId="21" applyNumberFormat="1" applyFont="1" applyFill="1" applyBorder="1" applyAlignment="1" applyProtection="1">
      <alignment horizontal="center" vertical="center"/>
      <protection locked="0"/>
    </xf>
    <xf numFmtId="180" fontId="42" fillId="32" borderId="42" xfId="21" applyNumberFormat="1" applyFont="1" applyFill="1" applyBorder="1" applyAlignment="1" applyProtection="1">
      <alignment horizontal="center" vertical="center"/>
      <protection locked="0"/>
    </xf>
    <xf numFmtId="0" fontId="34" fillId="32" borderId="0" xfId="21" applyFill="1" applyBorder="1" applyProtection="1"/>
    <xf numFmtId="0" fontId="39" fillId="33" borderId="44" xfId="21" applyFont="1" applyFill="1" applyBorder="1" applyAlignment="1" applyProtection="1">
      <alignment horizontal="center" vertical="center" wrapText="1"/>
    </xf>
    <xf numFmtId="49" fontId="38" fillId="33" borderId="45" xfId="21" applyNumberFormat="1" applyFont="1" applyFill="1" applyBorder="1" applyAlignment="1" applyProtection="1">
      <alignment horizontal="center" vertical="center" wrapText="1"/>
    </xf>
    <xf numFmtId="180" fontId="39" fillId="33" borderId="44" xfId="21" applyNumberFormat="1" applyFont="1" applyFill="1" applyBorder="1" applyAlignment="1" applyProtection="1">
      <alignment horizontal="center" vertical="center" wrapText="1"/>
    </xf>
    <xf numFmtId="180" fontId="40" fillId="33" borderId="44" xfId="21" applyNumberFormat="1" applyFont="1" applyFill="1" applyBorder="1" applyAlignment="1" applyProtection="1">
      <alignment horizontal="center" vertical="center" wrapText="1"/>
    </xf>
    <xf numFmtId="0" fontId="38" fillId="33" borderId="44" xfId="21" applyFont="1" applyFill="1" applyBorder="1" applyAlignment="1" applyProtection="1">
      <alignment horizontal="center" vertical="center" wrapText="1"/>
    </xf>
    <xf numFmtId="0" fontId="36" fillId="32" borderId="0" xfId="21" applyFont="1" applyFill="1" applyBorder="1" applyProtection="1"/>
    <xf numFmtId="182" fontId="38" fillId="32" borderId="43" xfId="21" applyNumberFormat="1" applyFont="1" applyFill="1" applyBorder="1" applyAlignment="1" applyProtection="1">
      <alignment horizontal="center"/>
    </xf>
    <xf numFmtId="182" fontId="38" fillId="32" borderId="42" xfId="21" applyNumberFormat="1" applyFont="1" applyFill="1" applyBorder="1" applyAlignment="1" applyProtection="1">
      <alignment horizontal="center"/>
    </xf>
    <xf numFmtId="0" fontId="45" fillId="32" borderId="0" xfId="21" applyFont="1" applyFill="1" applyBorder="1" applyAlignment="1" applyProtection="1">
      <alignment horizontal="center"/>
    </xf>
    <xf numFmtId="179" fontId="45" fillId="32" borderId="0" xfId="21" applyNumberFormat="1" applyFont="1" applyFill="1" applyBorder="1" applyAlignment="1" applyProtection="1">
      <alignment horizontal="center"/>
    </xf>
    <xf numFmtId="179" fontId="34" fillId="32" borderId="0" xfId="21" applyNumberFormat="1" applyFill="1" applyBorder="1" applyAlignment="1" applyProtection="1">
      <alignment horizontal="center"/>
    </xf>
    <xf numFmtId="0" fontId="37" fillId="32" borderId="0" xfId="21" applyFont="1" applyFill="1" applyBorder="1" applyProtection="1"/>
    <xf numFmtId="0" fontId="53" fillId="32" borderId="0" xfId="21" applyFont="1" applyFill="1" applyBorder="1" applyProtection="1"/>
    <xf numFmtId="0" fontId="54" fillId="32" borderId="0" xfId="21" applyFont="1" applyFill="1" applyBorder="1" applyProtection="1"/>
    <xf numFmtId="179" fontId="38" fillId="32" borderId="0" xfId="21" applyNumberFormat="1" applyFont="1" applyFill="1" applyBorder="1" applyAlignment="1" applyProtection="1">
      <alignment horizontal="center"/>
    </xf>
    <xf numFmtId="49" fontId="38" fillId="33" borderId="56" xfId="21" applyNumberFormat="1" applyFont="1" applyFill="1" applyBorder="1" applyAlignment="1" applyProtection="1">
      <alignment horizontal="center" vertical="center" wrapText="1"/>
    </xf>
    <xf numFmtId="49" fontId="38" fillId="33" borderId="57" xfId="21" applyNumberFormat="1" applyFont="1" applyFill="1" applyBorder="1" applyAlignment="1" applyProtection="1">
      <alignment horizontal="center" vertical="center" wrapText="1"/>
    </xf>
    <xf numFmtId="0" fontId="39" fillId="33" borderId="58" xfId="21" applyFont="1" applyFill="1" applyBorder="1" applyAlignment="1" applyProtection="1">
      <alignment horizontal="center" vertical="center" wrapText="1"/>
    </xf>
    <xf numFmtId="180" fontId="39" fillId="33" borderId="58" xfId="21" applyNumberFormat="1" applyFont="1" applyFill="1" applyBorder="1" applyAlignment="1" applyProtection="1">
      <alignment horizontal="center" vertical="center" wrapText="1"/>
    </xf>
    <xf numFmtId="180" fontId="40" fillId="33" borderId="58" xfId="21" applyNumberFormat="1" applyFont="1" applyFill="1" applyBorder="1" applyAlignment="1" applyProtection="1">
      <alignment horizontal="center" vertical="center" wrapText="1"/>
    </xf>
    <xf numFmtId="180" fontId="42" fillId="32" borderId="10" xfId="21" applyNumberFormat="1" applyFont="1" applyFill="1" applyBorder="1" applyAlignment="1" applyProtection="1">
      <alignment horizontal="center" vertical="center"/>
      <protection locked="0"/>
    </xf>
    <xf numFmtId="0" fontId="38" fillId="33" borderId="46" xfId="21" applyFont="1" applyFill="1" applyBorder="1" applyAlignment="1" applyProtection="1">
      <alignment horizontal="center" vertical="center" wrapText="1"/>
    </xf>
    <xf numFmtId="0" fontId="38" fillId="0" borderId="47" xfId="0" applyFont="1" applyBorder="1" applyProtection="1"/>
    <xf numFmtId="0" fontId="38" fillId="0" borderId="48" xfId="0" applyFont="1" applyBorder="1" applyProtection="1"/>
    <xf numFmtId="179" fontId="44" fillId="32" borderId="10" xfId="21" applyNumberFormat="1" applyFont="1" applyFill="1" applyBorder="1" applyAlignment="1" applyProtection="1">
      <alignment horizontal="center"/>
    </xf>
    <xf numFmtId="179" fontId="44" fillId="32" borderId="43" xfId="21" applyNumberFormat="1" applyFont="1" applyFill="1" applyBorder="1" applyAlignment="1" applyProtection="1">
      <alignment horizontal="center"/>
    </xf>
    <xf numFmtId="49" fontId="38" fillId="33" borderId="62" xfId="21" applyNumberFormat="1" applyFont="1" applyFill="1" applyBorder="1" applyAlignment="1" applyProtection="1">
      <alignment horizontal="center" vertical="center" wrapText="1"/>
    </xf>
    <xf numFmtId="0" fontId="38" fillId="0" borderId="47" xfId="0" applyFont="1" applyBorder="1" applyAlignment="1" applyProtection="1">
      <alignment vertical="top" wrapText="1"/>
    </xf>
    <xf numFmtId="0" fontId="38" fillId="0" borderId="52" xfId="0" applyFont="1" applyBorder="1" applyAlignment="1" applyProtection="1">
      <alignment vertical="top" wrapText="1"/>
    </xf>
    <xf numFmtId="0" fontId="38" fillId="0" borderId="48" xfId="0" applyFont="1" applyBorder="1" applyAlignment="1" applyProtection="1">
      <alignment vertical="top" wrapText="1"/>
    </xf>
    <xf numFmtId="0" fontId="38" fillId="0" borderId="42" xfId="0" applyFont="1" applyBorder="1" applyAlignment="1" applyProtection="1">
      <alignment horizontal="center"/>
    </xf>
    <xf numFmtId="0" fontId="38" fillId="0" borderId="52" xfId="0" applyFont="1" applyBorder="1" applyProtection="1"/>
    <xf numFmtId="0" fontId="38" fillId="0" borderId="10" xfId="0" applyFont="1" applyBorder="1" applyAlignment="1" applyProtection="1">
      <alignment horizontal="center"/>
    </xf>
    <xf numFmtId="0" fontId="44" fillId="0" borderId="10" xfId="0" applyFont="1" applyBorder="1" applyAlignment="1" applyProtection="1">
      <alignment horizontal="center"/>
    </xf>
    <xf numFmtId="0" fontId="38" fillId="0" borderId="43" xfId="0" applyFont="1" applyBorder="1" applyAlignment="1" applyProtection="1">
      <alignment horizontal="center"/>
    </xf>
    <xf numFmtId="179" fontId="44" fillId="32" borderId="42" xfId="21" applyNumberFormat="1" applyFont="1" applyFill="1" applyBorder="1" applyAlignment="1" applyProtection="1">
      <alignment horizontal="center"/>
    </xf>
    <xf numFmtId="180" fontId="81" fillId="32" borderId="43" xfId="21" applyNumberFormat="1" applyFont="1" applyFill="1" applyBorder="1" applyAlignment="1" applyProtection="1">
      <alignment horizontal="center"/>
      <protection locked="0"/>
    </xf>
    <xf numFmtId="180" fontId="81" fillId="32" borderId="10" xfId="21" applyNumberFormat="1" applyFont="1" applyFill="1" applyBorder="1" applyAlignment="1" applyProtection="1">
      <alignment horizontal="center"/>
      <protection locked="0"/>
    </xf>
    <xf numFmtId="0" fontId="38" fillId="0" borderId="42" xfId="0" applyFont="1" applyBorder="1" applyAlignment="1" applyProtection="1">
      <alignment horizontal="center" vertical="top" wrapText="1"/>
    </xf>
    <xf numFmtId="0" fontId="38" fillId="0" borderId="10" xfId="0" applyFont="1" applyBorder="1" applyAlignment="1" applyProtection="1">
      <alignment horizontal="center" vertical="top" wrapText="1"/>
    </xf>
    <xf numFmtId="0" fontId="38" fillId="0" borderId="43" xfId="0" applyFont="1" applyBorder="1" applyAlignment="1" applyProtection="1">
      <alignment horizontal="center" vertical="top" wrapText="1"/>
    </xf>
    <xf numFmtId="0" fontId="55" fillId="0" borderId="73" xfId="0" applyFont="1" applyBorder="1" applyAlignment="1" applyProtection="1">
      <alignment vertical="top" wrapText="1"/>
    </xf>
    <xf numFmtId="0" fontId="55" fillId="0" borderId="74" xfId="0" applyFont="1" applyBorder="1" applyAlignment="1" applyProtection="1">
      <alignment vertical="top" wrapText="1"/>
    </xf>
    <xf numFmtId="0" fontId="84" fillId="0" borderId="42" xfId="0" applyFont="1" applyBorder="1" applyProtection="1"/>
    <xf numFmtId="0" fontId="84" fillId="0" borderId="43" xfId="0" applyFont="1" applyBorder="1" applyProtection="1"/>
    <xf numFmtId="0" fontId="84" fillId="0" borderId="10" xfId="0" applyFont="1" applyBorder="1" applyProtection="1"/>
    <xf numFmtId="0" fontId="84" fillId="0" borderId="42" xfId="0" applyFont="1" applyBorder="1" applyAlignment="1" applyProtection="1">
      <alignment vertical="top" wrapText="1"/>
    </xf>
    <xf numFmtId="0" fontId="84" fillId="0" borderId="10" xfId="0" applyFont="1" applyBorder="1" applyAlignment="1" applyProtection="1">
      <alignment vertical="top" wrapText="1"/>
    </xf>
    <xf numFmtId="0" fontId="84" fillId="0" borderId="43" xfId="0" applyFont="1" applyBorder="1" applyAlignment="1" applyProtection="1">
      <alignment vertical="top" wrapText="1"/>
    </xf>
    <xf numFmtId="180" fontId="81" fillId="32" borderId="44" xfId="21" applyNumberFormat="1" applyFont="1" applyFill="1" applyBorder="1" applyAlignment="1" applyProtection="1">
      <alignment horizontal="center"/>
      <protection locked="0"/>
    </xf>
    <xf numFmtId="0" fontId="47" fillId="33" borderId="47" xfId="0" applyFont="1" applyFill="1" applyBorder="1" applyAlignment="1">
      <alignment horizontal="center" vertical="center"/>
    </xf>
    <xf numFmtId="0" fontId="47" fillId="33" borderId="48" xfId="0" applyFont="1" applyFill="1" applyBorder="1" applyAlignment="1">
      <alignment horizontal="center" vertical="center"/>
    </xf>
    <xf numFmtId="0" fontId="47" fillId="33" borderId="49" xfId="0" applyFont="1" applyFill="1" applyBorder="1" applyAlignment="1">
      <alignment horizontal="center" vertical="center"/>
    </xf>
    <xf numFmtId="0" fontId="47" fillId="33" borderId="53" xfId="0" applyFont="1" applyFill="1" applyBorder="1" applyAlignment="1">
      <alignment horizontal="center" vertical="center"/>
    </xf>
    <xf numFmtId="0" fontId="36" fillId="32" borderId="0" xfId="21" applyFont="1" applyFill="1" applyBorder="1" applyAlignment="1" applyProtection="1">
      <alignment horizontal="left"/>
    </xf>
    <xf numFmtId="181" fontId="45" fillId="32" borderId="44" xfId="21" applyNumberFormat="1" applyFont="1" applyFill="1" applyBorder="1" applyAlignment="1" applyProtection="1">
      <alignment horizontal="left" vertical="center" wrapText="1"/>
    </xf>
    <xf numFmtId="181" fontId="45" fillId="32" borderId="25" xfId="21" applyNumberFormat="1" applyFont="1" applyFill="1" applyBorder="1" applyAlignment="1" applyProtection="1">
      <alignment horizontal="left" vertical="center" wrapText="1"/>
    </xf>
    <xf numFmtId="181" fontId="45" fillId="32" borderId="70" xfId="21" applyNumberFormat="1" applyFont="1" applyFill="1" applyBorder="1" applyAlignment="1" applyProtection="1">
      <alignment horizontal="left" vertical="center" wrapText="1"/>
    </xf>
    <xf numFmtId="181" fontId="45" fillId="32" borderId="44" xfId="21" applyNumberFormat="1" applyFont="1" applyFill="1" applyBorder="1" applyAlignment="1" applyProtection="1">
      <alignment horizontal="center" vertical="center" wrapText="1"/>
    </xf>
    <xf numFmtId="181" fontId="45" fillId="32" borderId="25" xfId="21" applyNumberFormat="1" applyFont="1" applyFill="1" applyBorder="1" applyAlignment="1" applyProtection="1">
      <alignment horizontal="center" vertical="center" wrapText="1"/>
    </xf>
    <xf numFmtId="181" fontId="45" fillId="32" borderId="70" xfId="21" applyNumberFormat="1" applyFont="1" applyFill="1" applyBorder="1" applyAlignment="1" applyProtection="1">
      <alignment horizontal="center" vertical="center" wrapText="1"/>
    </xf>
    <xf numFmtId="0" fontId="45" fillId="32" borderId="64" xfId="21" applyFont="1" applyFill="1" applyBorder="1" applyAlignment="1" applyProtection="1">
      <alignment horizontal="center" vertical="center" wrapText="1"/>
    </xf>
    <xf numFmtId="0" fontId="45" fillId="32" borderId="22" xfId="21" applyFont="1" applyFill="1" applyBorder="1" applyAlignment="1" applyProtection="1">
      <alignment horizontal="center" vertical="center" wrapText="1"/>
    </xf>
    <xf numFmtId="0" fontId="45" fillId="32" borderId="71" xfId="21" applyFont="1" applyFill="1" applyBorder="1" applyAlignment="1" applyProtection="1">
      <alignment horizontal="center" vertical="center" wrapText="1"/>
    </xf>
    <xf numFmtId="0" fontId="45" fillId="0" borderId="46" xfId="0" applyFont="1" applyBorder="1" applyAlignment="1" applyProtection="1">
      <alignment horizontal="center" vertical="center"/>
    </xf>
    <xf numFmtId="0" fontId="45" fillId="0" borderId="67" xfId="0" applyFont="1" applyBorder="1" applyAlignment="1" applyProtection="1">
      <alignment horizontal="center" vertical="center"/>
    </xf>
    <xf numFmtId="0" fontId="45" fillId="0" borderId="69" xfId="0" applyFont="1" applyBorder="1" applyAlignment="1" applyProtection="1">
      <alignment horizontal="center" vertical="center"/>
    </xf>
    <xf numFmtId="181" fontId="77" fillId="0" borderId="44" xfId="21" applyNumberFormat="1" applyFont="1" applyFill="1" applyBorder="1" applyAlignment="1" applyProtection="1">
      <alignment horizontal="left" vertical="center" wrapText="1"/>
    </xf>
    <xf numFmtId="181" fontId="77" fillId="0" borderId="25" xfId="21" applyNumberFormat="1" applyFont="1" applyFill="1" applyBorder="1" applyAlignment="1" applyProtection="1">
      <alignment horizontal="left" vertical="center" wrapText="1"/>
    </xf>
    <xf numFmtId="181" fontId="77" fillId="0" borderId="70" xfId="21" applyNumberFormat="1" applyFont="1" applyFill="1" applyBorder="1" applyAlignment="1" applyProtection="1">
      <alignment horizontal="left" vertical="center" wrapText="1"/>
    </xf>
    <xf numFmtId="0" fontId="78" fillId="0" borderId="44" xfId="21" quotePrefix="1" applyFont="1" applyFill="1" applyBorder="1" applyAlignment="1" applyProtection="1">
      <alignment horizontal="left" vertical="center"/>
    </xf>
    <xf numFmtId="0" fontId="78" fillId="0" borderId="70" xfId="21" applyFont="1" applyFill="1" applyBorder="1" applyAlignment="1" applyProtection="1">
      <alignment horizontal="left" vertical="center"/>
    </xf>
    <xf numFmtId="181" fontId="77" fillId="32" borderId="44" xfId="21" applyNumberFormat="1" applyFont="1" applyFill="1" applyBorder="1" applyAlignment="1" applyProtection="1">
      <alignment horizontal="center" vertical="center" wrapText="1"/>
    </xf>
    <xf numFmtId="181" fontId="77" fillId="32" borderId="25" xfId="21" applyNumberFormat="1" applyFont="1" applyFill="1" applyBorder="1" applyAlignment="1" applyProtection="1">
      <alignment horizontal="center" vertical="center" wrapText="1"/>
    </xf>
    <xf numFmtId="181" fontId="77" fillId="32" borderId="70" xfId="21" applyNumberFormat="1" applyFont="1" applyFill="1" applyBorder="1" applyAlignment="1" applyProtection="1">
      <alignment horizontal="center" vertical="center" wrapText="1"/>
    </xf>
    <xf numFmtId="0" fontId="78" fillId="0" borderId="70" xfId="21" quotePrefix="1" applyFont="1" applyFill="1" applyBorder="1" applyAlignment="1" applyProtection="1">
      <alignment horizontal="left" vertical="center"/>
    </xf>
    <xf numFmtId="0" fontId="78" fillId="0" borderId="44" xfId="21" applyFont="1" applyBorder="1" applyAlignment="1" applyProtection="1">
      <alignment horizontal="center" vertical="center"/>
    </xf>
    <xf numFmtId="0" fontId="78" fillId="0" borderId="70" xfId="21" applyFont="1" applyBorder="1" applyAlignment="1" applyProtection="1">
      <alignment horizontal="center" vertical="center"/>
    </xf>
    <xf numFmtId="0" fontId="78" fillId="0" borderId="44" xfId="21" quotePrefix="1" applyFont="1" applyBorder="1" applyAlignment="1" applyProtection="1">
      <alignment horizontal="center" vertical="center"/>
    </xf>
    <xf numFmtId="0" fontId="78" fillId="0" borderId="70" xfId="21" quotePrefix="1" applyFont="1" applyBorder="1" applyAlignment="1" applyProtection="1">
      <alignment horizontal="center" vertical="center"/>
    </xf>
    <xf numFmtId="0" fontId="44" fillId="0" borderId="42" xfId="21" quotePrefix="1" applyFont="1" applyBorder="1" applyAlignment="1" applyProtection="1">
      <alignment horizontal="center" vertical="center"/>
    </xf>
    <xf numFmtId="0" fontId="44" fillId="0" borderId="43" xfId="21" applyFont="1" applyBorder="1" applyAlignment="1" applyProtection="1">
      <alignment horizontal="center" vertical="center"/>
    </xf>
    <xf numFmtId="181" fontId="45" fillId="32" borderId="42" xfId="21" applyNumberFormat="1" applyFont="1" applyFill="1" applyBorder="1" applyAlignment="1" applyProtection="1">
      <alignment horizontal="center" vertical="center" wrapText="1"/>
    </xf>
    <xf numFmtId="0" fontId="12" fillId="0" borderId="10" xfId="0" applyFont="1" applyBorder="1" applyAlignment="1" applyProtection="1">
      <alignment horizontal="center" vertical="center"/>
    </xf>
    <xf numFmtId="0" fontId="78" fillId="32" borderId="44" xfId="21" applyFont="1" applyFill="1" applyBorder="1" applyAlignment="1" applyProtection="1">
      <alignment horizontal="center" vertical="center"/>
    </xf>
    <xf numFmtId="0" fontId="78" fillId="32" borderId="25" xfId="21" applyFont="1" applyFill="1" applyBorder="1" applyAlignment="1" applyProtection="1">
      <alignment horizontal="center" vertical="center"/>
    </xf>
    <xf numFmtId="0" fontId="78" fillId="32" borderId="70" xfId="21" applyFont="1" applyFill="1" applyBorder="1" applyAlignment="1" applyProtection="1">
      <alignment horizontal="center" vertical="center"/>
    </xf>
    <xf numFmtId="0" fontId="78" fillId="0" borderId="44" xfId="21" applyFont="1" applyBorder="1" applyAlignment="1" applyProtection="1">
      <alignment horizontal="left" vertical="center"/>
    </xf>
    <xf numFmtId="0" fontId="78" fillId="0" borderId="70" xfId="21" quotePrefix="1" applyFont="1" applyBorder="1" applyAlignment="1" applyProtection="1">
      <alignment horizontal="left" vertical="center"/>
    </xf>
    <xf numFmtId="0" fontId="78" fillId="0" borderId="70" xfId="21" applyFont="1" applyBorder="1" applyAlignment="1" applyProtection="1">
      <alignment horizontal="left" vertical="center"/>
    </xf>
    <xf numFmtId="181" fontId="77" fillId="32" borderId="58" xfId="21" applyNumberFormat="1" applyFont="1" applyFill="1" applyBorder="1" applyAlignment="1" applyProtection="1">
      <alignment horizontal="center" vertical="center" wrapText="1"/>
    </xf>
    <xf numFmtId="181" fontId="80" fillId="32" borderId="44" xfId="21" applyNumberFormat="1" applyFont="1" applyFill="1" applyBorder="1" applyAlignment="1" applyProtection="1">
      <alignment horizontal="left" vertical="center" wrapText="1"/>
    </xf>
    <xf numFmtId="181" fontId="80" fillId="32" borderId="25" xfId="21" applyNumberFormat="1" applyFont="1" applyFill="1" applyBorder="1" applyAlignment="1" applyProtection="1">
      <alignment horizontal="left" vertical="center" wrapText="1"/>
    </xf>
    <xf numFmtId="181" fontId="80" fillId="32" borderId="70" xfId="21" applyNumberFormat="1" applyFont="1" applyFill="1" applyBorder="1" applyAlignment="1" applyProtection="1">
      <alignment horizontal="left" vertical="center" wrapText="1"/>
    </xf>
    <xf numFmtId="181" fontId="77" fillId="32" borderId="44" xfId="21" applyNumberFormat="1" applyFont="1" applyFill="1" applyBorder="1" applyAlignment="1" applyProtection="1">
      <alignment horizontal="left" vertical="center" wrapText="1"/>
    </xf>
    <xf numFmtId="181" fontId="77" fillId="32" borderId="25" xfId="21" applyNumberFormat="1" applyFont="1" applyFill="1" applyBorder="1" applyAlignment="1" applyProtection="1">
      <alignment horizontal="left" vertical="center" wrapText="1"/>
    </xf>
    <xf numFmtId="181" fontId="77" fillId="32" borderId="70" xfId="21" applyNumberFormat="1" applyFont="1" applyFill="1" applyBorder="1" applyAlignment="1" applyProtection="1">
      <alignment horizontal="left" vertical="center" wrapText="1"/>
    </xf>
    <xf numFmtId="0" fontId="77" fillId="0" borderId="44" xfId="21" applyFont="1" applyBorder="1" applyAlignment="1" applyProtection="1">
      <alignment horizontal="center" vertical="center"/>
    </xf>
    <xf numFmtId="0" fontId="77" fillId="0" borderId="70" xfId="21" applyFont="1" applyBorder="1" applyAlignment="1" applyProtection="1">
      <alignment horizontal="center" vertical="center"/>
    </xf>
    <xf numFmtId="0" fontId="45" fillId="32" borderId="46" xfId="21" applyFont="1" applyFill="1" applyBorder="1" applyAlignment="1" applyProtection="1">
      <alignment horizontal="center" vertical="center" wrapText="1"/>
    </xf>
    <xf numFmtId="0" fontId="45" fillId="32" borderId="67" xfId="21" applyFont="1" applyFill="1" applyBorder="1" applyAlignment="1" applyProtection="1">
      <alignment horizontal="center" vertical="center" wrapText="1"/>
    </xf>
    <xf numFmtId="0" fontId="45" fillId="32" borderId="69" xfId="21" applyFont="1" applyFill="1" applyBorder="1" applyAlignment="1" applyProtection="1">
      <alignment horizontal="center" vertical="center" wrapText="1"/>
    </xf>
    <xf numFmtId="0" fontId="45" fillId="0" borderId="44" xfId="21" applyFont="1" applyBorder="1" applyAlignment="1" applyProtection="1">
      <alignment horizontal="left" vertical="center"/>
    </xf>
    <xf numFmtId="0" fontId="45" fillId="0" borderId="70" xfId="21" applyFont="1" applyBorder="1" applyAlignment="1" applyProtection="1">
      <alignment horizontal="left" vertical="center"/>
    </xf>
    <xf numFmtId="0" fontId="45" fillId="0" borderId="44" xfId="21" applyFont="1" applyBorder="1" applyAlignment="1" applyProtection="1">
      <alignment horizontal="center" vertical="center"/>
    </xf>
    <xf numFmtId="0" fontId="45" fillId="0" borderId="70" xfId="21" applyFont="1" applyBorder="1" applyAlignment="1" applyProtection="1">
      <alignment horizontal="center" vertical="center"/>
    </xf>
    <xf numFmtId="0" fontId="45" fillId="0" borderId="46" xfId="21" applyFont="1" applyBorder="1" applyAlignment="1" applyProtection="1">
      <alignment horizontal="center" vertical="center"/>
    </xf>
    <xf numFmtId="0" fontId="45" fillId="0" borderId="69" xfId="21" applyFont="1" applyBorder="1" applyAlignment="1" applyProtection="1">
      <alignment horizontal="center" vertical="center"/>
    </xf>
    <xf numFmtId="0" fontId="3" fillId="0" borderId="10" xfId="0" quotePrefix="1" applyFont="1" applyBorder="1" applyAlignment="1" applyProtection="1">
      <alignment horizontal="center" vertical="center"/>
    </xf>
    <xf numFmtId="0" fontId="3" fillId="0" borderId="43" xfId="0" applyFont="1" applyBorder="1" applyAlignment="1" applyProtection="1">
      <alignment horizontal="center" vertical="center"/>
    </xf>
    <xf numFmtId="0" fontId="3" fillId="0" borderId="10" xfId="0" applyFont="1" applyBorder="1" applyAlignment="1" applyProtection="1">
      <alignment horizontal="center" vertical="center"/>
    </xf>
    <xf numFmtId="0" fontId="3" fillId="0" borderId="50" xfId="0" applyFont="1" applyBorder="1" applyAlignment="1" applyProtection="1">
      <alignment horizontal="center" vertical="center"/>
    </xf>
    <xf numFmtId="0" fontId="3" fillId="0" borderId="53" xfId="0" applyFont="1" applyBorder="1" applyAlignment="1" applyProtection="1">
      <alignment horizontal="center" vertical="center"/>
    </xf>
    <xf numFmtId="181" fontId="45" fillId="32" borderId="44" xfId="21" quotePrefix="1" applyNumberFormat="1" applyFont="1" applyFill="1" applyBorder="1" applyAlignment="1" applyProtection="1">
      <alignment horizontal="center" vertical="center" wrapText="1"/>
    </xf>
    <xf numFmtId="181" fontId="45" fillId="32" borderId="25" xfId="21" quotePrefix="1" applyNumberFormat="1" applyFont="1" applyFill="1" applyBorder="1" applyAlignment="1" applyProtection="1">
      <alignment horizontal="center" vertical="center" wrapText="1"/>
    </xf>
    <xf numFmtId="0" fontId="45" fillId="32" borderId="46" xfId="21" applyNumberFormat="1" applyFont="1" applyFill="1" applyBorder="1" applyAlignment="1" applyProtection="1">
      <alignment horizontal="center" vertical="center"/>
    </xf>
    <xf numFmtId="0" fontId="45" fillId="32" borderId="67" xfId="21" applyNumberFormat="1" applyFont="1" applyFill="1" applyBorder="1" applyAlignment="1" applyProtection="1">
      <alignment horizontal="center" vertical="center"/>
    </xf>
    <xf numFmtId="181" fontId="45" fillId="32" borderId="20" xfId="21" quotePrefix="1" applyNumberFormat="1" applyFont="1" applyFill="1" applyBorder="1" applyAlignment="1" applyProtection="1">
      <alignment horizontal="center" vertical="center" wrapText="1"/>
    </xf>
    <xf numFmtId="181" fontId="45" fillId="32" borderId="26" xfId="21" quotePrefix="1" applyNumberFormat="1" applyFont="1" applyFill="1" applyBorder="1" applyAlignment="1" applyProtection="1">
      <alignment horizontal="center" vertical="center" wrapText="1"/>
    </xf>
    <xf numFmtId="181" fontId="45" fillId="32" borderId="20" xfId="21" applyNumberFormat="1" applyFont="1" applyFill="1" applyBorder="1" applyAlignment="1" applyProtection="1">
      <alignment horizontal="center" vertical="center" wrapText="1"/>
    </xf>
    <xf numFmtId="0" fontId="45" fillId="32" borderId="55" xfId="21" applyNumberFormat="1" applyFont="1" applyFill="1" applyBorder="1" applyAlignment="1" applyProtection="1">
      <alignment horizontal="center" vertical="center"/>
    </xf>
    <xf numFmtId="0" fontId="45" fillId="32" borderId="68" xfId="21" applyNumberFormat="1" applyFont="1" applyFill="1" applyBorder="1" applyAlignment="1" applyProtection="1">
      <alignment horizontal="center" vertical="center"/>
    </xf>
    <xf numFmtId="0" fontId="45" fillId="32" borderId="10" xfId="21" quotePrefix="1" applyFont="1" applyFill="1" applyBorder="1" applyAlignment="1" applyProtection="1">
      <alignment horizontal="center" vertical="center"/>
    </xf>
    <xf numFmtId="0" fontId="45" fillId="32" borderId="43" xfId="21" quotePrefix="1" applyFont="1" applyFill="1" applyBorder="1" applyAlignment="1" applyProtection="1">
      <alignment horizontal="center" vertical="center"/>
    </xf>
    <xf numFmtId="0" fontId="45" fillId="32" borderId="42" xfId="21" quotePrefix="1" applyFont="1" applyFill="1" applyBorder="1" applyAlignment="1" applyProtection="1">
      <alignment horizontal="center" vertical="center"/>
    </xf>
    <xf numFmtId="181" fontId="45" fillId="32" borderId="46" xfId="21" applyNumberFormat="1" applyFont="1" applyFill="1" applyBorder="1" applyAlignment="1" applyProtection="1">
      <alignment horizontal="center" vertical="center" wrapText="1"/>
    </xf>
    <xf numFmtId="181" fontId="45" fillId="32" borderId="67" xfId="21" applyNumberFormat="1" applyFont="1" applyFill="1" applyBorder="1" applyAlignment="1" applyProtection="1">
      <alignment horizontal="center" vertical="center" wrapText="1"/>
    </xf>
    <xf numFmtId="181" fontId="45" fillId="32" borderId="69" xfId="21" applyNumberFormat="1" applyFont="1" applyFill="1" applyBorder="1" applyAlignment="1" applyProtection="1">
      <alignment horizontal="center" vertical="center" wrapText="1"/>
    </xf>
    <xf numFmtId="0" fontId="45" fillId="32" borderId="20" xfId="21" quotePrefix="1" applyFont="1" applyFill="1" applyBorder="1" applyAlignment="1" applyProtection="1">
      <alignment horizontal="center" vertical="center"/>
    </xf>
    <xf numFmtId="0" fontId="79" fillId="0" borderId="42" xfId="21" quotePrefix="1" applyFont="1" applyFill="1" applyBorder="1" applyAlignment="1" applyProtection="1">
      <alignment horizontal="center" vertical="center"/>
    </xf>
    <xf numFmtId="0" fontId="108" fillId="0" borderId="43" xfId="21" applyFont="1" applyFill="1" applyBorder="1" applyAlignment="1" applyProtection="1">
      <alignment horizontal="center" vertical="center"/>
    </xf>
    <xf numFmtId="181" fontId="79" fillId="32" borderId="44" xfId="21" applyNumberFormat="1" applyFont="1" applyFill="1" applyBorder="1" applyAlignment="1" applyProtection="1">
      <alignment horizontal="center" vertical="center" wrapText="1"/>
    </xf>
    <xf numFmtId="181" fontId="79" fillId="32" borderId="25" xfId="21" applyNumberFormat="1" applyFont="1" applyFill="1" applyBorder="1" applyAlignment="1" applyProtection="1">
      <alignment horizontal="center" vertical="center" wrapText="1"/>
    </xf>
    <xf numFmtId="181" fontId="79" fillId="32" borderId="70" xfId="21" applyNumberFormat="1" applyFont="1" applyFill="1" applyBorder="1" applyAlignment="1" applyProtection="1">
      <alignment horizontal="center" vertical="center" wrapText="1"/>
    </xf>
    <xf numFmtId="181" fontId="79" fillId="32" borderId="46" xfId="21" applyNumberFormat="1" applyFont="1" applyFill="1" applyBorder="1" applyAlignment="1" applyProtection="1">
      <alignment horizontal="center" vertical="center" wrapText="1"/>
    </xf>
    <xf numFmtId="181" fontId="79" fillId="32" borderId="67" xfId="21" applyNumberFormat="1" applyFont="1" applyFill="1" applyBorder="1" applyAlignment="1" applyProtection="1">
      <alignment horizontal="center" vertical="center" wrapText="1"/>
    </xf>
    <xf numFmtId="181" fontId="79" fillId="32" borderId="69" xfId="21" applyNumberFormat="1" applyFont="1" applyFill="1" applyBorder="1" applyAlignment="1" applyProtection="1">
      <alignment horizontal="center" vertical="center" wrapText="1"/>
    </xf>
    <xf numFmtId="0" fontId="45" fillId="32" borderId="20" xfId="21" applyFont="1" applyFill="1" applyBorder="1" applyAlignment="1" applyProtection="1">
      <alignment horizontal="left" vertical="center" wrapText="1"/>
    </xf>
    <xf numFmtId="0" fontId="45" fillId="32" borderId="25" xfId="21" applyFont="1" applyFill="1" applyBorder="1" applyAlignment="1" applyProtection="1">
      <alignment horizontal="left" vertical="center" wrapText="1"/>
    </xf>
    <xf numFmtId="0" fontId="45" fillId="32" borderId="70" xfId="21" applyFont="1" applyFill="1" applyBorder="1" applyAlignment="1" applyProtection="1">
      <alignment horizontal="left" vertical="center" wrapText="1"/>
    </xf>
    <xf numFmtId="0" fontId="45" fillId="32" borderId="25" xfId="21" applyFont="1" applyFill="1" applyBorder="1" applyAlignment="1" applyProtection="1">
      <alignment horizontal="center" vertical="center" wrapText="1"/>
    </xf>
    <xf numFmtId="0" fontId="45" fillId="32" borderId="70" xfId="21" applyFont="1" applyFill="1" applyBorder="1" applyAlignment="1" applyProtection="1">
      <alignment horizontal="center" vertical="center" wrapText="1"/>
    </xf>
    <xf numFmtId="181" fontId="45" fillId="32" borderId="68" xfId="21" applyNumberFormat="1" applyFont="1" applyFill="1" applyBorder="1" applyAlignment="1" applyProtection="1">
      <alignment horizontal="center" vertical="center" wrapText="1"/>
    </xf>
    <xf numFmtId="181" fontId="45" fillId="32" borderId="50" xfId="21" applyNumberFormat="1" applyFont="1" applyFill="1" applyBorder="1" applyAlignment="1" applyProtection="1">
      <alignment horizontal="center" vertical="center" wrapText="1"/>
    </xf>
    <xf numFmtId="181" fontId="45" fillId="32" borderId="53" xfId="21" applyNumberFormat="1" applyFont="1" applyFill="1" applyBorder="1" applyAlignment="1" applyProtection="1">
      <alignment horizontal="center" vertical="center" wrapText="1"/>
    </xf>
    <xf numFmtId="180" fontId="44" fillId="32" borderId="42" xfId="21" applyNumberFormat="1" applyFont="1" applyFill="1" applyBorder="1" applyAlignment="1" applyProtection="1">
      <alignment horizontal="center" vertical="center"/>
    </xf>
    <xf numFmtId="180" fontId="44" fillId="32" borderId="10" xfId="21" applyNumberFormat="1" applyFont="1" applyFill="1" applyBorder="1" applyAlignment="1" applyProtection="1">
      <alignment horizontal="center" vertical="center"/>
    </xf>
    <xf numFmtId="180" fontId="44" fillId="32" borderId="20" xfId="21" applyNumberFormat="1" applyFont="1" applyFill="1" applyBorder="1" applyAlignment="1" applyProtection="1">
      <alignment horizontal="center" vertical="center"/>
    </xf>
    <xf numFmtId="180" fontId="44" fillId="32" borderId="43" xfId="21" applyNumberFormat="1" applyFont="1" applyFill="1" applyBorder="1" applyAlignment="1" applyProtection="1">
      <alignment horizontal="center" vertical="center"/>
    </xf>
    <xf numFmtId="181" fontId="45" fillId="32" borderId="64" xfId="21" applyNumberFormat="1" applyFont="1" applyFill="1" applyBorder="1" applyAlignment="1" applyProtection="1">
      <alignment horizontal="center" vertical="center" wrapText="1"/>
    </xf>
    <xf numFmtId="181" fontId="45" fillId="32" borderId="22" xfId="21" applyNumberFormat="1" applyFont="1" applyFill="1" applyBorder="1" applyAlignment="1" applyProtection="1">
      <alignment horizontal="center" vertical="center" wrapText="1"/>
    </xf>
    <xf numFmtId="181" fontId="45" fillId="32" borderId="71" xfId="21" applyNumberFormat="1" applyFont="1" applyFill="1" applyBorder="1" applyAlignment="1" applyProtection="1">
      <alignment horizontal="center" vertical="center" wrapText="1"/>
    </xf>
    <xf numFmtId="0" fontId="45" fillId="32" borderId="46" xfId="21" quotePrefix="1" applyFont="1" applyFill="1" applyBorder="1" applyAlignment="1" applyProtection="1">
      <alignment horizontal="center" vertical="center" wrapText="1"/>
    </xf>
    <xf numFmtId="0" fontId="45" fillId="32" borderId="67" xfId="21" quotePrefix="1" applyFont="1" applyFill="1" applyBorder="1" applyAlignment="1" applyProtection="1">
      <alignment horizontal="center" vertical="center" wrapText="1"/>
    </xf>
    <xf numFmtId="0" fontId="45" fillId="32" borderId="69" xfId="21" quotePrefix="1" applyFont="1" applyFill="1" applyBorder="1" applyAlignment="1" applyProtection="1">
      <alignment horizontal="center" vertical="center" wrapText="1"/>
    </xf>
    <xf numFmtId="180" fontId="44" fillId="32" borderId="45" xfId="21" applyNumberFormat="1" applyFont="1" applyFill="1" applyBorder="1" applyAlignment="1" applyProtection="1">
      <alignment horizontal="center" vertical="center"/>
    </xf>
    <xf numFmtId="180" fontId="44" fillId="32" borderId="77" xfId="21" applyNumberFormat="1" applyFont="1" applyFill="1" applyBorder="1" applyAlignment="1" applyProtection="1">
      <alignment horizontal="center" vertical="center"/>
    </xf>
    <xf numFmtId="180" fontId="44" fillId="32" borderId="76" xfId="21" applyNumberFormat="1" applyFont="1" applyFill="1" applyBorder="1" applyAlignment="1" applyProtection="1">
      <alignment horizontal="center" vertical="center"/>
    </xf>
    <xf numFmtId="180" fontId="44" fillId="32" borderId="44" xfId="21" applyNumberFormat="1" applyFont="1" applyFill="1" applyBorder="1" applyAlignment="1" applyProtection="1">
      <alignment horizontal="center" vertical="center"/>
    </xf>
    <xf numFmtId="180" fontId="44" fillId="32" borderId="25" xfId="21" applyNumberFormat="1" applyFont="1" applyFill="1" applyBorder="1" applyAlignment="1" applyProtection="1">
      <alignment horizontal="center" vertical="center"/>
    </xf>
    <xf numFmtId="180" fontId="44" fillId="32" borderId="70" xfId="21" applyNumberFormat="1" applyFont="1" applyFill="1" applyBorder="1" applyAlignment="1" applyProtection="1">
      <alignment horizontal="center" vertical="center"/>
    </xf>
    <xf numFmtId="181" fontId="45" fillId="32" borderId="49" xfId="21" applyNumberFormat="1" applyFont="1" applyFill="1" applyBorder="1" applyAlignment="1" applyProtection="1">
      <alignment horizontal="center" vertical="center" wrapText="1"/>
    </xf>
    <xf numFmtId="0" fontId="45" fillId="32" borderId="43" xfId="21" applyFont="1" applyFill="1" applyBorder="1" applyAlignment="1" applyProtection="1">
      <alignment horizontal="center" vertical="center"/>
    </xf>
    <xf numFmtId="181" fontId="45" fillId="32" borderId="43" xfId="21" applyNumberFormat="1" applyFont="1" applyFill="1" applyBorder="1" applyAlignment="1" applyProtection="1">
      <alignment horizontal="center" vertical="center" wrapText="1"/>
    </xf>
    <xf numFmtId="0" fontId="77" fillId="32" borderId="42" xfId="21" quotePrefix="1" applyFont="1" applyFill="1" applyBorder="1" applyAlignment="1" applyProtection="1">
      <alignment horizontal="center" vertical="center" wrapText="1"/>
    </xf>
    <xf numFmtId="0" fontId="77" fillId="32" borderId="10" xfId="21" quotePrefix="1" applyFont="1" applyFill="1" applyBorder="1" applyAlignment="1" applyProtection="1">
      <alignment horizontal="center" vertical="center"/>
    </xf>
    <xf numFmtId="0" fontId="77" fillId="32" borderId="43" xfId="21" quotePrefix="1" applyFont="1" applyFill="1" applyBorder="1" applyAlignment="1" applyProtection="1">
      <alignment horizontal="center" vertical="center"/>
    </xf>
    <xf numFmtId="180" fontId="78" fillId="32" borderId="42" xfId="21" applyNumberFormat="1" applyFont="1" applyFill="1" applyBorder="1" applyAlignment="1" applyProtection="1">
      <alignment horizontal="center" vertical="center"/>
    </xf>
    <xf numFmtId="180" fontId="78" fillId="32" borderId="10" xfId="21" applyNumberFormat="1" applyFont="1" applyFill="1" applyBorder="1" applyAlignment="1" applyProtection="1">
      <alignment horizontal="center" vertical="center"/>
    </xf>
    <xf numFmtId="180" fontId="78" fillId="32" borderId="43" xfId="21" applyNumberFormat="1" applyFont="1" applyFill="1" applyBorder="1" applyAlignment="1" applyProtection="1">
      <alignment horizontal="center" vertical="center"/>
    </xf>
    <xf numFmtId="181" fontId="45" fillId="32" borderId="10" xfId="21" applyNumberFormat="1" applyFont="1" applyFill="1" applyBorder="1" applyAlignment="1" applyProtection="1">
      <alignment horizontal="center" vertical="center" wrapText="1"/>
    </xf>
    <xf numFmtId="0" fontId="9" fillId="27" borderId="12" xfId="0" applyFont="1" applyFill="1" applyBorder="1" applyAlignment="1" applyProtection="1">
      <alignment horizontal="left" vertical="center"/>
      <protection hidden="1"/>
    </xf>
    <xf numFmtId="0" fontId="0" fillId="0" borderId="12" xfId="0" applyBorder="1" applyAlignment="1" applyProtection="1">
      <alignment horizontal="left"/>
      <protection hidden="1"/>
    </xf>
    <xf numFmtId="0" fontId="9" fillId="27" borderId="21" xfId="0" applyFont="1" applyFill="1" applyBorder="1" applyAlignment="1">
      <alignment vertical="center"/>
    </xf>
    <xf numFmtId="0" fontId="9" fillId="27" borderId="13" xfId="0" applyFont="1" applyFill="1" applyBorder="1" applyAlignment="1">
      <alignment vertical="center"/>
    </xf>
    <xf numFmtId="0" fontId="9" fillId="27" borderId="13" xfId="0" applyFont="1" applyFill="1" applyBorder="1" applyAlignment="1" applyProtection="1">
      <alignment horizontal="center" vertical="center"/>
      <protection hidden="1"/>
    </xf>
    <xf numFmtId="0" fontId="9" fillId="27" borderId="0" xfId="0" applyFont="1" applyFill="1" applyBorder="1" applyAlignment="1">
      <alignment vertical="center"/>
    </xf>
    <xf numFmtId="0" fontId="9" fillId="27" borderId="0" xfId="0" applyFont="1" applyFill="1" applyBorder="1" applyAlignment="1" applyProtection="1">
      <alignment horizontal="center" vertical="center"/>
      <protection hidden="1"/>
    </xf>
    <xf numFmtId="0" fontId="0" fillId="0" borderId="0" xfId="0" applyAlignment="1">
      <alignment vertical="center"/>
    </xf>
    <xf numFmtId="0" fontId="9" fillId="27" borderId="72" xfId="0" applyFont="1" applyFill="1" applyBorder="1" applyAlignment="1">
      <alignment vertical="center"/>
    </xf>
    <xf numFmtId="0" fontId="9" fillId="27" borderId="17" xfId="0" applyFont="1" applyFill="1" applyBorder="1" applyAlignment="1">
      <alignment vertical="center"/>
    </xf>
    <xf numFmtId="0" fontId="9" fillId="27" borderId="17" xfId="0" applyFont="1" applyFill="1" applyBorder="1" applyAlignment="1" applyProtection="1">
      <alignment horizontal="center" vertical="center"/>
      <protection hidden="1"/>
    </xf>
  </cellXfs>
  <cellStyles count="137">
    <cellStyle name="20% - Accent1" xfId="50"/>
    <cellStyle name="20% - Accent2" xfId="51"/>
    <cellStyle name="20% - Accent3" xfId="52"/>
    <cellStyle name="20% - Accent4" xfId="53"/>
    <cellStyle name="20% - Accent5" xfId="54"/>
    <cellStyle name="20% - Accent6" xfId="55"/>
    <cellStyle name="20% - 輔色1" xfId="1"/>
    <cellStyle name="20% - 輔色1 2" xfId="94"/>
    <cellStyle name="20% - 輔色2" xfId="2"/>
    <cellStyle name="20% - 輔色2 2" xfId="95"/>
    <cellStyle name="20% - 輔色3" xfId="3"/>
    <cellStyle name="20% - 輔色3 2" xfId="96"/>
    <cellStyle name="20% - 輔色4" xfId="4"/>
    <cellStyle name="20% - 輔色4 2" xfId="97"/>
    <cellStyle name="20% - 輔色5" xfId="5"/>
    <cellStyle name="20% - 輔色5 2" xfId="98"/>
    <cellStyle name="20% - 輔色6" xfId="6"/>
    <cellStyle name="20% - 輔色6 2" xfId="99"/>
    <cellStyle name="40% - Accent1" xfId="56"/>
    <cellStyle name="40% - Accent2" xfId="57"/>
    <cellStyle name="40% - Accent3" xfId="58"/>
    <cellStyle name="40% - Accent4" xfId="59"/>
    <cellStyle name="40% - Accent5" xfId="60"/>
    <cellStyle name="40% - Accent6" xfId="61"/>
    <cellStyle name="40% - 輔色1" xfId="7"/>
    <cellStyle name="40% - 輔色1 2" xfId="100"/>
    <cellStyle name="40% - 輔色2" xfId="8"/>
    <cellStyle name="40% - 輔色2 2" xfId="101"/>
    <cellStyle name="40% - 輔色3" xfId="9"/>
    <cellStyle name="40% - 輔色3 2" xfId="102"/>
    <cellStyle name="40% - 輔色4" xfId="10"/>
    <cellStyle name="40% - 輔色4 2" xfId="103"/>
    <cellStyle name="40% - 輔色5" xfId="11"/>
    <cellStyle name="40% - 輔色5 2" xfId="104"/>
    <cellStyle name="40% - 輔色6" xfId="12"/>
    <cellStyle name="40% - 輔色6 2" xfId="105"/>
    <cellStyle name="60% - Accent1" xfId="62"/>
    <cellStyle name="60% - Accent2" xfId="63"/>
    <cellStyle name="60% - Accent3" xfId="64"/>
    <cellStyle name="60% - Accent4" xfId="65"/>
    <cellStyle name="60% - Accent5" xfId="66"/>
    <cellStyle name="60% - Accent6" xfId="67"/>
    <cellStyle name="60% - 輔色1" xfId="13"/>
    <cellStyle name="60% - 輔色1 2" xfId="106"/>
    <cellStyle name="60% - 輔色2" xfId="14"/>
    <cellStyle name="60% - 輔色2 2" xfId="107"/>
    <cellStyle name="60% - 輔色3" xfId="15"/>
    <cellStyle name="60% - 輔色3 2" xfId="108"/>
    <cellStyle name="60% - 輔色4" xfId="16"/>
    <cellStyle name="60% - 輔色4 2" xfId="109"/>
    <cellStyle name="60% - 輔色5" xfId="17"/>
    <cellStyle name="60% - 輔色5 2" xfId="110"/>
    <cellStyle name="60% - 輔色6" xfId="18"/>
    <cellStyle name="60% - 輔色6 2" xfId="111"/>
    <cellStyle name="Accent1" xfId="68"/>
    <cellStyle name="Accent2" xfId="69"/>
    <cellStyle name="Accent3" xfId="70"/>
    <cellStyle name="Accent4" xfId="71"/>
    <cellStyle name="Accent5" xfId="72"/>
    <cellStyle name="Accent6" xfId="73"/>
    <cellStyle name="Bad" xfId="74"/>
    <cellStyle name="Calculation" xfId="75"/>
    <cellStyle name="Check Cell" xfId="76"/>
    <cellStyle name="Explanatory Text" xfId="77"/>
    <cellStyle name="Good" xfId="78"/>
    <cellStyle name="Heading 1" xfId="79"/>
    <cellStyle name="Heading 2" xfId="80"/>
    <cellStyle name="Heading 3" xfId="81"/>
    <cellStyle name="Heading 4" xfId="82"/>
    <cellStyle name="Input" xfId="83"/>
    <cellStyle name="Linked Cell" xfId="84"/>
    <cellStyle name="Neutral" xfId="85"/>
    <cellStyle name="Normal_Ohlone_DDR2_Tuning_BPM_changes_09-12-03" xfId="19"/>
    <cellStyle name="Note" xfId="86"/>
    <cellStyle name="Output" xfId="87"/>
    <cellStyle name="Title" xfId="88"/>
    <cellStyle name="Total" xfId="89"/>
    <cellStyle name="Warning Text" xfId="90"/>
    <cellStyle name="一般" xfId="0" builtinId="0"/>
    <cellStyle name="一般 2" xfId="20"/>
    <cellStyle name="一般 3" xfId="49"/>
    <cellStyle name="一般 4" xfId="112"/>
    <cellStyle name="一般 5" xfId="93"/>
    <cellStyle name="一般_ECB-CX700 layout check-list_0610A" xfId="21"/>
    <cellStyle name="中等" xfId="22"/>
    <cellStyle name="中等 2" xfId="113"/>
    <cellStyle name="合計" xfId="23"/>
    <cellStyle name="合計 2" xfId="114"/>
    <cellStyle name="好" xfId="24"/>
    <cellStyle name="好 2" xfId="115"/>
    <cellStyle name="好_Carrier Board for ESM-QM77 Layout Guibe(Type2 Rev2)" xfId="25"/>
    <cellStyle name="好_ESM-APLC PCB Impedance-20180718" xfId="136"/>
    <cellStyle name="好_ESM-APLC PCB Impedance試算" xfId="91"/>
    <cellStyle name="好_ESM-QM77_ Layout Guibe-1208" xfId="26"/>
    <cellStyle name="好_ESM-QM87_ Layout Guibe-051813" xfId="27"/>
    <cellStyle name="好_ESM-QM87_ Layout Guibe-052013" xfId="28"/>
    <cellStyle name="計算方式" xfId="29"/>
    <cellStyle name="計算方式 2" xfId="116"/>
    <cellStyle name="連結的儲存格" xfId="30"/>
    <cellStyle name="連結的儲存格 2" xfId="117"/>
    <cellStyle name="備註" xfId="31"/>
    <cellStyle name="備註 2" xfId="118"/>
    <cellStyle name="說明文字" xfId="32"/>
    <cellStyle name="說明文字 2" xfId="119"/>
    <cellStyle name="輔色1" xfId="33"/>
    <cellStyle name="輔色1 2" xfId="120"/>
    <cellStyle name="輔色2" xfId="34"/>
    <cellStyle name="輔色2 2" xfId="121"/>
    <cellStyle name="輔色3" xfId="35"/>
    <cellStyle name="輔色3 2" xfId="122"/>
    <cellStyle name="輔色4" xfId="36"/>
    <cellStyle name="輔色4 2" xfId="123"/>
    <cellStyle name="輔色5" xfId="37"/>
    <cellStyle name="輔色5 2" xfId="124"/>
    <cellStyle name="輔色6" xfId="38"/>
    <cellStyle name="輔色6 2" xfId="125"/>
    <cellStyle name="標題" xfId="39"/>
    <cellStyle name="標題 1" xfId="40"/>
    <cellStyle name="標題 1 2" xfId="126"/>
    <cellStyle name="標題 2" xfId="41"/>
    <cellStyle name="標題 2 2" xfId="127"/>
    <cellStyle name="標題 3" xfId="42"/>
    <cellStyle name="標題 3 2" xfId="128"/>
    <cellStyle name="標題 4" xfId="43"/>
    <cellStyle name="標題 4 2" xfId="129"/>
    <cellStyle name="標題 5" xfId="130"/>
    <cellStyle name="標題_ESM-APLC PCB Impedance試算" xfId="92"/>
    <cellStyle name="輸入" xfId="44"/>
    <cellStyle name="輸入 2" xfId="131"/>
    <cellStyle name="輸出" xfId="45"/>
    <cellStyle name="輸出 2" xfId="132"/>
    <cellStyle name="檢查儲存格" xfId="46"/>
    <cellStyle name="檢查儲存格 2" xfId="133"/>
    <cellStyle name="壞" xfId="47"/>
    <cellStyle name="壞 2" xfId="134"/>
    <cellStyle name="警告文字" xfId="48"/>
    <cellStyle name="警告文字 2" xfId="135"/>
  </cellStyles>
  <dxfs count="432">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ill>
        <patternFill>
          <bgColor indexed="41"/>
        </patternFill>
      </fill>
    </dxf>
    <dxf>
      <fill>
        <patternFill>
          <bgColor indexed="10"/>
        </patternFill>
      </fill>
    </dxf>
    <dxf>
      <fill>
        <patternFill>
          <bgColor indexed="41"/>
        </patternFill>
      </fill>
    </dxf>
    <dxf>
      <fill>
        <patternFill>
          <bgColor indexed="10"/>
        </patternFill>
      </fill>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ill>
        <patternFill>
          <bgColor indexed="41"/>
        </patternFill>
      </fill>
    </dxf>
    <dxf>
      <fill>
        <patternFill>
          <bgColor indexed="10"/>
        </patternFill>
      </fill>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condense val="0"/>
        <extend val="0"/>
        <color indexed="10"/>
      </font>
    </dxf>
    <dxf>
      <font>
        <condense val="0"/>
        <extend val="0"/>
        <color auto="1"/>
      </font>
    </dxf>
    <dxf>
      <font>
        <condense val="0"/>
        <extend val="0"/>
        <color indexed="10"/>
      </font>
    </dxf>
    <dxf>
      <font>
        <condense val="0"/>
        <extend val="0"/>
        <color auto="1"/>
      </font>
    </dxf>
    <dxf>
      <font>
        <b/>
        <i val="0"/>
        <condense val="0"/>
        <extend val="0"/>
        <color indexed="10"/>
      </font>
    </dxf>
    <dxf>
      <font>
        <b/>
        <i val="0"/>
        <condense val="0"/>
        <extend val="0"/>
        <color auto="1"/>
      </font>
    </dxf>
    <dxf>
      <font>
        <b/>
        <i val="0"/>
        <condense val="0"/>
        <extend val="0"/>
        <color indexed="8"/>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condense val="0"/>
        <extend val="0"/>
        <color indexed="10"/>
      </font>
    </dxf>
    <dxf>
      <font>
        <condense val="0"/>
        <extend val="0"/>
        <color auto="1"/>
      </font>
    </dxf>
    <dxf>
      <font>
        <condense val="0"/>
        <extend val="0"/>
        <color indexed="10"/>
      </font>
    </dxf>
    <dxf>
      <font>
        <condense val="0"/>
        <extend val="0"/>
        <color auto="1"/>
      </font>
    </dxf>
    <dxf>
      <font>
        <b/>
        <i val="0"/>
        <condense val="0"/>
        <extend val="0"/>
        <color indexed="10"/>
      </font>
    </dxf>
    <dxf>
      <font>
        <b/>
        <i val="0"/>
        <condense val="0"/>
        <extend val="0"/>
        <color auto="1"/>
      </font>
    </dxf>
    <dxf>
      <font>
        <b/>
        <i val="0"/>
        <condense val="0"/>
        <extend val="0"/>
        <color indexed="8"/>
      </font>
    </dxf>
    <dxf>
      <font>
        <b/>
        <i val="0"/>
        <condense val="0"/>
        <extend val="0"/>
        <color auto="1"/>
      </font>
    </dxf>
    <dxf>
      <font>
        <b/>
        <i val="0"/>
        <condense val="0"/>
        <extend val="0"/>
        <color indexed="10"/>
      </font>
    </dxf>
    <dxf>
      <font>
        <b/>
        <i val="0"/>
        <condense val="0"/>
        <extend val="0"/>
        <color auto="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patternType="solid">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patternType="solid">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66FFFF"/>
      <color rgb="FFFF9933"/>
      <color rgb="FF00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6.emf"/></Relationships>
</file>

<file path=xl/drawings/_rels/drawing9.xml.rels><?xml version="1.0" encoding="UTF-8" standalone="yes"?>
<Relationships xmlns="http://schemas.openxmlformats.org/package/2006/relationships"><Relationship Id="rId2" Type="http://schemas.openxmlformats.org/officeDocument/2006/relationships/image" Target="../media/image15.wmf"/><Relationship Id="rId1" Type="http://schemas.openxmlformats.org/officeDocument/2006/relationships/image" Target="../media/image14.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17.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0.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1171575</xdr:colOff>
          <xdr:row>45</xdr:row>
          <xdr:rowOff>38100</xdr:rowOff>
        </xdr:from>
        <xdr:to>
          <xdr:col>11</xdr:col>
          <xdr:colOff>123825</xdr:colOff>
          <xdr:row>58</xdr:row>
          <xdr:rowOff>123825</xdr:rowOff>
        </xdr:to>
        <xdr:sp macro="" textlink="">
          <xdr:nvSpPr>
            <xdr:cNvPr id="3260" name="Object 188" hidden="1">
              <a:extLst>
                <a:ext uri="{63B3BB69-23CF-44E3-9099-C40C66FF867C}">
                  <a14:compatExt spid="_x0000_s3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25</xdr:row>
          <xdr:rowOff>57150</xdr:rowOff>
        </xdr:from>
        <xdr:to>
          <xdr:col>11</xdr:col>
          <xdr:colOff>47625</xdr:colOff>
          <xdr:row>44</xdr:row>
          <xdr:rowOff>28575</xdr:rowOff>
        </xdr:to>
        <xdr:sp macro="" textlink="">
          <xdr:nvSpPr>
            <xdr:cNvPr id="3261" name="Object 189" hidden="1">
              <a:extLst>
                <a:ext uri="{63B3BB69-23CF-44E3-9099-C40C66FF867C}">
                  <a14:compatExt spid="_x0000_s3261"/>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142875</xdr:colOff>
      <xdr:row>30</xdr:row>
      <xdr:rowOff>66675</xdr:rowOff>
    </xdr:from>
    <xdr:to>
      <xdr:col>16</xdr:col>
      <xdr:colOff>76200</xdr:colOff>
      <xdr:row>51</xdr:row>
      <xdr:rowOff>19050</xdr:rowOff>
    </xdr:to>
    <xdr:pic>
      <xdr:nvPicPr>
        <xdr:cNvPr id="49153" name="Picture 93"/>
        <xdr:cNvPicPr>
          <a:picLocks noChangeAspect="1" noChangeArrowheads="1"/>
        </xdr:cNvPicPr>
      </xdr:nvPicPr>
      <xdr:blipFill>
        <a:blip xmlns:r="http://schemas.openxmlformats.org/officeDocument/2006/relationships" r:embed="rId1" cstate="print"/>
        <a:srcRect/>
        <a:stretch>
          <a:fillRect/>
        </a:stretch>
      </xdr:blipFill>
      <xdr:spPr bwMode="auto">
        <a:xfrm>
          <a:off x="1905000" y="6496050"/>
          <a:ext cx="7505700" cy="4152900"/>
        </a:xfrm>
        <a:prstGeom prst="rect">
          <a:avLst/>
        </a:prstGeom>
        <a:noFill/>
        <a:ln w="9525">
          <a:noFill/>
          <a:miter lim="800000"/>
          <a:headEnd/>
          <a:tailEnd/>
        </a:ln>
      </xdr:spPr>
    </xdr:pic>
    <xdr:clientData/>
  </xdr:twoCellAnchor>
  <xdr:twoCellAnchor editAs="oneCell">
    <xdr:from>
      <xdr:col>0</xdr:col>
      <xdr:colOff>76200</xdr:colOff>
      <xdr:row>31</xdr:row>
      <xdr:rowOff>66675</xdr:rowOff>
    </xdr:from>
    <xdr:to>
      <xdr:col>8</xdr:col>
      <xdr:colOff>590550</xdr:colOff>
      <xdr:row>37</xdr:row>
      <xdr:rowOff>104775</xdr:rowOff>
    </xdr:to>
    <xdr:pic>
      <xdr:nvPicPr>
        <xdr:cNvPr id="49154" name="Picture 116"/>
        <xdr:cNvPicPr>
          <a:picLocks noChangeAspect="1" noChangeArrowheads="1"/>
        </xdr:cNvPicPr>
      </xdr:nvPicPr>
      <xdr:blipFill>
        <a:blip xmlns:r="http://schemas.openxmlformats.org/officeDocument/2006/relationships" r:embed="rId2" cstate="print"/>
        <a:srcRect/>
        <a:stretch>
          <a:fillRect/>
        </a:stretch>
      </xdr:blipFill>
      <xdr:spPr bwMode="auto">
        <a:xfrm>
          <a:off x="76200" y="6657975"/>
          <a:ext cx="5591175" cy="127635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371475</xdr:colOff>
          <xdr:row>29</xdr:row>
          <xdr:rowOff>647700</xdr:rowOff>
        </xdr:from>
        <xdr:to>
          <xdr:col>11</xdr:col>
          <xdr:colOff>1009650</xdr:colOff>
          <xdr:row>51</xdr:row>
          <xdr:rowOff>76200</xdr:rowOff>
        </xdr:to>
        <xdr:sp macro="" textlink="">
          <xdr:nvSpPr>
            <xdr:cNvPr id="30722" name="Object 2" hidden="1">
              <a:extLst>
                <a:ext uri="{63B3BB69-23CF-44E3-9099-C40C66FF867C}">
                  <a14:compatExt spid="_x0000_s30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22</xdr:row>
          <xdr:rowOff>200025</xdr:rowOff>
        </xdr:from>
        <xdr:to>
          <xdr:col>11</xdr:col>
          <xdr:colOff>304800</xdr:colOff>
          <xdr:row>29</xdr:row>
          <xdr:rowOff>428625</xdr:rowOff>
        </xdr:to>
        <xdr:sp macro="" textlink="">
          <xdr:nvSpPr>
            <xdr:cNvPr id="30723" name="Object 3" hidden="1">
              <a:extLst>
                <a:ext uri="{63B3BB69-23CF-44E3-9099-C40C66FF867C}">
                  <a14:compatExt spid="_x0000_s30723"/>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257175</xdr:colOff>
          <xdr:row>28</xdr:row>
          <xdr:rowOff>152400</xdr:rowOff>
        </xdr:from>
        <xdr:to>
          <xdr:col>9</xdr:col>
          <xdr:colOff>285750</xdr:colOff>
          <xdr:row>35</xdr:row>
          <xdr:rowOff>276225</xdr:rowOff>
        </xdr:to>
        <xdr:sp macro="" textlink="">
          <xdr:nvSpPr>
            <xdr:cNvPr id="27653" name="Object 5" hidden="1">
              <a:extLst>
                <a:ext uri="{63B3BB69-23CF-44E3-9099-C40C66FF867C}">
                  <a14:compatExt spid="_x0000_s27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37</xdr:row>
          <xdr:rowOff>38100</xdr:rowOff>
        </xdr:from>
        <xdr:to>
          <xdr:col>10</xdr:col>
          <xdr:colOff>161925</xdr:colOff>
          <xdr:row>57</xdr:row>
          <xdr:rowOff>76200</xdr:rowOff>
        </xdr:to>
        <xdr:sp macro="" textlink="">
          <xdr:nvSpPr>
            <xdr:cNvPr id="27654" name="Object 6" hidden="1">
              <a:extLst>
                <a:ext uri="{63B3BB69-23CF-44E3-9099-C40C66FF867C}">
                  <a14:compatExt spid="_x0000_s27654"/>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33</xdr:row>
          <xdr:rowOff>38100</xdr:rowOff>
        </xdr:from>
        <xdr:to>
          <xdr:col>11</xdr:col>
          <xdr:colOff>0</xdr:colOff>
          <xdr:row>49</xdr:row>
          <xdr:rowOff>9525</xdr:rowOff>
        </xdr:to>
        <xdr:sp macro="" textlink="">
          <xdr:nvSpPr>
            <xdr:cNvPr id="6161" name="Object 17" hidden="1">
              <a:extLst>
                <a:ext uri="{63B3BB69-23CF-44E3-9099-C40C66FF867C}">
                  <a14:compatExt spid="_x0000_s6161"/>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45</xdr:row>
          <xdr:rowOff>9525</xdr:rowOff>
        </xdr:from>
        <xdr:to>
          <xdr:col>15</xdr:col>
          <xdr:colOff>333375</xdr:colOff>
          <xdr:row>61</xdr:row>
          <xdr:rowOff>0</xdr:rowOff>
        </xdr:to>
        <xdr:sp macro="" textlink="">
          <xdr:nvSpPr>
            <xdr:cNvPr id="18659" name="Object 227" hidden="1">
              <a:extLst>
                <a:ext uri="{63B3BB69-23CF-44E3-9099-C40C66FF867C}">
                  <a14:compatExt spid="_x0000_s18659"/>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15</xdr:col>
          <xdr:colOff>180975</xdr:colOff>
          <xdr:row>59</xdr:row>
          <xdr:rowOff>161925</xdr:rowOff>
        </xdr:to>
        <xdr:sp macro="" textlink="">
          <xdr:nvSpPr>
            <xdr:cNvPr id="23556" name="Object 4" hidden="1">
              <a:extLst>
                <a:ext uri="{63B3BB69-23CF-44E3-9099-C40C66FF867C}">
                  <a14:compatExt spid="_x0000_s23556"/>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xdr:colOff>
          <xdr:row>103</xdr:row>
          <xdr:rowOff>0</xdr:rowOff>
        </xdr:from>
        <xdr:to>
          <xdr:col>13</xdr:col>
          <xdr:colOff>47625</xdr:colOff>
          <xdr:row>116</xdr:row>
          <xdr:rowOff>161925</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476250</xdr:colOff>
          <xdr:row>102</xdr:row>
          <xdr:rowOff>0</xdr:rowOff>
        </xdr:from>
        <xdr:to>
          <xdr:col>15</xdr:col>
          <xdr:colOff>476250</xdr:colOff>
          <xdr:row>114</xdr:row>
          <xdr:rowOff>9525</xdr:rowOff>
        </xdr:to>
        <xdr:sp macro="" textlink="">
          <xdr:nvSpPr>
            <xdr:cNvPr id="19577" name="Object 121" hidden="1">
              <a:extLst>
                <a:ext uri="{63B3BB69-23CF-44E3-9099-C40C66FF867C}">
                  <a14:compatExt spid="_x0000_s19577"/>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102</xdr:row>
          <xdr:rowOff>0</xdr:rowOff>
        </xdr:from>
        <xdr:to>
          <xdr:col>13</xdr:col>
          <xdr:colOff>723900</xdr:colOff>
          <xdr:row>113</xdr:row>
          <xdr:rowOff>38100</xdr:rowOff>
        </xdr:to>
        <xdr:sp macro="" textlink="">
          <xdr:nvSpPr>
            <xdr:cNvPr id="28675" name="Object 3" hidden="1">
              <a:extLst>
                <a:ext uri="{63B3BB69-23CF-44E3-9099-C40C66FF867C}">
                  <a14:compatExt spid="_x0000_s2867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695325</xdr:colOff>
          <xdr:row>39</xdr:row>
          <xdr:rowOff>95250</xdr:rowOff>
        </xdr:from>
        <xdr:to>
          <xdr:col>13</xdr:col>
          <xdr:colOff>581025</xdr:colOff>
          <xdr:row>55</xdr:row>
          <xdr:rowOff>57150</xdr:rowOff>
        </xdr:to>
        <xdr:sp macro="" textlink="">
          <xdr:nvSpPr>
            <xdr:cNvPr id="16978" name="Object 594" hidden="1">
              <a:extLst>
                <a:ext uri="{63B3BB69-23CF-44E3-9099-C40C66FF867C}">
                  <a14:compatExt spid="_x0000_s16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59</xdr:row>
          <xdr:rowOff>47625</xdr:rowOff>
        </xdr:from>
        <xdr:to>
          <xdr:col>12</xdr:col>
          <xdr:colOff>933450</xdr:colOff>
          <xdr:row>80</xdr:row>
          <xdr:rowOff>180975</xdr:rowOff>
        </xdr:to>
        <xdr:sp macro="" textlink="">
          <xdr:nvSpPr>
            <xdr:cNvPr id="16979" name="Object 595" hidden="1">
              <a:extLst>
                <a:ext uri="{63B3BB69-23CF-44E3-9099-C40C66FF867C}">
                  <a14:compatExt spid="_x0000_s1697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58</xdr:row>
          <xdr:rowOff>0</xdr:rowOff>
        </xdr:from>
        <xdr:to>
          <xdr:col>10</xdr:col>
          <xdr:colOff>1600200</xdr:colOff>
          <xdr:row>66</xdr:row>
          <xdr:rowOff>180975</xdr:rowOff>
        </xdr:to>
        <xdr:sp macro="" textlink="">
          <xdr:nvSpPr>
            <xdr:cNvPr id="20501" name="Object 21" hidden="1">
              <a:extLst>
                <a:ext uri="{63B3BB69-23CF-44E3-9099-C40C66FF867C}">
                  <a14:compatExt spid="_x0000_s20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10</xdr:col>
          <xdr:colOff>1609725</xdr:colOff>
          <xdr:row>93</xdr:row>
          <xdr:rowOff>47625</xdr:rowOff>
        </xdr:to>
        <xdr:sp macro="" textlink="">
          <xdr:nvSpPr>
            <xdr:cNvPr id="20502" name="Object 22" hidden="1">
              <a:extLst>
                <a:ext uri="{63B3BB69-23CF-44E3-9099-C40C66FF867C}">
                  <a14:compatExt spid="_x0000_s2050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62</xdr:row>
      <xdr:rowOff>66675</xdr:rowOff>
    </xdr:from>
    <xdr:to>
      <xdr:col>12</xdr:col>
      <xdr:colOff>1162050</xdr:colOff>
      <xdr:row>91</xdr:row>
      <xdr:rowOff>47625</xdr:rowOff>
    </xdr:to>
    <xdr:grpSp>
      <xdr:nvGrpSpPr>
        <xdr:cNvPr id="21637" name="Group 8"/>
        <xdr:cNvGrpSpPr>
          <a:grpSpLocks/>
        </xdr:cNvGrpSpPr>
      </xdr:nvGrpSpPr>
      <xdr:grpSpPr bwMode="auto">
        <a:xfrm>
          <a:off x="0" y="11010900"/>
          <a:ext cx="9467850" cy="4676775"/>
          <a:chOff x="96" y="864"/>
          <a:chExt cx="5594" cy="2920"/>
        </a:xfrm>
      </xdr:grpSpPr>
      <xdr:sp macro="" textlink="">
        <xdr:nvSpPr>
          <xdr:cNvPr id="21638" name="Rectangle 9"/>
          <xdr:cNvSpPr>
            <a:spLocks noChangeArrowheads="1"/>
          </xdr:cNvSpPr>
        </xdr:nvSpPr>
        <xdr:spPr bwMode="auto">
          <a:xfrm>
            <a:off x="721" y="3435"/>
            <a:ext cx="480" cy="240"/>
          </a:xfrm>
          <a:prstGeom prst="rect">
            <a:avLst/>
          </a:prstGeom>
          <a:noFill/>
          <a:ln w="9525">
            <a:solidFill>
              <a:srgbClr val="000000"/>
            </a:solidFill>
            <a:miter lim="800000"/>
            <a:headEnd/>
            <a:tailEnd/>
          </a:ln>
        </xdr:spPr>
      </xdr:sp>
      <xdr:sp macro="" textlink="">
        <xdr:nvSpPr>
          <xdr:cNvPr id="21514" name="AutoShape 10"/>
          <xdr:cNvSpPr>
            <a:spLocks noChangeArrowheads="1"/>
          </xdr:cNvSpPr>
        </xdr:nvSpPr>
        <xdr:spPr bwMode="auto">
          <a:xfrm rot="5400000" flipV="1">
            <a:off x="1517" y="3457"/>
            <a:ext cx="101" cy="208"/>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L0</a:t>
            </a:r>
          </a:p>
          <a:p>
            <a:pPr algn="l" rtl="1">
              <a:defRPr sz="1000"/>
            </a:pPr>
            <a:endParaRPr lang="en-US" altLang="zh-TW" sz="1000" b="0" i="0" strike="noStrike">
              <a:solidFill>
                <a:srgbClr val="000000"/>
              </a:solidFill>
              <a:latin typeface="Arial"/>
              <a:cs typeface="Arial"/>
            </a:endParaRPr>
          </a:p>
        </xdr:txBody>
      </xdr:sp>
      <xdr:sp macro="" textlink="">
        <xdr:nvSpPr>
          <xdr:cNvPr id="21640" name="Line 11"/>
          <xdr:cNvSpPr>
            <a:spLocks noChangeShapeType="1"/>
          </xdr:cNvSpPr>
        </xdr:nvSpPr>
        <xdr:spPr bwMode="auto">
          <a:xfrm flipV="1">
            <a:off x="1198" y="3558"/>
            <a:ext cx="288" cy="0"/>
          </a:xfrm>
          <a:prstGeom prst="line">
            <a:avLst/>
          </a:prstGeom>
          <a:noFill/>
          <a:ln w="9525">
            <a:solidFill>
              <a:srgbClr val="000000"/>
            </a:solidFill>
            <a:round/>
            <a:headEnd/>
            <a:tailEnd/>
          </a:ln>
        </xdr:spPr>
      </xdr:sp>
      <xdr:sp macro="" textlink="">
        <xdr:nvSpPr>
          <xdr:cNvPr id="21516" name="AutoShape 12"/>
          <xdr:cNvSpPr>
            <a:spLocks noChangeArrowheads="1"/>
          </xdr:cNvSpPr>
        </xdr:nvSpPr>
        <xdr:spPr bwMode="auto">
          <a:xfrm rot="5400000" flipH="1" flipV="1">
            <a:off x="4672" y="933"/>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defRPr sz="1000"/>
            </a:pPr>
            <a:endParaRPr lang="en-US" altLang="zh-TW" sz="1000" b="0" i="0" strike="noStrike">
              <a:solidFill>
                <a:srgbClr val="000000"/>
              </a:solidFill>
              <a:latin typeface="Arial"/>
              <a:cs typeface="Arial"/>
            </a:endParaRPr>
          </a:p>
        </xdr:txBody>
      </xdr:sp>
      <xdr:sp macro="" textlink="">
        <xdr:nvSpPr>
          <xdr:cNvPr id="21642" name="Line 13"/>
          <xdr:cNvSpPr>
            <a:spLocks noChangeShapeType="1"/>
          </xdr:cNvSpPr>
        </xdr:nvSpPr>
        <xdr:spPr bwMode="auto">
          <a:xfrm flipV="1">
            <a:off x="2858" y="2166"/>
            <a:ext cx="0" cy="816"/>
          </a:xfrm>
          <a:prstGeom prst="line">
            <a:avLst/>
          </a:prstGeom>
          <a:noFill/>
          <a:ln w="9525">
            <a:solidFill>
              <a:srgbClr val="000000"/>
            </a:solidFill>
            <a:round/>
            <a:headEnd/>
            <a:tailEnd/>
          </a:ln>
        </xdr:spPr>
      </xdr:sp>
      <xdr:sp macro="" textlink="">
        <xdr:nvSpPr>
          <xdr:cNvPr id="21643" name="Line 14"/>
          <xdr:cNvSpPr>
            <a:spLocks noChangeShapeType="1"/>
          </xdr:cNvSpPr>
        </xdr:nvSpPr>
        <xdr:spPr bwMode="auto">
          <a:xfrm>
            <a:off x="4839" y="1056"/>
            <a:ext cx="144" cy="0"/>
          </a:xfrm>
          <a:prstGeom prst="line">
            <a:avLst/>
          </a:prstGeom>
          <a:noFill/>
          <a:ln w="9525">
            <a:solidFill>
              <a:srgbClr val="000000"/>
            </a:solidFill>
            <a:round/>
            <a:headEnd/>
            <a:tailEnd/>
          </a:ln>
        </xdr:spPr>
      </xdr:sp>
      <xdr:sp macro="" textlink="">
        <xdr:nvSpPr>
          <xdr:cNvPr id="21519" name="AutoShape 15"/>
          <xdr:cNvSpPr>
            <a:spLocks noChangeArrowheads="1"/>
          </xdr:cNvSpPr>
        </xdr:nvSpPr>
        <xdr:spPr bwMode="auto">
          <a:xfrm rot="5400000">
            <a:off x="737" y="3429"/>
            <a:ext cx="238" cy="259"/>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defRPr sz="1000"/>
            </a:pPr>
            <a:endParaRPr lang="zh-TW" altLang="en-US" sz="800" b="0" i="0" strike="noStrike">
              <a:solidFill>
                <a:srgbClr val="000000"/>
              </a:solidFill>
              <a:latin typeface="Arial"/>
              <a:cs typeface="Arial"/>
            </a:endParaRPr>
          </a:p>
          <a:p>
            <a:pPr algn="l" rtl="1">
              <a:defRPr sz="1000"/>
            </a:pPr>
            <a:endParaRPr lang="zh-TW" altLang="en-US" sz="800" b="0" i="0" strike="noStrike">
              <a:solidFill>
                <a:srgbClr val="000000"/>
              </a:solidFill>
              <a:latin typeface="Arial"/>
              <a:cs typeface="Arial"/>
            </a:endParaRPr>
          </a:p>
        </xdr:txBody>
      </xdr:sp>
      <xdr:sp macro="" textlink="">
        <xdr:nvSpPr>
          <xdr:cNvPr id="21520" name="AutoShape 16"/>
          <xdr:cNvSpPr>
            <a:spLocks noChangeArrowheads="1"/>
          </xdr:cNvSpPr>
        </xdr:nvSpPr>
        <xdr:spPr bwMode="auto">
          <a:xfrm rot="5400000">
            <a:off x="4959" y="987"/>
            <a:ext cx="196"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defRPr sz="1000"/>
            </a:pPr>
            <a:endParaRPr lang="zh-TW" altLang="en-US" sz="800" b="0" i="0" strike="noStrike">
              <a:solidFill>
                <a:srgbClr val="000000"/>
              </a:solidFill>
              <a:latin typeface="Arial"/>
              <a:cs typeface="Arial"/>
            </a:endParaRPr>
          </a:p>
          <a:p>
            <a:pPr algn="l" rtl="1">
              <a:defRPr sz="1000"/>
            </a:pPr>
            <a:endParaRPr lang="zh-TW" altLang="en-US" sz="800" b="0" i="0" strike="noStrike">
              <a:solidFill>
                <a:srgbClr val="000000"/>
              </a:solidFill>
              <a:latin typeface="Arial"/>
              <a:cs typeface="Arial"/>
            </a:endParaRPr>
          </a:p>
        </xdr:txBody>
      </xdr:sp>
      <xdr:sp macro="" textlink="">
        <xdr:nvSpPr>
          <xdr:cNvPr id="21521" name="Rectangle 17"/>
          <xdr:cNvSpPr>
            <a:spLocks noChangeArrowheads="1"/>
          </xdr:cNvSpPr>
        </xdr:nvSpPr>
        <xdr:spPr bwMode="auto">
          <a:xfrm>
            <a:off x="96" y="3463"/>
            <a:ext cx="630" cy="172"/>
          </a:xfrm>
          <a:prstGeom prst="rect">
            <a:avLst/>
          </a:prstGeom>
          <a:noFill/>
          <a:ln w="9525">
            <a:noFill/>
            <a:miter lim="800000"/>
            <a:headEnd/>
            <a:tailEnd/>
          </a:ln>
          <a:effectLst/>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  GMCH Die</a:t>
            </a:r>
          </a:p>
          <a:p>
            <a:pPr algn="l" rtl="1">
              <a:defRPr sz="1000"/>
            </a:pPr>
            <a:endParaRPr lang="en-US" altLang="zh-TW" sz="1200" b="0" i="0" strike="noStrike">
              <a:solidFill>
                <a:srgbClr val="000000"/>
              </a:solidFill>
              <a:latin typeface="Arial"/>
              <a:cs typeface="Arial"/>
            </a:endParaRPr>
          </a:p>
        </xdr:txBody>
      </xdr:sp>
      <xdr:sp macro="" textlink="">
        <xdr:nvSpPr>
          <xdr:cNvPr id="21522" name="AutoShape 18"/>
          <xdr:cNvSpPr>
            <a:spLocks noChangeArrowheads="1"/>
          </xdr:cNvSpPr>
        </xdr:nvSpPr>
        <xdr:spPr bwMode="auto">
          <a:xfrm rot="5400000" flipH="1" flipV="1">
            <a:off x="2398"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L2</a:t>
            </a:r>
          </a:p>
          <a:p>
            <a:pPr algn="l" rtl="1">
              <a:defRPr sz="1000"/>
            </a:pPr>
            <a:endParaRPr lang="en-US" altLang="zh-TW" sz="1000" b="0" i="0" strike="noStrike">
              <a:solidFill>
                <a:srgbClr val="000000"/>
              </a:solidFill>
              <a:latin typeface="Arial"/>
              <a:cs typeface="Arial"/>
            </a:endParaRPr>
          </a:p>
        </xdr:txBody>
      </xdr:sp>
      <xdr:sp macro="" textlink="">
        <xdr:nvSpPr>
          <xdr:cNvPr id="21648" name="Line 19"/>
          <xdr:cNvSpPr>
            <a:spLocks noChangeShapeType="1"/>
          </xdr:cNvSpPr>
        </xdr:nvSpPr>
        <xdr:spPr bwMode="auto">
          <a:xfrm>
            <a:off x="2052" y="3558"/>
            <a:ext cx="303" cy="0"/>
          </a:xfrm>
          <a:prstGeom prst="line">
            <a:avLst/>
          </a:prstGeom>
          <a:noFill/>
          <a:ln w="9525">
            <a:solidFill>
              <a:srgbClr val="000000"/>
            </a:solidFill>
            <a:round/>
            <a:headEnd/>
            <a:tailEnd/>
          </a:ln>
        </xdr:spPr>
      </xdr:sp>
      <xdr:sp macro="" textlink="">
        <xdr:nvSpPr>
          <xdr:cNvPr id="21649" name="Line 20"/>
          <xdr:cNvSpPr>
            <a:spLocks noChangeShapeType="1"/>
          </xdr:cNvSpPr>
        </xdr:nvSpPr>
        <xdr:spPr bwMode="auto">
          <a:xfrm flipV="1">
            <a:off x="3783" y="1296"/>
            <a:ext cx="300" cy="0"/>
          </a:xfrm>
          <a:prstGeom prst="line">
            <a:avLst/>
          </a:prstGeom>
          <a:noFill/>
          <a:ln w="9525">
            <a:solidFill>
              <a:srgbClr val="000000"/>
            </a:solidFill>
            <a:round/>
            <a:headEnd/>
            <a:tailEnd/>
          </a:ln>
        </xdr:spPr>
      </xdr:sp>
      <xdr:sp macro="" textlink="">
        <xdr:nvSpPr>
          <xdr:cNvPr id="21650" name="Line 21"/>
          <xdr:cNvSpPr>
            <a:spLocks noChangeShapeType="1"/>
          </xdr:cNvSpPr>
        </xdr:nvSpPr>
        <xdr:spPr bwMode="auto">
          <a:xfrm>
            <a:off x="2565" y="3558"/>
            <a:ext cx="630" cy="0"/>
          </a:xfrm>
          <a:prstGeom prst="line">
            <a:avLst/>
          </a:prstGeom>
          <a:noFill/>
          <a:ln w="9525">
            <a:solidFill>
              <a:srgbClr val="000000"/>
            </a:solidFill>
            <a:round/>
            <a:headEnd/>
            <a:tailEnd/>
          </a:ln>
        </xdr:spPr>
      </xdr:sp>
      <xdr:sp macro="" textlink="">
        <xdr:nvSpPr>
          <xdr:cNvPr id="21651" name="Line 22"/>
          <xdr:cNvSpPr>
            <a:spLocks noChangeShapeType="1"/>
          </xdr:cNvSpPr>
        </xdr:nvSpPr>
        <xdr:spPr bwMode="auto">
          <a:xfrm flipV="1">
            <a:off x="3774" y="2832"/>
            <a:ext cx="390" cy="0"/>
          </a:xfrm>
          <a:prstGeom prst="line">
            <a:avLst/>
          </a:prstGeom>
          <a:noFill/>
          <a:ln w="9525">
            <a:solidFill>
              <a:srgbClr val="000000"/>
            </a:solidFill>
            <a:round/>
            <a:headEnd/>
            <a:tailEnd/>
          </a:ln>
        </xdr:spPr>
      </xdr:sp>
      <xdr:sp macro="" textlink="">
        <xdr:nvSpPr>
          <xdr:cNvPr id="21652" name="Line 23"/>
          <xdr:cNvSpPr>
            <a:spLocks noChangeShapeType="1"/>
          </xdr:cNvSpPr>
        </xdr:nvSpPr>
        <xdr:spPr bwMode="auto">
          <a:xfrm>
            <a:off x="3351" y="2352"/>
            <a:ext cx="129" cy="0"/>
          </a:xfrm>
          <a:prstGeom prst="line">
            <a:avLst/>
          </a:prstGeom>
          <a:noFill/>
          <a:ln w="9525">
            <a:solidFill>
              <a:srgbClr val="000000"/>
            </a:solidFill>
            <a:round/>
            <a:headEnd/>
            <a:tailEnd/>
          </a:ln>
        </xdr:spPr>
      </xdr:sp>
      <xdr:sp macro="" textlink="">
        <xdr:nvSpPr>
          <xdr:cNvPr id="21653" name="Line 24"/>
          <xdr:cNvSpPr>
            <a:spLocks noChangeShapeType="1"/>
          </xdr:cNvSpPr>
        </xdr:nvSpPr>
        <xdr:spPr bwMode="auto">
          <a:xfrm flipV="1">
            <a:off x="3351" y="1776"/>
            <a:ext cx="0" cy="384"/>
          </a:xfrm>
          <a:prstGeom prst="line">
            <a:avLst/>
          </a:prstGeom>
          <a:noFill/>
          <a:ln w="9525">
            <a:solidFill>
              <a:srgbClr val="000000"/>
            </a:solidFill>
            <a:round/>
            <a:headEnd/>
            <a:tailEnd/>
          </a:ln>
        </xdr:spPr>
      </xdr:sp>
      <xdr:sp macro="" textlink="">
        <xdr:nvSpPr>
          <xdr:cNvPr id="21529" name="Rectangle 25"/>
          <xdr:cNvSpPr>
            <a:spLocks noChangeArrowheads="1"/>
          </xdr:cNvSpPr>
        </xdr:nvSpPr>
        <xdr:spPr bwMode="auto">
          <a:xfrm>
            <a:off x="5116" y="965"/>
            <a:ext cx="574" cy="172"/>
          </a:xfrm>
          <a:prstGeom prst="rect">
            <a:avLst/>
          </a:prstGeom>
          <a:noFill/>
          <a:ln w="9525">
            <a:noFill/>
            <a:miter lim="800000"/>
            <a:headEnd/>
            <a:tailEnd/>
          </a:ln>
          <a:effectLst/>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SDRAM 1</a:t>
            </a:r>
          </a:p>
          <a:p>
            <a:pPr algn="l" rtl="1">
              <a:defRPr sz="1000"/>
            </a:pPr>
            <a:endParaRPr lang="en-US" altLang="zh-TW" sz="1200" b="0" i="0" strike="noStrike">
              <a:solidFill>
                <a:srgbClr val="000000"/>
              </a:solidFill>
              <a:latin typeface="Arial"/>
              <a:cs typeface="Arial"/>
            </a:endParaRPr>
          </a:p>
        </xdr:txBody>
      </xdr:sp>
      <xdr:sp macro="" textlink="">
        <xdr:nvSpPr>
          <xdr:cNvPr id="21530" name="AutoShape 26"/>
          <xdr:cNvSpPr>
            <a:spLocks noChangeArrowheads="1"/>
          </xdr:cNvSpPr>
        </xdr:nvSpPr>
        <xdr:spPr bwMode="auto">
          <a:xfrm rot="5400000">
            <a:off x="4959" y="1225"/>
            <a:ext cx="196"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defRPr sz="1000"/>
            </a:pPr>
            <a:endParaRPr lang="zh-TW" altLang="en-US" sz="800" b="0" i="0" strike="noStrike">
              <a:solidFill>
                <a:srgbClr val="000000"/>
              </a:solidFill>
              <a:latin typeface="Arial"/>
              <a:cs typeface="Arial"/>
            </a:endParaRPr>
          </a:p>
          <a:p>
            <a:pPr algn="l" rtl="1">
              <a:defRPr sz="1000"/>
            </a:pPr>
            <a:endParaRPr lang="zh-TW" altLang="en-US" sz="800" b="0" i="0" strike="noStrike">
              <a:solidFill>
                <a:srgbClr val="000000"/>
              </a:solidFill>
              <a:latin typeface="Arial"/>
              <a:cs typeface="Arial"/>
            </a:endParaRPr>
          </a:p>
        </xdr:txBody>
      </xdr:sp>
      <xdr:sp macro="" textlink="">
        <xdr:nvSpPr>
          <xdr:cNvPr id="21531" name="Rectangle 27"/>
          <xdr:cNvSpPr>
            <a:spLocks noChangeArrowheads="1"/>
          </xdr:cNvSpPr>
        </xdr:nvSpPr>
        <xdr:spPr bwMode="auto">
          <a:xfrm>
            <a:off x="5116" y="1203"/>
            <a:ext cx="574" cy="178"/>
          </a:xfrm>
          <a:prstGeom prst="rect">
            <a:avLst/>
          </a:prstGeom>
          <a:noFill/>
          <a:ln w="9525">
            <a:noFill/>
            <a:miter lim="800000"/>
            <a:headEnd/>
            <a:tailEnd/>
          </a:ln>
          <a:effectLst/>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SDRAM 2</a:t>
            </a:r>
          </a:p>
          <a:p>
            <a:pPr algn="l" rtl="1">
              <a:defRPr sz="1000"/>
            </a:pPr>
            <a:endParaRPr lang="en-US" altLang="zh-TW" sz="1200" b="0" i="0" strike="noStrike">
              <a:solidFill>
                <a:srgbClr val="000000"/>
              </a:solidFill>
              <a:latin typeface="Arial"/>
              <a:cs typeface="Arial"/>
            </a:endParaRPr>
          </a:p>
        </xdr:txBody>
      </xdr:sp>
      <xdr:sp macro="" textlink="">
        <xdr:nvSpPr>
          <xdr:cNvPr id="21532" name="AutoShape 28"/>
          <xdr:cNvSpPr>
            <a:spLocks noChangeArrowheads="1"/>
          </xdr:cNvSpPr>
        </xdr:nvSpPr>
        <xdr:spPr bwMode="auto">
          <a:xfrm rot="5400000">
            <a:off x="4962" y="1466"/>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defRPr sz="1000"/>
            </a:pPr>
            <a:endParaRPr lang="zh-TW" altLang="en-US" sz="800" b="0" i="0" strike="noStrike">
              <a:solidFill>
                <a:srgbClr val="000000"/>
              </a:solidFill>
              <a:latin typeface="Arial"/>
              <a:cs typeface="Arial"/>
            </a:endParaRPr>
          </a:p>
          <a:p>
            <a:pPr algn="l" rtl="1">
              <a:defRPr sz="1000"/>
            </a:pPr>
            <a:endParaRPr lang="zh-TW" altLang="en-US" sz="800" b="0" i="0" strike="noStrike">
              <a:solidFill>
                <a:srgbClr val="000000"/>
              </a:solidFill>
              <a:latin typeface="Arial"/>
              <a:cs typeface="Arial"/>
            </a:endParaRPr>
          </a:p>
        </xdr:txBody>
      </xdr:sp>
      <xdr:sp macro="" textlink="">
        <xdr:nvSpPr>
          <xdr:cNvPr id="21533" name="Rectangle 29"/>
          <xdr:cNvSpPr>
            <a:spLocks noChangeArrowheads="1"/>
          </xdr:cNvSpPr>
        </xdr:nvSpPr>
        <xdr:spPr bwMode="auto">
          <a:xfrm>
            <a:off x="5116" y="1447"/>
            <a:ext cx="574" cy="172"/>
          </a:xfrm>
          <a:prstGeom prst="rect">
            <a:avLst/>
          </a:prstGeom>
          <a:noFill/>
          <a:ln w="9525">
            <a:noFill/>
            <a:miter lim="800000"/>
            <a:headEnd/>
            <a:tailEnd/>
          </a:ln>
          <a:effectLst/>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SDRAM 3</a:t>
            </a:r>
          </a:p>
          <a:p>
            <a:pPr algn="l" rtl="1">
              <a:defRPr sz="1000"/>
            </a:pPr>
            <a:endParaRPr lang="en-US" altLang="zh-TW" sz="1200" b="0" i="0" strike="noStrike">
              <a:solidFill>
                <a:srgbClr val="000000"/>
              </a:solidFill>
              <a:latin typeface="Arial"/>
              <a:cs typeface="Arial"/>
            </a:endParaRPr>
          </a:p>
        </xdr:txBody>
      </xdr:sp>
      <xdr:sp macro="" textlink="">
        <xdr:nvSpPr>
          <xdr:cNvPr id="21534" name="AutoShape 30"/>
          <xdr:cNvSpPr>
            <a:spLocks noChangeArrowheads="1"/>
          </xdr:cNvSpPr>
        </xdr:nvSpPr>
        <xdr:spPr bwMode="auto">
          <a:xfrm rot="5400000">
            <a:off x="4962" y="1704"/>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defRPr sz="1000"/>
            </a:pPr>
            <a:endParaRPr lang="zh-TW" altLang="en-US" sz="800" b="0" i="0" strike="noStrike">
              <a:solidFill>
                <a:srgbClr val="000000"/>
              </a:solidFill>
              <a:latin typeface="Arial"/>
              <a:cs typeface="Arial"/>
            </a:endParaRPr>
          </a:p>
          <a:p>
            <a:pPr algn="l" rtl="1">
              <a:defRPr sz="1000"/>
            </a:pPr>
            <a:endParaRPr lang="zh-TW" altLang="en-US" sz="800" b="0" i="0" strike="noStrike">
              <a:solidFill>
                <a:srgbClr val="000000"/>
              </a:solidFill>
              <a:latin typeface="Arial"/>
              <a:cs typeface="Arial"/>
            </a:endParaRPr>
          </a:p>
        </xdr:txBody>
      </xdr:sp>
      <xdr:sp macro="" textlink="">
        <xdr:nvSpPr>
          <xdr:cNvPr id="21535" name="Rectangle 31"/>
          <xdr:cNvSpPr>
            <a:spLocks noChangeArrowheads="1"/>
          </xdr:cNvSpPr>
        </xdr:nvSpPr>
        <xdr:spPr bwMode="auto">
          <a:xfrm>
            <a:off x="5116" y="1685"/>
            <a:ext cx="574" cy="172"/>
          </a:xfrm>
          <a:prstGeom prst="rect">
            <a:avLst/>
          </a:prstGeom>
          <a:noFill/>
          <a:ln w="9525">
            <a:noFill/>
            <a:miter lim="800000"/>
            <a:headEnd/>
            <a:tailEnd/>
          </a:ln>
          <a:effectLst/>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SDRAM 4</a:t>
            </a:r>
          </a:p>
          <a:p>
            <a:pPr algn="l" rtl="1">
              <a:defRPr sz="1000"/>
            </a:pPr>
            <a:endParaRPr lang="en-US" altLang="zh-TW" sz="1200" b="0" i="0" strike="noStrike">
              <a:solidFill>
                <a:srgbClr val="000000"/>
              </a:solidFill>
              <a:latin typeface="Arial"/>
              <a:cs typeface="Arial"/>
            </a:endParaRPr>
          </a:p>
        </xdr:txBody>
      </xdr:sp>
      <xdr:sp macro="" textlink="">
        <xdr:nvSpPr>
          <xdr:cNvPr id="21536" name="AutoShape 32"/>
          <xdr:cNvSpPr>
            <a:spLocks noChangeArrowheads="1"/>
          </xdr:cNvSpPr>
        </xdr:nvSpPr>
        <xdr:spPr bwMode="auto">
          <a:xfrm rot="5400000">
            <a:off x="4962" y="2280"/>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defRPr sz="1000"/>
            </a:pPr>
            <a:endParaRPr lang="zh-TW" altLang="en-US" sz="800" b="0" i="0" strike="noStrike">
              <a:solidFill>
                <a:srgbClr val="000000"/>
              </a:solidFill>
              <a:latin typeface="Arial"/>
              <a:cs typeface="Arial"/>
            </a:endParaRPr>
          </a:p>
          <a:p>
            <a:pPr algn="l" rtl="1">
              <a:defRPr sz="1000"/>
            </a:pPr>
            <a:endParaRPr lang="zh-TW" altLang="en-US" sz="800" b="0" i="0" strike="noStrike">
              <a:solidFill>
                <a:srgbClr val="000000"/>
              </a:solidFill>
              <a:latin typeface="Arial"/>
              <a:cs typeface="Arial"/>
            </a:endParaRPr>
          </a:p>
        </xdr:txBody>
      </xdr:sp>
      <xdr:sp macro="" textlink="">
        <xdr:nvSpPr>
          <xdr:cNvPr id="21537" name="Rectangle 33"/>
          <xdr:cNvSpPr>
            <a:spLocks noChangeArrowheads="1"/>
          </xdr:cNvSpPr>
        </xdr:nvSpPr>
        <xdr:spPr bwMode="auto">
          <a:xfrm>
            <a:off x="5116" y="2262"/>
            <a:ext cx="574" cy="178"/>
          </a:xfrm>
          <a:prstGeom prst="rect">
            <a:avLst/>
          </a:prstGeom>
          <a:noFill/>
          <a:ln w="9525">
            <a:noFill/>
            <a:miter lim="800000"/>
            <a:headEnd/>
            <a:tailEnd/>
          </a:ln>
          <a:effectLst/>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SDRAM 5</a:t>
            </a:r>
          </a:p>
          <a:p>
            <a:pPr algn="l" rtl="1">
              <a:defRPr sz="1000"/>
            </a:pPr>
            <a:endParaRPr lang="en-US" altLang="zh-TW" sz="1200" b="0" i="0" strike="noStrike">
              <a:solidFill>
                <a:srgbClr val="000000"/>
              </a:solidFill>
              <a:latin typeface="Arial"/>
              <a:cs typeface="Arial"/>
            </a:endParaRPr>
          </a:p>
        </xdr:txBody>
      </xdr:sp>
      <xdr:sp macro="" textlink="">
        <xdr:nvSpPr>
          <xdr:cNvPr id="21538" name="AutoShape 34"/>
          <xdr:cNvSpPr>
            <a:spLocks noChangeArrowheads="1"/>
          </xdr:cNvSpPr>
        </xdr:nvSpPr>
        <xdr:spPr bwMode="auto">
          <a:xfrm rot="5400000">
            <a:off x="4962" y="2524"/>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defRPr sz="1000"/>
            </a:pPr>
            <a:endParaRPr lang="zh-TW" altLang="en-US" sz="800" b="0" i="0" strike="noStrike">
              <a:solidFill>
                <a:srgbClr val="000000"/>
              </a:solidFill>
              <a:latin typeface="Arial"/>
              <a:cs typeface="Arial"/>
            </a:endParaRPr>
          </a:p>
          <a:p>
            <a:pPr algn="l" rtl="1">
              <a:defRPr sz="1000"/>
            </a:pPr>
            <a:endParaRPr lang="zh-TW" altLang="en-US" sz="800" b="0" i="0" strike="noStrike">
              <a:solidFill>
                <a:srgbClr val="000000"/>
              </a:solidFill>
              <a:latin typeface="Arial"/>
              <a:cs typeface="Arial"/>
            </a:endParaRPr>
          </a:p>
        </xdr:txBody>
      </xdr:sp>
      <xdr:sp macro="" textlink="">
        <xdr:nvSpPr>
          <xdr:cNvPr id="21539" name="Rectangle 35"/>
          <xdr:cNvSpPr>
            <a:spLocks noChangeArrowheads="1"/>
          </xdr:cNvSpPr>
        </xdr:nvSpPr>
        <xdr:spPr bwMode="auto">
          <a:xfrm>
            <a:off x="5116" y="2499"/>
            <a:ext cx="574" cy="178"/>
          </a:xfrm>
          <a:prstGeom prst="rect">
            <a:avLst/>
          </a:prstGeom>
          <a:noFill/>
          <a:ln w="9525">
            <a:noFill/>
            <a:miter lim="800000"/>
            <a:headEnd/>
            <a:tailEnd/>
          </a:ln>
          <a:effectLst/>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SDRAM 6</a:t>
            </a:r>
          </a:p>
          <a:p>
            <a:pPr algn="l" rtl="1">
              <a:defRPr sz="1000"/>
            </a:pPr>
            <a:endParaRPr lang="en-US" altLang="zh-TW" sz="1200" b="0" i="0" strike="noStrike">
              <a:solidFill>
                <a:srgbClr val="000000"/>
              </a:solidFill>
              <a:latin typeface="Arial"/>
              <a:cs typeface="Arial"/>
            </a:endParaRPr>
          </a:p>
        </xdr:txBody>
      </xdr:sp>
      <xdr:sp macro="" textlink="">
        <xdr:nvSpPr>
          <xdr:cNvPr id="21540" name="AutoShape 36"/>
          <xdr:cNvSpPr>
            <a:spLocks noChangeArrowheads="1"/>
          </xdr:cNvSpPr>
        </xdr:nvSpPr>
        <xdr:spPr bwMode="auto">
          <a:xfrm rot="5400000">
            <a:off x="4962" y="2762"/>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defRPr sz="1000"/>
            </a:pPr>
            <a:endParaRPr lang="zh-TW" altLang="en-US" sz="800" b="0" i="0" strike="noStrike">
              <a:solidFill>
                <a:srgbClr val="000000"/>
              </a:solidFill>
              <a:latin typeface="Arial"/>
              <a:cs typeface="Arial"/>
            </a:endParaRPr>
          </a:p>
          <a:p>
            <a:pPr algn="l" rtl="1">
              <a:defRPr sz="1000"/>
            </a:pPr>
            <a:endParaRPr lang="zh-TW" altLang="en-US" sz="800" b="0" i="0" strike="noStrike">
              <a:solidFill>
                <a:srgbClr val="000000"/>
              </a:solidFill>
              <a:latin typeface="Arial"/>
              <a:cs typeface="Arial"/>
            </a:endParaRPr>
          </a:p>
        </xdr:txBody>
      </xdr:sp>
      <xdr:sp macro="" textlink="">
        <xdr:nvSpPr>
          <xdr:cNvPr id="21541" name="Rectangle 37"/>
          <xdr:cNvSpPr>
            <a:spLocks noChangeArrowheads="1"/>
          </xdr:cNvSpPr>
        </xdr:nvSpPr>
        <xdr:spPr bwMode="auto">
          <a:xfrm>
            <a:off x="5116" y="2737"/>
            <a:ext cx="574" cy="178"/>
          </a:xfrm>
          <a:prstGeom prst="rect">
            <a:avLst/>
          </a:prstGeom>
          <a:noFill/>
          <a:ln w="9525">
            <a:noFill/>
            <a:miter lim="800000"/>
            <a:headEnd/>
            <a:tailEnd/>
          </a:ln>
          <a:effectLst/>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SDRAM 7</a:t>
            </a:r>
          </a:p>
          <a:p>
            <a:pPr algn="l" rtl="1">
              <a:defRPr sz="1000"/>
            </a:pPr>
            <a:endParaRPr lang="en-US" altLang="zh-TW" sz="1200" b="0" i="0" strike="noStrike">
              <a:solidFill>
                <a:srgbClr val="000000"/>
              </a:solidFill>
              <a:latin typeface="Arial"/>
              <a:cs typeface="Arial"/>
            </a:endParaRPr>
          </a:p>
        </xdr:txBody>
      </xdr:sp>
      <xdr:sp macro="" textlink="">
        <xdr:nvSpPr>
          <xdr:cNvPr id="21542" name="AutoShape 38"/>
          <xdr:cNvSpPr>
            <a:spLocks noChangeArrowheads="1"/>
          </xdr:cNvSpPr>
        </xdr:nvSpPr>
        <xdr:spPr bwMode="auto">
          <a:xfrm rot="5400000">
            <a:off x="4962" y="3000"/>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defRPr sz="1000"/>
            </a:pPr>
            <a:endParaRPr lang="zh-TW" altLang="en-US" sz="800" b="0" i="0" strike="noStrike">
              <a:solidFill>
                <a:srgbClr val="000000"/>
              </a:solidFill>
              <a:latin typeface="Arial"/>
              <a:cs typeface="Arial"/>
            </a:endParaRPr>
          </a:p>
          <a:p>
            <a:pPr algn="l" rtl="1">
              <a:defRPr sz="1000"/>
            </a:pPr>
            <a:endParaRPr lang="zh-TW" altLang="en-US" sz="800" b="0" i="0" strike="noStrike">
              <a:solidFill>
                <a:srgbClr val="000000"/>
              </a:solidFill>
              <a:latin typeface="Arial"/>
              <a:cs typeface="Arial"/>
            </a:endParaRPr>
          </a:p>
        </xdr:txBody>
      </xdr:sp>
      <xdr:sp macro="" textlink="">
        <xdr:nvSpPr>
          <xdr:cNvPr id="21543" name="Rectangle 39"/>
          <xdr:cNvSpPr>
            <a:spLocks noChangeArrowheads="1"/>
          </xdr:cNvSpPr>
        </xdr:nvSpPr>
        <xdr:spPr bwMode="auto">
          <a:xfrm>
            <a:off x="5116" y="2981"/>
            <a:ext cx="574" cy="172"/>
          </a:xfrm>
          <a:prstGeom prst="rect">
            <a:avLst/>
          </a:prstGeom>
          <a:noFill/>
          <a:ln w="9525">
            <a:noFill/>
            <a:miter lim="800000"/>
            <a:headEnd/>
            <a:tailEnd/>
          </a:ln>
          <a:effectLst/>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SDRAM 8</a:t>
            </a:r>
          </a:p>
          <a:p>
            <a:pPr algn="l" rtl="1">
              <a:defRPr sz="1000"/>
            </a:pPr>
            <a:endParaRPr lang="en-US" altLang="zh-TW" sz="1200" b="0" i="0" strike="noStrike">
              <a:solidFill>
                <a:srgbClr val="000000"/>
              </a:solidFill>
              <a:latin typeface="Arial"/>
              <a:cs typeface="Arial"/>
            </a:endParaRPr>
          </a:p>
        </xdr:txBody>
      </xdr:sp>
      <xdr:sp macro="" textlink="">
        <xdr:nvSpPr>
          <xdr:cNvPr id="21669" name="Line 40"/>
          <xdr:cNvSpPr>
            <a:spLocks noChangeShapeType="1"/>
          </xdr:cNvSpPr>
        </xdr:nvSpPr>
        <xdr:spPr bwMode="auto">
          <a:xfrm>
            <a:off x="4839" y="1296"/>
            <a:ext cx="144" cy="0"/>
          </a:xfrm>
          <a:prstGeom prst="line">
            <a:avLst/>
          </a:prstGeom>
          <a:noFill/>
          <a:ln w="9525">
            <a:solidFill>
              <a:srgbClr val="000000"/>
            </a:solidFill>
            <a:round/>
            <a:headEnd/>
            <a:tailEnd/>
          </a:ln>
        </xdr:spPr>
      </xdr:sp>
      <xdr:sp macro="" textlink="">
        <xdr:nvSpPr>
          <xdr:cNvPr id="21670" name="Line 41"/>
          <xdr:cNvSpPr>
            <a:spLocks noChangeShapeType="1"/>
          </xdr:cNvSpPr>
        </xdr:nvSpPr>
        <xdr:spPr bwMode="auto">
          <a:xfrm>
            <a:off x="4839" y="1536"/>
            <a:ext cx="144" cy="0"/>
          </a:xfrm>
          <a:prstGeom prst="line">
            <a:avLst/>
          </a:prstGeom>
          <a:noFill/>
          <a:ln w="9525">
            <a:solidFill>
              <a:srgbClr val="000000"/>
            </a:solidFill>
            <a:round/>
            <a:headEnd/>
            <a:tailEnd/>
          </a:ln>
        </xdr:spPr>
      </xdr:sp>
      <xdr:sp macro="" textlink="">
        <xdr:nvSpPr>
          <xdr:cNvPr id="21671" name="Line 42"/>
          <xdr:cNvSpPr>
            <a:spLocks noChangeShapeType="1"/>
          </xdr:cNvSpPr>
        </xdr:nvSpPr>
        <xdr:spPr bwMode="auto">
          <a:xfrm>
            <a:off x="4839" y="1776"/>
            <a:ext cx="144" cy="0"/>
          </a:xfrm>
          <a:prstGeom prst="line">
            <a:avLst/>
          </a:prstGeom>
          <a:noFill/>
          <a:ln w="9525">
            <a:solidFill>
              <a:srgbClr val="000000"/>
            </a:solidFill>
            <a:round/>
            <a:headEnd/>
            <a:tailEnd/>
          </a:ln>
        </xdr:spPr>
      </xdr:sp>
      <xdr:sp macro="" textlink="">
        <xdr:nvSpPr>
          <xdr:cNvPr id="21672" name="Line 43"/>
          <xdr:cNvSpPr>
            <a:spLocks noChangeShapeType="1"/>
          </xdr:cNvSpPr>
        </xdr:nvSpPr>
        <xdr:spPr bwMode="auto">
          <a:xfrm>
            <a:off x="4839" y="2352"/>
            <a:ext cx="144" cy="0"/>
          </a:xfrm>
          <a:prstGeom prst="line">
            <a:avLst/>
          </a:prstGeom>
          <a:noFill/>
          <a:ln w="9525">
            <a:solidFill>
              <a:srgbClr val="000000"/>
            </a:solidFill>
            <a:round/>
            <a:headEnd/>
            <a:tailEnd/>
          </a:ln>
        </xdr:spPr>
      </xdr:sp>
      <xdr:sp macro="" textlink="">
        <xdr:nvSpPr>
          <xdr:cNvPr id="21673" name="Line 44"/>
          <xdr:cNvSpPr>
            <a:spLocks noChangeShapeType="1"/>
          </xdr:cNvSpPr>
        </xdr:nvSpPr>
        <xdr:spPr bwMode="auto">
          <a:xfrm>
            <a:off x="4839" y="2592"/>
            <a:ext cx="144" cy="0"/>
          </a:xfrm>
          <a:prstGeom prst="line">
            <a:avLst/>
          </a:prstGeom>
          <a:noFill/>
          <a:ln w="9525">
            <a:solidFill>
              <a:srgbClr val="000000"/>
            </a:solidFill>
            <a:round/>
            <a:headEnd/>
            <a:tailEnd/>
          </a:ln>
        </xdr:spPr>
      </xdr:sp>
      <xdr:sp macro="" textlink="">
        <xdr:nvSpPr>
          <xdr:cNvPr id="21674" name="Line 45"/>
          <xdr:cNvSpPr>
            <a:spLocks noChangeShapeType="1"/>
          </xdr:cNvSpPr>
        </xdr:nvSpPr>
        <xdr:spPr bwMode="auto">
          <a:xfrm>
            <a:off x="4839" y="2832"/>
            <a:ext cx="144" cy="0"/>
          </a:xfrm>
          <a:prstGeom prst="line">
            <a:avLst/>
          </a:prstGeom>
          <a:noFill/>
          <a:ln w="9525">
            <a:solidFill>
              <a:srgbClr val="000000"/>
            </a:solidFill>
            <a:round/>
            <a:headEnd/>
            <a:tailEnd/>
          </a:ln>
        </xdr:spPr>
      </xdr:sp>
      <xdr:sp macro="" textlink="">
        <xdr:nvSpPr>
          <xdr:cNvPr id="21675" name="Line 46"/>
          <xdr:cNvSpPr>
            <a:spLocks noChangeShapeType="1"/>
          </xdr:cNvSpPr>
        </xdr:nvSpPr>
        <xdr:spPr bwMode="auto">
          <a:xfrm>
            <a:off x="4839" y="3072"/>
            <a:ext cx="144" cy="0"/>
          </a:xfrm>
          <a:prstGeom prst="line">
            <a:avLst/>
          </a:prstGeom>
          <a:noFill/>
          <a:ln w="9525">
            <a:solidFill>
              <a:srgbClr val="000000"/>
            </a:solidFill>
            <a:round/>
            <a:headEnd/>
            <a:tailEnd/>
          </a:ln>
        </xdr:spPr>
      </xdr:sp>
      <xdr:sp macro="" textlink="">
        <xdr:nvSpPr>
          <xdr:cNvPr id="21551" name="AutoShape 47"/>
          <xdr:cNvSpPr>
            <a:spLocks noChangeArrowheads="1"/>
          </xdr:cNvSpPr>
        </xdr:nvSpPr>
        <xdr:spPr bwMode="auto">
          <a:xfrm rot="5400000" flipH="1" flipV="1">
            <a:off x="4672" y="117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defRPr sz="1000"/>
            </a:pPr>
            <a:endParaRPr lang="en-US" altLang="zh-TW" sz="1000" b="0" i="0" strike="noStrike">
              <a:solidFill>
                <a:srgbClr val="000000"/>
              </a:solidFill>
              <a:latin typeface="Arial"/>
              <a:cs typeface="Arial"/>
            </a:endParaRPr>
          </a:p>
        </xdr:txBody>
      </xdr:sp>
      <xdr:sp macro="" textlink="">
        <xdr:nvSpPr>
          <xdr:cNvPr id="21552" name="AutoShape 48"/>
          <xdr:cNvSpPr>
            <a:spLocks noChangeArrowheads="1"/>
          </xdr:cNvSpPr>
        </xdr:nvSpPr>
        <xdr:spPr bwMode="auto">
          <a:xfrm rot="5400000" flipH="1" flipV="1">
            <a:off x="4672" y="1415"/>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defRPr sz="1000"/>
            </a:pPr>
            <a:endParaRPr lang="en-US" altLang="zh-TW" sz="1000" b="0" i="0" strike="noStrike">
              <a:solidFill>
                <a:srgbClr val="000000"/>
              </a:solidFill>
              <a:latin typeface="Arial"/>
              <a:cs typeface="Arial"/>
            </a:endParaRPr>
          </a:p>
        </xdr:txBody>
      </xdr:sp>
      <xdr:sp macro="" textlink="">
        <xdr:nvSpPr>
          <xdr:cNvPr id="21553" name="AutoShape 49"/>
          <xdr:cNvSpPr>
            <a:spLocks noChangeArrowheads="1"/>
          </xdr:cNvSpPr>
        </xdr:nvSpPr>
        <xdr:spPr bwMode="auto">
          <a:xfrm rot="5400000" flipH="1" flipV="1">
            <a:off x="4669" y="1656"/>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defRPr sz="1000"/>
            </a:pPr>
            <a:endParaRPr lang="en-US" altLang="zh-TW" sz="1000" b="0" i="0" strike="noStrike">
              <a:solidFill>
                <a:srgbClr val="000000"/>
              </a:solidFill>
              <a:latin typeface="Arial"/>
              <a:cs typeface="Arial"/>
            </a:endParaRPr>
          </a:p>
        </xdr:txBody>
      </xdr:sp>
      <xdr:sp macro="" textlink="">
        <xdr:nvSpPr>
          <xdr:cNvPr id="21554" name="AutoShape 50"/>
          <xdr:cNvSpPr>
            <a:spLocks noChangeArrowheads="1"/>
          </xdr:cNvSpPr>
        </xdr:nvSpPr>
        <xdr:spPr bwMode="auto">
          <a:xfrm rot="5400000" flipH="1" flipV="1">
            <a:off x="4672" y="2230"/>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defRPr sz="1000"/>
            </a:pPr>
            <a:endParaRPr lang="en-US" altLang="zh-TW" sz="1000" b="0" i="0" strike="noStrike">
              <a:solidFill>
                <a:srgbClr val="000000"/>
              </a:solidFill>
              <a:latin typeface="Arial"/>
              <a:cs typeface="Arial"/>
            </a:endParaRPr>
          </a:p>
        </xdr:txBody>
      </xdr:sp>
      <xdr:sp macro="" textlink="">
        <xdr:nvSpPr>
          <xdr:cNvPr id="21555" name="AutoShape 51"/>
          <xdr:cNvSpPr>
            <a:spLocks noChangeArrowheads="1"/>
          </xdr:cNvSpPr>
        </xdr:nvSpPr>
        <xdr:spPr bwMode="auto">
          <a:xfrm rot="5400000" flipH="1" flipV="1">
            <a:off x="4672" y="2468"/>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defRPr sz="1000"/>
            </a:pPr>
            <a:endParaRPr lang="en-US" altLang="zh-TW" sz="1000" b="0" i="0" strike="noStrike">
              <a:solidFill>
                <a:srgbClr val="000000"/>
              </a:solidFill>
              <a:latin typeface="Arial"/>
              <a:cs typeface="Arial"/>
            </a:endParaRPr>
          </a:p>
        </xdr:txBody>
      </xdr:sp>
      <xdr:sp macro="" textlink="">
        <xdr:nvSpPr>
          <xdr:cNvPr id="21556" name="AutoShape 52"/>
          <xdr:cNvSpPr>
            <a:spLocks noChangeArrowheads="1"/>
          </xdr:cNvSpPr>
        </xdr:nvSpPr>
        <xdr:spPr bwMode="auto">
          <a:xfrm rot="5400000" flipH="1" flipV="1">
            <a:off x="4672" y="2711"/>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defRPr sz="1000"/>
            </a:pPr>
            <a:endParaRPr lang="en-US" altLang="zh-TW" sz="1000" b="0" i="0" strike="noStrike">
              <a:solidFill>
                <a:srgbClr val="000000"/>
              </a:solidFill>
              <a:latin typeface="Arial"/>
              <a:cs typeface="Arial"/>
            </a:endParaRPr>
          </a:p>
        </xdr:txBody>
      </xdr:sp>
      <xdr:sp macro="" textlink="">
        <xdr:nvSpPr>
          <xdr:cNvPr id="21557" name="AutoShape 53"/>
          <xdr:cNvSpPr>
            <a:spLocks noChangeArrowheads="1"/>
          </xdr:cNvSpPr>
        </xdr:nvSpPr>
        <xdr:spPr bwMode="auto">
          <a:xfrm rot="5400000" flipH="1" flipV="1">
            <a:off x="4669" y="2952"/>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defRPr sz="1000"/>
            </a:pPr>
            <a:endParaRPr lang="en-US" altLang="zh-TW" sz="1000" b="0" i="0" strike="noStrike">
              <a:solidFill>
                <a:srgbClr val="000000"/>
              </a:solidFill>
              <a:latin typeface="Arial"/>
              <a:cs typeface="Arial"/>
            </a:endParaRPr>
          </a:p>
        </xdr:txBody>
      </xdr:sp>
      <xdr:sp macro="" textlink="">
        <xdr:nvSpPr>
          <xdr:cNvPr id="21558" name="AutoShape 54"/>
          <xdr:cNvSpPr>
            <a:spLocks noChangeArrowheads="1"/>
          </xdr:cNvSpPr>
        </xdr:nvSpPr>
        <xdr:spPr bwMode="auto">
          <a:xfrm rot="5400000" flipH="1" flipV="1">
            <a:off x="3467" y="1659"/>
            <a:ext cx="101" cy="236"/>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L6</a:t>
            </a:r>
          </a:p>
          <a:p>
            <a:pPr algn="l" rtl="1">
              <a:defRPr sz="1000"/>
            </a:pPr>
            <a:endParaRPr lang="en-US" altLang="zh-TW" sz="1000" b="0" i="0" strike="noStrike">
              <a:solidFill>
                <a:srgbClr val="000000"/>
              </a:solidFill>
              <a:latin typeface="Arial"/>
              <a:cs typeface="Arial"/>
            </a:endParaRPr>
          </a:p>
        </xdr:txBody>
      </xdr:sp>
      <xdr:sp macro="" textlink="">
        <xdr:nvSpPr>
          <xdr:cNvPr id="21559" name="AutoShape 55"/>
          <xdr:cNvSpPr>
            <a:spLocks noChangeArrowheads="1"/>
          </xdr:cNvSpPr>
        </xdr:nvSpPr>
        <xdr:spPr bwMode="auto">
          <a:xfrm rot="5400000" flipH="1" flipV="1">
            <a:off x="3518" y="2230"/>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L6</a:t>
            </a:r>
          </a:p>
          <a:p>
            <a:pPr algn="l" rtl="1">
              <a:defRPr sz="1000"/>
            </a:pPr>
            <a:endParaRPr lang="en-US" altLang="zh-TW" sz="1000" b="0" i="0" strike="noStrike">
              <a:solidFill>
                <a:srgbClr val="000000"/>
              </a:solidFill>
              <a:latin typeface="Arial"/>
              <a:cs typeface="Arial"/>
            </a:endParaRPr>
          </a:p>
        </xdr:txBody>
      </xdr:sp>
      <xdr:sp macro="" textlink="">
        <xdr:nvSpPr>
          <xdr:cNvPr id="21685" name="Line 56"/>
          <xdr:cNvSpPr>
            <a:spLocks noChangeShapeType="1"/>
          </xdr:cNvSpPr>
        </xdr:nvSpPr>
        <xdr:spPr bwMode="auto">
          <a:xfrm>
            <a:off x="3351" y="1776"/>
            <a:ext cx="78" cy="0"/>
          </a:xfrm>
          <a:prstGeom prst="line">
            <a:avLst/>
          </a:prstGeom>
          <a:noFill/>
          <a:ln w="9525">
            <a:solidFill>
              <a:srgbClr val="000000"/>
            </a:solidFill>
            <a:round/>
            <a:headEnd/>
            <a:tailEnd/>
          </a:ln>
        </xdr:spPr>
      </xdr:sp>
      <xdr:sp macro="" textlink="">
        <xdr:nvSpPr>
          <xdr:cNvPr id="21686" name="Line 57"/>
          <xdr:cNvSpPr>
            <a:spLocks noChangeShapeType="1"/>
          </xdr:cNvSpPr>
        </xdr:nvSpPr>
        <xdr:spPr bwMode="auto">
          <a:xfrm flipV="1">
            <a:off x="3351" y="2160"/>
            <a:ext cx="0" cy="192"/>
          </a:xfrm>
          <a:prstGeom prst="line">
            <a:avLst/>
          </a:prstGeom>
          <a:noFill/>
          <a:ln w="9525">
            <a:solidFill>
              <a:srgbClr val="000000"/>
            </a:solidFill>
            <a:round/>
            <a:headEnd/>
            <a:tailEnd/>
          </a:ln>
        </xdr:spPr>
      </xdr:sp>
      <xdr:sp macro="" textlink="">
        <xdr:nvSpPr>
          <xdr:cNvPr id="21687" name="Line 58"/>
          <xdr:cNvSpPr>
            <a:spLocks noChangeShapeType="1"/>
          </xdr:cNvSpPr>
        </xdr:nvSpPr>
        <xdr:spPr bwMode="auto">
          <a:xfrm flipV="1">
            <a:off x="3687" y="2352"/>
            <a:ext cx="936" cy="0"/>
          </a:xfrm>
          <a:prstGeom prst="line">
            <a:avLst/>
          </a:prstGeom>
          <a:noFill/>
          <a:ln w="9525">
            <a:solidFill>
              <a:srgbClr val="000000"/>
            </a:solidFill>
            <a:round/>
            <a:headEnd/>
            <a:tailEnd/>
          </a:ln>
        </xdr:spPr>
      </xdr:sp>
      <xdr:sp macro="" textlink="">
        <xdr:nvSpPr>
          <xdr:cNvPr id="21688" name="Line 59"/>
          <xdr:cNvSpPr>
            <a:spLocks noChangeShapeType="1"/>
          </xdr:cNvSpPr>
        </xdr:nvSpPr>
        <xdr:spPr bwMode="auto">
          <a:xfrm flipV="1">
            <a:off x="4167" y="2352"/>
            <a:ext cx="0" cy="240"/>
          </a:xfrm>
          <a:prstGeom prst="line">
            <a:avLst/>
          </a:prstGeom>
          <a:noFill/>
          <a:ln w="9525">
            <a:solidFill>
              <a:srgbClr val="000000"/>
            </a:solidFill>
            <a:round/>
            <a:headEnd/>
            <a:tailEnd/>
          </a:ln>
        </xdr:spPr>
      </xdr:sp>
      <xdr:sp macro="" textlink="">
        <xdr:nvSpPr>
          <xdr:cNvPr id="21689" name="Line 60"/>
          <xdr:cNvSpPr>
            <a:spLocks noChangeShapeType="1"/>
          </xdr:cNvSpPr>
        </xdr:nvSpPr>
        <xdr:spPr bwMode="auto">
          <a:xfrm>
            <a:off x="4167" y="2592"/>
            <a:ext cx="459" cy="0"/>
          </a:xfrm>
          <a:prstGeom prst="line">
            <a:avLst/>
          </a:prstGeom>
          <a:noFill/>
          <a:ln w="9525">
            <a:solidFill>
              <a:srgbClr val="000000"/>
            </a:solidFill>
            <a:round/>
            <a:headEnd/>
            <a:tailEnd/>
          </a:ln>
        </xdr:spPr>
      </xdr:sp>
      <xdr:sp macro="" textlink="">
        <xdr:nvSpPr>
          <xdr:cNvPr id="21690" name="Line 61"/>
          <xdr:cNvSpPr>
            <a:spLocks noChangeShapeType="1"/>
          </xdr:cNvSpPr>
        </xdr:nvSpPr>
        <xdr:spPr bwMode="auto">
          <a:xfrm flipV="1">
            <a:off x="3780" y="2352"/>
            <a:ext cx="3" cy="156"/>
          </a:xfrm>
          <a:prstGeom prst="line">
            <a:avLst/>
          </a:prstGeom>
          <a:noFill/>
          <a:ln w="9525">
            <a:solidFill>
              <a:srgbClr val="000000"/>
            </a:solidFill>
            <a:round/>
            <a:headEnd/>
            <a:tailEnd/>
          </a:ln>
        </xdr:spPr>
      </xdr:sp>
      <xdr:sp macro="" textlink="">
        <xdr:nvSpPr>
          <xdr:cNvPr id="21691" name="Line 62"/>
          <xdr:cNvSpPr>
            <a:spLocks noChangeShapeType="1"/>
          </xdr:cNvSpPr>
        </xdr:nvSpPr>
        <xdr:spPr bwMode="auto">
          <a:xfrm flipH="1" flipV="1">
            <a:off x="4167" y="2832"/>
            <a:ext cx="459" cy="0"/>
          </a:xfrm>
          <a:prstGeom prst="line">
            <a:avLst/>
          </a:prstGeom>
          <a:noFill/>
          <a:ln w="9525">
            <a:solidFill>
              <a:srgbClr val="000000"/>
            </a:solidFill>
            <a:round/>
            <a:headEnd/>
            <a:tailEnd/>
          </a:ln>
        </xdr:spPr>
      </xdr:sp>
      <xdr:sp macro="" textlink="">
        <xdr:nvSpPr>
          <xdr:cNvPr id="21692" name="Line 63"/>
          <xdr:cNvSpPr>
            <a:spLocks noChangeShapeType="1"/>
          </xdr:cNvSpPr>
        </xdr:nvSpPr>
        <xdr:spPr bwMode="auto">
          <a:xfrm flipV="1">
            <a:off x="4215" y="2832"/>
            <a:ext cx="0" cy="240"/>
          </a:xfrm>
          <a:prstGeom prst="line">
            <a:avLst/>
          </a:prstGeom>
          <a:noFill/>
          <a:ln w="9525">
            <a:solidFill>
              <a:srgbClr val="000000"/>
            </a:solidFill>
            <a:round/>
            <a:headEnd/>
            <a:tailEnd/>
          </a:ln>
        </xdr:spPr>
      </xdr:sp>
      <xdr:sp macro="" textlink="">
        <xdr:nvSpPr>
          <xdr:cNvPr id="21693" name="Line 64"/>
          <xdr:cNvSpPr>
            <a:spLocks noChangeShapeType="1"/>
          </xdr:cNvSpPr>
        </xdr:nvSpPr>
        <xdr:spPr bwMode="auto">
          <a:xfrm flipH="1">
            <a:off x="4215" y="3072"/>
            <a:ext cx="408" cy="0"/>
          </a:xfrm>
          <a:prstGeom prst="line">
            <a:avLst/>
          </a:prstGeom>
          <a:noFill/>
          <a:ln w="9525">
            <a:solidFill>
              <a:srgbClr val="000000"/>
            </a:solidFill>
            <a:round/>
            <a:headEnd/>
            <a:tailEnd/>
          </a:ln>
        </xdr:spPr>
      </xdr:sp>
      <xdr:sp macro="" textlink="">
        <xdr:nvSpPr>
          <xdr:cNvPr id="21694" name="Line 65"/>
          <xdr:cNvSpPr>
            <a:spLocks noChangeShapeType="1"/>
          </xdr:cNvSpPr>
        </xdr:nvSpPr>
        <xdr:spPr bwMode="auto">
          <a:xfrm flipH="1">
            <a:off x="3639" y="1776"/>
            <a:ext cx="990" cy="0"/>
          </a:xfrm>
          <a:prstGeom prst="line">
            <a:avLst/>
          </a:prstGeom>
          <a:noFill/>
          <a:ln w="9525">
            <a:solidFill>
              <a:srgbClr val="000000"/>
            </a:solidFill>
            <a:round/>
            <a:headEnd/>
            <a:tailEnd/>
          </a:ln>
        </xdr:spPr>
      </xdr:sp>
      <xdr:sp macro="" textlink="">
        <xdr:nvSpPr>
          <xdr:cNvPr id="21695" name="Line 66"/>
          <xdr:cNvSpPr>
            <a:spLocks noChangeShapeType="1"/>
          </xdr:cNvSpPr>
        </xdr:nvSpPr>
        <xdr:spPr bwMode="auto">
          <a:xfrm flipH="1" flipV="1">
            <a:off x="4071" y="1296"/>
            <a:ext cx="561" cy="0"/>
          </a:xfrm>
          <a:prstGeom prst="line">
            <a:avLst/>
          </a:prstGeom>
          <a:noFill/>
          <a:ln w="9525">
            <a:solidFill>
              <a:srgbClr val="000000"/>
            </a:solidFill>
            <a:round/>
            <a:headEnd/>
            <a:tailEnd/>
          </a:ln>
        </xdr:spPr>
      </xdr:sp>
      <xdr:sp macro="" textlink="">
        <xdr:nvSpPr>
          <xdr:cNvPr id="21696" name="Line 67"/>
          <xdr:cNvSpPr>
            <a:spLocks noChangeShapeType="1"/>
          </xdr:cNvSpPr>
        </xdr:nvSpPr>
        <xdr:spPr bwMode="auto">
          <a:xfrm flipV="1">
            <a:off x="4167" y="1056"/>
            <a:ext cx="0" cy="240"/>
          </a:xfrm>
          <a:prstGeom prst="line">
            <a:avLst/>
          </a:prstGeom>
          <a:noFill/>
          <a:ln w="9525">
            <a:solidFill>
              <a:srgbClr val="000000"/>
            </a:solidFill>
            <a:round/>
            <a:headEnd/>
            <a:tailEnd/>
          </a:ln>
        </xdr:spPr>
      </xdr:sp>
      <xdr:sp macro="" textlink="">
        <xdr:nvSpPr>
          <xdr:cNvPr id="21697" name="Line 68"/>
          <xdr:cNvSpPr>
            <a:spLocks noChangeShapeType="1"/>
          </xdr:cNvSpPr>
        </xdr:nvSpPr>
        <xdr:spPr bwMode="auto">
          <a:xfrm flipV="1">
            <a:off x="4167" y="1056"/>
            <a:ext cx="462" cy="0"/>
          </a:xfrm>
          <a:prstGeom prst="line">
            <a:avLst/>
          </a:prstGeom>
          <a:noFill/>
          <a:ln w="9525">
            <a:solidFill>
              <a:srgbClr val="000000"/>
            </a:solidFill>
            <a:round/>
            <a:headEnd/>
            <a:tailEnd/>
          </a:ln>
        </xdr:spPr>
      </xdr:sp>
      <xdr:sp macro="" textlink="">
        <xdr:nvSpPr>
          <xdr:cNvPr id="21698" name="Line 69"/>
          <xdr:cNvSpPr>
            <a:spLocks noChangeShapeType="1"/>
          </xdr:cNvSpPr>
        </xdr:nvSpPr>
        <xdr:spPr bwMode="auto">
          <a:xfrm flipV="1">
            <a:off x="4167" y="1536"/>
            <a:ext cx="0" cy="240"/>
          </a:xfrm>
          <a:prstGeom prst="line">
            <a:avLst/>
          </a:prstGeom>
          <a:noFill/>
          <a:ln w="9525">
            <a:solidFill>
              <a:srgbClr val="000000"/>
            </a:solidFill>
            <a:round/>
            <a:headEnd/>
            <a:tailEnd/>
          </a:ln>
        </xdr:spPr>
      </xdr:sp>
      <xdr:sp macro="" textlink="">
        <xdr:nvSpPr>
          <xdr:cNvPr id="21699" name="Line 70"/>
          <xdr:cNvSpPr>
            <a:spLocks noChangeShapeType="1"/>
          </xdr:cNvSpPr>
        </xdr:nvSpPr>
        <xdr:spPr bwMode="auto">
          <a:xfrm flipV="1">
            <a:off x="4167" y="1536"/>
            <a:ext cx="459" cy="0"/>
          </a:xfrm>
          <a:prstGeom prst="line">
            <a:avLst/>
          </a:prstGeom>
          <a:noFill/>
          <a:ln w="9525">
            <a:solidFill>
              <a:srgbClr val="000000"/>
            </a:solidFill>
            <a:round/>
            <a:headEnd/>
            <a:tailEnd/>
          </a:ln>
        </xdr:spPr>
      </xdr:sp>
      <xdr:grpSp>
        <xdr:nvGrpSpPr>
          <xdr:cNvPr id="21700" name="Group 71"/>
          <xdr:cNvGrpSpPr>
            <a:grpSpLocks/>
          </xdr:cNvGrpSpPr>
        </xdr:nvGrpSpPr>
        <xdr:grpSpPr bwMode="auto">
          <a:xfrm rot="10800000">
            <a:off x="4053" y="3510"/>
            <a:ext cx="288" cy="96"/>
            <a:chOff x="2832" y="2208"/>
            <a:chExt cx="336" cy="192"/>
          </a:xfrm>
        </xdr:grpSpPr>
        <xdr:sp macro="" textlink="">
          <xdr:nvSpPr>
            <xdr:cNvPr id="21754" name="Line 72"/>
            <xdr:cNvSpPr>
              <a:spLocks noChangeShapeType="1"/>
            </xdr:cNvSpPr>
          </xdr:nvSpPr>
          <xdr:spPr bwMode="auto">
            <a:xfrm flipV="1">
              <a:off x="2832" y="2208"/>
              <a:ext cx="48" cy="96"/>
            </a:xfrm>
            <a:prstGeom prst="line">
              <a:avLst/>
            </a:prstGeom>
            <a:noFill/>
            <a:ln w="9525">
              <a:solidFill>
                <a:srgbClr val="000000"/>
              </a:solidFill>
              <a:round/>
              <a:headEnd/>
              <a:tailEnd/>
            </a:ln>
          </xdr:spPr>
        </xdr:sp>
        <xdr:sp macro="" textlink="">
          <xdr:nvSpPr>
            <xdr:cNvPr id="21755" name="Line 73"/>
            <xdr:cNvSpPr>
              <a:spLocks noChangeShapeType="1"/>
            </xdr:cNvSpPr>
          </xdr:nvSpPr>
          <xdr:spPr bwMode="auto">
            <a:xfrm>
              <a:off x="2880" y="2208"/>
              <a:ext cx="48" cy="192"/>
            </a:xfrm>
            <a:prstGeom prst="line">
              <a:avLst/>
            </a:prstGeom>
            <a:noFill/>
            <a:ln w="9525">
              <a:solidFill>
                <a:srgbClr val="000000"/>
              </a:solidFill>
              <a:round/>
              <a:headEnd/>
              <a:tailEnd/>
            </a:ln>
          </xdr:spPr>
        </xdr:sp>
        <xdr:sp macro="" textlink="">
          <xdr:nvSpPr>
            <xdr:cNvPr id="21756" name="Line 74"/>
            <xdr:cNvSpPr>
              <a:spLocks noChangeShapeType="1"/>
            </xdr:cNvSpPr>
          </xdr:nvSpPr>
          <xdr:spPr bwMode="auto">
            <a:xfrm flipV="1">
              <a:off x="2928" y="2208"/>
              <a:ext cx="48" cy="192"/>
            </a:xfrm>
            <a:prstGeom prst="line">
              <a:avLst/>
            </a:prstGeom>
            <a:noFill/>
            <a:ln w="9525">
              <a:solidFill>
                <a:srgbClr val="000000"/>
              </a:solidFill>
              <a:round/>
              <a:headEnd/>
              <a:tailEnd/>
            </a:ln>
          </xdr:spPr>
        </xdr:sp>
        <xdr:sp macro="" textlink="">
          <xdr:nvSpPr>
            <xdr:cNvPr id="21757" name="Line 75"/>
            <xdr:cNvSpPr>
              <a:spLocks noChangeShapeType="1"/>
            </xdr:cNvSpPr>
          </xdr:nvSpPr>
          <xdr:spPr bwMode="auto">
            <a:xfrm>
              <a:off x="2976" y="2208"/>
              <a:ext cx="48" cy="192"/>
            </a:xfrm>
            <a:prstGeom prst="line">
              <a:avLst/>
            </a:prstGeom>
            <a:noFill/>
            <a:ln w="9525">
              <a:solidFill>
                <a:srgbClr val="000000"/>
              </a:solidFill>
              <a:round/>
              <a:headEnd/>
              <a:tailEnd/>
            </a:ln>
          </xdr:spPr>
        </xdr:sp>
        <xdr:sp macro="" textlink="">
          <xdr:nvSpPr>
            <xdr:cNvPr id="21758" name="Line 76"/>
            <xdr:cNvSpPr>
              <a:spLocks noChangeShapeType="1"/>
            </xdr:cNvSpPr>
          </xdr:nvSpPr>
          <xdr:spPr bwMode="auto">
            <a:xfrm flipV="1">
              <a:off x="3024" y="2208"/>
              <a:ext cx="48" cy="192"/>
            </a:xfrm>
            <a:prstGeom prst="line">
              <a:avLst/>
            </a:prstGeom>
            <a:noFill/>
            <a:ln w="9525">
              <a:solidFill>
                <a:srgbClr val="000000"/>
              </a:solidFill>
              <a:round/>
              <a:headEnd/>
              <a:tailEnd/>
            </a:ln>
          </xdr:spPr>
        </xdr:sp>
        <xdr:sp macro="" textlink="">
          <xdr:nvSpPr>
            <xdr:cNvPr id="21759" name="Line 77"/>
            <xdr:cNvSpPr>
              <a:spLocks noChangeShapeType="1"/>
            </xdr:cNvSpPr>
          </xdr:nvSpPr>
          <xdr:spPr bwMode="auto">
            <a:xfrm>
              <a:off x="3072" y="2208"/>
              <a:ext cx="48" cy="192"/>
            </a:xfrm>
            <a:prstGeom prst="line">
              <a:avLst/>
            </a:prstGeom>
            <a:noFill/>
            <a:ln w="9525">
              <a:solidFill>
                <a:srgbClr val="000000"/>
              </a:solidFill>
              <a:round/>
              <a:headEnd/>
              <a:tailEnd/>
            </a:ln>
          </xdr:spPr>
        </xdr:sp>
        <xdr:sp macro="" textlink="">
          <xdr:nvSpPr>
            <xdr:cNvPr id="21760" name="Line 78"/>
            <xdr:cNvSpPr>
              <a:spLocks noChangeShapeType="1"/>
            </xdr:cNvSpPr>
          </xdr:nvSpPr>
          <xdr:spPr bwMode="auto">
            <a:xfrm flipV="1">
              <a:off x="3120" y="2304"/>
              <a:ext cx="48" cy="96"/>
            </a:xfrm>
            <a:prstGeom prst="line">
              <a:avLst/>
            </a:prstGeom>
            <a:noFill/>
            <a:ln w="9525">
              <a:solidFill>
                <a:srgbClr val="000000"/>
              </a:solidFill>
              <a:round/>
              <a:headEnd/>
              <a:tailEnd/>
            </a:ln>
          </xdr:spPr>
        </xdr:sp>
      </xdr:grpSp>
      <xdr:sp macro="" textlink="">
        <xdr:nvSpPr>
          <xdr:cNvPr id="21583" name="AutoShape 79"/>
          <xdr:cNvSpPr>
            <a:spLocks noChangeArrowheads="1"/>
          </xdr:cNvSpPr>
        </xdr:nvSpPr>
        <xdr:spPr bwMode="auto">
          <a:xfrm rot="5400000" flipH="1" flipV="1">
            <a:off x="3670"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L4</a:t>
            </a:r>
          </a:p>
          <a:p>
            <a:pPr algn="l" rtl="1">
              <a:defRPr sz="1000"/>
            </a:pPr>
            <a:endParaRPr lang="en-US" altLang="zh-TW" sz="1000" b="0" i="0" strike="noStrike">
              <a:solidFill>
                <a:srgbClr val="000000"/>
              </a:solidFill>
              <a:latin typeface="Arial"/>
              <a:cs typeface="Arial"/>
            </a:endParaRPr>
          </a:p>
        </xdr:txBody>
      </xdr:sp>
      <xdr:sp macro="" textlink="">
        <xdr:nvSpPr>
          <xdr:cNvPr id="21702" name="Line 80"/>
          <xdr:cNvSpPr>
            <a:spLocks noChangeShapeType="1"/>
          </xdr:cNvSpPr>
        </xdr:nvSpPr>
        <xdr:spPr bwMode="auto">
          <a:xfrm>
            <a:off x="3846" y="3558"/>
            <a:ext cx="207" cy="0"/>
          </a:xfrm>
          <a:prstGeom prst="line">
            <a:avLst/>
          </a:prstGeom>
          <a:noFill/>
          <a:ln w="9525">
            <a:solidFill>
              <a:srgbClr val="000000"/>
            </a:solidFill>
            <a:round/>
            <a:headEnd/>
            <a:tailEnd/>
          </a:ln>
        </xdr:spPr>
      </xdr:sp>
      <xdr:sp macro="" textlink="">
        <xdr:nvSpPr>
          <xdr:cNvPr id="21703" name="Line 81"/>
          <xdr:cNvSpPr>
            <a:spLocks noChangeShapeType="1"/>
          </xdr:cNvSpPr>
        </xdr:nvSpPr>
        <xdr:spPr bwMode="auto">
          <a:xfrm>
            <a:off x="4341" y="3558"/>
            <a:ext cx="576" cy="0"/>
          </a:xfrm>
          <a:prstGeom prst="line">
            <a:avLst/>
          </a:prstGeom>
          <a:noFill/>
          <a:ln w="9525">
            <a:solidFill>
              <a:srgbClr val="000000"/>
            </a:solidFill>
            <a:round/>
            <a:headEnd/>
            <a:tailEnd/>
          </a:ln>
        </xdr:spPr>
      </xdr:sp>
      <xdr:sp macro="" textlink="">
        <xdr:nvSpPr>
          <xdr:cNvPr id="21704" name="Line 82"/>
          <xdr:cNvSpPr>
            <a:spLocks noChangeShapeType="1"/>
          </xdr:cNvSpPr>
        </xdr:nvSpPr>
        <xdr:spPr bwMode="auto">
          <a:xfrm>
            <a:off x="4821" y="3414"/>
            <a:ext cx="192" cy="0"/>
          </a:xfrm>
          <a:prstGeom prst="line">
            <a:avLst/>
          </a:prstGeom>
          <a:noFill/>
          <a:ln w="9525">
            <a:solidFill>
              <a:srgbClr val="000000"/>
            </a:solidFill>
            <a:round/>
            <a:headEnd/>
            <a:tailEnd/>
          </a:ln>
        </xdr:spPr>
      </xdr:sp>
      <xdr:sp macro="" textlink="">
        <xdr:nvSpPr>
          <xdr:cNvPr id="21705" name="Line 83"/>
          <xdr:cNvSpPr>
            <a:spLocks noChangeShapeType="1"/>
          </xdr:cNvSpPr>
        </xdr:nvSpPr>
        <xdr:spPr bwMode="auto">
          <a:xfrm flipV="1">
            <a:off x="4917" y="3414"/>
            <a:ext cx="0" cy="144"/>
          </a:xfrm>
          <a:prstGeom prst="line">
            <a:avLst/>
          </a:prstGeom>
          <a:noFill/>
          <a:ln w="9525">
            <a:solidFill>
              <a:srgbClr val="000000"/>
            </a:solidFill>
            <a:round/>
            <a:headEnd/>
            <a:tailEnd/>
          </a:ln>
        </xdr:spPr>
      </xdr:sp>
      <xdr:sp macro="" textlink="">
        <xdr:nvSpPr>
          <xdr:cNvPr id="21588" name="Text Box 84"/>
          <xdr:cNvSpPr txBox="1">
            <a:spLocks noChangeArrowheads="1"/>
          </xdr:cNvSpPr>
        </xdr:nvSpPr>
        <xdr:spPr bwMode="auto">
          <a:xfrm>
            <a:off x="4739" y="3249"/>
            <a:ext cx="332" cy="178"/>
          </a:xfrm>
          <a:prstGeom prst="rect">
            <a:avLst/>
          </a:prstGeom>
          <a:noFill/>
          <a:ln w="9525">
            <a:noFill/>
            <a:miter lim="800000"/>
            <a:headEnd/>
            <a:tailEnd/>
          </a:ln>
          <a:effectLst/>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Vtt</a:t>
            </a:r>
          </a:p>
          <a:p>
            <a:pPr algn="l" rtl="1">
              <a:defRPr sz="1000"/>
            </a:pPr>
            <a:endParaRPr lang="en-US" altLang="zh-TW" sz="1200" b="0" i="0" strike="noStrike">
              <a:solidFill>
                <a:srgbClr val="000000"/>
              </a:solidFill>
              <a:latin typeface="Arial"/>
              <a:cs typeface="Arial"/>
            </a:endParaRPr>
          </a:p>
        </xdr:txBody>
      </xdr:sp>
      <xdr:sp macro="" textlink="">
        <xdr:nvSpPr>
          <xdr:cNvPr id="21589" name="Text Box 85"/>
          <xdr:cNvSpPr txBox="1">
            <a:spLocks noChangeArrowheads="1"/>
          </xdr:cNvSpPr>
        </xdr:nvSpPr>
        <xdr:spPr bwMode="auto">
          <a:xfrm>
            <a:off x="4052" y="3368"/>
            <a:ext cx="242" cy="172"/>
          </a:xfrm>
          <a:prstGeom prst="rect">
            <a:avLst/>
          </a:prstGeom>
          <a:noFill/>
          <a:ln w="9525">
            <a:noFill/>
            <a:miter lim="800000"/>
            <a:headEnd/>
            <a:tailEnd/>
          </a:ln>
          <a:effectLst/>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Rt</a:t>
            </a:r>
          </a:p>
          <a:p>
            <a:pPr algn="l" rtl="1">
              <a:defRPr sz="1000"/>
            </a:pPr>
            <a:endParaRPr lang="en-US" altLang="zh-TW" sz="1200" b="0" i="0" strike="noStrike">
              <a:solidFill>
                <a:srgbClr val="000000"/>
              </a:solidFill>
              <a:latin typeface="Arial"/>
              <a:cs typeface="Arial"/>
            </a:endParaRPr>
          </a:p>
        </xdr:txBody>
      </xdr:sp>
      <xdr:sp macro="" textlink="">
        <xdr:nvSpPr>
          <xdr:cNvPr id="21590" name="AutoShape 86"/>
          <xdr:cNvSpPr>
            <a:spLocks noChangeArrowheads="1"/>
          </xdr:cNvSpPr>
        </xdr:nvSpPr>
        <xdr:spPr bwMode="auto">
          <a:xfrm rot="5400000" flipV="1">
            <a:off x="1044" y="3451"/>
            <a:ext cx="101" cy="208"/>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P1</a:t>
            </a:r>
          </a:p>
          <a:p>
            <a:pPr algn="l" rtl="1">
              <a:defRPr sz="1000"/>
            </a:pPr>
            <a:endParaRPr lang="en-US" altLang="zh-TW" sz="1000" b="0" i="0" strike="noStrike">
              <a:solidFill>
                <a:srgbClr val="000000"/>
              </a:solidFill>
              <a:latin typeface="Arial"/>
              <a:cs typeface="Arial"/>
            </a:endParaRPr>
          </a:p>
        </xdr:txBody>
      </xdr:sp>
      <xdr:sp macro="" textlink="">
        <xdr:nvSpPr>
          <xdr:cNvPr id="21591" name="AutoShape 87"/>
          <xdr:cNvSpPr>
            <a:spLocks noChangeArrowheads="1"/>
          </xdr:cNvSpPr>
        </xdr:nvSpPr>
        <xdr:spPr bwMode="auto">
          <a:xfrm rot="10800000" flipV="1">
            <a:off x="2814" y="2934"/>
            <a:ext cx="113"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L5</a:t>
            </a:r>
          </a:p>
          <a:p>
            <a:pPr algn="l" rtl="1">
              <a:defRPr sz="1000"/>
            </a:pPr>
            <a:endParaRPr lang="en-US" altLang="zh-TW" sz="1000" b="0" i="0" strike="noStrike">
              <a:solidFill>
                <a:srgbClr val="000000"/>
              </a:solidFill>
              <a:latin typeface="Arial"/>
              <a:cs typeface="Arial"/>
            </a:endParaRPr>
          </a:p>
        </xdr:txBody>
      </xdr:sp>
      <xdr:sp macro="" textlink="">
        <xdr:nvSpPr>
          <xdr:cNvPr id="21592" name="AutoShape 88"/>
          <xdr:cNvSpPr>
            <a:spLocks noChangeArrowheads="1"/>
          </xdr:cNvSpPr>
        </xdr:nvSpPr>
        <xdr:spPr bwMode="auto">
          <a:xfrm rot="5400000" flipH="1" flipV="1">
            <a:off x="3237"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L3</a:t>
            </a:r>
          </a:p>
          <a:p>
            <a:pPr algn="l" rtl="1">
              <a:defRPr sz="1000"/>
            </a:pPr>
            <a:endParaRPr lang="en-US" altLang="zh-TW" sz="1000" b="0" i="0" strike="noStrike">
              <a:solidFill>
                <a:srgbClr val="000000"/>
              </a:solidFill>
              <a:latin typeface="Arial"/>
              <a:cs typeface="Arial"/>
            </a:endParaRPr>
          </a:p>
        </xdr:txBody>
      </xdr:sp>
      <xdr:sp macro="" textlink="">
        <xdr:nvSpPr>
          <xdr:cNvPr id="21711" name="Line 89"/>
          <xdr:cNvSpPr>
            <a:spLocks noChangeShapeType="1"/>
          </xdr:cNvSpPr>
        </xdr:nvSpPr>
        <xdr:spPr bwMode="auto">
          <a:xfrm>
            <a:off x="3417" y="3558"/>
            <a:ext cx="210" cy="0"/>
          </a:xfrm>
          <a:prstGeom prst="line">
            <a:avLst/>
          </a:prstGeom>
          <a:noFill/>
          <a:ln w="9525">
            <a:solidFill>
              <a:srgbClr val="000000"/>
            </a:solidFill>
            <a:round/>
            <a:headEnd/>
            <a:tailEnd/>
          </a:ln>
        </xdr:spPr>
      </xdr:sp>
      <xdr:sp macro="" textlink="">
        <xdr:nvSpPr>
          <xdr:cNvPr id="21594" name="AutoShape 90"/>
          <xdr:cNvSpPr>
            <a:spLocks noChangeArrowheads="1"/>
          </xdr:cNvSpPr>
        </xdr:nvSpPr>
        <xdr:spPr bwMode="auto">
          <a:xfrm rot="5400000" flipV="1">
            <a:off x="1894" y="3451"/>
            <a:ext cx="101" cy="208"/>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L1</a:t>
            </a:r>
          </a:p>
          <a:p>
            <a:pPr algn="l" rtl="1">
              <a:defRPr sz="1000"/>
            </a:pPr>
            <a:endParaRPr lang="en-US" altLang="zh-TW" sz="1000" b="0" i="0" strike="noStrike">
              <a:solidFill>
                <a:srgbClr val="000000"/>
              </a:solidFill>
              <a:latin typeface="Arial"/>
              <a:cs typeface="Arial"/>
            </a:endParaRPr>
          </a:p>
        </xdr:txBody>
      </xdr:sp>
      <xdr:sp macro="" textlink="">
        <xdr:nvSpPr>
          <xdr:cNvPr id="21713" name="Line 91"/>
          <xdr:cNvSpPr>
            <a:spLocks noChangeShapeType="1"/>
          </xdr:cNvSpPr>
        </xdr:nvSpPr>
        <xdr:spPr bwMode="auto">
          <a:xfrm>
            <a:off x="1677" y="3558"/>
            <a:ext cx="192" cy="0"/>
          </a:xfrm>
          <a:prstGeom prst="line">
            <a:avLst/>
          </a:prstGeom>
          <a:noFill/>
          <a:ln w="9525">
            <a:solidFill>
              <a:srgbClr val="000000"/>
            </a:solidFill>
            <a:round/>
            <a:headEnd/>
            <a:tailEnd/>
          </a:ln>
        </xdr:spPr>
      </xdr:sp>
      <xdr:sp macro="" textlink="">
        <xdr:nvSpPr>
          <xdr:cNvPr id="21714" name="Rectangle 92"/>
          <xdr:cNvSpPr>
            <a:spLocks noChangeArrowheads="1"/>
          </xdr:cNvSpPr>
        </xdr:nvSpPr>
        <xdr:spPr bwMode="auto">
          <a:xfrm>
            <a:off x="4976" y="1196"/>
            <a:ext cx="168" cy="198"/>
          </a:xfrm>
          <a:prstGeom prst="rect">
            <a:avLst/>
          </a:prstGeom>
          <a:noFill/>
          <a:ln w="9525">
            <a:solidFill>
              <a:srgbClr val="000000"/>
            </a:solidFill>
            <a:miter lim="800000"/>
            <a:headEnd/>
            <a:tailEnd/>
          </a:ln>
        </xdr:spPr>
      </xdr:sp>
      <xdr:sp macro="" textlink="">
        <xdr:nvSpPr>
          <xdr:cNvPr id="21715" name="Rectangle 93"/>
          <xdr:cNvSpPr>
            <a:spLocks noChangeArrowheads="1"/>
          </xdr:cNvSpPr>
        </xdr:nvSpPr>
        <xdr:spPr bwMode="auto">
          <a:xfrm>
            <a:off x="4976" y="956"/>
            <a:ext cx="168" cy="198"/>
          </a:xfrm>
          <a:prstGeom prst="rect">
            <a:avLst/>
          </a:prstGeom>
          <a:noFill/>
          <a:ln w="9525">
            <a:solidFill>
              <a:srgbClr val="000000"/>
            </a:solidFill>
            <a:miter lim="800000"/>
            <a:headEnd/>
            <a:tailEnd/>
          </a:ln>
        </xdr:spPr>
      </xdr:sp>
      <xdr:sp macro="" textlink="">
        <xdr:nvSpPr>
          <xdr:cNvPr id="21716" name="Rectangle 94"/>
          <xdr:cNvSpPr>
            <a:spLocks noChangeArrowheads="1"/>
          </xdr:cNvSpPr>
        </xdr:nvSpPr>
        <xdr:spPr bwMode="auto">
          <a:xfrm>
            <a:off x="4976" y="1442"/>
            <a:ext cx="168" cy="198"/>
          </a:xfrm>
          <a:prstGeom prst="rect">
            <a:avLst/>
          </a:prstGeom>
          <a:noFill/>
          <a:ln w="9525">
            <a:solidFill>
              <a:srgbClr val="000000"/>
            </a:solidFill>
            <a:miter lim="800000"/>
            <a:headEnd/>
            <a:tailEnd/>
          </a:ln>
        </xdr:spPr>
      </xdr:sp>
      <xdr:sp macro="" textlink="">
        <xdr:nvSpPr>
          <xdr:cNvPr id="21717" name="Rectangle 95"/>
          <xdr:cNvSpPr>
            <a:spLocks noChangeArrowheads="1"/>
          </xdr:cNvSpPr>
        </xdr:nvSpPr>
        <xdr:spPr bwMode="auto">
          <a:xfrm>
            <a:off x="4976" y="1676"/>
            <a:ext cx="168" cy="198"/>
          </a:xfrm>
          <a:prstGeom prst="rect">
            <a:avLst/>
          </a:prstGeom>
          <a:noFill/>
          <a:ln w="9525">
            <a:solidFill>
              <a:srgbClr val="000000"/>
            </a:solidFill>
            <a:miter lim="800000"/>
            <a:headEnd/>
            <a:tailEnd/>
          </a:ln>
        </xdr:spPr>
      </xdr:sp>
      <xdr:sp macro="" textlink="">
        <xdr:nvSpPr>
          <xdr:cNvPr id="21718" name="Rectangle 96"/>
          <xdr:cNvSpPr>
            <a:spLocks noChangeArrowheads="1"/>
          </xdr:cNvSpPr>
        </xdr:nvSpPr>
        <xdr:spPr bwMode="auto">
          <a:xfrm>
            <a:off x="4976" y="2246"/>
            <a:ext cx="168" cy="198"/>
          </a:xfrm>
          <a:prstGeom prst="rect">
            <a:avLst/>
          </a:prstGeom>
          <a:noFill/>
          <a:ln w="9525">
            <a:solidFill>
              <a:srgbClr val="000000"/>
            </a:solidFill>
            <a:miter lim="800000"/>
            <a:headEnd/>
            <a:tailEnd/>
          </a:ln>
        </xdr:spPr>
      </xdr:sp>
      <xdr:sp macro="" textlink="">
        <xdr:nvSpPr>
          <xdr:cNvPr id="21719" name="Rectangle 97"/>
          <xdr:cNvSpPr>
            <a:spLocks noChangeArrowheads="1"/>
          </xdr:cNvSpPr>
        </xdr:nvSpPr>
        <xdr:spPr bwMode="auto">
          <a:xfrm>
            <a:off x="4976" y="2492"/>
            <a:ext cx="168" cy="198"/>
          </a:xfrm>
          <a:prstGeom prst="rect">
            <a:avLst/>
          </a:prstGeom>
          <a:noFill/>
          <a:ln w="9525">
            <a:solidFill>
              <a:srgbClr val="000000"/>
            </a:solidFill>
            <a:miter lim="800000"/>
            <a:headEnd/>
            <a:tailEnd/>
          </a:ln>
        </xdr:spPr>
      </xdr:sp>
      <xdr:sp macro="" textlink="">
        <xdr:nvSpPr>
          <xdr:cNvPr id="21720" name="Rectangle 98"/>
          <xdr:cNvSpPr>
            <a:spLocks noChangeArrowheads="1"/>
          </xdr:cNvSpPr>
        </xdr:nvSpPr>
        <xdr:spPr bwMode="auto">
          <a:xfrm>
            <a:off x="4976" y="2732"/>
            <a:ext cx="168" cy="198"/>
          </a:xfrm>
          <a:prstGeom prst="rect">
            <a:avLst/>
          </a:prstGeom>
          <a:noFill/>
          <a:ln w="9525">
            <a:solidFill>
              <a:srgbClr val="000000"/>
            </a:solidFill>
            <a:miter lim="800000"/>
            <a:headEnd/>
            <a:tailEnd/>
          </a:ln>
        </xdr:spPr>
      </xdr:sp>
      <xdr:sp macro="" textlink="">
        <xdr:nvSpPr>
          <xdr:cNvPr id="21721" name="Rectangle 99"/>
          <xdr:cNvSpPr>
            <a:spLocks noChangeArrowheads="1"/>
          </xdr:cNvSpPr>
        </xdr:nvSpPr>
        <xdr:spPr bwMode="auto">
          <a:xfrm>
            <a:off x="4976" y="2978"/>
            <a:ext cx="168" cy="198"/>
          </a:xfrm>
          <a:prstGeom prst="rect">
            <a:avLst/>
          </a:prstGeom>
          <a:noFill/>
          <a:ln w="9525">
            <a:solidFill>
              <a:srgbClr val="000000"/>
            </a:solidFill>
            <a:miter lim="800000"/>
            <a:headEnd/>
            <a:tailEnd/>
          </a:ln>
        </xdr:spPr>
      </xdr:sp>
      <xdr:sp macro="" textlink="">
        <xdr:nvSpPr>
          <xdr:cNvPr id="21604" name="AutoShape 100"/>
          <xdr:cNvSpPr>
            <a:spLocks noChangeArrowheads="1"/>
          </xdr:cNvSpPr>
        </xdr:nvSpPr>
        <xdr:spPr bwMode="auto">
          <a:xfrm rot="10800000" flipV="1">
            <a:off x="3726" y="1399"/>
            <a:ext cx="113"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L7</a:t>
            </a:r>
          </a:p>
          <a:p>
            <a:pPr algn="l" rtl="1">
              <a:defRPr sz="1000"/>
            </a:pPr>
            <a:endParaRPr lang="en-US" altLang="zh-TW" sz="1000" b="0" i="0" strike="noStrike">
              <a:solidFill>
                <a:srgbClr val="000000"/>
              </a:solidFill>
              <a:latin typeface="Arial"/>
              <a:cs typeface="Arial"/>
            </a:endParaRPr>
          </a:p>
        </xdr:txBody>
      </xdr:sp>
      <xdr:sp macro="" textlink="">
        <xdr:nvSpPr>
          <xdr:cNvPr id="21605" name="AutoShape 101"/>
          <xdr:cNvSpPr>
            <a:spLocks noChangeArrowheads="1"/>
          </xdr:cNvSpPr>
        </xdr:nvSpPr>
        <xdr:spPr bwMode="auto">
          <a:xfrm rot="10800000" flipV="1">
            <a:off x="3726" y="2482"/>
            <a:ext cx="113"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L7</a:t>
            </a:r>
          </a:p>
          <a:p>
            <a:pPr algn="l" rtl="1">
              <a:defRPr sz="1000"/>
            </a:pPr>
            <a:endParaRPr lang="en-US" altLang="zh-TW" sz="1000" b="0" i="0" strike="noStrike">
              <a:solidFill>
                <a:srgbClr val="000000"/>
              </a:solidFill>
              <a:latin typeface="Arial"/>
              <a:cs typeface="Arial"/>
            </a:endParaRPr>
          </a:p>
        </xdr:txBody>
      </xdr:sp>
      <xdr:sp macro="" textlink="">
        <xdr:nvSpPr>
          <xdr:cNvPr id="21724" name="Line 102"/>
          <xdr:cNvSpPr>
            <a:spLocks noChangeShapeType="1"/>
          </xdr:cNvSpPr>
        </xdr:nvSpPr>
        <xdr:spPr bwMode="auto">
          <a:xfrm flipH="1" flipV="1">
            <a:off x="3774" y="2721"/>
            <a:ext cx="0" cy="111"/>
          </a:xfrm>
          <a:prstGeom prst="line">
            <a:avLst/>
          </a:prstGeom>
          <a:noFill/>
          <a:ln w="9525">
            <a:solidFill>
              <a:srgbClr val="000000"/>
            </a:solidFill>
            <a:round/>
            <a:headEnd/>
            <a:tailEnd/>
          </a:ln>
        </xdr:spPr>
      </xdr:sp>
      <xdr:sp macro="" textlink="">
        <xdr:nvSpPr>
          <xdr:cNvPr id="21725" name="Line 103"/>
          <xdr:cNvSpPr>
            <a:spLocks noChangeShapeType="1"/>
          </xdr:cNvSpPr>
        </xdr:nvSpPr>
        <xdr:spPr bwMode="auto">
          <a:xfrm flipH="1" flipV="1">
            <a:off x="3783" y="1629"/>
            <a:ext cx="3" cy="144"/>
          </a:xfrm>
          <a:prstGeom prst="line">
            <a:avLst/>
          </a:prstGeom>
          <a:noFill/>
          <a:ln w="9525">
            <a:solidFill>
              <a:srgbClr val="000000"/>
            </a:solidFill>
            <a:round/>
            <a:headEnd/>
            <a:tailEnd/>
          </a:ln>
        </xdr:spPr>
      </xdr:sp>
      <xdr:sp macro="" textlink="">
        <xdr:nvSpPr>
          <xdr:cNvPr id="21726" name="Line 104"/>
          <xdr:cNvSpPr>
            <a:spLocks noChangeShapeType="1"/>
          </xdr:cNvSpPr>
        </xdr:nvSpPr>
        <xdr:spPr bwMode="auto">
          <a:xfrm flipH="1" flipV="1">
            <a:off x="3780" y="1296"/>
            <a:ext cx="6" cy="138"/>
          </a:xfrm>
          <a:prstGeom prst="line">
            <a:avLst/>
          </a:prstGeom>
          <a:noFill/>
          <a:ln w="9525">
            <a:solidFill>
              <a:srgbClr val="000000"/>
            </a:solidFill>
            <a:round/>
            <a:headEnd/>
            <a:tailEnd/>
          </a:ln>
        </xdr:spPr>
      </xdr:sp>
      <xdr:sp macro="" textlink="">
        <xdr:nvSpPr>
          <xdr:cNvPr id="21609" name="Text Box 105"/>
          <xdr:cNvSpPr txBox="1">
            <a:spLocks noChangeArrowheads="1"/>
          </xdr:cNvSpPr>
        </xdr:nvSpPr>
        <xdr:spPr bwMode="auto">
          <a:xfrm>
            <a:off x="1323" y="3320"/>
            <a:ext cx="456" cy="172"/>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BO_MS</a:t>
            </a:r>
          </a:p>
          <a:p>
            <a:pPr algn="l" rtl="1">
              <a:defRPr sz="1000"/>
            </a:pPr>
            <a:endParaRPr lang="en-US" altLang="zh-TW" sz="1200" b="0" i="0" strike="noStrike">
              <a:solidFill>
                <a:srgbClr val="000000"/>
              </a:solidFill>
              <a:latin typeface="Arial"/>
              <a:cs typeface="Arial"/>
            </a:endParaRPr>
          </a:p>
        </xdr:txBody>
      </xdr:sp>
      <xdr:sp macro="" textlink="">
        <xdr:nvSpPr>
          <xdr:cNvPr id="21610" name="Text Box 106"/>
          <xdr:cNvSpPr txBox="1">
            <a:spLocks noChangeArrowheads="1"/>
          </xdr:cNvSpPr>
        </xdr:nvSpPr>
        <xdr:spPr bwMode="auto">
          <a:xfrm>
            <a:off x="1751" y="3320"/>
            <a:ext cx="428" cy="172"/>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BO_SL</a:t>
            </a:r>
          </a:p>
          <a:p>
            <a:pPr algn="l" rtl="1">
              <a:defRPr sz="1000"/>
            </a:pPr>
            <a:endParaRPr lang="en-US" altLang="zh-TW" sz="1200" b="0" i="0" strike="noStrike">
              <a:solidFill>
                <a:srgbClr val="000000"/>
              </a:solidFill>
              <a:latin typeface="Arial"/>
              <a:cs typeface="Arial"/>
            </a:endParaRPr>
          </a:p>
        </xdr:txBody>
      </xdr:sp>
      <xdr:sp macro="" textlink="">
        <xdr:nvSpPr>
          <xdr:cNvPr id="21611" name="Text Box 107"/>
          <xdr:cNvSpPr txBox="1">
            <a:spLocks noChangeArrowheads="1"/>
          </xdr:cNvSpPr>
        </xdr:nvSpPr>
        <xdr:spPr bwMode="auto">
          <a:xfrm>
            <a:off x="2330" y="3320"/>
            <a:ext cx="236" cy="172"/>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SL</a:t>
            </a:r>
          </a:p>
          <a:p>
            <a:pPr algn="l" rtl="1">
              <a:defRPr sz="1000"/>
            </a:pPr>
            <a:endParaRPr lang="en-US" altLang="zh-TW" sz="1200" b="0" i="0" strike="noStrike">
              <a:solidFill>
                <a:srgbClr val="000000"/>
              </a:solidFill>
              <a:latin typeface="Arial"/>
              <a:cs typeface="Arial"/>
            </a:endParaRPr>
          </a:p>
        </xdr:txBody>
      </xdr:sp>
      <xdr:sp macro="" textlink="">
        <xdr:nvSpPr>
          <xdr:cNvPr id="21612" name="Text Box 108"/>
          <xdr:cNvSpPr txBox="1">
            <a:spLocks noChangeArrowheads="1"/>
          </xdr:cNvSpPr>
        </xdr:nvSpPr>
        <xdr:spPr bwMode="auto">
          <a:xfrm>
            <a:off x="3146" y="3320"/>
            <a:ext cx="231" cy="172"/>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SL</a:t>
            </a:r>
          </a:p>
          <a:p>
            <a:pPr algn="l" rtl="1">
              <a:defRPr sz="1000"/>
            </a:pPr>
            <a:endParaRPr lang="en-US" altLang="zh-TW" sz="1200" b="0" i="0" strike="noStrike">
              <a:solidFill>
                <a:srgbClr val="000000"/>
              </a:solidFill>
              <a:latin typeface="Arial"/>
              <a:cs typeface="Arial"/>
            </a:endParaRPr>
          </a:p>
        </xdr:txBody>
      </xdr:sp>
      <xdr:sp macro="" textlink="">
        <xdr:nvSpPr>
          <xdr:cNvPr id="21613" name="Text Box 109"/>
          <xdr:cNvSpPr txBox="1">
            <a:spLocks noChangeArrowheads="1"/>
          </xdr:cNvSpPr>
        </xdr:nvSpPr>
        <xdr:spPr bwMode="auto">
          <a:xfrm>
            <a:off x="3580" y="3320"/>
            <a:ext cx="259" cy="172"/>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MS</a:t>
            </a:r>
          </a:p>
          <a:p>
            <a:pPr algn="l" rtl="1">
              <a:defRPr sz="1000"/>
            </a:pPr>
            <a:endParaRPr lang="en-US" altLang="zh-TW" sz="1200" b="0" i="0" strike="noStrike">
              <a:solidFill>
                <a:srgbClr val="000000"/>
              </a:solidFill>
              <a:latin typeface="Arial"/>
              <a:cs typeface="Arial"/>
            </a:endParaRPr>
          </a:p>
        </xdr:txBody>
      </xdr:sp>
      <xdr:sp macro="" textlink="">
        <xdr:nvSpPr>
          <xdr:cNvPr id="21614" name="Text Box 110"/>
          <xdr:cNvSpPr txBox="1">
            <a:spLocks noChangeArrowheads="1"/>
          </xdr:cNvSpPr>
        </xdr:nvSpPr>
        <xdr:spPr bwMode="auto">
          <a:xfrm>
            <a:off x="3383" y="1584"/>
            <a:ext cx="231" cy="172"/>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SL</a:t>
            </a:r>
          </a:p>
          <a:p>
            <a:pPr algn="l" rtl="1">
              <a:defRPr sz="1000"/>
            </a:pPr>
            <a:endParaRPr lang="en-US" altLang="zh-TW" sz="1200" b="0" i="0" strike="noStrike">
              <a:solidFill>
                <a:srgbClr val="000000"/>
              </a:solidFill>
              <a:latin typeface="Arial"/>
              <a:cs typeface="Arial"/>
            </a:endParaRPr>
          </a:p>
        </xdr:txBody>
      </xdr:sp>
      <xdr:sp macro="" textlink="">
        <xdr:nvSpPr>
          <xdr:cNvPr id="21615" name="Text Box 111"/>
          <xdr:cNvSpPr txBox="1">
            <a:spLocks noChangeArrowheads="1"/>
          </xdr:cNvSpPr>
        </xdr:nvSpPr>
        <xdr:spPr bwMode="auto">
          <a:xfrm>
            <a:off x="3439" y="2160"/>
            <a:ext cx="231" cy="172"/>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SL</a:t>
            </a:r>
          </a:p>
          <a:p>
            <a:pPr algn="l" rtl="1">
              <a:defRPr sz="1000"/>
            </a:pPr>
            <a:endParaRPr lang="en-US" altLang="zh-TW" sz="1200" b="0" i="0" strike="noStrike">
              <a:solidFill>
                <a:srgbClr val="000000"/>
              </a:solidFill>
              <a:latin typeface="Arial"/>
              <a:cs typeface="Arial"/>
            </a:endParaRPr>
          </a:p>
        </xdr:txBody>
      </xdr:sp>
      <xdr:sp macro="" textlink="">
        <xdr:nvSpPr>
          <xdr:cNvPr id="21616" name="Text Box 112"/>
          <xdr:cNvSpPr txBox="1">
            <a:spLocks noChangeArrowheads="1"/>
          </xdr:cNvSpPr>
        </xdr:nvSpPr>
        <xdr:spPr bwMode="auto">
          <a:xfrm>
            <a:off x="3529" y="1417"/>
            <a:ext cx="231" cy="178"/>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SL</a:t>
            </a:r>
          </a:p>
          <a:p>
            <a:pPr algn="l" rtl="1">
              <a:defRPr sz="1000"/>
            </a:pPr>
            <a:endParaRPr lang="en-US" altLang="zh-TW" sz="1200" b="0" i="0" strike="noStrike">
              <a:solidFill>
                <a:srgbClr val="000000"/>
              </a:solidFill>
              <a:latin typeface="Arial"/>
              <a:cs typeface="Arial"/>
            </a:endParaRPr>
          </a:p>
        </xdr:txBody>
      </xdr:sp>
      <xdr:sp macro="" textlink="">
        <xdr:nvSpPr>
          <xdr:cNvPr id="21617" name="Text Box 113"/>
          <xdr:cNvSpPr txBox="1">
            <a:spLocks noChangeArrowheads="1"/>
          </xdr:cNvSpPr>
        </xdr:nvSpPr>
        <xdr:spPr bwMode="auto">
          <a:xfrm>
            <a:off x="3529" y="2523"/>
            <a:ext cx="231" cy="178"/>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SL</a:t>
            </a:r>
          </a:p>
          <a:p>
            <a:pPr algn="l" rtl="1">
              <a:defRPr sz="1000"/>
            </a:pPr>
            <a:endParaRPr lang="en-US" altLang="zh-TW" sz="1200" b="0" i="0" strike="noStrike">
              <a:solidFill>
                <a:srgbClr val="000000"/>
              </a:solidFill>
              <a:latin typeface="Arial"/>
              <a:cs typeface="Arial"/>
            </a:endParaRPr>
          </a:p>
        </xdr:txBody>
      </xdr:sp>
      <xdr:sp macro="" textlink="">
        <xdr:nvSpPr>
          <xdr:cNvPr id="21618" name="Text Box 114"/>
          <xdr:cNvSpPr txBox="1">
            <a:spLocks noChangeArrowheads="1"/>
          </xdr:cNvSpPr>
        </xdr:nvSpPr>
        <xdr:spPr bwMode="auto">
          <a:xfrm>
            <a:off x="4576" y="2155"/>
            <a:ext cx="265" cy="172"/>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MS</a:t>
            </a:r>
          </a:p>
          <a:p>
            <a:pPr algn="l" rtl="1">
              <a:defRPr sz="1000"/>
            </a:pPr>
            <a:endParaRPr lang="en-US" altLang="zh-TW" sz="1200" b="0" i="0" strike="noStrike">
              <a:solidFill>
                <a:srgbClr val="000000"/>
              </a:solidFill>
              <a:latin typeface="Arial"/>
              <a:cs typeface="Arial"/>
            </a:endParaRPr>
          </a:p>
        </xdr:txBody>
      </xdr:sp>
      <xdr:sp macro="" textlink="">
        <xdr:nvSpPr>
          <xdr:cNvPr id="21619" name="Text Box 115"/>
          <xdr:cNvSpPr txBox="1">
            <a:spLocks noChangeArrowheads="1"/>
          </xdr:cNvSpPr>
        </xdr:nvSpPr>
        <xdr:spPr bwMode="auto">
          <a:xfrm>
            <a:off x="4581" y="864"/>
            <a:ext cx="265" cy="172"/>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MS</a:t>
            </a:r>
          </a:p>
          <a:p>
            <a:pPr algn="l" rtl="1">
              <a:defRPr sz="1000"/>
            </a:pPr>
            <a:endParaRPr lang="en-US" altLang="zh-TW" sz="1200" b="0" i="0" strike="noStrike">
              <a:solidFill>
                <a:srgbClr val="000000"/>
              </a:solidFill>
              <a:latin typeface="Arial"/>
              <a:cs typeface="Arial"/>
            </a:endParaRPr>
          </a:p>
        </xdr:txBody>
      </xdr:sp>
      <xdr:sp macro="" textlink="">
        <xdr:nvSpPr>
          <xdr:cNvPr id="21620" name="Text Box 116"/>
          <xdr:cNvSpPr txBox="1">
            <a:spLocks noChangeArrowheads="1"/>
          </xdr:cNvSpPr>
        </xdr:nvSpPr>
        <xdr:spPr bwMode="auto">
          <a:xfrm>
            <a:off x="2617" y="2957"/>
            <a:ext cx="231" cy="172"/>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Arial"/>
                <a:cs typeface="Arial"/>
              </a:rPr>
              <a:t>SL</a:t>
            </a:r>
          </a:p>
          <a:p>
            <a:pPr algn="l" rtl="1">
              <a:defRPr sz="1000"/>
            </a:pPr>
            <a:endParaRPr lang="en-US" altLang="zh-TW" sz="1200" b="0" i="0" strike="noStrike">
              <a:solidFill>
                <a:srgbClr val="000000"/>
              </a:solidFill>
              <a:latin typeface="Arial"/>
              <a:cs typeface="Arial"/>
            </a:endParaRPr>
          </a:p>
        </xdr:txBody>
      </xdr:sp>
      <xdr:sp macro="" textlink="">
        <xdr:nvSpPr>
          <xdr:cNvPr id="21621" name="Text Box 117"/>
          <xdr:cNvSpPr txBox="1">
            <a:spLocks noChangeArrowheads="1"/>
          </xdr:cNvSpPr>
        </xdr:nvSpPr>
        <xdr:spPr bwMode="auto">
          <a:xfrm>
            <a:off x="1464" y="3606"/>
            <a:ext cx="242" cy="172"/>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5/5</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21622" name="Text Box 118"/>
          <xdr:cNvSpPr txBox="1">
            <a:spLocks noChangeArrowheads="1"/>
          </xdr:cNvSpPr>
        </xdr:nvSpPr>
        <xdr:spPr bwMode="auto">
          <a:xfrm>
            <a:off x="1801" y="3606"/>
            <a:ext cx="242" cy="172"/>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4/4</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21623" name="Text Box 119"/>
          <xdr:cNvSpPr txBox="1">
            <a:spLocks noChangeArrowheads="1"/>
          </xdr:cNvSpPr>
        </xdr:nvSpPr>
        <xdr:spPr bwMode="auto">
          <a:xfrm>
            <a:off x="3135" y="3588"/>
            <a:ext cx="287" cy="172"/>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21624" name="Text Box 120"/>
          <xdr:cNvSpPr txBox="1">
            <a:spLocks noChangeArrowheads="1"/>
          </xdr:cNvSpPr>
        </xdr:nvSpPr>
        <xdr:spPr bwMode="auto">
          <a:xfrm>
            <a:off x="3596" y="3588"/>
            <a:ext cx="293" cy="167"/>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5/10</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21625" name="Text Box 121"/>
          <xdr:cNvSpPr txBox="1">
            <a:spLocks noChangeArrowheads="1"/>
          </xdr:cNvSpPr>
        </xdr:nvSpPr>
        <xdr:spPr bwMode="auto">
          <a:xfrm>
            <a:off x="2904" y="2981"/>
            <a:ext cx="293" cy="172"/>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21626" name="Text Box 122"/>
          <xdr:cNvSpPr txBox="1">
            <a:spLocks noChangeArrowheads="1"/>
          </xdr:cNvSpPr>
        </xdr:nvSpPr>
        <xdr:spPr bwMode="auto">
          <a:xfrm>
            <a:off x="3439" y="2369"/>
            <a:ext cx="281" cy="167"/>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21627" name="Text Box 123"/>
          <xdr:cNvSpPr txBox="1">
            <a:spLocks noChangeArrowheads="1"/>
          </xdr:cNvSpPr>
        </xdr:nvSpPr>
        <xdr:spPr bwMode="auto">
          <a:xfrm>
            <a:off x="3405" y="1798"/>
            <a:ext cx="287" cy="167"/>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21628" name="Text Box 124"/>
          <xdr:cNvSpPr txBox="1">
            <a:spLocks noChangeArrowheads="1"/>
          </xdr:cNvSpPr>
        </xdr:nvSpPr>
        <xdr:spPr bwMode="auto">
          <a:xfrm rot="5400000">
            <a:off x="3732" y="2561"/>
            <a:ext cx="291" cy="16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 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21629" name="Text Box 125"/>
          <xdr:cNvSpPr txBox="1">
            <a:spLocks noChangeArrowheads="1"/>
          </xdr:cNvSpPr>
        </xdr:nvSpPr>
        <xdr:spPr bwMode="auto">
          <a:xfrm>
            <a:off x="4570" y="2380"/>
            <a:ext cx="287" cy="178"/>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5/10</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21630" name="Text Box 126"/>
          <xdr:cNvSpPr txBox="1">
            <a:spLocks noChangeArrowheads="1"/>
          </xdr:cNvSpPr>
        </xdr:nvSpPr>
        <xdr:spPr bwMode="auto">
          <a:xfrm>
            <a:off x="4593" y="1078"/>
            <a:ext cx="287" cy="172"/>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5/10</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21631" name="Text Box 127"/>
          <xdr:cNvSpPr txBox="1">
            <a:spLocks noChangeArrowheads="1"/>
          </xdr:cNvSpPr>
        </xdr:nvSpPr>
        <xdr:spPr bwMode="auto">
          <a:xfrm rot="5400000">
            <a:off x="3757" y="1458"/>
            <a:ext cx="291" cy="174"/>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21750" name="Line 128"/>
          <xdr:cNvSpPr>
            <a:spLocks noChangeShapeType="1"/>
          </xdr:cNvSpPr>
        </xdr:nvSpPr>
        <xdr:spPr bwMode="auto">
          <a:xfrm flipV="1">
            <a:off x="2857" y="2073"/>
            <a:ext cx="0" cy="96"/>
          </a:xfrm>
          <a:prstGeom prst="line">
            <a:avLst/>
          </a:prstGeom>
          <a:noFill/>
          <a:ln w="9525">
            <a:solidFill>
              <a:srgbClr val="000000"/>
            </a:solidFill>
            <a:round/>
            <a:headEnd/>
            <a:tailEnd/>
          </a:ln>
        </xdr:spPr>
      </xdr:sp>
      <xdr:sp macro="" textlink="">
        <xdr:nvSpPr>
          <xdr:cNvPr id="21751" name="Line 129"/>
          <xdr:cNvSpPr>
            <a:spLocks noChangeShapeType="1"/>
          </xdr:cNvSpPr>
        </xdr:nvSpPr>
        <xdr:spPr bwMode="auto">
          <a:xfrm>
            <a:off x="2861" y="2069"/>
            <a:ext cx="484" cy="0"/>
          </a:xfrm>
          <a:prstGeom prst="line">
            <a:avLst/>
          </a:prstGeom>
          <a:noFill/>
          <a:ln w="9525">
            <a:solidFill>
              <a:srgbClr val="000000"/>
            </a:solidFill>
            <a:round/>
            <a:headEnd/>
            <a:tailEnd/>
          </a:ln>
        </xdr:spPr>
      </xdr:sp>
      <xdr:sp macro="" textlink="">
        <xdr:nvSpPr>
          <xdr:cNvPr id="21752" name="Line 130"/>
          <xdr:cNvSpPr>
            <a:spLocks noChangeShapeType="1"/>
          </xdr:cNvSpPr>
        </xdr:nvSpPr>
        <xdr:spPr bwMode="auto">
          <a:xfrm>
            <a:off x="2880" y="3168"/>
            <a:ext cx="0" cy="384"/>
          </a:xfrm>
          <a:prstGeom prst="line">
            <a:avLst/>
          </a:prstGeom>
          <a:noFill/>
          <a:ln w="9525">
            <a:solidFill>
              <a:srgbClr val="000000"/>
            </a:solidFill>
            <a:round/>
            <a:headEnd/>
            <a:tailEnd/>
          </a:ln>
        </xdr:spPr>
      </xdr:sp>
      <xdr:sp macro="" textlink="">
        <xdr:nvSpPr>
          <xdr:cNvPr id="21635" name="Text Box 131"/>
          <xdr:cNvSpPr txBox="1">
            <a:spLocks noChangeArrowheads="1"/>
          </xdr:cNvSpPr>
        </xdr:nvSpPr>
        <xdr:spPr bwMode="auto">
          <a:xfrm>
            <a:off x="2212" y="3612"/>
            <a:ext cx="580" cy="172"/>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4/6 , 5/10</a:t>
            </a:r>
          </a:p>
          <a:p>
            <a:pPr algn="l" rtl="1">
              <a:defRPr sz="1000"/>
            </a:pPr>
            <a:endParaRPr lang="en-US" altLang="zh-TW" sz="1200" b="0" i="0" strike="noStrike">
              <a:solidFill>
                <a:srgbClr val="000000"/>
              </a:solidFill>
              <a:latin typeface="Times New Roman"/>
              <a:cs typeface="Times New Roman"/>
            </a:endParaRPr>
          </a:p>
        </xdr:txBody>
      </xdr:sp>
    </xdr:grpSp>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7</xdr:col>
          <xdr:colOff>2238375</xdr:colOff>
          <xdr:row>64</xdr:row>
          <xdr:rowOff>85725</xdr:rowOff>
        </xdr:to>
        <xdr:sp macro="" textlink="">
          <xdr:nvSpPr>
            <xdr:cNvPr id="21636" name="Object 132" hidden="1">
              <a:extLst>
                <a:ext uri="{63B3BB69-23CF-44E3-9099-C40C66FF867C}">
                  <a14:compatExt spid="_x0000_s21636"/>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209550</xdr:colOff>
          <xdr:row>55</xdr:row>
          <xdr:rowOff>419100</xdr:rowOff>
        </xdr:from>
        <xdr:to>
          <xdr:col>7</xdr:col>
          <xdr:colOff>962025</xdr:colOff>
          <xdr:row>62</xdr:row>
          <xdr:rowOff>38100</xdr:rowOff>
        </xdr:to>
        <xdr:sp macro="" textlink="">
          <xdr:nvSpPr>
            <xdr:cNvPr id="26753" name="Object 129" hidden="1">
              <a:extLst>
                <a:ext uri="{63B3BB69-23CF-44E3-9099-C40C66FF867C}">
                  <a14:compatExt spid="_x0000_s26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1504950</xdr:colOff>
          <xdr:row>64</xdr:row>
          <xdr:rowOff>85725</xdr:rowOff>
        </xdr:from>
        <xdr:to>
          <xdr:col>12</xdr:col>
          <xdr:colOff>1257300</xdr:colOff>
          <xdr:row>89</xdr:row>
          <xdr:rowOff>95250</xdr:rowOff>
        </xdr:to>
        <xdr:sp macro="" textlink="">
          <xdr:nvSpPr>
            <xdr:cNvPr id="26754" name="Object 130" hidden="1">
              <a:extLst>
                <a:ext uri="{63B3BB69-23CF-44E3-9099-C40C66FF867C}">
                  <a14:compatExt spid="_x0000_s26754"/>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304800</xdr:colOff>
          <xdr:row>28</xdr:row>
          <xdr:rowOff>333375</xdr:rowOff>
        </xdr:from>
        <xdr:to>
          <xdr:col>10</xdr:col>
          <xdr:colOff>742950</xdr:colOff>
          <xdr:row>35</xdr:row>
          <xdr:rowOff>133350</xdr:rowOff>
        </xdr:to>
        <xdr:sp macro="" textlink="">
          <xdr:nvSpPr>
            <xdr:cNvPr id="22638" name="Object 110" hidden="1">
              <a:extLst>
                <a:ext uri="{63B3BB69-23CF-44E3-9099-C40C66FF867C}">
                  <a14:compatExt spid="_x0000_s22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37</xdr:row>
          <xdr:rowOff>9525</xdr:rowOff>
        </xdr:from>
        <xdr:to>
          <xdr:col>12</xdr:col>
          <xdr:colOff>1123950</xdr:colOff>
          <xdr:row>56</xdr:row>
          <xdr:rowOff>76200</xdr:rowOff>
        </xdr:to>
        <xdr:sp macro="" textlink="">
          <xdr:nvSpPr>
            <xdr:cNvPr id="22639" name="Object 111" hidden="1">
              <a:extLst>
                <a:ext uri="{63B3BB69-23CF-44E3-9099-C40C66FF867C}">
                  <a14:compatExt spid="_x0000_s22639"/>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45</xdr:row>
          <xdr:rowOff>57150</xdr:rowOff>
        </xdr:from>
        <xdr:to>
          <xdr:col>15</xdr:col>
          <xdr:colOff>1190625</xdr:colOff>
          <xdr:row>61</xdr:row>
          <xdr:rowOff>200025</xdr:rowOff>
        </xdr:to>
        <xdr:sp macro="" textlink="">
          <xdr:nvSpPr>
            <xdr:cNvPr id="36865" name="Object 1" hidden="1">
              <a:extLst>
                <a:ext uri="{63B3BB69-23CF-44E3-9099-C40C66FF867C}">
                  <a14:compatExt spid="_x0000_s36865"/>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101</xdr:row>
          <xdr:rowOff>9525</xdr:rowOff>
        </xdr:from>
        <xdr:to>
          <xdr:col>15</xdr:col>
          <xdr:colOff>381000</xdr:colOff>
          <xdr:row>114</xdr:row>
          <xdr:rowOff>180975</xdr:rowOff>
        </xdr:to>
        <xdr:sp macro="" textlink="">
          <xdr:nvSpPr>
            <xdr:cNvPr id="37889" name="Object 1" hidden="1">
              <a:extLst>
                <a:ext uri="{63B3BB69-23CF-44E3-9099-C40C66FF867C}">
                  <a14:compatExt spid="_x0000_s37889"/>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55</xdr:row>
      <xdr:rowOff>209550</xdr:rowOff>
    </xdr:from>
    <xdr:to>
      <xdr:col>7</xdr:col>
      <xdr:colOff>819150</xdr:colOff>
      <xdr:row>63</xdr:row>
      <xdr:rowOff>123825</xdr:rowOff>
    </xdr:to>
    <xdr:pic>
      <xdr:nvPicPr>
        <xdr:cNvPr id="174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9353550"/>
          <a:ext cx="5619750" cy="1333500"/>
        </a:xfrm>
        <a:prstGeom prst="rect">
          <a:avLst/>
        </a:prstGeom>
        <a:noFill/>
        <a:ln w="9525">
          <a:noFill/>
          <a:miter lim="800000"/>
          <a:headEnd/>
          <a:tailEnd/>
        </a:ln>
      </xdr:spPr>
    </xdr:pic>
    <xdr:clientData/>
  </xdr:twoCellAnchor>
  <xdr:twoCellAnchor>
    <xdr:from>
      <xdr:col>0</xdr:col>
      <xdr:colOff>1571625</xdr:colOff>
      <xdr:row>56</xdr:row>
      <xdr:rowOff>0</xdr:rowOff>
    </xdr:from>
    <xdr:to>
      <xdr:col>15</xdr:col>
      <xdr:colOff>47625</xdr:colOff>
      <xdr:row>86</xdr:row>
      <xdr:rowOff>133350</xdr:rowOff>
    </xdr:to>
    <xdr:pic>
      <xdr:nvPicPr>
        <xdr:cNvPr id="1741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571625" y="9429750"/>
          <a:ext cx="9544050" cy="51149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bpmoran/FP2_master_ts_9-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krangas-mobl\C$\Documents%20and%20Settings\bpmoran\FP2_master_ts_9-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sbaner4/Local%20Settings/Temp/TraceLengthCal0p7_csff_16-Sep_2R-1R_CRB-SV-modifi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P2_master_ts_9-23"/>
      <sheetName val="#REF"/>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P2_master_ts_9-23"/>
      <sheetName val="#REF"/>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v History"/>
      <sheetName val="DDR2Instructions"/>
      <sheetName val="DDR2 Clocks - 2L"/>
      <sheetName val="DDR2 Clocks - 4L"/>
      <sheetName val="DDR2 Command - 4L"/>
      <sheetName val="DDR2 Command - 8LTB"/>
      <sheetName val="DDR2 Command - 8LTB RS"/>
      <sheetName val="DDR2 Control - 4L RS"/>
      <sheetName val="DDR2 Command - 8LSS"/>
      <sheetName val="CNTRL_2R-1R"/>
      <sheetName val="DDR2 Control - 4L"/>
      <sheetName val="DDR2 Control - 8LTB"/>
      <sheetName val="DDR2 Control - 8LSS"/>
      <sheetName val="DDR2 Strobes - 1x16"/>
      <sheetName val="DDR2 Strobes - 2x16"/>
      <sheetName val="DDR2 Strobes - 1x8"/>
      <sheetName val="DDR2 Data - 1x16"/>
      <sheetName val="DDR2 Data - 2x16"/>
      <sheetName val="DDR2 Data - 1x8"/>
      <sheetName val="DDR2Specs"/>
    </sheetNames>
    <sheetDataSet>
      <sheetData sheetId="0"/>
      <sheetData sheetId="1"/>
      <sheetData sheetId="2">
        <row r="42">
          <cell r="D42" t="str">
            <v>mil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7.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8.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19.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3.vml"/><Relationship Id="rId7" Type="http://schemas.openxmlformats.org/officeDocument/2006/relationships/image" Target="../media/image6.emf"/><Relationship Id="rId2" Type="http://schemas.openxmlformats.org/officeDocument/2006/relationships/drawing" Target="../drawings/drawing3.xml"/><Relationship Id="rId1" Type="http://schemas.openxmlformats.org/officeDocument/2006/relationships/printerSettings" Target="../printerSettings/printerSettings19.bin"/><Relationship Id="rId6" Type="http://schemas.openxmlformats.org/officeDocument/2006/relationships/oleObject" Target="../embeddings/oleObject6.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0.bin"/><Relationship Id="rId6" Type="http://schemas.openxmlformats.org/officeDocument/2006/relationships/comments" Target="../comments2.xml"/><Relationship Id="rId5" Type="http://schemas.openxmlformats.org/officeDocument/2006/relationships/image" Target="../media/image7.emf"/><Relationship Id="rId4" Type="http://schemas.openxmlformats.org/officeDocument/2006/relationships/oleObject" Target="../embeddings/oleObject7.bin"/></Relationships>
</file>

<file path=xl/worksheets/_rels/sheet21.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5.vml"/><Relationship Id="rId7" Type="http://schemas.openxmlformats.org/officeDocument/2006/relationships/image" Target="../media/image9.emf"/><Relationship Id="rId2" Type="http://schemas.openxmlformats.org/officeDocument/2006/relationships/drawing" Target="../drawings/drawing5.xml"/><Relationship Id="rId1" Type="http://schemas.openxmlformats.org/officeDocument/2006/relationships/printerSettings" Target="../printerSettings/printerSettings21.bin"/><Relationship Id="rId6" Type="http://schemas.openxmlformats.org/officeDocument/2006/relationships/oleObject" Target="../embeddings/oleObject9.bin"/><Relationship Id="rId5" Type="http://schemas.openxmlformats.org/officeDocument/2006/relationships/image" Target="../media/image8.emf"/><Relationship Id="rId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1.emf"/><Relationship Id="rId2" Type="http://schemas.openxmlformats.org/officeDocument/2006/relationships/drawing" Target="../drawings/drawing6.xml"/><Relationship Id="rId1" Type="http://schemas.openxmlformats.org/officeDocument/2006/relationships/printerSettings" Target="../printerSettings/printerSettings22.bin"/><Relationship Id="rId6" Type="http://schemas.openxmlformats.org/officeDocument/2006/relationships/oleObject" Target="../embeddings/oleObject11.bin"/><Relationship Id="rId5" Type="http://schemas.openxmlformats.org/officeDocument/2006/relationships/image" Target="../media/image10.emf"/><Relationship Id="rId4" Type="http://schemas.openxmlformats.org/officeDocument/2006/relationships/oleObject" Target="../embeddings/oleObject10.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3.bin"/><Relationship Id="rId5" Type="http://schemas.openxmlformats.org/officeDocument/2006/relationships/image" Target="../media/image12.emf"/><Relationship Id="rId4" Type="http://schemas.openxmlformats.org/officeDocument/2006/relationships/oleObject" Target="../embeddings/oleObject1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4.bin"/><Relationship Id="rId5" Type="http://schemas.openxmlformats.org/officeDocument/2006/relationships/image" Target="../media/image13.emf"/><Relationship Id="rId4" Type="http://schemas.openxmlformats.org/officeDocument/2006/relationships/oleObject" Target="../embeddings/oleObject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image" Target="../media/image10.emf"/><Relationship Id="rId2" Type="http://schemas.openxmlformats.org/officeDocument/2006/relationships/drawing" Target="../drawings/drawing11.xml"/><Relationship Id="rId1" Type="http://schemas.openxmlformats.org/officeDocument/2006/relationships/printerSettings" Target="../printerSettings/printerSettings26.bin"/><Relationship Id="rId6" Type="http://schemas.openxmlformats.org/officeDocument/2006/relationships/oleObject" Target="../embeddings/oleObject15.bin"/><Relationship Id="rId5" Type="http://schemas.openxmlformats.org/officeDocument/2006/relationships/image" Target="../media/image17.emf"/><Relationship Id="rId4" Type="http://schemas.openxmlformats.org/officeDocument/2006/relationships/oleObject" Target="../embeddings/oleObject14.bin"/></Relationships>
</file>

<file path=xl/worksheets/_rels/sheet28.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11.vml"/><Relationship Id="rId7" Type="http://schemas.openxmlformats.org/officeDocument/2006/relationships/image" Target="../media/image18.emf"/><Relationship Id="rId2" Type="http://schemas.openxmlformats.org/officeDocument/2006/relationships/drawing" Target="../drawings/drawing12.xml"/><Relationship Id="rId1" Type="http://schemas.openxmlformats.org/officeDocument/2006/relationships/printerSettings" Target="../printerSettings/printerSettings27.bin"/><Relationship Id="rId6" Type="http://schemas.openxmlformats.org/officeDocument/2006/relationships/oleObject" Target="../embeddings/oleObject17.bin"/><Relationship Id="rId5" Type="http://schemas.openxmlformats.org/officeDocument/2006/relationships/image" Target="../media/image10.emf"/><Relationship Id="rId4" Type="http://schemas.openxmlformats.org/officeDocument/2006/relationships/oleObject" Target="../embeddings/oleObject1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28.bin"/><Relationship Id="rId5" Type="http://schemas.openxmlformats.org/officeDocument/2006/relationships/image" Target="../media/image19.emf"/><Relationship Id="rId4" Type="http://schemas.openxmlformats.org/officeDocument/2006/relationships/oleObject" Target="../embeddings/oleObject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29.bin"/><Relationship Id="rId5" Type="http://schemas.openxmlformats.org/officeDocument/2006/relationships/image" Target="../media/image20.emf"/><Relationship Id="rId4" Type="http://schemas.openxmlformats.org/officeDocument/2006/relationships/oleObject" Target="../embeddings/oleObject19.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30.bin"/><Relationship Id="rId5" Type="http://schemas.openxmlformats.org/officeDocument/2006/relationships/image" Target="../media/image21.emf"/><Relationship Id="rId4" Type="http://schemas.openxmlformats.org/officeDocument/2006/relationships/oleObject" Target="../embeddings/oleObject20.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31.bin"/><Relationship Id="rId5" Type="http://schemas.openxmlformats.org/officeDocument/2006/relationships/image" Target="../media/image22.emf"/><Relationship Id="rId4" Type="http://schemas.openxmlformats.org/officeDocument/2006/relationships/oleObject" Target="../embeddings/oleObject21.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32.bin"/><Relationship Id="rId5" Type="http://schemas.openxmlformats.org/officeDocument/2006/relationships/image" Target="../media/image23.emf"/><Relationship Id="rId4" Type="http://schemas.openxmlformats.org/officeDocument/2006/relationships/oleObject" Target="../embeddings/oleObject2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33.bin"/><Relationship Id="rId5" Type="http://schemas.openxmlformats.org/officeDocument/2006/relationships/image" Target="../media/image24.emf"/><Relationship Id="rId4" Type="http://schemas.openxmlformats.org/officeDocument/2006/relationships/oleObject" Target="../embeddings/oleObject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EDF3"/>
  </sheetPr>
  <dimension ref="A1:C4"/>
  <sheetViews>
    <sheetView tabSelected="1" workbookViewId="0">
      <selection activeCell="C22" sqref="C22"/>
    </sheetView>
  </sheetViews>
  <sheetFormatPr defaultColWidth="36.28515625" defaultRowHeight="12.75"/>
  <cols>
    <col min="1" max="2" width="12.140625" style="1135" customWidth="1"/>
    <col min="3" max="3" width="115" style="1135" customWidth="1"/>
    <col min="4" max="16384" width="36.28515625" style="1135"/>
  </cols>
  <sheetData>
    <row r="1" spans="1:3" ht="15.75">
      <c r="A1" s="930" t="s">
        <v>1258</v>
      </c>
      <c r="B1" s="930" t="s">
        <v>1259</v>
      </c>
      <c r="C1" s="931" t="s">
        <v>1260</v>
      </c>
    </row>
    <row r="2" spans="1:3" ht="15">
      <c r="A2" s="932" t="s">
        <v>1261</v>
      </c>
      <c r="B2" s="933">
        <v>43649</v>
      </c>
      <c r="C2" s="934" t="s">
        <v>1264</v>
      </c>
    </row>
    <row r="3" spans="1:3" ht="15">
      <c r="A3" s="932"/>
      <c r="B3" s="933"/>
      <c r="C3" s="935"/>
    </row>
    <row r="4" spans="1:3" ht="15">
      <c r="A4" s="932"/>
      <c r="B4" s="933"/>
      <c r="C4" s="935"/>
    </row>
  </sheetData>
  <sheetProtection password="AAE5" sheet="1" objects="1" scenarios="1" selectLockedCells="1"/>
  <phoneticPr fontId="4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O39"/>
  <sheetViews>
    <sheetView topLeftCell="A22" workbookViewId="0">
      <selection activeCell="F33" sqref="F33"/>
    </sheetView>
  </sheetViews>
  <sheetFormatPr defaultColWidth="10.28515625" defaultRowHeight="16.5"/>
  <cols>
    <col min="1" max="1" width="25.5703125" style="941" customWidth="1"/>
    <col min="2" max="2" width="17.140625" style="964" customWidth="1"/>
    <col min="3" max="3" width="23.7109375" style="963" customWidth="1"/>
    <col min="4" max="4" width="18.7109375" style="964" customWidth="1"/>
    <col min="5" max="5" width="26.140625" style="964" customWidth="1"/>
    <col min="6" max="6" width="21.42578125" style="940" customWidth="1"/>
    <col min="7" max="7" width="19.85546875" style="940" customWidth="1"/>
    <col min="8" max="8" width="14.7109375" style="941" customWidth="1"/>
    <col min="9" max="9" width="16.28515625" style="941" customWidth="1"/>
    <col min="10" max="10" width="16.5703125" style="941" customWidth="1"/>
    <col min="11" max="11" width="25.5703125" style="941" customWidth="1"/>
    <col min="12" max="12" width="21.85546875" style="941" customWidth="1"/>
    <col min="13" max="16384" width="10.28515625" style="941"/>
  </cols>
  <sheetData>
    <row r="1" spans="1:14" ht="30">
      <c r="A1" s="961" t="s">
        <v>1068</v>
      </c>
      <c r="B1" s="962"/>
    </row>
    <row r="2" spans="1:14" ht="30.75" thickBot="1">
      <c r="A2" s="961" t="s">
        <v>729</v>
      </c>
      <c r="B2" s="962"/>
    </row>
    <row r="3" spans="1:14" s="966" customFormat="1" ht="34.5" thickTop="1" thickBot="1">
      <c r="A3" s="942" t="s">
        <v>739</v>
      </c>
      <c r="B3" s="943" t="s">
        <v>1150</v>
      </c>
      <c r="C3" s="944" t="s">
        <v>740</v>
      </c>
      <c r="D3" s="944" t="s">
        <v>1151</v>
      </c>
      <c r="E3" s="944" t="s">
        <v>949</v>
      </c>
      <c r="F3" s="945" t="s">
        <v>742</v>
      </c>
      <c r="G3" s="946" t="s">
        <v>743</v>
      </c>
      <c r="H3" s="947" t="s">
        <v>744</v>
      </c>
      <c r="I3" s="947" t="s">
        <v>745</v>
      </c>
      <c r="J3" s="944" t="s">
        <v>746</v>
      </c>
      <c r="K3" s="944" t="s">
        <v>747</v>
      </c>
      <c r="L3" s="965" t="s">
        <v>950</v>
      </c>
    </row>
    <row r="4" spans="1:14" s="966" customFormat="1" ht="17.25" thickTop="1">
      <c r="A4" s="967" t="s">
        <v>1069</v>
      </c>
      <c r="B4" s="1080" t="s">
        <v>1069</v>
      </c>
      <c r="C4" s="956">
        <v>5000</v>
      </c>
      <c r="D4" s="1021">
        <v>1660.18</v>
      </c>
      <c r="E4" s="1078">
        <f>C4-D4</f>
        <v>3339.8199999999997</v>
      </c>
      <c r="F4" s="948"/>
      <c r="G4" s="949" t="s">
        <v>970</v>
      </c>
      <c r="H4" s="954"/>
      <c r="I4" s="1275" t="s">
        <v>971</v>
      </c>
      <c r="J4" s="1277">
        <v>2</v>
      </c>
      <c r="K4" s="1277" t="s">
        <v>1262</v>
      </c>
      <c r="L4" s="1280">
        <v>20</v>
      </c>
    </row>
    <row r="5" spans="1:14" s="966" customFormat="1" ht="17.25" thickBot="1">
      <c r="A5" s="968" t="s">
        <v>1070</v>
      </c>
      <c r="B5" s="1081" t="s">
        <v>1071</v>
      </c>
      <c r="C5" s="957">
        <v>5000</v>
      </c>
      <c r="D5" s="1022">
        <v>1659.53</v>
      </c>
      <c r="E5" s="1079">
        <f>C5-D5</f>
        <v>3340.4700000000003</v>
      </c>
      <c r="F5" s="950"/>
      <c r="G5" s="951">
        <f>F4-F5</f>
        <v>0</v>
      </c>
      <c r="H5" s="955"/>
      <c r="I5" s="1276"/>
      <c r="J5" s="1278"/>
      <c r="K5" s="1278"/>
      <c r="L5" s="1281"/>
      <c r="N5" s="969"/>
    </row>
    <row r="6" spans="1:14" s="966" customFormat="1" ht="17.25" thickTop="1">
      <c r="A6" s="967" t="s">
        <v>1072</v>
      </c>
      <c r="B6" s="1080" t="s">
        <v>1073</v>
      </c>
      <c r="C6" s="956">
        <v>5000</v>
      </c>
      <c r="D6" s="1021">
        <v>1570.04</v>
      </c>
      <c r="E6" s="1078">
        <f t="shared" ref="E6:E19" si="0">C6-D6</f>
        <v>3429.96</v>
      </c>
      <c r="F6" s="948"/>
      <c r="G6" s="949" t="s">
        <v>970</v>
      </c>
      <c r="H6" s="954"/>
      <c r="I6" s="1275" t="s">
        <v>971</v>
      </c>
      <c r="J6" s="1278"/>
      <c r="K6" s="1278"/>
      <c r="L6" s="1281"/>
    </row>
    <row r="7" spans="1:14" s="966" customFormat="1" ht="17.25" thickBot="1">
      <c r="A7" s="968" t="s">
        <v>1074</v>
      </c>
      <c r="B7" s="1081" t="s">
        <v>1075</v>
      </c>
      <c r="C7" s="957">
        <v>5000</v>
      </c>
      <c r="D7" s="1022">
        <v>1571.27</v>
      </c>
      <c r="E7" s="1079">
        <f t="shared" si="0"/>
        <v>3428.73</v>
      </c>
      <c r="F7" s="950"/>
      <c r="G7" s="951">
        <f>F6-F7</f>
        <v>0</v>
      </c>
      <c r="H7" s="955"/>
      <c r="I7" s="1276"/>
      <c r="J7" s="1278"/>
      <c r="K7" s="1278"/>
      <c r="L7" s="1281"/>
      <c r="N7" s="969"/>
    </row>
    <row r="8" spans="1:14" s="966" customFormat="1" ht="17.25" thickTop="1">
      <c r="A8" s="967" t="s">
        <v>1076</v>
      </c>
      <c r="B8" s="1080" t="s">
        <v>1077</v>
      </c>
      <c r="C8" s="956">
        <v>5000</v>
      </c>
      <c r="D8" s="1021">
        <v>1631.35</v>
      </c>
      <c r="E8" s="1078">
        <f t="shared" si="0"/>
        <v>3368.65</v>
      </c>
      <c r="F8" s="948"/>
      <c r="G8" s="949" t="s">
        <v>970</v>
      </c>
      <c r="H8" s="954"/>
      <c r="I8" s="1275" t="s">
        <v>971</v>
      </c>
      <c r="J8" s="1278"/>
      <c r="K8" s="1278"/>
      <c r="L8" s="1281"/>
    </row>
    <row r="9" spans="1:14" s="966" customFormat="1" ht="17.25" thickBot="1">
      <c r="A9" s="968" t="s">
        <v>1078</v>
      </c>
      <c r="B9" s="1081" t="s">
        <v>1079</v>
      </c>
      <c r="C9" s="957">
        <v>5000</v>
      </c>
      <c r="D9" s="1022">
        <v>1633.32</v>
      </c>
      <c r="E9" s="1079">
        <f t="shared" si="0"/>
        <v>3366.6800000000003</v>
      </c>
      <c r="F9" s="950"/>
      <c r="G9" s="951">
        <f>F8-F9</f>
        <v>0</v>
      </c>
      <c r="H9" s="955"/>
      <c r="I9" s="1276"/>
      <c r="J9" s="1278"/>
      <c r="K9" s="1278"/>
      <c r="L9" s="1281"/>
      <c r="N9" s="969"/>
    </row>
    <row r="10" spans="1:14" s="966" customFormat="1" ht="17.25" thickTop="1">
      <c r="A10" s="967" t="s">
        <v>1080</v>
      </c>
      <c r="B10" s="1080" t="s">
        <v>1081</v>
      </c>
      <c r="C10" s="956">
        <v>5000</v>
      </c>
      <c r="D10" s="1021">
        <v>1779.89</v>
      </c>
      <c r="E10" s="1078">
        <f t="shared" si="0"/>
        <v>3220.1099999999997</v>
      </c>
      <c r="F10" s="948"/>
      <c r="G10" s="949" t="s">
        <v>1082</v>
      </c>
      <c r="H10" s="954"/>
      <c r="I10" s="1275" t="s">
        <v>1083</v>
      </c>
      <c r="J10" s="1278"/>
      <c r="K10" s="1278"/>
      <c r="L10" s="1281"/>
    </row>
    <row r="11" spans="1:14" s="966" customFormat="1" ht="17.25" thickBot="1">
      <c r="A11" s="968" t="s">
        <v>1084</v>
      </c>
      <c r="B11" s="1081" t="s">
        <v>1085</v>
      </c>
      <c r="C11" s="957">
        <v>5000</v>
      </c>
      <c r="D11" s="1022">
        <v>1779.44</v>
      </c>
      <c r="E11" s="1079">
        <f t="shared" si="0"/>
        <v>3220.56</v>
      </c>
      <c r="F11" s="950"/>
      <c r="G11" s="951">
        <f>F10-F11</f>
        <v>0</v>
      </c>
      <c r="H11" s="955"/>
      <c r="I11" s="1276"/>
      <c r="J11" s="1278"/>
      <c r="K11" s="1278"/>
      <c r="L11" s="1281"/>
    </row>
    <row r="12" spans="1:14" s="966" customFormat="1" ht="17.25" thickTop="1">
      <c r="A12" s="967" t="s">
        <v>1086</v>
      </c>
      <c r="B12" s="1080" t="s">
        <v>1087</v>
      </c>
      <c r="C12" s="956">
        <v>5000</v>
      </c>
      <c r="D12" s="1021">
        <v>1632.92</v>
      </c>
      <c r="E12" s="1078">
        <f t="shared" si="0"/>
        <v>3367.08</v>
      </c>
      <c r="F12" s="948"/>
      <c r="G12" s="949" t="s">
        <v>1082</v>
      </c>
      <c r="H12" s="954"/>
      <c r="I12" s="1275" t="s">
        <v>1083</v>
      </c>
      <c r="J12" s="1278"/>
      <c r="K12" s="1278"/>
      <c r="L12" s="1281"/>
    </row>
    <row r="13" spans="1:14" s="966" customFormat="1" ht="17.25" thickBot="1">
      <c r="A13" s="968" t="s">
        <v>1088</v>
      </c>
      <c r="B13" s="1081" t="s">
        <v>1089</v>
      </c>
      <c r="C13" s="957">
        <v>5000</v>
      </c>
      <c r="D13" s="1022">
        <v>1634.52</v>
      </c>
      <c r="E13" s="1079">
        <f t="shared" si="0"/>
        <v>3365.48</v>
      </c>
      <c r="F13" s="950"/>
      <c r="G13" s="951">
        <f>F12-F13</f>
        <v>0</v>
      </c>
      <c r="H13" s="955"/>
      <c r="I13" s="1276"/>
      <c r="J13" s="1278"/>
      <c r="K13" s="1278"/>
      <c r="L13" s="1281"/>
      <c r="N13" s="969"/>
    </row>
    <row r="14" spans="1:14" s="966" customFormat="1" ht="17.25" thickTop="1">
      <c r="A14" s="967" t="s">
        <v>1090</v>
      </c>
      <c r="B14" s="1080" t="s">
        <v>1091</v>
      </c>
      <c r="C14" s="956">
        <v>5000</v>
      </c>
      <c r="D14" s="1021">
        <v>1500.93</v>
      </c>
      <c r="E14" s="1078">
        <f t="shared" si="0"/>
        <v>3499.0699999999997</v>
      </c>
      <c r="F14" s="948"/>
      <c r="G14" s="949" t="s">
        <v>1082</v>
      </c>
      <c r="H14" s="954"/>
      <c r="I14" s="1275" t="s">
        <v>1083</v>
      </c>
      <c r="J14" s="1278"/>
      <c r="K14" s="1278"/>
      <c r="L14" s="1281"/>
    </row>
    <row r="15" spans="1:14" s="966" customFormat="1" ht="17.25" thickBot="1">
      <c r="A15" s="968" t="s">
        <v>1092</v>
      </c>
      <c r="B15" s="1081" t="s">
        <v>1093</v>
      </c>
      <c r="C15" s="957">
        <v>5000</v>
      </c>
      <c r="D15" s="1022">
        <v>1502.44</v>
      </c>
      <c r="E15" s="1079">
        <f t="shared" si="0"/>
        <v>3497.56</v>
      </c>
      <c r="F15" s="950"/>
      <c r="G15" s="951">
        <f>F14-F15</f>
        <v>0</v>
      </c>
      <c r="H15" s="955"/>
      <c r="I15" s="1276"/>
      <c r="J15" s="1278"/>
      <c r="K15" s="1278"/>
      <c r="L15" s="1281"/>
      <c r="N15" s="969"/>
    </row>
    <row r="16" spans="1:14" s="966" customFormat="1" ht="17.25" thickTop="1">
      <c r="A16" s="967" t="s">
        <v>1094</v>
      </c>
      <c r="B16" s="1080" t="s">
        <v>1095</v>
      </c>
      <c r="C16" s="956">
        <v>5000</v>
      </c>
      <c r="D16" s="1021">
        <v>1739.39</v>
      </c>
      <c r="E16" s="1078">
        <f t="shared" si="0"/>
        <v>3260.6099999999997</v>
      </c>
      <c r="F16" s="948"/>
      <c r="G16" s="949" t="s">
        <v>1082</v>
      </c>
      <c r="H16" s="954"/>
      <c r="I16" s="1275" t="s">
        <v>1083</v>
      </c>
      <c r="J16" s="1278"/>
      <c r="K16" s="1278"/>
      <c r="L16" s="1281"/>
    </row>
    <row r="17" spans="1:15" s="966" customFormat="1" ht="17.25" thickBot="1">
      <c r="A17" s="968" t="s">
        <v>1096</v>
      </c>
      <c r="B17" s="1081" t="s">
        <v>1097</v>
      </c>
      <c r="C17" s="957">
        <v>5000</v>
      </c>
      <c r="D17" s="1022">
        <v>1740.65</v>
      </c>
      <c r="E17" s="1079">
        <f t="shared" si="0"/>
        <v>3259.35</v>
      </c>
      <c r="F17" s="1033"/>
      <c r="G17" s="951">
        <f>F16-F18</f>
        <v>0</v>
      </c>
      <c r="H17" s="955"/>
      <c r="I17" s="1276"/>
      <c r="J17" s="1278"/>
      <c r="K17" s="1278"/>
      <c r="L17" s="1281"/>
      <c r="N17" s="969"/>
    </row>
    <row r="18" spans="1:15" s="966" customFormat="1" ht="18" thickTop="1" thickBot="1">
      <c r="A18" s="967" t="s">
        <v>1098</v>
      </c>
      <c r="B18" s="1080" t="s">
        <v>1099</v>
      </c>
      <c r="C18" s="956">
        <v>5000</v>
      </c>
      <c r="D18" s="1021">
        <v>1443.41</v>
      </c>
      <c r="E18" s="1078">
        <f t="shared" si="0"/>
        <v>3556.59</v>
      </c>
      <c r="F18" s="950"/>
      <c r="G18" s="949" t="s">
        <v>1100</v>
      </c>
      <c r="H18" s="954"/>
      <c r="I18" s="1275" t="s">
        <v>1101</v>
      </c>
      <c r="J18" s="1278"/>
      <c r="K18" s="1278"/>
      <c r="L18" s="1281"/>
    </row>
    <row r="19" spans="1:15" s="966" customFormat="1" ht="18" thickTop="1" thickBot="1">
      <c r="A19" s="968" t="s">
        <v>1102</v>
      </c>
      <c r="B19" s="1081" t="s">
        <v>1103</v>
      </c>
      <c r="C19" s="957">
        <v>5000</v>
      </c>
      <c r="D19" s="1022">
        <v>1441.62</v>
      </c>
      <c r="E19" s="1079">
        <f t="shared" si="0"/>
        <v>3558.38</v>
      </c>
      <c r="F19" s="948"/>
      <c r="G19" s="951" t="e">
        <f>F19-#REF!</f>
        <v>#REF!</v>
      </c>
      <c r="H19" s="955"/>
      <c r="I19" s="1276"/>
      <c r="J19" s="1279"/>
      <c r="K19" s="1279"/>
      <c r="L19" s="1282"/>
      <c r="N19" s="969"/>
    </row>
    <row r="20" spans="1:15" s="966" customFormat="1" ht="17.25" thickTop="1">
      <c r="A20" s="970"/>
      <c r="B20" s="958"/>
      <c r="C20" s="971"/>
      <c r="D20" s="959"/>
      <c r="E20" s="960"/>
      <c r="F20" s="972"/>
      <c r="G20" s="973"/>
      <c r="H20" s="974"/>
      <c r="I20" s="974"/>
      <c r="J20" s="974"/>
      <c r="K20" s="974"/>
      <c r="L20" s="974"/>
      <c r="O20" s="969"/>
    </row>
    <row r="21" spans="1:15" s="966" customFormat="1" ht="30.75" thickBot="1">
      <c r="A21" s="975" t="s">
        <v>1104</v>
      </c>
      <c r="B21" s="958"/>
      <c r="C21" s="971"/>
      <c r="D21" s="959"/>
      <c r="E21" s="960"/>
      <c r="F21" s="972"/>
      <c r="G21" s="973"/>
      <c r="H21" s="974"/>
      <c r="I21" s="974"/>
      <c r="J21" s="974"/>
      <c r="K21" s="974"/>
      <c r="L21" s="974"/>
      <c r="O21" s="969"/>
    </row>
    <row r="22" spans="1:15" s="966" customFormat="1" ht="34.5" thickTop="1" thickBot="1">
      <c r="A22" s="942" t="s">
        <v>1105</v>
      </c>
      <c r="B22" s="943" t="s">
        <v>1150</v>
      </c>
      <c r="C22" s="943" t="s">
        <v>1106</v>
      </c>
      <c r="D22" s="943" t="s">
        <v>1151</v>
      </c>
      <c r="E22" s="943" t="s">
        <v>1107</v>
      </c>
      <c r="F22" s="945" t="s">
        <v>1108</v>
      </c>
      <c r="G22" s="946" t="s">
        <v>1109</v>
      </c>
      <c r="H22" s="947" t="s">
        <v>1110</v>
      </c>
      <c r="I22" s="947" t="s">
        <v>1111</v>
      </c>
      <c r="J22" s="944" t="s">
        <v>1112</v>
      </c>
      <c r="K22" s="944" t="s">
        <v>1113</v>
      </c>
      <c r="L22" s="965" t="s">
        <v>1114</v>
      </c>
    </row>
    <row r="23" spans="1:15" s="966" customFormat="1" ht="17.25" thickTop="1">
      <c r="A23" s="976" t="s">
        <v>1115</v>
      </c>
      <c r="B23" s="1082" t="s">
        <v>1116</v>
      </c>
      <c r="C23" s="956">
        <v>9000</v>
      </c>
      <c r="D23" s="1084">
        <v>2592.7600000000002</v>
      </c>
      <c r="E23" s="977">
        <f>C23-D23</f>
        <v>6407.24</v>
      </c>
      <c r="F23" s="978"/>
      <c r="G23" s="949" t="s">
        <v>1100</v>
      </c>
      <c r="H23" s="954"/>
      <c r="I23" s="1275" t="s">
        <v>1101</v>
      </c>
      <c r="J23" s="1277">
        <v>2</v>
      </c>
      <c r="K23" s="1277" t="s">
        <v>1117</v>
      </c>
      <c r="L23" s="1280">
        <v>20</v>
      </c>
    </row>
    <row r="24" spans="1:15" s="966" customFormat="1" ht="17.25" thickBot="1">
      <c r="A24" s="979" t="s">
        <v>1118</v>
      </c>
      <c r="B24" s="1083" t="s">
        <v>1119</v>
      </c>
      <c r="C24" s="957">
        <v>9000</v>
      </c>
      <c r="D24" s="1022">
        <v>2591.3000000000002</v>
      </c>
      <c r="E24" s="980">
        <f>C24-D24</f>
        <v>6408.7</v>
      </c>
      <c r="F24" s="981"/>
      <c r="G24" s="951">
        <f>F23-F24</f>
        <v>0</v>
      </c>
      <c r="H24" s="955"/>
      <c r="I24" s="1276"/>
      <c r="J24" s="1278"/>
      <c r="K24" s="1278"/>
      <c r="L24" s="1281"/>
      <c r="O24" s="969"/>
    </row>
    <row r="25" spans="1:15" s="966" customFormat="1" ht="17.25" thickTop="1">
      <c r="A25" s="976" t="s">
        <v>1120</v>
      </c>
      <c r="B25" s="1082" t="s">
        <v>1121</v>
      </c>
      <c r="C25" s="956">
        <v>9000</v>
      </c>
      <c r="D25" s="1084">
        <v>2798.17</v>
      </c>
      <c r="E25" s="977">
        <f t="shared" ref="E25:E38" si="1">C25-D25</f>
        <v>6201.83</v>
      </c>
      <c r="F25" s="978"/>
      <c r="G25" s="949" t="s">
        <v>1100</v>
      </c>
      <c r="H25" s="954"/>
      <c r="I25" s="1275" t="s">
        <v>1101</v>
      </c>
      <c r="J25" s="1278"/>
      <c r="K25" s="1278"/>
      <c r="L25" s="1281"/>
    </row>
    <row r="26" spans="1:15" s="966" customFormat="1" ht="17.25" thickBot="1">
      <c r="A26" s="979" t="s">
        <v>1122</v>
      </c>
      <c r="B26" s="1083" t="s">
        <v>1123</v>
      </c>
      <c r="C26" s="957">
        <v>9000</v>
      </c>
      <c r="D26" s="1022">
        <v>2798.88</v>
      </c>
      <c r="E26" s="980">
        <f t="shared" si="1"/>
        <v>6201.12</v>
      </c>
      <c r="F26" s="981"/>
      <c r="G26" s="951">
        <f>F25-F26</f>
        <v>0</v>
      </c>
      <c r="H26" s="955"/>
      <c r="I26" s="1276"/>
      <c r="J26" s="1278"/>
      <c r="K26" s="1278"/>
      <c r="L26" s="1281"/>
      <c r="O26" s="969"/>
    </row>
    <row r="27" spans="1:15" s="966" customFormat="1" ht="17.25" thickTop="1">
      <c r="A27" s="976" t="s">
        <v>1124</v>
      </c>
      <c r="B27" s="1082" t="s">
        <v>1125</v>
      </c>
      <c r="C27" s="956">
        <v>9000</v>
      </c>
      <c r="D27" s="1084">
        <v>2482.19</v>
      </c>
      <c r="E27" s="977">
        <f t="shared" si="1"/>
        <v>6517.8099999999995</v>
      </c>
      <c r="F27" s="978"/>
      <c r="G27" s="949" t="s">
        <v>1126</v>
      </c>
      <c r="H27" s="954"/>
      <c r="I27" s="1275" t="s">
        <v>1127</v>
      </c>
      <c r="J27" s="1278"/>
      <c r="K27" s="1278"/>
      <c r="L27" s="1281"/>
    </row>
    <row r="28" spans="1:15" s="966" customFormat="1" ht="17.25" thickBot="1">
      <c r="A28" s="979" t="s">
        <v>1128</v>
      </c>
      <c r="B28" s="1083" t="s">
        <v>1129</v>
      </c>
      <c r="C28" s="957">
        <v>9000</v>
      </c>
      <c r="D28" s="1022">
        <v>2480.75</v>
      </c>
      <c r="E28" s="980">
        <f t="shared" si="1"/>
        <v>6519.25</v>
      </c>
      <c r="F28" s="981"/>
      <c r="G28" s="951">
        <f>F27-F28</f>
        <v>0</v>
      </c>
      <c r="H28" s="955"/>
      <c r="I28" s="1276"/>
      <c r="J28" s="1278"/>
      <c r="K28" s="1278"/>
      <c r="L28" s="1281"/>
      <c r="O28" s="969"/>
    </row>
    <row r="29" spans="1:15" s="966" customFormat="1" ht="17.25" thickTop="1">
      <c r="A29" s="976" t="s">
        <v>1130</v>
      </c>
      <c r="B29" s="1082" t="s">
        <v>1131</v>
      </c>
      <c r="C29" s="956">
        <v>9000</v>
      </c>
      <c r="D29" s="1084">
        <v>2901.75</v>
      </c>
      <c r="E29" s="977">
        <f t="shared" si="1"/>
        <v>6098.25</v>
      </c>
      <c r="F29" s="978"/>
      <c r="G29" s="949" t="s">
        <v>1082</v>
      </c>
      <c r="H29" s="954"/>
      <c r="I29" s="1275" t="s">
        <v>1083</v>
      </c>
      <c r="J29" s="1278"/>
      <c r="K29" s="1278"/>
      <c r="L29" s="1281"/>
    </row>
    <row r="30" spans="1:15" s="966" customFormat="1" ht="17.25" thickBot="1">
      <c r="A30" s="979" t="s">
        <v>1132</v>
      </c>
      <c r="B30" s="1083" t="s">
        <v>1133</v>
      </c>
      <c r="C30" s="957">
        <v>9000</v>
      </c>
      <c r="D30" s="1022">
        <v>2901.35</v>
      </c>
      <c r="E30" s="980">
        <f t="shared" si="1"/>
        <v>6098.65</v>
      </c>
      <c r="F30" s="981"/>
      <c r="G30" s="951">
        <f>F29-F30</f>
        <v>0</v>
      </c>
      <c r="H30" s="955"/>
      <c r="I30" s="1276"/>
      <c r="J30" s="1278"/>
      <c r="K30" s="1278"/>
      <c r="L30" s="1281"/>
    </row>
    <row r="31" spans="1:15" s="966" customFormat="1" ht="17.25" thickTop="1">
      <c r="A31" s="976" t="s">
        <v>1134</v>
      </c>
      <c r="B31" s="1082" t="s">
        <v>1135</v>
      </c>
      <c r="C31" s="956">
        <v>9000</v>
      </c>
      <c r="D31" s="1084">
        <v>2538.86</v>
      </c>
      <c r="E31" s="977">
        <f t="shared" si="1"/>
        <v>6461.1399999999994</v>
      </c>
      <c r="F31" s="978"/>
      <c r="G31" s="949" t="s">
        <v>1082</v>
      </c>
      <c r="H31" s="954"/>
      <c r="I31" s="1275" t="s">
        <v>1083</v>
      </c>
      <c r="J31" s="1278"/>
      <c r="K31" s="1278"/>
      <c r="L31" s="1281"/>
    </row>
    <row r="32" spans="1:15" s="966" customFormat="1" ht="17.25" thickBot="1">
      <c r="A32" s="979" t="s">
        <v>1136</v>
      </c>
      <c r="B32" s="1083" t="s">
        <v>1137</v>
      </c>
      <c r="C32" s="957">
        <v>9000</v>
      </c>
      <c r="D32" s="1022">
        <v>2537.46</v>
      </c>
      <c r="E32" s="980">
        <f t="shared" si="1"/>
        <v>6462.54</v>
      </c>
      <c r="F32" s="981"/>
      <c r="G32" s="951">
        <f>F31-F32</f>
        <v>0</v>
      </c>
      <c r="H32" s="955"/>
      <c r="I32" s="1276"/>
      <c r="J32" s="1278"/>
      <c r="K32" s="1278"/>
      <c r="L32" s="1281"/>
      <c r="O32" s="969"/>
    </row>
    <row r="33" spans="1:15" s="966" customFormat="1" ht="17.25" thickTop="1">
      <c r="A33" s="976" t="s">
        <v>1138</v>
      </c>
      <c r="B33" s="1082" t="s">
        <v>1139</v>
      </c>
      <c r="C33" s="956">
        <v>9000</v>
      </c>
      <c r="D33" s="1084">
        <v>2603.83</v>
      </c>
      <c r="E33" s="977">
        <f t="shared" si="1"/>
        <v>6396.17</v>
      </c>
      <c r="F33" s="978"/>
      <c r="G33" s="949" t="s">
        <v>1082</v>
      </c>
      <c r="H33" s="954"/>
      <c r="I33" s="1275" t="s">
        <v>1083</v>
      </c>
      <c r="J33" s="1278"/>
      <c r="K33" s="1278"/>
      <c r="L33" s="1281"/>
    </row>
    <row r="34" spans="1:15" s="966" customFormat="1" ht="17.25" thickBot="1">
      <c r="A34" s="979" t="s">
        <v>1140</v>
      </c>
      <c r="B34" s="1083" t="s">
        <v>1141</v>
      </c>
      <c r="C34" s="957">
        <v>9000</v>
      </c>
      <c r="D34" s="1022">
        <v>2602.87</v>
      </c>
      <c r="E34" s="980">
        <f t="shared" si="1"/>
        <v>6397.13</v>
      </c>
      <c r="F34" s="981"/>
      <c r="G34" s="951">
        <f>F33-F34</f>
        <v>0</v>
      </c>
      <c r="H34" s="955"/>
      <c r="I34" s="1276"/>
      <c r="J34" s="1278"/>
      <c r="K34" s="1278"/>
      <c r="L34" s="1281"/>
      <c r="O34" s="969"/>
    </row>
    <row r="35" spans="1:15" s="966" customFormat="1" ht="17.25" thickTop="1">
      <c r="A35" s="976" t="s">
        <v>1142</v>
      </c>
      <c r="B35" s="1082" t="s">
        <v>1143</v>
      </c>
      <c r="C35" s="956">
        <v>9000</v>
      </c>
      <c r="D35" s="1084">
        <v>2510.2800000000002</v>
      </c>
      <c r="E35" s="977">
        <f t="shared" si="1"/>
        <v>6489.7199999999993</v>
      </c>
      <c r="F35" s="978"/>
      <c r="G35" s="949" t="s">
        <v>1100</v>
      </c>
      <c r="H35" s="954"/>
      <c r="I35" s="1275" t="s">
        <v>1101</v>
      </c>
      <c r="J35" s="1278"/>
      <c r="K35" s="1278"/>
      <c r="L35" s="1281"/>
    </row>
    <row r="36" spans="1:15" s="966" customFormat="1" ht="17.25" thickBot="1">
      <c r="A36" s="979" t="s">
        <v>1144</v>
      </c>
      <c r="B36" s="1083" t="s">
        <v>1145</v>
      </c>
      <c r="C36" s="957">
        <v>9000</v>
      </c>
      <c r="D36" s="1022">
        <v>2512.1999999999998</v>
      </c>
      <c r="E36" s="980">
        <f t="shared" si="1"/>
        <v>6487.8</v>
      </c>
      <c r="F36" s="981"/>
      <c r="G36" s="951">
        <f>F35-F36</f>
        <v>0</v>
      </c>
      <c r="H36" s="955"/>
      <c r="I36" s="1276"/>
      <c r="J36" s="1278"/>
      <c r="K36" s="1278"/>
      <c r="L36" s="1281"/>
      <c r="O36" s="969"/>
    </row>
    <row r="37" spans="1:15" s="966" customFormat="1" ht="17.25" thickTop="1">
      <c r="A37" s="976" t="s">
        <v>1146</v>
      </c>
      <c r="B37" s="1082" t="s">
        <v>1147</v>
      </c>
      <c r="C37" s="956">
        <v>9000</v>
      </c>
      <c r="D37" s="1084">
        <v>2741.67</v>
      </c>
      <c r="E37" s="977">
        <f t="shared" si="1"/>
        <v>6258.33</v>
      </c>
      <c r="F37" s="978"/>
      <c r="G37" s="949" t="s">
        <v>1100</v>
      </c>
      <c r="H37" s="954"/>
      <c r="I37" s="1275" t="s">
        <v>1101</v>
      </c>
      <c r="J37" s="1278"/>
      <c r="K37" s="1278"/>
      <c r="L37" s="1281"/>
    </row>
    <row r="38" spans="1:15" s="966" customFormat="1" ht="17.25" thickBot="1">
      <c r="A38" s="979" t="s">
        <v>1148</v>
      </c>
      <c r="B38" s="1083" t="s">
        <v>1149</v>
      </c>
      <c r="C38" s="957">
        <v>9000</v>
      </c>
      <c r="D38" s="1022">
        <v>2743.1</v>
      </c>
      <c r="E38" s="980">
        <f t="shared" si="1"/>
        <v>6256.9</v>
      </c>
      <c r="F38" s="981"/>
      <c r="G38" s="951">
        <f>F37-F38</f>
        <v>0</v>
      </c>
      <c r="H38" s="955"/>
      <c r="I38" s="1276"/>
      <c r="J38" s="1279"/>
      <c r="K38" s="1279"/>
      <c r="L38" s="1282"/>
      <c r="O38" s="969"/>
    </row>
    <row r="39" spans="1:15" ht="17.25" thickTop="1"/>
  </sheetData>
  <sheetProtection password="AAE5" sheet="1" objects="1" scenarios="1" selectLockedCells="1"/>
  <mergeCells count="22">
    <mergeCell ref="I4:I5"/>
    <mergeCell ref="J4:J19"/>
    <mergeCell ref="K4:K19"/>
    <mergeCell ref="L4:L19"/>
    <mergeCell ref="I6:I7"/>
    <mergeCell ref="I8:I9"/>
    <mergeCell ref="I10:I11"/>
    <mergeCell ref="I12:I13"/>
    <mergeCell ref="I14:I15"/>
    <mergeCell ref="I16:I17"/>
    <mergeCell ref="K23:K38"/>
    <mergeCell ref="L23:L38"/>
    <mergeCell ref="I25:I26"/>
    <mergeCell ref="I27:I28"/>
    <mergeCell ref="I29:I30"/>
    <mergeCell ref="I31:I32"/>
    <mergeCell ref="I33:I34"/>
    <mergeCell ref="I35:I36"/>
    <mergeCell ref="I37:I38"/>
    <mergeCell ref="I18:I19"/>
    <mergeCell ref="I23:I24"/>
    <mergeCell ref="J23:J38"/>
  </mergeCells>
  <phoneticPr fontId="49" type="noConversion"/>
  <conditionalFormatting sqref="D20:D21">
    <cfRule type="cellIs" dxfId="213" priority="2" stopIfTrue="1" operator="greaterThan">
      <formula>3000</formula>
    </cfRule>
  </conditionalFormatting>
  <conditionalFormatting sqref="G24 G26 G28 G30 G32 G34 G36 G38 G5 G7 G9 G11 G13 G15 G17 G19 E20:E21">
    <cfRule type="cellIs" dxfId="212" priority="3" stopIfTrue="1" operator="notBetween">
      <formula>-2</formula>
      <formula>2</formula>
    </cfRule>
  </conditionalFormatting>
  <conditionalFormatting sqref="H23:H38 H4:H19 F20:F21">
    <cfRule type="cellIs" dxfId="211" priority="1" stopIfTrue="1" operator="greaterThan">
      <formula>2</formula>
    </cfRule>
  </conditionalFormatting>
  <conditionalFormatting sqref="F4">
    <cfRule type="cellIs" dxfId="210" priority="4" stopIfTrue="1" operator="greaterThan">
      <formula>$E$4</formula>
    </cfRule>
  </conditionalFormatting>
  <conditionalFormatting sqref="F5">
    <cfRule type="cellIs" dxfId="209" priority="5" stopIfTrue="1" operator="greaterThan">
      <formula>$E$5</formula>
    </cfRule>
  </conditionalFormatting>
  <conditionalFormatting sqref="F6">
    <cfRule type="cellIs" dxfId="208" priority="6" stopIfTrue="1" operator="greaterThan">
      <formula>$E$6</formula>
    </cfRule>
  </conditionalFormatting>
  <conditionalFormatting sqref="F7">
    <cfRule type="cellIs" dxfId="207" priority="7" stopIfTrue="1" operator="greaterThan">
      <formula>$E$7</formula>
    </cfRule>
  </conditionalFormatting>
  <conditionalFormatting sqref="F8">
    <cfRule type="cellIs" dxfId="206" priority="8" stopIfTrue="1" operator="greaterThan">
      <formula>$E$8</formula>
    </cfRule>
  </conditionalFormatting>
  <conditionalFormatting sqref="F9">
    <cfRule type="cellIs" dxfId="205" priority="9" stopIfTrue="1" operator="greaterThan">
      <formula>$E$9</formula>
    </cfRule>
  </conditionalFormatting>
  <conditionalFormatting sqref="F10">
    <cfRule type="cellIs" dxfId="204" priority="10" stopIfTrue="1" operator="greaterThan">
      <formula>$E$10</formula>
    </cfRule>
  </conditionalFormatting>
  <conditionalFormatting sqref="F11">
    <cfRule type="cellIs" dxfId="203" priority="11" stopIfTrue="1" operator="greaterThan">
      <formula>$E$11</formula>
    </cfRule>
  </conditionalFormatting>
  <conditionalFormatting sqref="F12">
    <cfRule type="cellIs" dxfId="202" priority="12" stopIfTrue="1" operator="greaterThan">
      <formula>$E$12</formula>
    </cfRule>
  </conditionalFormatting>
  <conditionalFormatting sqref="F13">
    <cfRule type="cellIs" dxfId="201" priority="13" stopIfTrue="1" operator="greaterThan">
      <formula>$E$13</formula>
    </cfRule>
  </conditionalFormatting>
  <conditionalFormatting sqref="F14">
    <cfRule type="cellIs" dxfId="200" priority="14" stopIfTrue="1" operator="greaterThan">
      <formula>$E$14</formula>
    </cfRule>
  </conditionalFormatting>
  <conditionalFormatting sqref="F15">
    <cfRule type="cellIs" dxfId="199" priority="15" stopIfTrue="1" operator="greaterThan">
      <formula>$E$15</formula>
    </cfRule>
  </conditionalFormatting>
  <conditionalFormatting sqref="F16">
    <cfRule type="cellIs" dxfId="198" priority="16" stopIfTrue="1" operator="greaterThan">
      <formula>$E$16</formula>
    </cfRule>
  </conditionalFormatting>
  <conditionalFormatting sqref="F18">
    <cfRule type="cellIs" dxfId="197" priority="17" stopIfTrue="1" operator="greaterThan">
      <formula>$E$17</formula>
    </cfRule>
  </conditionalFormatting>
  <conditionalFormatting sqref="F19">
    <cfRule type="cellIs" dxfId="196" priority="18" stopIfTrue="1" operator="greaterThan">
      <formula>$E$18</formula>
    </cfRule>
  </conditionalFormatting>
  <conditionalFormatting sqref="F23">
    <cfRule type="cellIs" dxfId="195" priority="20" stopIfTrue="1" operator="greaterThan">
      <formula>$E$23</formula>
    </cfRule>
  </conditionalFormatting>
  <conditionalFormatting sqref="F24">
    <cfRule type="cellIs" dxfId="194" priority="21" stopIfTrue="1" operator="greaterThan">
      <formula>$E$24</formula>
    </cfRule>
  </conditionalFormatting>
  <conditionalFormatting sqref="F25">
    <cfRule type="cellIs" dxfId="193" priority="22" stopIfTrue="1" operator="greaterThan">
      <formula>$E$25</formula>
    </cfRule>
  </conditionalFormatting>
  <conditionalFormatting sqref="F26">
    <cfRule type="cellIs" dxfId="192" priority="23" stopIfTrue="1" operator="greaterThan">
      <formula>$E$26</formula>
    </cfRule>
  </conditionalFormatting>
  <conditionalFormatting sqref="F27">
    <cfRule type="cellIs" dxfId="191" priority="24" stopIfTrue="1" operator="greaterThan">
      <formula>$E$27</formula>
    </cfRule>
  </conditionalFormatting>
  <conditionalFormatting sqref="F28">
    <cfRule type="cellIs" dxfId="190" priority="25" stopIfTrue="1" operator="greaterThan">
      <formula>$E$28</formula>
    </cfRule>
  </conditionalFormatting>
  <conditionalFormatting sqref="F29">
    <cfRule type="cellIs" dxfId="189" priority="26" stopIfTrue="1" operator="greaterThan">
      <formula>$E$29</formula>
    </cfRule>
  </conditionalFormatting>
  <conditionalFormatting sqref="F30">
    <cfRule type="cellIs" dxfId="188" priority="27" stopIfTrue="1" operator="greaterThan">
      <formula>$E$30</formula>
    </cfRule>
  </conditionalFormatting>
  <conditionalFormatting sqref="F31">
    <cfRule type="cellIs" dxfId="187" priority="28" stopIfTrue="1" operator="greaterThan">
      <formula>$E$31</formula>
    </cfRule>
  </conditionalFormatting>
  <conditionalFormatting sqref="F32">
    <cfRule type="cellIs" dxfId="186" priority="29" stopIfTrue="1" operator="greaterThan">
      <formula>$E$32</formula>
    </cfRule>
  </conditionalFormatting>
  <conditionalFormatting sqref="F33">
    <cfRule type="cellIs" dxfId="185" priority="30" stopIfTrue="1" operator="greaterThan">
      <formula>$E$33</formula>
    </cfRule>
  </conditionalFormatting>
  <conditionalFormatting sqref="F34">
    <cfRule type="cellIs" dxfId="184" priority="31" stopIfTrue="1" operator="greaterThan">
      <formula>$E$34</formula>
    </cfRule>
  </conditionalFormatting>
  <conditionalFormatting sqref="F35">
    <cfRule type="cellIs" dxfId="183" priority="32" stopIfTrue="1" operator="greaterThan">
      <formula>$E$35</formula>
    </cfRule>
  </conditionalFormatting>
  <conditionalFormatting sqref="F36">
    <cfRule type="cellIs" dxfId="182" priority="33" stopIfTrue="1" operator="greaterThan">
      <formula>$E$36</formula>
    </cfRule>
  </conditionalFormatting>
  <conditionalFormatting sqref="F37">
    <cfRule type="cellIs" dxfId="181" priority="34" stopIfTrue="1" operator="greaterThan">
      <formula>$E$37</formula>
    </cfRule>
  </conditionalFormatting>
  <conditionalFormatting sqref="F38">
    <cfRule type="cellIs" dxfId="180" priority="35" stopIfTrue="1" operator="greaterThan">
      <formula>$E$38</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O11"/>
  <sheetViews>
    <sheetView workbookViewId="0">
      <selection activeCell="F9" sqref="F9"/>
    </sheetView>
  </sheetViews>
  <sheetFormatPr defaultColWidth="20.85546875" defaultRowHeight="16.5"/>
  <cols>
    <col min="1" max="1" width="26.5703125" style="1088" customWidth="1"/>
    <col min="2" max="2" width="20.85546875" style="1085" customWidth="1"/>
    <col min="3" max="3" width="24.85546875" style="1092" customWidth="1"/>
    <col min="4" max="5" width="20.85546875" style="1085" customWidth="1"/>
    <col min="6" max="7" width="20.85546875" style="1088" customWidth="1"/>
    <col min="8" max="8" width="15.7109375" style="1088" customWidth="1"/>
    <col min="9" max="9" width="27.42578125" style="1088" customWidth="1"/>
    <col min="10" max="16384" width="20.85546875" style="1088"/>
  </cols>
  <sheetData>
    <row r="1" spans="1:15" ht="28.5" thickBot="1">
      <c r="A1" s="1089" t="s">
        <v>1152</v>
      </c>
      <c r="B1" s="1091"/>
    </row>
    <row r="2" spans="1:15" s="1093" customFormat="1" ht="34.5" thickTop="1" thickBot="1">
      <c r="A2" s="1097" t="s">
        <v>739</v>
      </c>
      <c r="B2" s="1098" t="s">
        <v>726</v>
      </c>
      <c r="C2" s="1098" t="s">
        <v>740</v>
      </c>
      <c r="D2" s="1098" t="s">
        <v>882</v>
      </c>
      <c r="E2" s="1098" t="s">
        <v>1153</v>
      </c>
      <c r="F2" s="1100" t="s">
        <v>742</v>
      </c>
      <c r="G2" s="1101" t="s">
        <v>743</v>
      </c>
      <c r="H2" s="1099" t="s">
        <v>744</v>
      </c>
      <c r="I2" s="1099" t="s">
        <v>745</v>
      </c>
      <c r="J2" s="1099" t="s">
        <v>746</v>
      </c>
      <c r="K2" s="1099" t="s">
        <v>747</v>
      </c>
      <c r="L2" s="1096" t="s">
        <v>950</v>
      </c>
    </row>
    <row r="3" spans="1:15" s="1093" customFormat="1" ht="17.25" thickTop="1">
      <c r="A3" s="1103" t="s">
        <v>1154</v>
      </c>
      <c r="B3" s="995" t="s">
        <v>1154</v>
      </c>
      <c r="C3" s="916">
        <v>8000</v>
      </c>
      <c r="D3" s="1019">
        <v>989.89</v>
      </c>
      <c r="E3" s="1105">
        <f t="shared" ref="E3:E10" si="0">C3-D3</f>
        <v>7010.11</v>
      </c>
      <c r="F3" s="1137"/>
      <c r="G3" s="1086" t="s">
        <v>970</v>
      </c>
      <c r="H3" s="1102"/>
      <c r="I3" s="1283" t="s">
        <v>1170</v>
      </c>
      <c r="J3" s="1286">
        <v>2</v>
      </c>
      <c r="K3" s="1286" t="s">
        <v>1155</v>
      </c>
      <c r="L3" s="1288">
        <v>20</v>
      </c>
    </row>
    <row r="4" spans="1:15" s="1093" customFormat="1" ht="17.25" thickBot="1">
      <c r="A4" s="915" t="s">
        <v>1156</v>
      </c>
      <c r="B4" s="996" t="s">
        <v>1157</v>
      </c>
      <c r="C4" s="916">
        <v>8000</v>
      </c>
      <c r="D4" s="1020">
        <v>991.16</v>
      </c>
      <c r="E4" s="1105">
        <f t="shared" si="0"/>
        <v>7008.84</v>
      </c>
      <c r="F4" s="1137"/>
      <c r="G4" s="1086">
        <f>F3-F4</f>
        <v>0</v>
      </c>
      <c r="H4" s="1102"/>
      <c r="I4" s="1284"/>
      <c r="J4" s="1286"/>
      <c r="K4" s="1286"/>
      <c r="L4" s="1289"/>
      <c r="O4" s="1094"/>
    </row>
    <row r="5" spans="1:15" s="1093" customFormat="1" ht="17.25" thickTop="1">
      <c r="A5" s="915" t="s">
        <v>1158</v>
      </c>
      <c r="B5" s="995" t="s">
        <v>1159</v>
      </c>
      <c r="C5" s="916">
        <v>8000</v>
      </c>
      <c r="D5" s="1019">
        <v>837.1</v>
      </c>
      <c r="E5" s="1105">
        <f t="shared" si="0"/>
        <v>7162.9</v>
      </c>
      <c r="F5" s="1137"/>
      <c r="G5" s="1086">
        <f>F3-F5</f>
        <v>0</v>
      </c>
      <c r="H5" s="1102"/>
      <c r="I5" s="1284"/>
      <c r="J5" s="1286"/>
      <c r="K5" s="1286"/>
      <c r="L5" s="1289"/>
    </row>
    <row r="6" spans="1:15" s="1093" customFormat="1" ht="17.25" thickBot="1">
      <c r="A6" s="915" t="s">
        <v>1160</v>
      </c>
      <c r="B6" s="996" t="s">
        <v>1161</v>
      </c>
      <c r="C6" s="916">
        <v>8000</v>
      </c>
      <c r="D6" s="1020">
        <v>838.53</v>
      </c>
      <c r="E6" s="1105">
        <f t="shared" si="0"/>
        <v>7161.47</v>
      </c>
      <c r="F6" s="1137"/>
      <c r="G6" s="1086">
        <f>F5-F6</f>
        <v>0</v>
      </c>
      <c r="H6" s="1102"/>
      <c r="I6" s="1284"/>
      <c r="J6" s="1286"/>
      <c r="K6" s="1286"/>
      <c r="L6" s="1289"/>
      <c r="N6" s="1095"/>
    </row>
    <row r="7" spans="1:15" s="1093" customFormat="1" ht="17.25" thickTop="1">
      <c r="A7" s="915" t="s">
        <v>1162</v>
      </c>
      <c r="B7" s="995" t="s">
        <v>1163</v>
      </c>
      <c r="C7" s="916">
        <v>8000</v>
      </c>
      <c r="D7" s="1019">
        <v>709.72</v>
      </c>
      <c r="E7" s="1105">
        <f t="shared" si="0"/>
        <v>7290.28</v>
      </c>
      <c r="F7" s="1137"/>
      <c r="G7" s="1086">
        <f>F3-F7</f>
        <v>0</v>
      </c>
      <c r="H7" s="1102"/>
      <c r="I7" s="1284"/>
      <c r="J7" s="1286"/>
      <c r="K7" s="1286"/>
      <c r="L7" s="1289"/>
      <c r="O7" s="1094"/>
    </row>
    <row r="8" spans="1:15" s="1093" customFormat="1" ht="17.25" thickBot="1">
      <c r="A8" s="915" t="s">
        <v>1164</v>
      </c>
      <c r="B8" s="996" t="s">
        <v>1165</v>
      </c>
      <c r="C8" s="916">
        <v>8000</v>
      </c>
      <c r="D8" s="1020">
        <v>710.98</v>
      </c>
      <c r="E8" s="1105">
        <f t="shared" si="0"/>
        <v>7289.02</v>
      </c>
      <c r="F8" s="1137"/>
      <c r="G8" s="1086">
        <f>F7-F8</f>
        <v>0</v>
      </c>
      <c r="H8" s="1102"/>
      <c r="I8" s="1284"/>
      <c r="J8" s="1286"/>
      <c r="K8" s="1286"/>
      <c r="L8" s="1289"/>
    </row>
    <row r="9" spans="1:15" s="1093" customFormat="1" ht="17.25" thickTop="1">
      <c r="A9" s="915" t="s">
        <v>1166</v>
      </c>
      <c r="B9" s="995" t="s">
        <v>1167</v>
      </c>
      <c r="C9" s="916">
        <v>8000</v>
      </c>
      <c r="D9" s="1019">
        <v>502.14</v>
      </c>
      <c r="E9" s="1105">
        <f t="shared" si="0"/>
        <v>7497.86</v>
      </c>
      <c r="F9" s="1137"/>
      <c r="G9" s="1086">
        <f>F3-F9</f>
        <v>0</v>
      </c>
      <c r="H9" s="1102"/>
      <c r="I9" s="1284"/>
      <c r="J9" s="1286"/>
      <c r="K9" s="1286"/>
      <c r="L9" s="1289"/>
      <c r="N9" s="1095"/>
    </row>
    <row r="10" spans="1:15" s="1093" customFormat="1" ht="17.25" thickBot="1">
      <c r="A10" s="1104" t="s">
        <v>1168</v>
      </c>
      <c r="B10" s="996" t="s">
        <v>1169</v>
      </c>
      <c r="C10" s="1106">
        <v>8000</v>
      </c>
      <c r="D10" s="1020">
        <v>501.58</v>
      </c>
      <c r="E10" s="1107">
        <f t="shared" si="0"/>
        <v>7498.42</v>
      </c>
      <c r="F10" s="1142"/>
      <c r="G10" s="1090">
        <f>F9-F10</f>
        <v>0</v>
      </c>
      <c r="H10" s="1087"/>
      <c r="I10" s="1285"/>
      <c r="J10" s="1287"/>
      <c r="K10" s="1287"/>
      <c r="L10" s="1290"/>
      <c r="O10" s="1094"/>
    </row>
    <row r="11" spans="1:15" ht="17.25" thickTop="1"/>
  </sheetData>
  <sheetProtection password="AAE5" sheet="1" objects="1" scenarios="1" selectLockedCells="1"/>
  <mergeCells count="4">
    <mergeCell ref="I3:I10"/>
    <mergeCell ref="J3:J10"/>
    <mergeCell ref="K3:K10"/>
    <mergeCell ref="L3:L10"/>
  </mergeCells>
  <phoneticPr fontId="49" type="noConversion"/>
  <conditionalFormatting sqref="H3:H10">
    <cfRule type="cellIs" dxfId="179" priority="1" stopIfTrue="1" operator="greaterThan">
      <formula>2</formula>
    </cfRule>
  </conditionalFormatting>
  <conditionalFormatting sqref="G5 G7 G9">
    <cfRule type="cellIs" dxfId="178" priority="2" stopIfTrue="1" operator="notBetween">
      <formula>-1000</formula>
      <formula>1000</formula>
    </cfRule>
  </conditionalFormatting>
  <conditionalFormatting sqref="G4 G6 G8 G10">
    <cfRule type="cellIs" dxfId="177" priority="3" stopIfTrue="1" operator="notBetween">
      <formula>-2</formula>
      <formula>2</formula>
    </cfRule>
  </conditionalFormatting>
  <conditionalFormatting sqref="F3">
    <cfRule type="cellIs" dxfId="176" priority="4" stopIfTrue="1" operator="greaterThan">
      <formula>$E$3</formula>
    </cfRule>
  </conditionalFormatting>
  <conditionalFormatting sqref="F4">
    <cfRule type="cellIs" dxfId="175" priority="5" stopIfTrue="1" operator="greaterThan">
      <formula>$E$4</formula>
    </cfRule>
  </conditionalFormatting>
  <conditionalFormatting sqref="F5">
    <cfRule type="cellIs" dxfId="174" priority="6" stopIfTrue="1" operator="greaterThan">
      <formula>$E$5</formula>
    </cfRule>
  </conditionalFormatting>
  <conditionalFormatting sqref="F6">
    <cfRule type="cellIs" dxfId="173" priority="7" stopIfTrue="1" operator="greaterThan">
      <formula>$E$6</formula>
    </cfRule>
  </conditionalFormatting>
  <conditionalFormatting sqref="F7">
    <cfRule type="cellIs" dxfId="172" priority="8" stopIfTrue="1" operator="greaterThan">
      <formula>$E$7</formula>
    </cfRule>
  </conditionalFormatting>
  <conditionalFormatting sqref="F8">
    <cfRule type="cellIs" dxfId="171" priority="9" stopIfTrue="1" operator="greaterThan">
      <formula>$E$8</formula>
    </cfRule>
  </conditionalFormatting>
  <conditionalFormatting sqref="F9">
    <cfRule type="cellIs" dxfId="170" priority="10" stopIfTrue="1" operator="greaterThan">
      <formula>$E$9</formula>
    </cfRule>
  </conditionalFormatting>
  <conditionalFormatting sqref="F10">
    <cfRule type="cellIs" dxfId="169" priority="11" stopIfTrue="1" operator="greaterThan">
      <formula>$E$10</formula>
    </cfRule>
  </conditionalFormatting>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P10"/>
  <sheetViews>
    <sheetView workbookViewId="0">
      <selection activeCell="H9" sqref="H9"/>
    </sheetView>
  </sheetViews>
  <sheetFormatPr defaultColWidth="10.28515625" defaultRowHeight="16.5"/>
  <cols>
    <col min="1" max="1" width="28.140625" style="1111" customWidth="1"/>
    <col min="2" max="2" width="21.85546875" style="1109" customWidth="1"/>
    <col min="3" max="3" width="25.42578125" style="1123" customWidth="1"/>
    <col min="4" max="4" width="18.28515625" style="1119" customWidth="1"/>
    <col min="5" max="5" width="24.5703125" style="1109" customWidth="1"/>
    <col min="6" max="6" width="19.140625" style="1111" customWidth="1"/>
    <col min="7" max="7" width="12" style="1111" customWidth="1"/>
    <col min="8" max="8" width="17.85546875" style="1111" customWidth="1"/>
    <col min="9" max="9" width="17.7109375" style="1111" customWidth="1"/>
    <col min="10" max="10" width="13.42578125" style="1111" customWidth="1"/>
    <col min="11" max="11" width="17.7109375" style="1111" customWidth="1"/>
    <col min="12" max="12" width="14.7109375" style="1111" customWidth="1"/>
    <col min="13" max="13" width="25.85546875" style="1111" customWidth="1"/>
    <col min="14" max="16384" width="10.28515625" style="1111"/>
  </cols>
  <sheetData>
    <row r="1" spans="1:16" ht="28.5" thickBot="1">
      <c r="A1" s="1114" t="s">
        <v>1171</v>
      </c>
      <c r="B1" s="1117"/>
      <c r="C1" s="1118"/>
    </row>
    <row r="2" spans="1:16" s="1120" customFormat="1" ht="34.5" thickTop="1" thickBot="1">
      <c r="A2" s="1113" t="s">
        <v>739</v>
      </c>
      <c r="B2" s="1128" t="s">
        <v>726</v>
      </c>
      <c r="C2" s="1128" t="s">
        <v>740</v>
      </c>
      <c r="D2" s="1128" t="s">
        <v>882</v>
      </c>
      <c r="E2" s="1128" t="s">
        <v>949</v>
      </c>
      <c r="F2" s="1125" t="s">
        <v>742</v>
      </c>
      <c r="G2" s="1126" t="s">
        <v>743</v>
      </c>
      <c r="H2" s="1124" t="s">
        <v>744</v>
      </c>
      <c r="I2" s="1124" t="s">
        <v>745</v>
      </c>
      <c r="J2" s="1112" t="s">
        <v>1172</v>
      </c>
      <c r="K2" s="1112" t="s">
        <v>1173</v>
      </c>
      <c r="L2" s="1129" t="s">
        <v>1174</v>
      </c>
      <c r="M2" s="1127" t="s">
        <v>950</v>
      </c>
    </row>
    <row r="3" spans="1:16" s="1120" customFormat="1" ht="17.25" thickTop="1">
      <c r="A3" s="982" t="s">
        <v>1175</v>
      </c>
      <c r="B3" s="1133" t="s">
        <v>1175</v>
      </c>
      <c r="C3" s="1130">
        <v>14000</v>
      </c>
      <c r="D3" s="1084">
        <v>6012.21</v>
      </c>
      <c r="E3" s="988">
        <f t="shared" ref="E3:E9" si="0">C3-D3</f>
        <v>7987.79</v>
      </c>
      <c r="F3" s="901"/>
      <c r="G3" s="1116" t="s">
        <v>970</v>
      </c>
      <c r="H3" s="1108"/>
      <c r="I3" s="1270" t="s">
        <v>1186</v>
      </c>
      <c r="J3" s="1291">
        <v>2</v>
      </c>
      <c r="K3" s="1291" t="s">
        <v>1176</v>
      </c>
      <c r="L3" s="1295">
        <v>15</v>
      </c>
      <c r="M3" s="1271">
        <v>15</v>
      </c>
    </row>
    <row r="4" spans="1:16" s="1120" customFormat="1">
      <c r="A4" s="983" t="s">
        <v>600</v>
      </c>
      <c r="B4" s="1133" t="s">
        <v>1177</v>
      </c>
      <c r="C4" s="1131">
        <v>14000</v>
      </c>
      <c r="D4" s="1024">
        <v>6072.14</v>
      </c>
      <c r="E4" s="990">
        <f t="shared" si="0"/>
        <v>7927.86</v>
      </c>
      <c r="F4" s="912"/>
      <c r="G4" s="1110">
        <f>F3-F4</f>
        <v>0</v>
      </c>
      <c r="H4" s="842"/>
      <c r="I4" s="1268"/>
      <c r="J4" s="1292"/>
      <c r="K4" s="1292"/>
      <c r="L4" s="1296"/>
      <c r="M4" s="1272"/>
      <c r="P4" s="1121"/>
    </row>
    <row r="5" spans="1:16" s="1120" customFormat="1">
      <c r="A5" s="983" t="s">
        <v>1178</v>
      </c>
      <c r="B5" s="1133" t="s">
        <v>1178</v>
      </c>
      <c r="C5" s="1131">
        <v>14000</v>
      </c>
      <c r="D5" s="826">
        <v>5984.75</v>
      </c>
      <c r="E5" s="990">
        <f t="shared" si="0"/>
        <v>8015.25</v>
      </c>
      <c r="F5" s="912"/>
      <c r="G5" s="1110">
        <f>F3-F5</f>
        <v>0</v>
      </c>
      <c r="H5" s="842"/>
      <c r="I5" s="1268"/>
      <c r="J5" s="1292"/>
      <c r="K5" s="1292"/>
      <c r="L5" s="1296"/>
      <c r="M5" s="1272"/>
    </row>
    <row r="6" spans="1:16" s="1120" customFormat="1">
      <c r="A6" s="983" t="s">
        <v>1179</v>
      </c>
      <c r="B6" s="1133" t="s">
        <v>1180</v>
      </c>
      <c r="C6" s="1131">
        <v>14000</v>
      </c>
      <c r="D6" s="826">
        <v>6031.53</v>
      </c>
      <c r="E6" s="990">
        <f t="shared" si="0"/>
        <v>7968.47</v>
      </c>
      <c r="F6" s="912"/>
      <c r="G6" s="1110">
        <f>F3-F6</f>
        <v>0</v>
      </c>
      <c r="H6" s="842"/>
      <c r="I6" s="1268"/>
      <c r="J6" s="1292"/>
      <c r="K6" s="1292"/>
      <c r="L6" s="1296"/>
      <c r="M6" s="1272"/>
      <c r="O6" s="1122"/>
    </row>
    <row r="7" spans="1:16" s="1120" customFormat="1">
      <c r="A7" s="983" t="s">
        <v>1181</v>
      </c>
      <c r="B7" s="1133" t="s">
        <v>1182</v>
      </c>
      <c r="C7" s="1131">
        <v>14000</v>
      </c>
      <c r="D7" s="826">
        <v>6013.95</v>
      </c>
      <c r="E7" s="990">
        <f t="shared" si="0"/>
        <v>7986.05</v>
      </c>
      <c r="F7" s="912"/>
      <c r="G7" s="1110">
        <f>F3-F7</f>
        <v>0</v>
      </c>
      <c r="H7" s="842"/>
      <c r="I7" s="1274"/>
      <c r="J7" s="1293"/>
      <c r="K7" s="1293"/>
      <c r="L7" s="1296"/>
      <c r="M7" s="1272"/>
      <c r="O7" s="1122"/>
    </row>
    <row r="8" spans="1:16" s="1120" customFormat="1">
      <c r="A8" s="983" t="s">
        <v>1183</v>
      </c>
      <c r="B8" s="1133" t="s">
        <v>1184</v>
      </c>
      <c r="C8" s="1131">
        <v>14000</v>
      </c>
      <c r="D8" s="826"/>
      <c r="E8" s="990">
        <f t="shared" si="0"/>
        <v>14000</v>
      </c>
      <c r="F8" s="912"/>
      <c r="G8" s="1110">
        <f>F3-F8</f>
        <v>0</v>
      </c>
      <c r="H8" s="842"/>
      <c r="I8" s="1274"/>
      <c r="J8" s="1293"/>
      <c r="K8" s="1293"/>
      <c r="L8" s="1296"/>
      <c r="M8" s="1272"/>
      <c r="O8" s="1122"/>
    </row>
    <row r="9" spans="1:16" s="1120" customFormat="1" ht="17.25" thickBot="1">
      <c r="A9" s="984" t="s">
        <v>1</v>
      </c>
      <c r="B9" s="1134" t="s">
        <v>1185</v>
      </c>
      <c r="C9" s="1132">
        <v>14000</v>
      </c>
      <c r="D9" s="826">
        <v>6084</v>
      </c>
      <c r="E9" s="1005">
        <f t="shared" si="0"/>
        <v>7916</v>
      </c>
      <c r="F9" s="903"/>
      <c r="G9" s="1115">
        <f>F3-F9</f>
        <v>0</v>
      </c>
      <c r="H9" s="844"/>
      <c r="I9" s="1269"/>
      <c r="J9" s="1294"/>
      <c r="K9" s="1294"/>
      <c r="L9" s="1297"/>
      <c r="M9" s="1273"/>
      <c r="P9" s="1121"/>
    </row>
    <row r="10" spans="1:16" ht="17.25" thickTop="1"/>
  </sheetData>
  <sheetProtection password="AAE5" sheet="1" objects="1" scenarios="1" selectLockedCells="1"/>
  <mergeCells count="5">
    <mergeCell ref="I3:I9"/>
    <mergeCell ref="J3:J9"/>
    <mergeCell ref="K3:K9"/>
    <mergeCell ref="L3:L9"/>
    <mergeCell ref="M3:M9"/>
  </mergeCells>
  <phoneticPr fontId="49" type="noConversion"/>
  <conditionalFormatting sqref="G4:G9">
    <cfRule type="cellIs" dxfId="168" priority="1" stopIfTrue="1" operator="notBetween">
      <formula>-250</formula>
      <formula>250</formula>
    </cfRule>
  </conditionalFormatting>
  <conditionalFormatting sqref="F3">
    <cfRule type="cellIs" dxfId="167" priority="2" stopIfTrue="1" operator="greaterThan">
      <formula>$E$3</formula>
    </cfRule>
  </conditionalFormatting>
  <conditionalFormatting sqref="F4">
    <cfRule type="cellIs" dxfId="166" priority="3" stopIfTrue="1" operator="greaterThan">
      <formula>$E$4</formula>
    </cfRule>
  </conditionalFormatting>
  <conditionalFormatting sqref="F5">
    <cfRule type="cellIs" dxfId="165" priority="4" stopIfTrue="1" operator="greaterThan">
      <formula>$E$5</formula>
    </cfRule>
  </conditionalFormatting>
  <conditionalFormatting sqref="F6">
    <cfRule type="cellIs" dxfId="164" priority="5" stopIfTrue="1" operator="greaterThan">
      <formula>$E$6</formula>
    </cfRule>
  </conditionalFormatting>
  <conditionalFormatting sqref="F7">
    <cfRule type="cellIs" dxfId="163" priority="6" stopIfTrue="1" operator="greaterThan">
      <formula>$E$7</formula>
    </cfRule>
  </conditionalFormatting>
  <conditionalFormatting sqref="F8">
    <cfRule type="cellIs" dxfId="162" priority="7" stopIfTrue="1" operator="greaterThan">
      <formula>$E$8</formula>
    </cfRule>
  </conditionalFormatting>
  <conditionalFormatting sqref="F9">
    <cfRule type="cellIs" dxfId="161" priority="8" stopIfTrue="1" operator="greaterThan">
      <formula>$E$9</formula>
    </cfRule>
  </conditionalFormatting>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P14"/>
  <sheetViews>
    <sheetView workbookViewId="0">
      <selection activeCell="F3" sqref="F3"/>
    </sheetView>
  </sheetViews>
  <sheetFormatPr defaultColWidth="10.28515625" defaultRowHeight="16.5"/>
  <cols>
    <col min="1" max="1" width="27.42578125" style="1145" customWidth="1"/>
    <col min="2" max="2" width="24.42578125" style="1139" customWidth="1"/>
    <col min="3" max="3" width="24.7109375" style="1156" customWidth="1"/>
    <col min="4" max="4" width="17.5703125" style="1139" customWidth="1"/>
    <col min="5" max="5" width="32.28515625" style="1139" customWidth="1"/>
    <col min="6" max="6" width="20.5703125" style="1138" customWidth="1"/>
    <col min="7" max="7" width="15.85546875" style="1145" customWidth="1"/>
    <col min="8" max="8" width="12.5703125" style="1145" customWidth="1"/>
    <col min="9" max="9" width="19.28515625" style="1138" customWidth="1"/>
    <col min="10" max="10" width="10.28515625" style="1145"/>
    <col min="11" max="11" width="15.28515625" style="1145" customWidth="1"/>
    <col min="12" max="12" width="15" style="1145" customWidth="1"/>
    <col min="13" max="13" width="21.28515625" style="1145" customWidth="1"/>
    <col min="14" max="16384" width="10.28515625" style="1145"/>
  </cols>
  <sheetData>
    <row r="1" spans="1:16" ht="28.5" thickBot="1">
      <c r="A1" s="1151" t="s">
        <v>1190</v>
      </c>
      <c r="B1" s="1154"/>
    </row>
    <row r="2" spans="1:16" s="1157" customFormat="1" ht="34.5" thickTop="1" thickBot="1">
      <c r="A2" s="1147" t="s">
        <v>1191</v>
      </c>
      <c r="B2" s="1172" t="s">
        <v>726</v>
      </c>
      <c r="C2" s="1172" t="s">
        <v>1192</v>
      </c>
      <c r="D2" s="1172" t="s">
        <v>882</v>
      </c>
      <c r="E2" s="1172" t="s">
        <v>1193</v>
      </c>
      <c r="F2" s="1148" t="s">
        <v>1194</v>
      </c>
      <c r="G2" s="1165" t="s">
        <v>1195</v>
      </c>
      <c r="H2" s="1163" t="s">
        <v>1196</v>
      </c>
      <c r="I2" s="1163" t="s">
        <v>1197</v>
      </c>
      <c r="J2" s="1150" t="s">
        <v>1198</v>
      </c>
      <c r="K2" s="1150" t="s">
        <v>1199</v>
      </c>
      <c r="L2" s="1150" t="s">
        <v>1200</v>
      </c>
      <c r="M2" s="1150" t="s">
        <v>1201</v>
      </c>
    </row>
    <row r="3" spans="1:16" s="1157" customFormat="1" ht="17.25" thickTop="1">
      <c r="A3" s="1168" t="s">
        <v>1202</v>
      </c>
      <c r="B3" s="1189" t="s">
        <v>1202</v>
      </c>
      <c r="C3" s="1176">
        <v>12000</v>
      </c>
      <c r="D3" s="1021">
        <v>4405</v>
      </c>
      <c r="E3" s="988">
        <f t="shared" ref="E3:E11" si="0">C3-D3</f>
        <v>7595</v>
      </c>
      <c r="F3" s="901"/>
      <c r="G3" s="1153" t="s">
        <v>1203</v>
      </c>
      <c r="H3" s="1136"/>
      <c r="I3" s="1298" t="s">
        <v>1214</v>
      </c>
      <c r="J3" s="1301">
        <v>2</v>
      </c>
      <c r="K3" s="1304" t="s">
        <v>1205</v>
      </c>
      <c r="L3" s="1304">
        <v>15</v>
      </c>
      <c r="M3" s="1271">
        <v>15</v>
      </c>
    </row>
    <row r="4" spans="1:16" s="1157" customFormat="1">
      <c r="A4" s="1177" t="s">
        <v>1206</v>
      </c>
      <c r="B4" s="1191" t="s">
        <v>1206</v>
      </c>
      <c r="C4" s="1178">
        <v>12000</v>
      </c>
      <c r="D4" s="826">
        <v>4319</v>
      </c>
      <c r="E4" s="989">
        <f t="shared" si="0"/>
        <v>7681</v>
      </c>
      <c r="F4" s="912"/>
      <c r="G4" s="1141">
        <f>F3-F4</f>
        <v>0</v>
      </c>
      <c r="H4" s="842"/>
      <c r="I4" s="1299"/>
      <c r="J4" s="1302"/>
      <c r="K4" s="1305"/>
      <c r="L4" s="1305"/>
      <c r="M4" s="1272"/>
      <c r="P4" s="1158"/>
    </row>
    <row r="5" spans="1:16" s="1157" customFormat="1">
      <c r="A5" s="1177" t="s">
        <v>1207</v>
      </c>
      <c r="B5" s="1191" t="s">
        <v>1207</v>
      </c>
      <c r="C5" s="1178">
        <v>12000</v>
      </c>
      <c r="D5" s="826">
        <v>4317</v>
      </c>
      <c r="E5" s="990">
        <f t="shared" si="0"/>
        <v>7683</v>
      </c>
      <c r="F5" s="912"/>
      <c r="G5" s="1141">
        <f>F3-F5</f>
        <v>0</v>
      </c>
      <c r="H5" s="842"/>
      <c r="I5" s="1299"/>
      <c r="J5" s="1302"/>
      <c r="K5" s="1305"/>
      <c r="L5" s="1305"/>
      <c r="M5" s="1272"/>
    </row>
    <row r="6" spans="1:16" s="1157" customFormat="1">
      <c r="A6" s="1177" t="s">
        <v>1208</v>
      </c>
      <c r="B6" s="1191" t="s">
        <v>1208</v>
      </c>
      <c r="C6" s="1178">
        <v>12000</v>
      </c>
      <c r="D6" s="826">
        <v>4317</v>
      </c>
      <c r="E6" s="990">
        <f t="shared" si="0"/>
        <v>7683</v>
      </c>
      <c r="F6" s="912"/>
      <c r="G6" s="1141">
        <f>F3-F6</f>
        <v>0</v>
      </c>
      <c r="H6" s="842"/>
      <c r="I6" s="1299"/>
      <c r="J6" s="1302"/>
      <c r="K6" s="1305"/>
      <c r="L6" s="1305"/>
      <c r="M6" s="1272"/>
      <c r="O6" s="1159"/>
    </row>
    <row r="7" spans="1:16" s="1157" customFormat="1">
      <c r="A7" s="1177" t="s">
        <v>1209</v>
      </c>
      <c r="B7" s="1191" t="s">
        <v>1210</v>
      </c>
      <c r="C7" s="1178">
        <v>12000</v>
      </c>
      <c r="D7" s="826">
        <v>4323</v>
      </c>
      <c r="E7" s="990">
        <f t="shared" si="0"/>
        <v>7677</v>
      </c>
      <c r="F7" s="912"/>
      <c r="G7" s="1141">
        <f>F3-F7</f>
        <v>0</v>
      </c>
      <c r="H7" s="842"/>
      <c r="I7" s="1299"/>
      <c r="J7" s="1302"/>
      <c r="K7" s="1305"/>
      <c r="L7" s="1305"/>
      <c r="M7" s="1272"/>
      <c r="P7" s="1158"/>
    </row>
    <row r="8" spans="1:16" s="1157" customFormat="1">
      <c r="A8" s="1177" t="s">
        <v>1211</v>
      </c>
      <c r="B8" s="1191" t="s">
        <v>1204</v>
      </c>
      <c r="C8" s="1178">
        <v>12000</v>
      </c>
      <c r="D8" s="826"/>
      <c r="E8" s="990">
        <f t="shared" si="0"/>
        <v>12000</v>
      </c>
      <c r="F8" s="912"/>
      <c r="G8" s="1141">
        <f>F3-F8</f>
        <v>0</v>
      </c>
      <c r="H8" s="842"/>
      <c r="I8" s="1299"/>
      <c r="J8" s="1302"/>
      <c r="K8" s="1305"/>
      <c r="L8" s="1305"/>
      <c r="M8" s="1272"/>
    </row>
    <row r="9" spans="1:16" s="1157" customFormat="1">
      <c r="A9" s="1177" t="s">
        <v>1212</v>
      </c>
      <c r="B9" s="1191" t="s">
        <v>1204</v>
      </c>
      <c r="C9" s="1178">
        <v>12000</v>
      </c>
      <c r="D9" s="826"/>
      <c r="E9" s="1003">
        <f t="shared" si="0"/>
        <v>12000</v>
      </c>
      <c r="F9" s="912"/>
      <c r="G9" s="1141">
        <f>F3-F9</f>
        <v>0</v>
      </c>
      <c r="H9" s="842"/>
      <c r="I9" s="1299"/>
      <c r="J9" s="1302"/>
      <c r="K9" s="1305"/>
      <c r="L9" s="1305"/>
      <c r="M9" s="1272"/>
      <c r="O9" s="1159"/>
    </row>
    <row r="10" spans="1:16" s="1157" customFormat="1" ht="17.25" thickBot="1">
      <c r="A10" s="1169" t="s">
        <v>1213</v>
      </c>
      <c r="B10" s="1190" t="s">
        <v>1187</v>
      </c>
      <c r="C10" s="1180">
        <v>12000</v>
      </c>
      <c r="D10" s="826">
        <v>4415</v>
      </c>
      <c r="E10" s="1002">
        <f t="shared" si="0"/>
        <v>7585</v>
      </c>
      <c r="F10" s="903"/>
      <c r="G10" s="1152">
        <f>F3-F10</f>
        <v>0</v>
      </c>
      <c r="H10" s="844"/>
      <c r="I10" s="1299"/>
      <c r="J10" s="1302"/>
      <c r="K10" s="1305"/>
      <c r="L10" s="1305"/>
      <c r="M10" s="1272"/>
      <c r="P10" s="1158"/>
    </row>
    <row r="11" spans="1:16" s="1157" customFormat="1" ht="18" thickTop="1" thickBot="1">
      <c r="A11" s="1169" t="s">
        <v>1188</v>
      </c>
      <c r="B11" s="1190" t="s">
        <v>1189</v>
      </c>
      <c r="C11" s="1180">
        <v>12000</v>
      </c>
      <c r="D11" s="826">
        <v>4349</v>
      </c>
      <c r="E11" s="1002">
        <f t="shared" si="0"/>
        <v>7651</v>
      </c>
      <c r="F11" s="903"/>
      <c r="G11" s="1152">
        <f>F4-F11</f>
        <v>0</v>
      </c>
      <c r="H11" s="844"/>
      <c r="I11" s="1300"/>
      <c r="J11" s="1303"/>
      <c r="K11" s="1306"/>
      <c r="L11" s="1306"/>
      <c r="M11" s="1273"/>
      <c r="P11" s="1158"/>
    </row>
    <row r="12" spans="1:16" ht="17.25" thickTop="1"/>
    <row r="14" spans="1:16">
      <c r="E14" s="987"/>
    </row>
  </sheetData>
  <sheetProtection password="AAE5" sheet="1" objects="1" scenarios="1" selectLockedCells="1"/>
  <mergeCells count="5">
    <mergeCell ref="I3:I11"/>
    <mergeCell ref="J3:J11"/>
    <mergeCell ref="K3:K11"/>
    <mergeCell ref="L3:L11"/>
    <mergeCell ref="M3:M11"/>
  </mergeCells>
  <phoneticPr fontId="49" type="noConversion"/>
  <conditionalFormatting sqref="F3">
    <cfRule type="cellIs" dxfId="160" priority="3" stopIfTrue="1" operator="greaterThan">
      <formula>$E$3</formula>
    </cfRule>
  </conditionalFormatting>
  <conditionalFormatting sqref="F4">
    <cfRule type="cellIs" dxfId="159" priority="4" stopIfTrue="1" operator="greaterThan">
      <formula>$E$4</formula>
    </cfRule>
  </conditionalFormatting>
  <conditionalFormatting sqref="F5">
    <cfRule type="cellIs" dxfId="158" priority="5" stopIfTrue="1" operator="greaterThan">
      <formula>$E$5</formula>
    </cfRule>
  </conditionalFormatting>
  <conditionalFormatting sqref="F6">
    <cfRule type="cellIs" dxfId="157" priority="6" stopIfTrue="1" operator="greaterThan">
      <formula>$E$6</formula>
    </cfRule>
  </conditionalFormatting>
  <conditionalFormatting sqref="F7">
    <cfRule type="cellIs" dxfId="156" priority="7" stopIfTrue="1" operator="greaterThan">
      <formula>$E$7</formula>
    </cfRule>
  </conditionalFormatting>
  <conditionalFormatting sqref="F8">
    <cfRule type="cellIs" dxfId="155" priority="8" stopIfTrue="1" operator="greaterThan">
      <formula>$E$8</formula>
    </cfRule>
  </conditionalFormatting>
  <conditionalFormatting sqref="F9">
    <cfRule type="cellIs" dxfId="154" priority="9" stopIfTrue="1" operator="greaterThan">
      <formula>$E$9</formula>
    </cfRule>
  </conditionalFormatting>
  <conditionalFormatting sqref="F10">
    <cfRule type="cellIs" dxfId="153" priority="10" stopIfTrue="1" operator="greaterThan">
      <formula>$E$10</formula>
    </cfRule>
  </conditionalFormatting>
  <conditionalFormatting sqref="G4:G10">
    <cfRule type="cellIs" dxfId="152" priority="11" stopIfTrue="1" operator="notBetween">
      <formula>-250</formula>
      <formula>250</formula>
    </cfRule>
  </conditionalFormatting>
  <conditionalFormatting sqref="F11">
    <cfRule type="cellIs" dxfId="151" priority="1" stopIfTrue="1" operator="greaterThan">
      <formula>$E$10</formula>
    </cfRule>
  </conditionalFormatting>
  <conditionalFormatting sqref="G11">
    <cfRule type="cellIs" dxfId="150" priority="2" stopIfTrue="1" operator="notBetween">
      <formula>-250</formula>
      <formula>250</formula>
    </cfRule>
  </conditionalFormatting>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P7"/>
  <sheetViews>
    <sheetView workbookViewId="0">
      <selection activeCell="F3" sqref="F3"/>
    </sheetView>
  </sheetViews>
  <sheetFormatPr defaultColWidth="10.28515625" defaultRowHeight="16.5"/>
  <cols>
    <col min="1" max="1" width="26.42578125" style="1145" customWidth="1"/>
    <col min="2" max="2" width="17.28515625" style="1139" customWidth="1"/>
    <col min="3" max="3" width="26.85546875" style="1160" customWidth="1"/>
    <col min="4" max="4" width="18.28515625" style="1156" customWidth="1"/>
    <col min="5" max="5" width="25" style="1139" customWidth="1"/>
    <col min="6" max="6" width="22.5703125" style="1138" customWidth="1"/>
    <col min="7" max="7" width="12.28515625" style="1145" customWidth="1"/>
    <col min="8" max="8" width="12" style="1145" customWidth="1"/>
    <col min="9" max="9" width="17.85546875" style="1145" customWidth="1"/>
    <col min="10" max="10" width="10.28515625" style="1145"/>
    <col min="11" max="11" width="16.5703125" style="1145" customWidth="1"/>
    <col min="12" max="12" width="21.7109375" style="1145" customWidth="1"/>
    <col min="13" max="13" width="23.85546875" style="1145" customWidth="1"/>
    <col min="14" max="16384" width="10.28515625" style="1145"/>
  </cols>
  <sheetData>
    <row r="1" spans="1:16" ht="28.5" thickBot="1">
      <c r="A1" s="1151" t="s">
        <v>1215</v>
      </c>
      <c r="B1" s="1154"/>
      <c r="C1" s="1155"/>
    </row>
    <row r="2" spans="1:16" s="1157" customFormat="1" ht="34.5" thickTop="1" thickBot="1">
      <c r="A2" s="1147" t="s">
        <v>739</v>
      </c>
      <c r="B2" s="1172" t="s">
        <v>726</v>
      </c>
      <c r="C2" s="1172" t="s">
        <v>740</v>
      </c>
      <c r="D2" s="1172" t="s">
        <v>882</v>
      </c>
      <c r="E2" s="1172" t="s">
        <v>949</v>
      </c>
      <c r="F2" s="1148" t="s">
        <v>742</v>
      </c>
      <c r="G2" s="1149" t="s">
        <v>743</v>
      </c>
      <c r="H2" s="1146" t="s">
        <v>744</v>
      </c>
      <c r="I2" s="1146" t="s">
        <v>745</v>
      </c>
      <c r="J2" s="1146" t="s">
        <v>2</v>
      </c>
      <c r="K2" s="1146" t="s">
        <v>747</v>
      </c>
      <c r="L2" s="1146" t="s">
        <v>1216</v>
      </c>
      <c r="M2" s="1150" t="s">
        <v>950</v>
      </c>
    </row>
    <row r="3" spans="1:16" s="1157" customFormat="1" ht="17.25" thickTop="1">
      <c r="A3" s="1173" t="s">
        <v>1217</v>
      </c>
      <c r="B3" s="1192" t="s">
        <v>1217</v>
      </c>
      <c r="C3" s="1184">
        <v>6500</v>
      </c>
      <c r="D3" s="997">
        <v>4666</v>
      </c>
      <c r="E3" s="1181">
        <f>C3-D3</f>
        <v>1834</v>
      </c>
      <c r="F3" s="1136"/>
      <c r="G3" s="1153" t="s">
        <v>970</v>
      </c>
      <c r="H3" s="1144"/>
      <c r="I3" s="1270" t="s">
        <v>1214</v>
      </c>
      <c r="J3" s="1291">
        <v>2</v>
      </c>
      <c r="K3" s="1304" t="s">
        <v>1176</v>
      </c>
      <c r="L3" s="1304">
        <v>12</v>
      </c>
      <c r="M3" s="1307">
        <v>20</v>
      </c>
    </row>
    <row r="4" spans="1:16" s="1157" customFormat="1">
      <c r="A4" s="1174" t="s">
        <v>1218</v>
      </c>
      <c r="B4" s="1193" t="s">
        <v>1218</v>
      </c>
      <c r="C4" s="1185">
        <v>6500</v>
      </c>
      <c r="D4" s="998">
        <v>4644</v>
      </c>
      <c r="E4" s="1170">
        <f>C4-D4</f>
        <v>1856</v>
      </c>
      <c r="F4" s="1137"/>
      <c r="G4" s="1141">
        <f>F3-F4</f>
        <v>0</v>
      </c>
      <c r="H4" s="1166"/>
      <c r="I4" s="1268"/>
      <c r="J4" s="1292"/>
      <c r="K4" s="1305"/>
      <c r="L4" s="1305"/>
      <c r="M4" s="1289"/>
      <c r="P4" s="1158"/>
    </row>
    <row r="5" spans="1:16" s="1157" customFormat="1">
      <c r="A5" s="1174" t="s">
        <v>1219</v>
      </c>
      <c r="B5" s="1193" t="s">
        <v>1219</v>
      </c>
      <c r="C5" s="1185">
        <v>6500</v>
      </c>
      <c r="D5" s="998">
        <v>4668</v>
      </c>
      <c r="E5" s="1170">
        <f>C5-D5</f>
        <v>1832</v>
      </c>
      <c r="F5" s="1137"/>
      <c r="G5" s="1141">
        <f>F3-F5</f>
        <v>0</v>
      </c>
      <c r="H5" s="1166"/>
      <c r="I5" s="1268"/>
      <c r="J5" s="1292"/>
      <c r="K5" s="1305"/>
      <c r="L5" s="1305"/>
      <c r="M5" s="1289"/>
    </row>
    <row r="6" spans="1:16" s="1157" customFormat="1" ht="17.25" thickBot="1">
      <c r="A6" s="1175" t="s">
        <v>1220</v>
      </c>
      <c r="B6" s="1194" t="s">
        <v>1220</v>
      </c>
      <c r="C6" s="1186">
        <v>6500</v>
      </c>
      <c r="D6" s="999">
        <v>4618</v>
      </c>
      <c r="E6" s="1171">
        <f>C6-D6</f>
        <v>1882</v>
      </c>
      <c r="F6" s="1142"/>
      <c r="G6" s="1152">
        <f>F3-F6</f>
        <v>0</v>
      </c>
      <c r="H6" s="1143"/>
      <c r="I6" s="1269"/>
      <c r="J6" s="1294"/>
      <c r="K6" s="1306"/>
      <c r="L6" s="1306"/>
      <c r="M6" s="1290"/>
      <c r="O6" s="1159"/>
    </row>
    <row r="7" spans="1:16" ht="17.25" thickTop="1">
      <c r="E7" s="1140"/>
    </row>
  </sheetData>
  <sheetProtection password="AAE5" sheet="1" objects="1" scenarios="1" selectLockedCells="1"/>
  <mergeCells count="5">
    <mergeCell ref="I3:I6"/>
    <mergeCell ref="J3:J6"/>
    <mergeCell ref="K3:K6"/>
    <mergeCell ref="L3:L6"/>
    <mergeCell ref="M3:M6"/>
  </mergeCells>
  <phoneticPr fontId="49" type="noConversion"/>
  <conditionalFormatting sqref="G4:G6">
    <cfRule type="cellIs" dxfId="149" priority="1" stopIfTrue="1" operator="notBetween">
      <formula>-250</formula>
      <formula>250</formula>
    </cfRule>
  </conditionalFormatting>
  <conditionalFormatting sqref="F3">
    <cfRule type="cellIs" dxfId="148" priority="2" stopIfTrue="1" operator="greaterThan">
      <formula>$E$3</formula>
    </cfRule>
  </conditionalFormatting>
  <conditionalFormatting sqref="F4">
    <cfRule type="cellIs" dxfId="147" priority="3" stopIfTrue="1" operator="greaterThan">
      <formula>$E$4</formula>
    </cfRule>
  </conditionalFormatting>
  <conditionalFormatting sqref="F5">
    <cfRule type="cellIs" dxfId="146" priority="4" stopIfTrue="1" operator="greaterThan">
      <formula>$E$5</formula>
    </cfRule>
  </conditionalFormatting>
  <conditionalFormatting sqref="F6">
    <cfRule type="cellIs" dxfId="145" priority="5" stopIfTrue="1" operator="greaterThan">
      <formula>$E$6</formula>
    </cfRule>
  </conditionalFormatting>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P5"/>
  <sheetViews>
    <sheetView zoomScaleNormal="75" workbookViewId="0">
      <selection activeCell="F3" sqref="F3"/>
    </sheetView>
  </sheetViews>
  <sheetFormatPr defaultColWidth="10.28515625" defaultRowHeight="16.5"/>
  <cols>
    <col min="1" max="1" width="29.28515625" style="1145" customWidth="1"/>
    <col min="2" max="2" width="23.140625" style="1139" customWidth="1"/>
    <col min="3" max="3" width="27" style="1156" customWidth="1"/>
    <col min="4" max="4" width="27.140625" style="1139" customWidth="1"/>
    <col min="5" max="5" width="20.85546875" style="1139" customWidth="1"/>
    <col min="6" max="6" width="20.7109375" style="1145" customWidth="1"/>
    <col min="7" max="7" width="15.28515625" style="1145" customWidth="1"/>
    <col min="8" max="8" width="9.28515625" style="1145" customWidth="1"/>
    <col min="9" max="9" width="17.140625" style="1145" customWidth="1"/>
    <col min="10" max="10" width="11.42578125" style="1145" customWidth="1"/>
    <col min="11" max="11" width="17.140625" style="1145" customWidth="1"/>
    <col min="12" max="12" width="16.140625" style="1145" customWidth="1"/>
    <col min="13" max="13" width="21" style="1145" customWidth="1"/>
    <col min="14" max="16384" width="10.28515625" style="1145"/>
  </cols>
  <sheetData>
    <row r="1" spans="1:16" ht="28.5" thickBot="1">
      <c r="A1" s="1151" t="s">
        <v>1221</v>
      </c>
      <c r="B1" s="1154"/>
    </row>
    <row r="2" spans="1:16" s="1157" customFormat="1" ht="34.5" thickTop="1" thickBot="1">
      <c r="A2" s="1161" t="s">
        <v>1222</v>
      </c>
      <c r="B2" s="1162" t="s">
        <v>726</v>
      </c>
      <c r="C2" s="1162" t="s">
        <v>1223</v>
      </c>
      <c r="D2" s="1162" t="s">
        <v>882</v>
      </c>
      <c r="E2" s="1162" t="s">
        <v>1224</v>
      </c>
      <c r="F2" s="1164" t="s">
        <v>1225</v>
      </c>
      <c r="G2" s="1165" t="s">
        <v>1226</v>
      </c>
      <c r="H2" s="1163" t="s">
        <v>1227</v>
      </c>
      <c r="I2" s="1163" t="s">
        <v>1228</v>
      </c>
      <c r="J2" s="1150" t="s">
        <v>1229</v>
      </c>
      <c r="K2" s="1150" t="s">
        <v>1230</v>
      </c>
      <c r="L2" s="1150" t="s">
        <v>1231</v>
      </c>
      <c r="M2" s="1167" t="s">
        <v>1232</v>
      </c>
    </row>
    <row r="3" spans="1:16" s="1157" customFormat="1" ht="18" thickTop="1" thickBot="1">
      <c r="A3" s="1187" t="s">
        <v>1233</v>
      </c>
      <c r="B3" s="1192" t="s">
        <v>1234</v>
      </c>
      <c r="C3" s="913">
        <v>13000</v>
      </c>
      <c r="D3" s="1021">
        <v>8379</v>
      </c>
      <c r="E3" s="1181">
        <f>C3-D3</f>
        <v>4621</v>
      </c>
      <c r="F3" s="901"/>
      <c r="G3" s="1153" t="s">
        <v>1235</v>
      </c>
      <c r="H3" s="1144"/>
      <c r="I3" s="1270" t="s">
        <v>1236</v>
      </c>
      <c r="J3" s="1228" t="s">
        <v>1237</v>
      </c>
      <c r="K3" s="1228" t="s">
        <v>1238</v>
      </c>
      <c r="L3" s="1228">
        <v>15</v>
      </c>
      <c r="M3" s="1307">
        <v>15</v>
      </c>
    </row>
    <row r="4" spans="1:16" s="1157" customFormat="1" ht="18" thickTop="1" thickBot="1">
      <c r="A4" s="1188" t="s">
        <v>1239</v>
      </c>
      <c r="B4" s="1194" t="s">
        <v>1240</v>
      </c>
      <c r="C4" s="914">
        <v>13000</v>
      </c>
      <c r="D4" s="826">
        <v>8289</v>
      </c>
      <c r="E4" s="1181">
        <f>C4-D4</f>
        <v>4711</v>
      </c>
      <c r="F4" s="903"/>
      <c r="G4" s="1152">
        <f>F3-F4</f>
        <v>0</v>
      </c>
      <c r="H4" s="1143"/>
      <c r="I4" s="1308"/>
      <c r="J4" s="1309"/>
      <c r="K4" s="1309"/>
      <c r="L4" s="1309"/>
      <c r="M4" s="1290"/>
      <c r="P4" s="1158"/>
    </row>
    <row r="5" spans="1:16" ht="17.25" thickTop="1"/>
  </sheetData>
  <sheetProtection password="AAE5" sheet="1" objects="1" scenarios="1" selectLockedCells="1"/>
  <mergeCells count="5">
    <mergeCell ref="I3:I4"/>
    <mergeCell ref="J3:J4"/>
    <mergeCell ref="K3:K4"/>
    <mergeCell ref="L3:L4"/>
    <mergeCell ref="M3:M4"/>
  </mergeCells>
  <phoneticPr fontId="49" type="noConversion"/>
  <conditionalFormatting sqref="G4">
    <cfRule type="cellIs" dxfId="144" priority="3" stopIfTrue="1" operator="notBetween">
      <formula>-250</formula>
      <formula>250</formula>
    </cfRule>
  </conditionalFormatting>
  <conditionalFormatting sqref="H3:H4">
    <cfRule type="cellIs" dxfId="143" priority="1" stopIfTrue="1" operator="greaterThan">
      <formula>4</formula>
    </cfRule>
  </conditionalFormatting>
  <conditionalFormatting sqref="F3:F4">
    <cfRule type="cellIs" dxfId="142" priority="2" stopIfTrue="1" operator="greaterThan">
      <formula>10000</formula>
    </cfRule>
  </conditionalFormatting>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P11"/>
  <sheetViews>
    <sheetView workbookViewId="0">
      <selection activeCell="H4" sqref="H4:H10"/>
    </sheetView>
  </sheetViews>
  <sheetFormatPr defaultColWidth="10.28515625" defaultRowHeight="16.5"/>
  <cols>
    <col min="1" max="1" width="25" style="698" customWidth="1"/>
    <col min="2" max="2" width="35.7109375" style="690" customWidth="1"/>
    <col min="3" max="3" width="24.7109375" style="711" customWidth="1"/>
    <col min="4" max="4" width="30.7109375" style="690" customWidth="1"/>
    <col min="5" max="5" width="20.5703125" style="690" customWidth="1"/>
    <col min="6" max="6" width="18.85546875" style="689" customWidth="1"/>
    <col min="7" max="7" width="15.85546875" style="698" customWidth="1"/>
    <col min="8" max="8" width="8.85546875" style="698" customWidth="1"/>
    <col min="9" max="9" width="16.28515625" style="689" customWidth="1"/>
    <col min="10" max="10" width="10.28515625" style="698"/>
    <col min="11" max="11" width="13.140625" style="698" customWidth="1"/>
    <col min="12" max="12" width="18" style="698" customWidth="1"/>
    <col min="13" max="13" width="15.7109375" style="698" customWidth="1"/>
    <col min="14" max="16384" width="10.28515625" style="698"/>
  </cols>
  <sheetData>
    <row r="1" spans="1:16" ht="28.5" thickBot="1">
      <c r="A1" s="707" t="s">
        <v>5</v>
      </c>
      <c r="B1" s="710"/>
    </row>
    <row r="2" spans="1:16" s="712" customFormat="1" ht="51" thickTop="1" thickBot="1">
      <c r="A2" s="700" t="s">
        <v>603</v>
      </c>
      <c r="B2" s="762" t="s">
        <v>726</v>
      </c>
      <c r="C2" s="762" t="s">
        <v>604</v>
      </c>
      <c r="D2" s="762" t="s">
        <v>882</v>
      </c>
      <c r="E2" s="762" t="s">
        <v>1241</v>
      </c>
      <c r="F2" s="702" t="s">
        <v>605</v>
      </c>
      <c r="G2" s="727" t="s">
        <v>607</v>
      </c>
      <c r="H2" s="699" t="s">
        <v>606</v>
      </c>
      <c r="I2" s="699" t="s">
        <v>608</v>
      </c>
      <c r="J2" s="703" t="s">
        <v>609</v>
      </c>
      <c r="K2" s="703" t="s">
        <v>610</v>
      </c>
      <c r="L2" s="703" t="s">
        <v>601</v>
      </c>
      <c r="M2" s="703" t="s">
        <v>602</v>
      </c>
    </row>
    <row r="3" spans="1:16" s="712" customFormat="1" ht="17.25" customHeight="1" thickTop="1">
      <c r="A3" s="760" t="s">
        <v>708</v>
      </c>
      <c r="B3" s="810" t="s">
        <v>737</v>
      </c>
      <c r="C3" s="793">
        <v>7000</v>
      </c>
      <c r="D3" s="827">
        <v>5867</v>
      </c>
      <c r="E3" s="763">
        <f t="shared" ref="E3:E10" si="0">C3-D3</f>
        <v>1133</v>
      </c>
      <c r="F3" s="1195"/>
      <c r="G3" s="709" t="s">
        <v>8</v>
      </c>
      <c r="H3" s="788"/>
      <c r="I3" s="1310" t="s">
        <v>673</v>
      </c>
      <c r="J3" s="1313">
        <v>2</v>
      </c>
      <c r="K3" s="1291" t="s">
        <v>0</v>
      </c>
      <c r="L3" s="1304">
        <v>15</v>
      </c>
      <c r="M3" s="1228">
        <v>15</v>
      </c>
    </row>
    <row r="4" spans="1:16" s="712" customFormat="1">
      <c r="A4" s="792" t="s">
        <v>707</v>
      </c>
      <c r="B4" s="812" t="s">
        <v>730</v>
      </c>
      <c r="C4" s="797">
        <v>7000</v>
      </c>
      <c r="D4" s="1027">
        <v>5843</v>
      </c>
      <c r="E4" s="1034">
        <f t="shared" si="0"/>
        <v>1157</v>
      </c>
      <c r="F4" s="1183"/>
      <c r="G4" s="691">
        <f>F3-F4</f>
        <v>0</v>
      </c>
      <c r="H4" s="795"/>
      <c r="I4" s="1311"/>
      <c r="J4" s="1314"/>
      <c r="K4" s="1292"/>
      <c r="L4" s="1305"/>
      <c r="M4" s="1316"/>
      <c r="P4" s="713"/>
    </row>
    <row r="5" spans="1:16" s="712" customFormat="1">
      <c r="A5" s="764" t="s">
        <v>706</v>
      </c>
      <c r="B5" s="812" t="s">
        <v>731</v>
      </c>
      <c r="C5" s="797">
        <v>7000</v>
      </c>
      <c r="D5" s="1027">
        <v>5857</v>
      </c>
      <c r="E5" s="1179">
        <f t="shared" si="0"/>
        <v>1143</v>
      </c>
      <c r="F5" s="1183"/>
      <c r="G5" s="691">
        <f>F3-F5</f>
        <v>0</v>
      </c>
      <c r="H5" s="795"/>
      <c r="I5" s="1311"/>
      <c r="J5" s="1314"/>
      <c r="K5" s="1292"/>
      <c r="L5" s="1305"/>
      <c r="M5" s="1316"/>
    </row>
    <row r="6" spans="1:16" s="712" customFormat="1">
      <c r="A6" s="764" t="s">
        <v>709</v>
      </c>
      <c r="B6" s="812" t="s">
        <v>732</v>
      </c>
      <c r="C6" s="797">
        <v>7000</v>
      </c>
      <c r="D6" s="1027">
        <v>5845</v>
      </c>
      <c r="E6" s="1179">
        <f t="shared" si="0"/>
        <v>1155</v>
      </c>
      <c r="F6" s="1183"/>
      <c r="G6" s="691">
        <f>F3-F6</f>
        <v>0</v>
      </c>
      <c r="H6" s="795"/>
      <c r="I6" s="1311"/>
      <c r="J6" s="1314"/>
      <c r="K6" s="1292"/>
      <c r="L6" s="1305"/>
      <c r="M6" s="1316"/>
      <c r="O6" s="714"/>
    </row>
    <row r="7" spans="1:16" s="712" customFormat="1">
      <c r="A7" s="764" t="s">
        <v>710</v>
      </c>
      <c r="B7" s="812" t="s">
        <v>733</v>
      </c>
      <c r="C7" s="797">
        <v>7000</v>
      </c>
      <c r="D7" s="1027">
        <v>5884</v>
      </c>
      <c r="E7" s="1030">
        <f t="shared" si="0"/>
        <v>1116</v>
      </c>
      <c r="F7" s="1183"/>
      <c r="G7" s="691">
        <f>F3-F7</f>
        <v>0</v>
      </c>
      <c r="H7" s="795"/>
      <c r="I7" s="1311"/>
      <c r="J7" s="1314"/>
      <c r="K7" s="1292"/>
      <c r="L7" s="1305"/>
      <c r="M7" s="1316"/>
      <c r="P7" s="713"/>
    </row>
    <row r="8" spans="1:16" s="712" customFormat="1">
      <c r="A8" s="764" t="s">
        <v>711</v>
      </c>
      <c r="B8" s="812" t="s">
        <v>734</v>
      </c>
      <c r="C8" s="797">
        <v>7000</v>
      </c>
      <c r="D8" s="1027">
        <v>5844</v>
      </c>
      <c r="E8" s="1179">
        <f t="shared" si="0"/>
        <v>1156</v>
      </c>
      <c r="F8" s="1183"/>
      <c r="G8" s="691">
        <f>F3-F8</f>
        <v>0</v>
      </c>
      <c r="H8" s="795"/>
      <c r="I8" s="1311"/>
      <c r="J8" s="1314"/>
      <c r="K8" s="1292"/>
      <c r="L8" s="1305"/>
      <c r="M8" s="1316"/>
      <c r="P8" s="713"/>
    </row>
    <row r="9" spans="1:16" s="712" customFormat="1">
      <c r="A9" s="764" t="s">
        <v>712</v>
      </c>
      <c r="B9" s="812" t="s">
        <v>735</v>
      </c>
      <c r="C9" s="797">
        <v>7000</v>
      </c>
      <c r="D9" s="1027">
        <v>5915</v>
      </c>
      <c r="E9" s="765">
        <f t="shared" si="0"/>
        <v>1085</v>
      </c>
      <c r="F9" s="1183"/>
      <c r="G9" s="691">
        <f>F3-F9</f>
        <v>0</v>
      </c>
      <c r="H9" s="795"/>
      <c r="I9" s="1311"/>
      <c r="J9" s="1314"/>
      <c r="K9" s="1292"/>
      <c r="L9" s="1305"/>
      <c r="M9" s="1316"/>
    </row>
    <row r="10" spans="1:16" s="712" customFormat="1" ht="17.25" thickBot="1">
      <c r="A10" s="761" t="s">
        <v>713</v>
      </c>
      <c r="B10" s="811" t="s">
        <v>736</v>
      </c>
      <c r="C10" s="794">
        <v>7000</v>
      </c>
      <c r="D10" s="1032">
        <v>5845</v>
      </c>
      <c r="E10" s="766">
        <f t="shared" si="0"/>
        <v>1155</v>
      </c>
      <c r="F10" s="1182"/>
      <c r="G10" s="708">
        <f>F3-F10</f>
        <v>0</v>
      </c>
      <c r="H10" s="796"/>
      <c r="I10" s="1312"/>
      <c r="J10" s="1315"/>
      <c r="K10" s="1294"/>
      <c r="L10" s="1306"/>
      <c r="M10" s="1309"/>
      <c r="P10" s="713"/>
    </row>
    <row r="11" spans="1:16" ht="17.25" thickTop="1"/>
  </sheetData>
  <sheetProtection password="AAE5" sheet="1" objects="1" scenarios="1" selectLockedCells="1"/>
  <mergeCells count="5">
    <mergeCell ref="I3:I10"/>
    <mergeCell ref="J3:J10"/>
    <mergeCell ref="M3:M10"/>
    <mergeCell ref="K3:K10"/>
    <mergeCell ref="L3:L10"/>
  </mergeCells>
  <phoneticPr fontId="49" type="noConversion"/>
  <conditionalFormatting sqref="G4:G10">
    <cfRule type="cellIs" dxfId="141" priority="7" stopIfTrue="1" operator="notBetween">
      <formula>-50</formula>
      <formula>50</formula>
    </cfRule>
  </conditionalFormatting>
  <conditionalFormatting sqref="H3:H10">
    <cfRule type="cellIs" dxfId="140" priority="5" operator="greaterThan">
      <formula>4</formula>
    </cfRule>
  </conditionalFormatting>
  <conditionalFormatting sqref="F3">
    <cfRule type="cellIs" dxfId="139" priority="4" operator="greaterThanOrEqual">
      <formula>$E$3</formula>
    </cfRule>
  </conditionalFormatting>
  <conditionalFormatting sqref="F4">
    <cfRule type="cellIs" dxfId="138" priority="3" operator="greaterThanOrEqual">
      <formula>$E$3</formula>
    </cfRule>
  </conditionalFormatting>
  <conditionalFormatting sqref="F5:F9">
    <cfRule type="cellIs" dxfId="137" priority="2" operator="greaterThanOrEqual">
      <formula>$E$3</formula>
    </cfRule>
  </conditionalFormatting>
  <conditionalFormatting sqref="F10">
    <cfRule type="cellIs" dxfId="136" priority="1" operator="greaterThanOrEqual">
      <formula>$E$10</formula>
    </cfRule>
  </conditionalFormatting>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BE444"/>
  <sheetViews>
    <sheetView zoomScale="75" workbookViewId="0">
      <selection activeCell="AS27" sqref="AS27"/>
    </sheetView>
  </sheetViews>
  <sheetFormatPr defaultColWidth="24.5703125" defaultRowHeight="12.75"/>
  <cols>
    <col min="1" max="1" width="25.5703125" style="6" customWidth="1"/>
    <col min="2" max="2" width="11.85546875" style="6" customWidth="1"/>
    <col min="3" max="3" width="10" style="31" bestFit="1" customWidth="1"/>
    <col min="4" max="4" width="15.7109375" style="5" bestFit="1" customWidth="1"/>
    <col min="5" max="5" width="11" style="6" bestFit="1" customWidth="1"/>
    <col min="6" max="6" width="11" style="5" bestFit="1" customWidth="1"/>
    <col min="7" max="7" width="10.85546875" style="4" bestFit="1" customWidth="1"/>
    <col min="8" max="11" width="18.42578125" style="4" customWidth="1"/>
    <col min="12" max="13" width="28.7109375" style="4" customWidth="1"/>
    <col min="14" max="14" width="32.28515625" style="4" customWidth="1"/>
    <col min="15" max="15" width="30.42578125" style="4" customWidth="1"/>
    <col min="16" max="16" width="31.7109375" style="4" customWidth="1"/>
    <col min="17" max="17" width="30.42578125" style="4" customWidth="1"/>
    <col min="18" max="18" width="34.7109375" style="4" customWidth="1"/>
    <col min="19" max="19" width="31.42578125" style="4" customWidth="1"/>
    <col min="20" max="20" width="29.85546875" style="4" customWidth="1"/>
    <col min="21" max="21" width="31.42578125" style="4" customWidth="1"/>
    <col min="22" max="22" width="31.42578125" style="5" customWidth="1"/>
    <col min="23" max="23" width="29.85546875" style="5" customWidth="1"/>
    <col min="24" max="24" width="24.7109375" style="5" customWidth="1"/>
    <col min="25" max="25" width="24.140625" style="6" customWidth="1"/>
    <col min="26" max="26" width="29.7109375" style="5" customWidth="1"/>
    <col min="27" max="27" width="28" style="6" customWidth="1"/>
    <col min="28" max="28" width="24.140625" style="5" customWidth="1"/>
    <col min="29" max="29" width="20.7109375" style="6" bestFit="1" customWidth="1"/>
    <col min="30" max="30" width="28" style="6" bestFit="1" customWidth="1"/>
    <col min="31" max="32" width="20.28515625" style="6" customWidth="1"/>
    <col min="33" max="33" width="32.7109375" style="6" bestFit="1" customWidth="1"/>
    <col min="34" max="34" width="32.5703125" style="6" bestFit="1" customWidth="1"/>
    <col min="35" max="35" width="24.5703125" style="6" customWidth="1"/>
    <col min="36" max="36" width="32.7109375" style="6" bestFit="1" customWidth="1"/>
    <col min="37" max="37" width="32.5703125" style="6" bestFit="1" customWidth="1"/>
    <col min="38" max="38" width="25.7109375" style="6" bestFit="1" customWidth="1"/>
    <col min="39" max="39" width="32.5703125" style="6" bestFit="1" customWidth="1"/>
    <col min="40" max="40" width="29.42578125" style="6" bestFit="1" customWidth="1"/>
    <col min="41" max="41" width="31.42578125" style="6" bestFit="1" customWidth="1"/>
    <col min="42" max="42" width="30.85546875" style="6" bestFit="1" customWidth="1"/>
    <col min="43" max="43" width="26.5703125" style="6" bestFit="1" customWidth="1"/>
    <col min="44" max="44" width="30.28515625" style="6" bestFit="1" customWidth="1"/>
    <col min="45" max="45" width="31" style="6" bestFit="1" customWidth="1"/>
    <col min="46" max="46" width="26.28515625" style="6" bestFit="1" customWidth="1"/>
    <col min="47" max="55" width="24.5703125" style="6" customWidth="1"/>
    <col min="56" max="16384" width="24.5703125" style="3"/>
  </cols>
  <sheetData>
    <row r="1" spans="1:55" ht="26.25">
      <c r="A1" s="442" t="s">
        <v>13</v>
      </c>
      <c r="B1" s="454"/>
      <c r="C1" s="1317" t="e">
        <f ca="1">IF(AND(AU5="Pass",AU6="Pass",AU7="Pass",AU8="Pass",AU10="Pass",AU11="Pass",AU12="Pass",AU13="Pass"),"Pass","Fail")</f>
        <v>#REF!</v>
      </c>
      <c r="D1" s="1317"/>
      <c r="E1" s="1317"/>
      <c r="F1" s="1317"/>
      <c r="G1" s="1317"/>
      <c r="H1" s="1317"/>
      <c r="I1" s="1317"/>
      <c r="J1" s="1317"/>
      <c r="K1" s="1317"/>
      <c r="L1" s="1317"/>
      <c r="M1" s="1317"/>
      <c r="N1" s="1318"/>
      <c r="O1" s="1318"/>
      <c r="P1" s="1318"/>
      <c r="Q1" s="446"/>
      <c r="R1" s="446"/>
      <c r="S1" s="446"/>
      <c r="T1" s="446"/>
      <c r="U1" s="446"/>
      <c r="V1" s="446"/>
      <c r="W1" s="446"/>
      <c r="X1" s="446"/>
      <c r="Y1" s="446"/>
      <c r="Z1" s="447"/>
      <c r="AA1" s="446"/>
      <c r="AB1" s="447"/>
      <c r="AC1" s="447"/>
      <c r="AD1" s="447"/>
      <c r="AE1" s="447"/>
      <c r="AF1" s="447"/>
      <c r="AG1" s="447"/>
      <c r="AH1" s="447"/>
      <c r="AI1" s="447"/>
      <c r="AJ1" s="447"/>
      <c r="AK1" s="447"/>
      <c r="AL1" s="447"/>
      <c r="AM1" s="447"/>
      <c r="AN1" s="447"/>
      <c r="AO1" s="447"/>
      <c r="AP1" s="447"/>
      <c r="AQ1" s="447"/>
      <c r="AR1" s="447"/>
      <c r="AS1" s="447"/>
      <c r="AT1" s="448"/>
      <c r="AX1" s="3"/>
      <c r="AY1" s="3"/>
      <c r="AZ1" s="3"/>
      <c r="BA1" s="3"/>
      <c r="BB1" s="3"/>
      <c r="BC1" s="3"/>
    </row>
    <row r="2" spans="1:55" ht="26.25">
      <c r="A2" s="449" t="s">
        <v>10</v>
      </c>
      <c r="B2" s="297" t="e">
        <f>#REF!</f>
        <v>#REF!</v>
      </c>
      <c r="C2" s="93"/>
      <c r="D2" s="91"/>
      <c r="E2" s="94"/>
      <c r="F2" s="94"/>
      <c r="G2" s="95"/>
      <c r="H2" s="95"/>
      <c r="I2" s="95"/>
      <c r="J2" s="95"/>
      <c r="K2" s="95"/>
      <c r="L2" s="95"/>
      <c r="M2" s="95"/>
      <c r="N2" s="95"/>
      <c r="O2" s="95"/>
      <c r="P2" s="95"/>
      <c r="Q2" s="95"/>
      <c r="R2" s="95"/>
      <c r="S2" s="95"/>
      <c r="T2" s="95"/>
      <c r="U2" s="455"/>
      <c r="V2" s="95"/>
      <c r="W2" s="95"/>
      <c r="X2" s="455"/>
      <c r="Y2" s="455"/>
      <c r="Z2" s="455"/>
      <c r="AA2" s="455"/>
      <c r="AB2" s="455"/>
      <c r="AC2" s="455"/>
      <c r="AD2" s="455"/>
      <c r="AE2" s="455"/>
      <c r="AF2" s="455"/>
      <c r="AG2" s="455"/>
      <c r="AH2" s="455"/>
      <c r="AI2" s="455"/>
      <c r="AJ2" s="455"/>
      <c r="AK2" s="455"/>
      <c r="AL2" s="455"/>
      <c r="AM2" s="455"/>
      <c r="AN2" s="455"/>
      <c r="AO2" s="455"/>
      <c r="AP2" s="455"/>
      <c r="AQ2" s="455"/>
      <c r="AR2" s="455"/>
      <c r="AS2" s="455"/>
      <c r="AT2" s="456"/>
      <c r="AU2" s="3"/>
      <c r="AV2" s="3"/>
      <c r="AW2" s="3"/>
      <c r="AX2" s="3"/>
      <c r="AY2" s="3"/>
      <c r="AZ2" s="3"/>
      <c r="BA2" s="3"/>
      <c r="BB2" s="3"/>
      <c r="BC2" s="3"/>
    </row>
    <row r="3" spans="1:55" ht="51">
      <c r="A3" s="101" t="s">
        <v>408</v>
      </c>
      <c r="B3" s="101" t="s">
        <v>420</v>
      </c>
      <c r="C3" s="102" t="s">
        <v>421</v>
      </c>
      <c r="D3" s="102" t="e">
        <f>"EscapeLength L1 [" &amp; B2&amp;"]"</f>
        <v>#REF!</v>
      </c>
      <c r="E3" s="102" t="e">
        <f>"BreakoutLength L2[" &amp;B2 &amp;"]"</f>
        <v>#REF!</v>
      </c>
      <c r="F3" s="102" t="e">
        <f>"MainLength L3[" &amp;B2 &amp;"]"</f>
        <v>#REF!</v>
      </c>
      <c r="G3" s="102" t="e">
        <f>"BreakinLength S1[" &amp;B2 &amp;"]"</f>
        <v>#REF!</v>
      </c>
      <c r="H3" s="124" t="e">
        <f>"Stripline Length to SDRAM L4 Top [" &amp; B2 &amp; "]"</f>
        <v>#REF!</v>
      </c>
      <c r="I3" s="124" t="e">
        <f>"Stripline Length to SDRAM L4 Bottom [" &amp;B2&amp;"]"</f>
        <v>#REF!</v>
      </c>
      <c r="J3" s="124" t="e">
        <f>"Breakin to SDRAM L5 Top ["&amp;B2&amp;"]"</f>
        <v>#REF!</v>
      </c>
      <c r="K3" s="124" t="e">
        <f>"Breakin to SDRAM L5 Bottom ["&amp;B2&amp;"]"</f>
        <v>#REF!</v>
      </c>
      <c r="L3" s="124" t="e">
        <f>"Stripline Route to Rload L6  Top ["&amp;B2&amp;"]"</f>
        <v>#REF!</v>
      </c>
      <c r="M3" s="124" t="e">
        <f>"Stripline Route to Rload L6  Bottom ["&amp;B2&amp;"]"</f>
        <v>#REF!</v>
      </c>
      <c r="N3" s="124" t="e">
        <f>"Breakin to Rload L7 Top ["&amp;B2&amp;"]"</f>
        <v>#REF!</v>
      </c>
      <c r="O3" s="124" t="e">
        <f>"Breakin to Rload L7 Bottom ["&amp;B2&amp;"]"</f>
        <v>#REF!</v>
      </c>
      <c r="P3" s="104" t="e">
        <f>"Total MB Length(SODIMM -&gt; L1+L2+L3+S1) or (SDRAM Top -&gt; L1+L2+L3+L4+L5)[" &amp;B2 &amp;"]"</f>
        <v>#REF!</v>
      </c>
      <c r="Q3" s="104" t="e">
        <f>"Total MB Length (SDRAM Bottom -&gt; L1+L2+L3+L4+L5)[" &amp;B2 &amp;"]"</f>
        <v>#REF!</v>
      </c>
      <c r="R3" s="103" t="e">
        <f>"Total channel length including GMCH package length (SODIMM -&gt; P1+L1+L2+L3+S1) or (SDRAM Top -&gt; P1+L1+L2+L3+L4+L5)[" &amp;B2 &amp;"]"</f>
        <v>#REF!</v>
      </c>
      <c r="S3" s="103" t="e">
        <f>"Total channel length including GMCH package length (SDRAM Bottom -&gt; P1+L1+L2+L3+L4+L5)[" &amp;B2 &amp;"]"</f>
        <v>#REF!</v>
      </c>
      <c r="T3" s="103" t="e">
        <f>"Target CSFF Pad-to-SODIMM or SDRAM Top Pin Length [" &amp;B2 &amp;"]"</f>
        <v>#REF!</v>
      </c>
      <c r="U3" s="103" t="e">
        <f>"Routed Too Short [" &amp;B2 &amp;"]"</f>
        <v>#REF!</v>
      </c>
      <c r="V3" s="103" t="e">
        <f>"Routed Too Long [" &amp;B2 &amp;"]"</f>
        <v>#REF!</v>
      </c>
      <c r="W3" s="103" t="e">
        <f>"Target CSFF Pad-to-SDRAM Bottom Pin Length [" &amp;B2 &amp;"]"</f>
        <v>#REF!</v>
      </c>
      <c r="X3" s="103" t="e">
        <f>"Routed Too Short [" &amp;B2 &amp;"]"</f>
        <v>#REF!</v>
      </c>
      <c r="Y3" s="103" t="e">
        <f>"Routed Too Long [" &amp;B2 &amp;"]"</f>
        <v>#REF!</v>
      </c>
      <c r="Z3" s="103" t="e">
        <f>"L1 Length Test(&lt;="&amp; IF(B2="mil",1,0.0254)*50 &amp; B2 &amp;")"</f>
        <v>#REF!</v>
      </c>
      <c r="AA3" s="103" t="e">
        <f>"L2 Length Test  (&lt;="&amp;IF($B$2="mil",1,0.0254)*500&amp;$B$2&amp;")"</f>
        <v>#REF!</v>
      </c>
      <c r="AB3" s="103" t="e">
        <f>"S1 Length Test(&lt;="&amp;IF($B$2="mil",1,0.0254)*200&amp;$B$2&amp;")"</f>
        <v>#REF!</v>
      </c>
      <c r="AC3" s="103" t="e">
        <f>"L4 Top Length Test  (&lt;="&amp;IF($B$2="mil",1,0.0254)*500&amp;$B$2&amp;")"&amp;" or (L4+L5&lt;="&amp;IF($B$2="mil",1,0.0254)*700&amp;$B$2&amp;")"</f>
        <v>#REF!</v>
      </c>
      <c r="AD3" s="103" t="e">
        <f>"L4 Bottom Length Test  (&lt;="&amp;IF($B$2="mil",1,0.0254)*500&amp;$B$2&amp;")"&amp;" or (L4+L5&lt;="&amp;IF($B$2="mil",1,0.0254)*700&amp;$B$2&amp;")"</f>
        <v>#REF!</v>
      </c>
      <c r="AE3" s="103" t="e">
        <f>"L5 Top Length Test  (&lt;="&amp;IF($B$2="mil",1,0.0254)*200&amp;$B$2&amp;")"</f>
        <v>#REF!</v>
      </c>
      <c r="AF3" s="103" t="e">
        <f>"L5 Bottom Length Test  (&lt;="&amp;IF($B$2="mil",1,0.0254)*200&amp;$B$2&amp;")"</f>
        <v>#REF!</v>
      </c>
      <c r="AG3" s="103" t="e">
        <f>"L5 Matching Test (Maximum L5 - Minimum L5 &lt;="&amp;IF($B$2="mil",1,0.0254)*50&amp;IF($B$2="mil","mil","mm")&amp;") Note: Neg is too long, Pos is too short"</f>
        <v>#REF!</v>
      </c>
      <c r="AH3" s="103" t="e">
        <f>"L6 Top Length Test  (&lt;="&amp;IF($B$2="mil",1,0.0254)*250&amp;$B$2&amp;")"</f>
        <v>#REF!</v>
      </c>
      <c r="AI3" s="103" t="e">
        <f>"L6 Bottom Length Test  (&lt;="&amp;IF($B$2="mil",1,0.0254)*250&amp;$B$2&amp;")"</f>
        <v>#REF!</v>
      </c>
      <c r="AJ3" s="103" t="e">
        <f>"L7 Top Length Test  (&lt;="&amp;IF($B$2="mil",1,0.0254)*50&amp;$B$2&amp;")"</f>
        <v>#REF!</v>
      </c>
      <c r="AK3" s="103" t="e">
        <f>"L7 Bottom Length Test  (&lt;="&amp;IF($B$2="mil",1,0.0254)*50&amp;$B$2&amp;")"</f>
        <v>#REF!</v>
      </c>
      <c r="AL3" s="103" t="e">
        <f>"Total MB Length to Top SDRAM(L1+L2+L3+L4+L5) Test (" &amp; IF($B$2="mil",1,25.4)*0.5&amp;IF($B$2="mil","in","mm") &amp;"-"&amp; IF($B$2="mil",1,25.4)*5&amp;IF($B$2="mil","in","mm")&amp;")"</f>
        <v>#REF!</v>
      </c>
      <c r="AM3" s="103" t="e">
        <f>"Total Length to Top SDRAM(P1+L1+L2+L3+L4+L5)Test(&lt;="&amp;IF($B$2="mil",1,25.4)*5.5&amp;IF($B$2="mil","in","mm")&amp;")"</f>
        <v>#REF!</v>
      </c>
      <c r="AN3" s="103" t="e">
        <f>"Total MB Length to Bottom SDRAM(L1+L2+L3+L4+L5) Test (" &amp; IF($B$2="mil",1,25.4)*0.5&amp;IF($B$2="mil","in","mm") &amp;"-"&amp; IF($B$2="mil",1,25.4)*5&amp;IF($B$2="mil","in","mm")&amp;")"</f>
        <v>#REF!</v>
      </c>
      <c r="AO3" s="103" t="e">
        <f>"Total Length to Bottom SDRAM(P1+L1+L2+L3+L4+L5)Test(&lt;="&amp;IF($B$2="mil",1,25.4)*5.5&amp;IF($B$2="mil","in","mm")&amp;")"</f>
        <v>#REF!</v>
      </c>
      <c r="AP3" s="103" t="e">
        <f>"Total MB Length to SODIMM(L0+L1+L2+S1) Test (" &amp; IF($B$2="mil",1,25.4)*0.5&amp;IF($B$2="mil","in","mm") &amp;"-"&amp; IF($B$2="mil",1,25.4)*3.25&amp;IF($B$2="mil","in","mm")&amp;")"</f>
        <v>#REF!</v>
      </c>
      <c r="AQ3" s="103" t="e">
        <f>"Total Length to SODIMM(P1+L0+L1+L2+S1)Test(&lt;="&amp;IF($B$2="mil",1,25.4)*4&amp;IF($B$2="mil","in","mm")&amp;")"</f>
        <v>#REF!</v>
      </c>
      <c r="AR3" s="103" t="e">
        <f>"SCK-SCK# Length Test  to SODIMM or Top SDRAM(&lt;="&amp;IF($B$2="mil",1,25.4)*5&amp;IF($B$2="mil","mil","mm")&amp;")"</f>
        <v>#REF!</v>
      </c>
      <c r="AS3" s="103" t="e">
        <f>"SCK-SCK# Length Test  Bottom SDRAM(&lt;="&amp;IF($B$2="mil",1,25.4)*5&amp;IF($B$2="mil","mil","mm")&amp;")"</f>
        <v>#REF!</v>
      </c>
      <c r="AT3" s="103" t="e">
        <f>"Clock Pair to Clock Pair Length Test at SODIMM (&lt;="&amp;IF($B$2="mil",1,25.4)*20&amp;IF($B$2="mil","mil","mm")&amp;")"</f>
        <v>#REF!</v>
      </c>
      <c r="AU3" s="3"/>
      <c r="AV3" s="3"/>
      <c r="AW3" s="3"/>
      <c r="AX3" s="3"/>
      <c r="AY3" s="3"/>
      <c r="AZ3" s="3"/>
      <c r="BA3" s="3"/>
      <c r="BB3" s="3"/>
      <c r="BC3" s="3"/>
    </row>
    <row r="4" spans="1:55">
      <c r="A4" s="109" t="s">
        <v>207</v>
      </c>
      <c r="B4" s="109"/>
      <c r="C4" s="9"/>
      <c r="D4" s="11"/>
      <c r="E4" s="11"/>
      <c r="F4" s="131"/>
      <c r="G4" s="131"/>
      <c r="H4" s="13"/>
      <c r="I4" s="13"/>
      <c r="J4" s="13"/>
      <c r="K4" s="13"/>
      <c r="L4" s="13"/>
      <c r="M4" s="13"/>
      <c r="N4" s="13"/>
      <c r="O4" s="13"/>
      <c r="P4" s="13"/>
      <c r="Q4" s="13"/>
      <c r="R4" s="10"/>
      <c r="S4" s="10"/>
      <c r="T4" s="14"/>
      <c r="U4" s="14"/>
      <c r="V4" s="14"/>
      <c r="W4" s="14"/>
      <c r="X4" s="14"/>
      <c r="Y4" s="14"/>
      <c r="Z4" s="14"/>
      <c r="AA4" s="14"/>
      <c r="AB4" s="14"/>
      <c r="AC4" s="14"/>
      <c r="AD4" s="14"/>
      <c r="AE4" s="14"/>
      <c r="AF4" s="14"/>
      <c r="AG4" s="14"/>
      <c r="AH4" s="14"/>
      <c r="AI4" s="14"/>
      <c r="AJ4" s="14"/>
      <c r="AK4" s="14"/>
      <c r="AL4" s="14"/>
      <c r="AM4" s="14"/>
      <c r="AN4" s="14"/>
      <c r="AO4" s="14"/>
      <c r="AP4" s="141"/>
      <c r="AQ4" s="141"/>
      <c r="AR4" s="14"/>
      <c r="AS4" s="14"/>
      <c r="AT4" s="267"/>
      <c r="AU4" s="3"/>
      <c r="AV4" s="3"/>
      <c r="AW4" s="3"/>
      <c r="AX4" s="3"/>
      <c r="AY4" s="3"/>
      <c r="AZ4" s="3"/>
      <c r="BA4" s="3"/>
      <c r="BB4" s="3"/>
      <c r="BC4" s="3"/>
    </row>
    <row r="5" spans="1:55">
      <c r="A5" s="107" t="s">
        <v>241</v>
      </c>
      <c r="B5" s="276" t="s">
        <v>424</v>
      </c>
      <c r="C5" s="628">
        <v>911.14173228346465</v>
      </c>
      <c r="D5" s="19">
        <v>29.7</v>
      </c>
      <c r="E5" s="19">
        <v>0</v>
      </c>
      <c r="F5" s="303">
        <v>2160</v>
      </c>
      <c r="G5" s="132"/>
      <c r="H5" s="303">
        <v>517.29</v>
      </c>
      <c r="I5" s="303">
        <v>195.36</v>
      </c>
      <c r="J5" s="303">
        <v>76.06</v>
      </c>
      <c r="K5" s="303">
        <v>106.06</v>
      </c>
      <c r="L5" s="304">
        <v>0</v>
      </c>
      <c r="M5" s="304">
        <v>0</v>
      </c>
      <c r="N5" s="305">
        <v>44.95</v>
      </c>
      <c r="O5" s="305">
        <v>49.8</v>
      </c>
      <c r="P5" s="488">
        <f xml:space="preserve"> SUM(D5:F5,H5,J5)</f>
        <v>2783.0499999999997</v>
      </c>
      <c r="Q5" s="516">
        <f xml:space="preserve"> SUM(D5:F5,,I5,K5)</f>
        <v>2491.12</v>
      </c>
      <c r="R5" s="489" t="e">
        <f>IF($B$2="mil",1,0.0254)*C5+P5</f>
        <v>#REF!</v>
      </c>
      <c r="S5" s="489" t="e">
        <f>IF($B$2="mil",1,0.0254)*C5+Q5</f>
        <v>#REF!</v>
      </c>
      <c r="T5" s="490">
        <f>$E$15</f>
        <v>3700</v>
      </c>
      <c r="U5" s="491" t="e">
        <f>IF($T5-$R5&lt;IF($B$2="mil",1,0.0254)*10,"Pass",$T5-$R5-IF($B$2="mil",1,0.0254)*5)</f>
        <v>#REF!</v>
      </c>
      <c r="V5" s="517" t="e">
        <f>IF($R5-$T5&lt;IF($B$2="mil",1,0.0254)*10,"Pass",$R5-$T5-IF($B$2="mil",1,0.0254)*5)</f>
        <v>#REF!</v>
      </c>
      <c r="W5" s="490">
        <f>$E$16</f>
        <v>3400</v>
      </c>
      <c r="X5" s="491" t="e">
        <f>IF($W5-$S5&lt;IF($B$2="mil",1,0.0254)*10,"Pass",$W5-$S5-IF($B$2="mil",1,0.0254)*5)</f>
        <v>#REF!</v>
      </c>
      <c r="Y5" s="517" t="e">
        <f>IF($S5-$W5&lt;IF($B$2="mil",1,0.0254)*10,"Pass",$S5-$W5-IF($B$2="mil",1,0.0254)*5)</f>
        <v>#REF!</v>
      </c>
      <c r="Z5" s="493" t="e">
        <f>IF($D5&lt;=IF($B$2="mil",1,0.0254)*50,"Pass",IF($B$2="mil",1,0.0254)*50-$D5)</f>
        <v>#REF!</v>
      </c>
      <c r="AA5" s="493" t="e">
        <f>IF($E5&lt;=IF($B$2="mil",1,0.0254)*500,"Pass",IF($B$2="mil",1,0.0254)*500-$E5)</f>
        <v>#REF!</v>
      </c>
      <c r="AB5" s="494"/>
      <c r="AC5" s="495" t="e">
        <f t="shared" ref="AC5:AD8" ca="1" si="0">CheckLength(IF($B$2="mil",1,0.0254)*500, IF($B$2="mil",1,0.0254)*150-J5, 0, H5,J5,0)</f>
        <v>#NAME?</v>
      </c>
      <c r="AD5" s="495" t="e">
        <f t="shared" ca="1" si="0"/>
        <v>#NAME?</v>
      </c>
      <c r="AE5" s="493" t="e">
        <f t="shared" ref="AE5:AF8" ca="1" si="1">CheckLength2(IF($B$2="mil",1,0.0254)*700,H5,J5,0)</f>
        <v>#NAME?</v>
      </c>
      <c r="AF5" s="493" t="e">
        <f t="shared" ca="1" si="1"/>
        <v>#NAME?</v>
      </c>
      <c r="AG5" s="493" t="e">
        <f>IF(MAX(J$5:K$6)-MIN(J$5:K$6)&lt;=IF($B$2="mil",1,0.0254)*50,"Pass",MAX(J$5:K$6)-MIN($J5:$K5)-IF($B$2="mil",1,0.0254)*50)</f>
        <v>#REF!</v>
      </c>
      <c r="AH5" s="493" t="e">
        <f>IF($L5&lt;=IF($B$2="mil",1,0.0254)*250,"Pass",IF($B$2="mil",1,0.0254)*250-$L5)</f>
        <v>#REF!</v>
      </c>
      <c r="AI5" s="493" t="e">
        <f>IF($M5&lt;=IF($B$2="mil",1,0.0254)*250,"Pass",IF($B$2="mil",1,0.0254)*250-$M5)</f>
        <v>#REF!</v>
      </c>
      <c r="AJ5" s="493" t="e">
        <f>IF($N5&lt;=IF($B$2="mil",1,0.0254)*50,"Pass",IF($B$2="mil",1,0.0254)*50-$N5)</f>
        <v>#REF!</v>
      </c>
      <c r="AK5" s="493" t="e">
        <f>IF($O5&lt;=IF($B$2="mil",1,0.0254)*50,"Pass",IF($B$2="mil",1,0.0254)*50-$O5)</f>
        <v>#REF!</v>
      </c>
      <c r="AL5" s="495" t="e">
        <f>IF(AND($P5&gt;=IF($B$2="mil",1,0.0254)*500, $P5&lt;=IF($B$2="mil",1,0.0254)*5000),"Pass",IF(($P5&gt;=IF($B$2="mil",1,0.0254)*500), IF($B$2="mil",1,0.0254)*5000-$P5, IF($B$2="mil",1,0.0254)*500-$P5))</f>
        <v>#REF!</v>
      </c>
      <c r="AM5" s="495" t="e">
        <f>IF( $R5&lt;=IF($B$2="mil",1,0.0254)*5500,"Pass", IF($B$2="mil",1,0.0254)*5500-$R5)</f>
        <v>#REF!</v>
      </c>
      <c r="AN5" s="495" t="e">
        <f>IF(AND($Q5&gt;=IF($B$2="mil",1,0.0254)*500, $Q5&lt;=IF($B$2="mil",1,0.0254)*5000),"Pass",IF(($Q5&gt;=IF($B$2="mil",1,0.0254)*500), IF($B$2="mil",1,0.0254)*5000-$Q5, IF($B$2="mil",1,0.0254)*500-$Q5))</f>
        <v>#REF!</v>
      </c>
      <c r="AO5" s="495" t="e">
        <f>IF( $S5&lt;=IF($B$2="mil",1,0.0254)*5500,"Pass", IF($B$2="mil",1,0.0254)*5500-$S5)</f>
        <v>#REF!</v>
      </c>
      <c r="AP5" s="496"/>
      <c r="AQ5" s="269"/>
      <c r="AR5" s="497" t="e">
        <f>IF((ABS($R5-$R6)&lt;=IF($B$2="mil",1,0.0254)*5),"Pass",ABS($R5-$R6))</f>
        <v>#REF!</v>
      </c>
      <c r="AS5" s="497" t="e">
        <f>IF((ABS($S5-$S6)&lt;=IF($B$2="mil",1,0.0254)*5),"Pass",ABS($S5-$S6))</f>
        <v>#REF!</v>
      </c>
      <c r="AT5" s="269"/>
      <c r="AU5" s="3" t="e">
        <f ca="1">IF(AND(X5="Pass",Y5="Pass",Z5="Pass",AA5="Pass",AC5="Pass",AD5="Pass",AE5="Pass",AF5="Pass",AG5="Pass",AH5="Pass",AI5="Pass",AJ5="Pass",AK5="Pass",AL5="Pass",AM5="Pass",AN5="Pass",AO5="Pass",AR5="Pass",AS5="Pass",U5="Pass",V5="Pass"),"Pass","Fail")</f>
        <v>#REF!</v>
      </c>
      <c r="AV5" s="3"/>
      <c r="AW5" s="3"/>
      <c r="AX5" s="3"/>
      <c r="AY5" s="3"/>
      <c r="AZ5" s="3"/>
      <c r="BA5" s="3"/>
      <c r="BB5" s="3"/>
      <c r="BC5" s="3"/>
    </row>
    <row r="6" spans="1:55">
      <c r="A6" s="107" t="s">
        <v>242</v>
      </c>
      <c r="B6" s="276" t="s">
        <v>427</v>
      </c>
      <c r="C6" s="628">
        <v>911.18110236220468</v>
      </c>
      <c r="D6" s="19">
        <v>29.7</v>
      </c>
      <c r="E6" s="19">
        <v>0</v>
      </c>
      <c r="F6" s="303">
        <v>2160</v>
      </c>
      <c r="G6" s="132"/>
      <c r="H6" s="303">
        <v>517.29</v>
      </c>
      <c r="I6" s="303">
        <v>195.36</v>
      </c>
      <c r="J6" s="303">
        <v>76.06</v>
      </c>
      <c r="K6" s="303">
        <v>106.06</v>
      </c>
      <c r="L6" s="304">
        <v>0</v>
      </c>
      <c r="M6" s="304">
        <v>0</v>
      </c>
      <c r="N6" s="305">
        <v>45.37</v>
      </c>
      <c r="O6" s="305">
        <v>36.869999999999997</v>
      </c>
      <c r="P6" s="488">
        <f xml:space="preserve"> SUM(D6:F6,H6,J6)</f>
        <v>2783.0499999999997</v>
      </c>
      <c r="Q6" s="516">
        <f xml:space="preserve"> SUM(D6:F6,,I6,K6)</f>
        <v>2491.12</v>
      </c>
      <c r="R6" s="489" t="e">
        <f>IF($B$2="mil",1,0.0254)*C6+P6</f>
        <v>#REF!</v>
      </c>
      <c r="S6" s="489" t="e">
        <f>IF($B$2="mil",1,0.0254)*C6+Q6</f>
        <v>#REF!</v>
      </c>
      <c r="T6" s="490">
        <f>$E$15</f>
        <v>3700</v>
      </c>
      <c r="U6" s="491" t="e">
        <f>IF($T6-$R6&lt;IF($B$2="mil",1,0.0254)*10,"Pass",$T6-$R6-IF($B$2="mil",1,0.0254)*5)</f>
        <v>#REF!</v>
      </c>
      <c r="V6" s="517" t="e">
        <f>IF($R6-$T6&lt;IF($B$2="mil",1,0.0254)*10,"Pass",$R6-$T6-IF($B$2="mil",1,0.0254)*5)</f>
        <v>#REF!</v>
      </c>
      <c r="W6" s="490">
        <f>$E$16</f>
        <v>3400</v>
      </c>
      <c r="X6" s="491" t="e">
        <f>IF($W6-$S6&lt;IF($B$2="mil",1,0.0254)*10,"Pass",$W6-$S6-IF($B$2="mil",1,0.0254)*5)</f>
        <v>#REF!</v>
      </c>
      <c r="Y6" s="517" t="e">
        <f>IF($S6-$W6&lt;IF($B$2="mil",1,0.0254)*10,"Pass",$S6-$W6-IF($B$2="mil",1,0.0254)*5)</f>
        <v>#REF!</v>
      </c>
      <c r="Z6" s="493" t="e">
        <f>IF($D6&lt;=IF($B$2="mil",1,0.0254)*50,"Pass",IF($B$2="mil",1,0.0254)*50-$D6)</f>
        <v>#REF!</v>
      </c>
      <c r="AA6" s="493" t="e">
        <f>IF($E6&lt;=IF($B$2="mil",1,0.0254)*500,"Pass",IF($B$2="mil",1,0.0254)*500-$E6)</f>
        <v>#REF!</v>
      </c>
      <c r="AB6" s="499"/>
      <c r="AC6" s="495" t="e">
        <f t="shared" ca="1" si="0"/>
        <v>#NAME?</v>
      </c>
      <c r="AD6" s="495" t="e">
        <f t="shared" ca="1" si="0"/>
        <v>#NAME?</v>
      </c>
      <c r="AE6" s="493" t="e">
        <f t="shared" ca="1" si="1"/>
        <v>#NAME?</v>
      </c>
      <c r="AF6" s="493" t="e">
        <f t="shared" ca="1" si="1"/>
        <v>#NAME?</v>
      </c>
      <c r="AG6" s="493" t="e">
        <f>IF(MAX(J$5:K$6)-MIN(J$5:K$6)&lt;=IF($B$2="mil",1,0.0254)*50,"Pass",MAX(J$5:K$6)-MIN($J6:$K6)-IF($B$2="mil",1,0.0254)*50)</f>
        <v>#REF!</v>
      </c>
      <c r="AH6" s="493" t="e">
        <f>IF($L6&lt;=IF($B$2="mil",1,0.0254)*250,"Pass",IF($B$2="mil",1,0.0254)*250-$L6)</f>
        <v>#REF!</v>
      </c>
      <c r="AI6" s="493" t="e">
        <f>IF($M6&lt;=IF($B$2="mil",1,0.0254)*250,"Pass",IF($B$2="mil",1,0.0254)*250-$M6)</f>
        <v>#REF!</v>
      </c>
      <c r="AJ6" s="493" t="e">
        <f>IF($N6&lt;=IF($B$2="mil",1,0.0254)*50,"Pass",IF($B$2="mil",1,0.0254)*50-$N6)</f>
        <v>#REF!</v>
      </c>
      <c r="AK6" s="493" t="e">
        <f>IF($O6&lt;=IF($B$2="mil",1,0.0254)*50,"Pass",IF($B$2="mil",1,0.0254)*50-$O6)</f>
        <v>#REF!</v>
      </c>
      <c r="AL6" s="495" t="e">
        <f>IF(AND($P6&gt;=IF($B$2="mil",1,0.0254)*500, $P6&lt;=IF($B$2="mil",1,0.0254)*5000),"Pass",IF(($P6&gt;=IF($B$2="mil",1,0.0254)*500), IF($B$2="mil",1,0.0254)*5000-$P6, IF($B$2="mil",1,0.0254)*500-$P6))</f>
        <v>#REF!</v>
      </c>
      <c r="AM6" s="495" t="e">
        <f>IF( $R6&lt;=IF($B$2="mil",1,0.0254)*5500,"Pass", IF($B$2="mil",1,0.0254)*5500-$R6)</f>
        <v>#REF!</v>
      </c>
      <c r="AN6" s="495" t="e">
        <f>IF(AND($Q6&gt;=IF($B$2="mil",1,0.0254)*500, $Q6&lt;=IF($B$2="mil",1,0.0254)*5000),"Pass",IF(($Q6&gt;=IF($B$2="mil",1,0.0254)*500), IF($B$2="mil",1,0.0254)*5000-$Q6, IF($B$2="mil",1,0.0254)*500-$Q6))</f>
        <v>#REF!</v>
      </c>
      <c r="AO6" s="495" t="e">
        <f>IF( $S6&lt;=IF($B$2="mil",1,0.0254)*5500,"Pass", IF($B$2="mil",1,0.0254)*5500-$S6)</f>
        <v>#REF!</v>
      </c>
      <c r="AP6" s="500"/>
      <c r="AQ6" s="374"/>
      <c r="AR6" s="497" t="e">
        <f>IF((ABS($R6-$R5)&lt;=IF($B$2="mil",1,0.0254)*5),"Pass",ABS($R6-$R5))</f>
        <v>#REF!</v>
      </c>
      <c r="AS6" s="497" t="e">
        <f>IF((ABS($S6-$S5)&lt;=IF($B$2="mil",1,0.0254)*5),"Pass",ABS($S6-$S5))</f>
        <v>#REF!</v>
      </c>
      <c r="AT6" s="374"/>
      <c r="AU6" s="3" t="e">
        <f ca="1">IF(AND(X6="Pass",Y6="Pass",Z6="Pass",AA6="Pass",AC6="Pass",AD6="Pass",AE6="Pass",AF6="Pass",AG6="Pass",AH6="Pass",AI6="Pass",AJ6="Pass",AK6="Pass",AL6="Pass",AM6="Pass",AN6="Pass",AO6="Pass",AR6="Pass",AS6="Pass",U6="Pass",V6="Pass"),"Pass","Fail")</f>
        <v>#REF!</v>
      </c>
      <c r="AV6" s="3"/>
      <c r="AW6" s="3"/>
      <c r="AX6" s="3"/>
      <c r="AY6" s="3"/>
      <c r="AZ6" s="3"/>
      <c r="BA6" s="3"/>
      <c r="BB6" s="3"/>
      <c r="BC6" s="3"/>
    </row>
    <row r="7" spans="1:55" ht="13.5" customHeight="1">
      <c r="A7" s="107" t="s">
        <v>243</v>
      </c>
      <c r="B7" s="276" t="s">
        <v>114</v>
      </c>
      <c r="C7" s="628">
        <v>1036.1417322834648</v>
      </c>
      <c r="D7" s="19">
        <v>29.7</v>
      </c>
      <c r="E7" s="19">
        <v>0</v>
      </c>
      <c r="F7" s="303">
        <v>2025</v>
      </c>
      <c r="G7" s="132"/>
      <c r="H7" s="303">
        <v>240.24</v>
      </c>
      <c r="I7" s="303">
        <v>536.54999999999995</v>
      </c>
      <c r="J7" s="303">
        <v>76.16</v>
      </c>
      <c r="K7" s="303">
        <v>71.11</v>
      </c>
      <c r="L7" s="304">
        <v>0</v>
      </c>
      <c r="M7" s="304">
        <v>0</v>
      </c>
      <c r="N7" s="305">
        <v>36.630000000000003</v>
      </c>
      <c r="O7" s="305">
        <v>44.55</v>
      </c>
      <c r="P7" s="488">
        <f xml:space="preserve"> SUM(D7:F7,H7,J7)</f>
        <v>2371.0999999999995</v>
      </c>
      <c r="Q7" s="516">
        <f xml:space="preserve"> SUM(D7:F7,,I7,K7)</f>
        <v>2662.36</v>
      </c>
      <c r="R7" s="489" t="e">
        <f>IF($B$2="mil",1,0.0254)*C7+P7</f>
        <v>#REF!</v>
      </c>
      <c r="S7" s="489" t="e">
        <f>IF($B$2="mil",1,0.0254)*C7+Q7</f>
        <v>#REF!</v>
      </c>
      <c r="T7" s="490">
        <f>$E$17</f>
        <v>3400</v>
      </c>
      <c r="U7" s="491" t="e">
        <f>IF($T7-$R7&lt;IF($B$2="mil",1,0.0254)*10,"Pass",$T7-$R7-IF($B$2="mil",1,0.0254)*5)</f>
        <v>#REF!</v>
      </c>
      <c r="V7" s="517" t="e">
        <f>IF($R7-$T7&lt;IF($B$2="mil",1,0.0254)*10,"Pass",$R7-$T7-IF($B$2="mil",1,0.0254)*5)</f>
        <v>#REF!</v>
      </c>
      <c r="W7" s="490">
        <f>$E$15</f>
        <v>3700</v>
      </c>
      <c r="X7" s="491" t="e">
        <f>IF($W7-$S7&lt;IF($B$2="mil",1,0.0254)*10,"Pass",$W7-$S7-IF($B$2="mil",1,0.0254)*5)</f>
        <v>#REF!</v>
      </c>
      <c r="Y7" s="517" t="e">
        <f>IF($S7-$W7&lt;IF($B$2="mil",1,0.0254)*10,"Pass",$S7-$W7-IF($B$2="mil",1,0.0254)*5)</f>
        <v>#REF!</v>
      </c>
      <c r="Z7" s="493" t="e">
        <f>IF($D7&lt;=IF($B$2="mil",1,0.0254)*50,"Pass",IF($B$2="mil",1,0.0254)*50-$D7)</f>
        <v>#REF!</v>
      </c>
      <c r="AA7" s="493" t="e">
        <f>IF($E7&lt;=IF($B$2="mil",1,0.0254)*500,"Pass",IF($B$2="mil",1,0.0254)*500-$E7)</f>
        <v>#REF!</v>
      </c>
      <c r="AB7" s="499"/>
      <c r="AC7" s="495" t="e">
        <f t="shared" ca="1" si="0"/>
        <v>#NAME?</v>
      </c>
      <c r="AD7" s="495" t="e">
        <f t="shared" ca="1" si="0"/>
        <v>#NAME?</v>
      </c>
      <c r="AE7" s="493" t="e">
        <f t="shared" ca="1" si="1"/>
        <v>#NAME?</v>
      </c>
      <c r="AF7" s="493" t="e">
        <f t="shared" ca="1" si="1"/>
        <v>#NAME?</v>
      </c>
      <c r="AG7" s="493" t="e">
        <f>IF(MAX(J$7:K$8)-MIN(J$7:K$8)&lt;=IF($B$2="mil",1,0.0254)*50,"Pass",MAX(J$7:K$8)-MIN($J7:$K7)-IF($B$2="mil",1,0.0254)*50)</f>
        <v>#REF!</v>
      </c>
      <c r="AH7" s="493" t="e">
        <f>IF($L7&lt;=IF($B$2="mil",1,0.0254)*250,"Pass",IF($B$2="mil",1,0.0254)*250-$L7)</f>
        <v>#REF!</v>
      </c>
      <c r="AI7" s="493" t="e">
        <f>IF($M7&lt;=IF($B$2="mil",1,0.0254)*250,"Pass",IF($B$2="mil",1,0.0254)*250-$M7)</f>
        <v>#REF!</v>
      </c>
      <c r="AJ7" s="493" t="e">
        <f>IF($N7&lt;=IF($B$2="mil",1,0.0254)*50,"Pass",IF($B$2="mil",1,0.0254)*50-$N7)</f>
        <v>#REF!</v>
      </c>
      <c r="AK7" s="493" t="e">
        <f>IF($O7&lt;=IF($B$2="mil",1,0.0254)*50,"Pass",IF($B$2="mil",1,0.0254)*50-$O7)</f>
        <v>#REF!</v>
      </c>
      <c r="AL7" s="495" t="e">
        <f>IF(AND($P7&gt;=IF($B$2="mil",1,0.0254)*500, $P7&lt;=IF($B$2="mil",1,0.0254)*5000),"Pass",IF(($P7&gt;=IF($B$2="mil",1,0.0254)*500), IF($B$2="mil",1,0.0254)*5000-$P7, IF($B$2="mil",1,0.0254)*500-$P7))</f>
        <v>#REF!</v>
      </c>
      <c r="AM7" s="495" t="e">
        <f>IF( $R7&lt;=IF($B$2="mil",1,0.0254)*5500,"Pass", IF($B$2="mil",1,0.0254)*5500-$R7)</f>
        <v>#REF!</v>
      </c>
      <c r="AN7" s="495" t="e">
        <f>IF(AND($Q7&gt;=IF($B$2="mil",1,0.0254)*500, $Q7&lt;=IF($B$2="mil",1,0.0254)*5000),"Pass",IF(($Q7&gt;=IF($B$2="mil",1,0.0254)*500), IF($B$2="mil",1,0.0254)*5000-$Q7, IF($B$2="mil",1,0.0254)*500-$Q7))</f>
        <v>#REF!</v>
      </c>
      <c r="AO7" s="495" t="e">
        <f>IF( $S7&lt;=IF($B$2="mil",1,0.0254)*5500,"Pass", IF($B$2="mil",1,0.0254)*5500-$S7)</f>
        <v>#REF!</v>
      </c>
      <c r="AP7" s="500"/>
      <c r="AQ7" s="374"/>
      <c r="AR7" s="497" t="e">
        <f>IF((ABS($R7-$R8)&lt;=IF($B$2="mil",1,0.0254)*5),"Pass",ABS($R7-$R8))</f>
        <v>#REF!</v>
      </c>
      <c r="AS7" s="497" t="e">
        <f>IF((ABS($S7-$S8)&lt;=IF($B$2="mil",1,0.0254)*5),"Pass",ABS($S7-$S8))</f>
        <v>#REF!</v>
      </c>
      <c r="AT7" s="374"/>
      <c r="AU7" s="3" t="e">
        <f ca="1">IF(AND(X7="Pass",Y7="Pass",Z7="Pass",AA7="Pass",AC7="Pass",AD7="Pass",AE7="Pass",AF7="Pass",AG7="Pass",AH7="Pass",AI7="Pass",AJ7="Pass",AK7="Pass",AL7="Pass",AM7="Pass",AN7="Pass",AO7="Pass",AR7="Pass",AS7="Pass",U7="Pass",V7="Pass"),"Pass","Fail")</f>
        <v>#REF!</v>
      </c>
      <c r="AV7" s="3"/>
      <c r="AW7" s="3"/>
      <c r="AX7" s="3"/>
      <c r="AY7" s="3"/>
      <c r="AZ7" s="3"/>
      <c r="BA7" s="3"/>
      <c r="BB7" s="3"/>
      <c r="BC7" s="3"/>
    </row>
    <row r="8" spans="1:55">
      <c r="A8" s="107" t="s">
        <v>244</v>
      </c>
      <c r="B8" s="276" t="s">
        <v>427</v>
      </c>
      <c r="C8" s="628">
        <v>1036.1417322834648</v>
      </c>
      <c r="D8" s="19">
        <v>29.7</v>
      </c>
      <c r="E8" s="19">
        <v>0</v>
      </c>
      <c r="F8" s="303">
        <v>2025</v>
      </c>
      <c r="G8" s="132"/>
      <c r="H8" s="303">
        <v>240.31</v>
      </c>
      <c r="I8" s="303">
        <v>534.29</v>
      </c>
      <c r="J8" s="303">
        <v>76.06</v>
      </c>
      <c r="K8" s="303">
        <v>76.06</v>
      </c>
      <c r="L8" s="304">
        <v>0</v>
      </c>
      <c r="M8" s="304">
        <v>0</v>
      </c>
      <c r="N8" s="305">
        <v>40.869999999999997</v>
      </c>
      <c r="O8" s="305">
        <v>42.64</v>
      </c>
      <c r="P8" s="488">
        <f xml:space="preserve"> SUM(D8:F8,H8,J8)</f>
        <v>2371.0699999999997</v>
      </c>
      <c r="Q8" s="516">
        <f xml:space="preserve"> SUM(D8:F8,,I8,K8)</f>
        <v>2665.0499999999997</v>
      </c>
      <c r="R8" s="489" t="e">
        <f>IF($B$2="mil",1,0.0254)*C8+P8</f>
        <v>#REF!</v>
      </c>
      <c r="S8" s="489" t="e">
        <f>IF($B$2="mil",1,0.0254)*C8+Q8</f>
        <v>#REF!</v>
      </c>
      <c r="T8" s="490">
        <f>$E$17</f>
        <v>3400</v>
      </c>
      <c r="U8" s="491" t="e">
        <f>IF($T8-$R8&lt;IF($B$2="mil",1,0.0254)*10,"Pass",$T8-$R8-IF($B$2="mil",1,0.0254)*5)</f>
        <v>#REF!</v>
      </c>
      <c r="V8" s="517" t="e">
        <f>IF($R8-$T8&lt;IF($B$2="mil",1,0.0254)*10,"Pass",$R8-$T8-IF($B$2="mil",1,0.0254)*5)</f>
        <v>#REF!</v>
      </c>
      <c r="W8" s="490">
        <f>$E$15</f>
        <v>3700</v>
      </c>
      <c r="X8" s="491" t="e">
        <f>IF($W8-$S8&lt;IF($B$2="mil",1,0.0254)*10,"Pass",$W8-$S8-IF($B$2="mil",1,0.0254)*5)</f>
        <v>#REF!</v>
      </c>
      <c r="Y8" s="517" t="e">
        <f>IF($S8-$W8&lt;IF($B$2="mil",1,0.0254)*10,"Pass",$S8-$W8-IF($B$2="mil",1,0.0254)*5)</f>
        <v>#REF!</v>
      </c>
      <c r="Z8" s="493" t="e">
        <f>IF($D8&lt;=IF($B$2="mil",1,0.0254)*50,"Pass",IF($B$2="mil",1,0.0254)*50-$D8)</f>
        <v>#REF!</v>
      </c>
      <c r="AA8" s="493" t="e">
        <f>IF($E8&lt;=IF($B$2="mil",1,0.0254)*500,"Pass",IF($B$2="mil",1,0.0254)*500-$E8)</f>
        <v>#REF!</v>
      </c>
      <c r="AB8" s="508"/>
      <c r="AC8" s="495" t="e">
        <f t="shared" ca="1" si="0"/>
        <v>#NAME?</v>
      </c>
      <c r="AD8" s="495" t="e">
        <f t="shared" ca="1" si="0"/>
        <v>#NAME?</v>
      </c>
      <c r="AE8" s="493" t="e">
        <f t="shared" ca="1" si="1"/>
        <v>#NAME?</v>
      </c>
      <c r="AF8" s="493" t="e">
        <f t="shared" ca="1" si="1"/>
        <v>#NAME?</v>
      </c>
      <c r="AG8" s="493" t="e">
        <f>IF(MAX(J$7:K$8)-MIN(J$7:K$8)&lt;=IF($B$2="mil",1,0.0254)*50,"Pass",MAX(J$7:K$8)-MIN($J8:$K8)-IF($B$2="mil",1,0.0254)*50)</f>
        <v>#REF!</v>
      </c>
      <c r="AH8" s="493" t="e">
        <f>IF($L8&lt;=IF($B$2="mil",1,0.0254)*250,"Pass",IF($B$2="mil",1,0.0254)*250-$L8)</f>
        <v>#REF!</v>
      </c>
      <c r="AI8" s="493" t="e">
        <f>IF($M8&lt;=IF($B$2="mil",1,0.0254)*250,"Pass",IF($B$2="mil",1,0.0254)*250-$M8)</f>
        <v>#REF!</v>
      </c>
      <c r="AJ8" s="493" t="e">
        <f>IF($N8&lt;=IF($B$2="mil",1,0.0254)*50,"Pass",IF($B$2="mil",1,0.0254)*50-$N8)</f>
        <v>#REF!</v>
      </c>
      <c r="AK8" s="493" t="e">
        <f>IF($O8&lt;=IF($B$2="mil",1,0.0254)*50,"Pass",IF($B$2="mil",1,0.0254)*50-$O8)</f>
        <v>#REF!</v>
      </c>
      <c r="AL8" s="495" t="e">
        <f>IF(AND($P8&gt;=IF($B$2="mil",1,0.0254)*500, $P8&lt;=IF($B$2="mil",1,0.0254)*5000),"Pass",IF(($P8&gt;=IF($B$2="mil",1,0.0254)*500), IF($B$2="mil",1,0.0254)*5000-$P8, IF($B$2="mil",1,0.0254)*500-$P8))</f>
        <v>#REF!</v>
      </c>
      <c r="AM8" s="495" t="e">
        <f>IF( $R8&lt;=IF($B$2="mil",1,0.0254)*5500,"Pass", IF($B$2="mil",1,0.0254)*5500-$R8)</f>
        <v>#REF!</v>
      </c>
      <c r="AN8" s="495" t="e">
        <f>IF(AND($Q8&gt;=IF($B$2="mil",1,0.0254)*500, $Q8&lt;=IF($B$2="mil",1,0.0254)*5000),"Pass",IF(($Q8&gt;=IF($B$2="mil",1,0.0254)*500), IF($B$2="mil",1,0.0254)*5000-$Q8, IF($B$2="mil",1,0.0254)*500-$Q8))</f>
        <v>#REF!</v>
      </c>
      <c r="AO8" s="495" t="e">
        <f>IF( $S8&lt;=IF($B$2="mil",1,0.0254)*5500,"Pass", IF($B$2="mil",1,0.0254)*5500-$S8)</f>
        <v>#REF!</v>
      </c>
      <c r="AP8" s="509"/>
      <c r="AQ8" s="270"/>
      <c r="AR8" s="497" t="e">
        <f>IF((ABS($R8-$R7)&lt;=IF($B$2="mil",1,0.0254)*5),"Pass",ABS($R8-$R7))</f>
        <v>#REF!</v>
      </c>
      <c r="AS8" s="497" t="e">
        <f>IF((ABS($S8-$S7)&lt;=IF($B$2="mil",1,0.0254)*5),"Pass",ABS($S8-$S7))</f>
        <v>#REF!</v>
      </c>
      <c r="AT8" s="270"/>
      <c r="AU8" s="3" t="e">
        <f ca="1">IF(AND(X8="Pass",Y8="Pass",Z8="Pass",AA8="Pass",AC8="Pass",AD8="Pass",AE8="Pass",AF8="Pass",AG8="Pass",AH8="Pass",AI8="Pass",AJ8="Pass",AK8="Pass",AL8="Pass",AM8="Pass",AN8="Pass",AO8="Pass",AR8="Pass",AS8="Pass",U8="Pass",V8="Pass"),"Pass","Fail")</f>
        <v>#REF!</v>
      </c>
      <c r="AV8" s="3"/>
      <c r="AW8" s="3"/>
      <c r="AX8" s="3"/>
      <c r="AY8" s="3"/>
      <c r="AZ8" s="3"/>
      <c r="BA8" s="3"/>
      <c r="BB8" s="3"/>
      <c r="BC8" s="3"/>
    </row>
    <row r="9" spans="1:55">
      <c r="A9" s="8" t="s">
        <v>206</v>
      </c>
      <c r="B9" s="110"/>
      <c r="C9" s="629"/>
      <c r="D9" s="102" t="e">
        <f>"EscapeLength L0 [" &amp; B2&amp;"]"</f>
        <v>#REF!</v>
      </c>
      <c r="E9" s="102" t="e">
        <f>"BreakoutLength L1[" &amp;B2 &amp;"]"</f>
        <v>#REF!</v>
      </c>
      <c r="F9" s="102" t="e">
        <f>"MainLength L2[" &amp;B2 &amp;"]"</f>
        <v>#REF!</v>
      </c>
      <c r="G9" s="102" t="e">
        <f>"BreakinLength S1[" &amp;B2 &amp;"]"</f>
        <v>#REF!</v>
      </c>
      <c r="H9" s="13"/>
      <c r="I9" s="13"/>
      <c r="J9" s="13"/>
      <c r="K9" s="13"/>
      <c r="L9" s="13"/>
      <c r="M9" s="13"/>
      <c r="N9" s="13"/>
      <c r="O9" s="13"/>
      <c r="P9" s="10"/>
      <c r="Q9" s="10"/>
      <c r="R9" s="10"/>
      <c r="S9" s="10"/>
      <c r="T9" s="10"/>
      <c r="U9" s="512"/>
      <c r="V9" s="512"/>
      <c r="W9" s="511"/>
      <c r="X9" s="511"/>
      <c r="Y9" s="511"/>
      <c r="Z9" s="7" t="e">
        <f>"L1 Length Test(&lt;="&amp; IF(B2="mil",1,0.0254)*500 &amp; B2 &amp;")"</f>
        <v>#REF!</v>
      </c>
      <c r="AA9" s="7" t="e">
        <f>"L2 Length Test  (&lt;="&amp;IF($B$2="mil",1,0.0254)*2550&amp;$B$2&amp;")"</f>
        <v>#REF!</v>
      </c>
      <c r="AB9" s="7" t="e">
        <f>"S1 Length Test(&lt;="&amp;IF($B$2="mil",1,0.0254)*200&amp;$B$2&amp;")"</f>
        <v>#REF!</v>
      </c>
      <c r="AC9" s="13"/>
      <c r="AD9" s="13"/>
      <c r="AE9" s="13"/>
      <c r="AF9" s="13"/>
      <c r="AG9" s="13"/>
      <c r="AH9" s="13"/>
      <c r="AI9" s="13"/>
      <c r="AJ9" s="13"/>
      <c r="AK9" s="13"/>
      <c r="AL9" s="13"/>
      <c r="AM9" s="13"/>
      <c r="AN9" s="513"/>
      <c r="AO9" s="513"/>
      <c r="AP9" s="518"/>
      <c r="AQ9" s="518"/>
      <c r="AR9" s="10"/>
      <c r="AS9" s="10"/>
      <c r="AT9" s="519"/>
      <c r="AU9" s="3"/>
      <c r="AV9" s="3"/>
      <c r="AW9" s="3"/>
      <c r="AX9" s="3"/>
      <c r="AY9" s="3"/>
      <c r="AZ9" s="3"/>
      <c r="BA9" s="3"/>
      <c r="BB9" s="3"/>
      <c r="BC9" s="3"/>
    </row>
    <row r="10" spans="1:55">
      <c r="A10" s="107" t="s">
        <v>422</v>
      </c>
      <c r="B10" s="276" t="s">
        <v>425</v>
      </c>
      <c r="C10" s="628">
        <v>863.93700787401576</v>
      </c>
      <c r="D10" s="19">
        <v>29.7</v>
      </c>
      <c r="E10" s="19">
        <v>0</v>
      </c>
      <c r="F10" s="303">
        <v>2100</v>
      </c>
      <c r="G10" s="306">
        <v>100</v>
      </c>
      <c r="H10" s="133"/>
      <c r="I10" s="134"/>
      <c r="J10" s="134"/>
      <c r="K10" s="134"/>
      <c r="L10" s="134"/>
      <c r="M10" s="134"/>
      <c r="N10" s="134"/>
      <c r="O10" s="135"/>
      <c r="P10" s="516">
        <f xml:space="preserve"> D10+E10+F10+G10</f>
        <v>2229.6999999999998</v>
      </c>
      <c r="Q10" s="494"/>
      <c r="R10" s="489" t="e">
        <f>IF($B$2="mil",1,0.0254)*C10+P10</f>
        <v>#REF!</v>
      </c>
      <c r="S10" s="494"/>
      <c r="T10" s="490">
        <f>$D$23</f>
        <v>3100</v>
      </c>
      <c r="U10" s="491" t="e">
        <f>IF($T10-$R10&lt;IF($B$2="mil",1,0.0254)*10,"Pass",$T10-$R10-IF($B$2="mil",1,0.0254)*10)</f>
        <v>#REF!</v>
      </c>
      <c r="V10" s="517" t="e">
        <f>IF($R10-$T10&lt;IF($B$2="mil",1,0.0254)*10,"Pass",$R10-$T10-IF($B$2="mil",1,0.0254)*10)</f>
        <v>#REF!</v>
      </c>
      <c r="W10" s="502"/>
      <c r="X10" s="38"/>
      <c r="Y10" s="503"/>
      <c r="Z10" s="520" t="e">
        <f>IF($D10&lt;=IF($B$2="mil",1,0.0254)*500,"Pass",IF($B$2="mil",1,0.0254)*500-$D10)</f>
        <v>#REF!</v>
      </c>
      <c r="AA10" s="493" t="e">
        <f>IF($E10&lt;=IF($B$2="mil",1,0.0254)*2550,"Pass",IF($B$2="mil",1,0.0254)*2550-$E10)</f>
        <v>#REF!</v>
      </c>
      <c r="AB10" s="521" t="e">
        <f>IF($G10&lt;=IF($B$2="mil",1,0.0254)*200,"Pass",IF($B$2="mil",1,0.0254)*200-$G10)</f>
        <v>#REF!</v>
      </c>
      <c r="AC10" s="496"/>
      <c r="AD10" s="41"/>
      <c r="AE10" s="41"/>
      <c r="AF10" s="41"/>
      <c r="AG10" s="41"/>
      <c r="AH10" s="41"/>
      <c r="AI10" s="41"/>
      <c r="AJ10" s="41"/>
      <c r="AK10" s="41"/>
      <c r="AL10" s="41"/>
      <c r="AM10" s="41"/>
      <c r="AN10" s="41"/>
      <c r="AO10" s="269"/>
      <c r="AP10" s="497" t="e">
        <f>IF(AND($P10&gt;=IF($B$2="mil",1,0.0254)*500, $P10&lt;=IF($B$2="mil",1,0.0254)*3250),"Pass",IF(($P10&gt;=IF($B$2="mil",1,0.0254)*500), IF($B$2="mil",1,0.0254)*3250-$P10, IF($B$2="mil",1,0.0254)*500-$P10))</f>
        <v>#REF!</v>
      </c>
      <c r="AQ10" s="495" t="e">
        <f>IF( $R10&lt;=IF($B$2="mil",1,0.0254)*4000,"Pass", IF($B$2="mil",1,0.0254)*4000-$R10)</f>
        <v>#REF!</v>
      </c>
      <c r="AR10" s="495" t="e">
        <f>IF((ABS($R10-$R11)&lt;=IF($B$2="mil",1,0.0254)*5),"Pass",ABS($R10-$R11))</f>
        <v>#REF!</v>
      </c>
      <c r="AS10" s="269"/>
      <c r="AT10" s="495" t="e">
        <f>IF(MAX(R$10:R$13)-R10&gt;IF($B$2="mil",1,0.0254)*20, MAX(R$10:R$13)-R10,"Pass")</f>
        <v>#REF!</v>
      </c>
      <c r="AU10" s="3" t="e">
        <f>IF(AND(Z10="Pass",AA10="Pass",AB10="Pass",AP10="Pass",AQ10="Pass",AR10="Pass",AT10="Pass",U10="Pass",V10="Pass"),"Pass","Fail")</f>
        <v>#REF!</v>
      </c>
      <c r="AV10" s="3"/>
      <c r="AW10" s="3"/>
      <c r="AX10" s="3"/>
      <c r="AY10" s="3"/>
      <c r="AZ10" s="3"/>
      <c r="BA10" s="3"/>
      <c r="BB10" s="3"/>
      <c r="BC10" s="3"/>
    </row>
    <row r="11" spans="1:55">
      <c r="A11" s="107" t="s">
        <v>423</v>
      </c>
      <c r="B11" s="276" t="s">
        <v>428</v>
      </c>
      <c r="C11" s="628">
        <v>863.97637795275591</v>
      </c>
      <c r="D11" s="19">
        <v>29.7</v>
      </c>
      <c r="E11" s="19">
        <v>0</v>
      </c>
      <c r="F11" s="303">
        <v>2100</v>
      </c>
      <c r="G11" s="306">
        <v>100</v>
      </c>
      <c r="H11" s="136"/>
      <c r="I11" s="132"/>
      <c r="J11" s="132"/>
      <c r="K11" s="132"/>
      <c r="L11" s="132"/>
      <c r="M11" s="132"/>
      <c r="N11" s="132"/>
      <c r="O11" s="137"/>
      <c r="P11" s="516">
        <f xml:space="preserve"> D11+E11+F11+G11</f>
        <v>2229.6999999999998</v>
      </c>
      <c r="Q11" s="499"/>
      <c r="R11" s="489" t="e">
        <f>IF($B$2="mil",1,0.0254)*C11+P11</f>
        <v>#REF!</v>
      </c>
      <c r="S11" s="499"/>
      <c r="T11" s="490">
        <f>$D$23</f>
        <v>3100</v>
      </c>
      <c r="U11" s="491" t="e">
        <f>IF($T11-$R11&lt;IF($B$2="mil",1,0.0254)*10,"Pass",$T11-$R11-IF($B$2="mil",1,0.0254)*10)</f>
        <v>#REF!</v>
      </c>
      <c r="V11" s="517" t="e">
        <f>IF($R11-$T11&lt;IF($B$2="mil",1,0.0254)*10,"Pass",$R11-$T11-IF($B$2="mil",1,0.0254)*10)</f>
        <v>#REF!</v>
      </c>
      <c r="W11" s="504"/>
      <c r="X11" s="370"/>
      <c r="Y11" s="505"/>
      <c r="Z11" s="520" t="e">
        <f>IF($D11&lt;=IF($B$2="mil",1,0.0254)*500,"Pass",IF($B$2="mil",1,0.0254)*500-$D11)</f>
        <v>#REF!</v>
      </c>
      <c r="AA11" s="493" t="e">
        <f>IF($E11&lt;=IF($B$2="mil",1,0.0254)*2550,"Pass",IF($B$2="mil",1,0.0254)*2550-$E11)</f>
        <v>#REF!</v>
      </c>
      <c r="AB11" s="521" t="e">
        <f>IF($G11&lt;=IF($B$2="mil",1,0.0254)*200,"Pass",IF($B$2="mil",1,0.0254)*200-$G11)</f>
        <v>#REF!</v>
      </c>
      <c r="AC11" s="500"/>
      <c r="AD11" s="373"/>
      <c r="AE11" s="373"/>
      <c r="AF11" s="373"/>
      <c r="AG11" s="373"/>
      <c r="AH11" s="373"/>
      <c r="AI11" s="373"/>
      <c r="AJ11" s="373"/>
      <c r="AK11" s="373"/>
      <c r="AL11" s="373"/>
      <c r="AM11" s="373"/>
      <c r="AN11" s="373"/>
      <c r="AO11" s="374"/>
      <c r="AP11" s="497" t="e">
        <f>IF(AND($P11&gt;=IF($B$2="mil",1,0.0254)*500, $P11&lt;=IF($B$2="mil",1,0.0254)*3250),"Pass",IF(($P11&gt;=IF($B$2="mil",1,0.0254)*500), IF($B$2="mil",1,0.0254)*3250-$P11, IF($B$2="mil",1,0.0254)*500-$P11))</f>
        <v>#REF!</v>
      </c>
      <c r="AQ11" s="495" t="e">
        <f>IF( $R11&lt;=IF($B$2="mil",1,0.0254)*4000,"Pass", IF($B$2="mil",1,0.0254)*4000-$R11)</f>
        <v>#REF!</v>
      </c>
      <c r="AR11" s="495" t="e">
        <f>IF((ABS($R11-$R10)&lt;=IF($B$2="mil",1,0.0254)*5),"Pass",ABS($R11-$R10))</f>
        <v>#REF!</v>
      </c>
      <c r="AS11" s="374"/>
      <c r="AT11" s="495" t="e">
        <f>IF(MAX(R$10:R$13)-R11&gt;IF($B$2="mil",1,0.0254)*20, MAX(R$10:R$13)-R11,"Pass")</f>
        <v>#REF!</v>
      </c>
      <c r="AU11" s="3" t="e">
        <f>IF(AND(Z11="Pass",AA11="Pass",AB11="Pass",AP11="Pass",AQ11="Pass",AR11="Pass",AT11="Pass",U11="Pass",V11="Pass"),"Pass","Fail")</f>
        <v>#REF!</v>
      </c>
      <c r="AV11" s="3"/>
      <c r="AW11" s="3"/>
      <c r="AX11" s="3"/>
      <c r="AY11" s="3"/>
      <c r="AZ11" s="3"/>
      <c r="BA11" s="3"/>
      <c r="BB11" s="3"/>
      <c r="BC11" s="3"/>
    </row>
    <row r="12" spans="1:55">
      <c r="A12" s="107" t="s">
        <v>15</v>
      </c>
      <c r="B12" s="276" t="s">
        <v>426</v>
      </c>
      <c r="C12" s="628">
        <v>764.44881889763792</v>
      </c>
      <c r="D12" s="19">
        <v>29.7</v>
      </c>
      <c r="E12" s="19">
        <v>0</v>
      </c>
      <c r="F12" s="303">
        <v>2200</v>
      </c>
      <c r="G12" s="306">
        <v>100</v>
      </c>
      <c r="H12" s="136"/>
      <c r="I12" s="132"/>
      <c r="J12" s="132"/>
      <c r="K12" s="132"/>
      <c r="L12" s="132"/>
      <c r="M12" s="132"/>
      <c r="N12" s="132"/>
      <c r="O12" s="137"/>
      <c r="P12" s="516">
        <f xml:space="preserve"> D12+E12+F12+G12</f>
        <v>2329.6999999999998</v>
      </c>
      <c r="Q12" s="499"/>
      <c r="R12" s="489" t="e">
        <f>IF($B$2="mil",1,0.0254)*C12+P12</f>
        <v>#REF!</v>
      </c>
      <c r="S12" s="499"/>
      <c r="T12" s="490">
        <f>$D$23</f>
        <v>3100</v>
      </c>
      <c r="U12" s="491" t="e">
        <f>IF($T12-$R12&lt;IF($B$2="mil",1,0.0254)*10,"Pass",$T12-$R12-IF($B$2="mil",1,0.0254)*10)</f>
        <v>#REF!</v>
      </c>
      <c r="V12" s="517" t="e">
        <f>IF($R12-$T12&lt;IF($B$2="mil",1,0.0254)*10,"Pass",$R12-$T12-IF($B$2="mil",1,0.0254)*10)</f>
        <v>#REF!</v>
      </c>
      <c r="W12" s="504"/>
      <c r="X12" s="370"/>
      <c r="Y12" s="505"/>
      <c r="Z12" s="520" t="e">
        <f>IF($D12&lt;=IF($B$2="mil",1,0.0254)*500,"Pass",IF($B$2="mil",1,0.0254)*500-$D12)</f>
        <v>#REF!</v>
      </c>
      <c r="AA12" s="493" t="e">
        <f>IF($E12&lt;=IF($B$2="mil",1,0.0254)*2550,"Pass",IF($B$2="mil",1,0.0254)*2550-$E12)</f>
        <v>#REF!</v>
      </c>
      <c r="AB12" s="521" t="e">
        <f>IF($G12&lt;=IF($B$2="mil",1,0.0254)*200,"Pass",IF($B$2="mil",1,0.0254)*200-$G12)</f>
        <v>#REF!</v>
      </c>
      <c r="AC12" s="500"/>
      <c r="AD12" s="373"/>
      <c r="AE12" s="373"/>
      <c r="AF12" s="373"/>
      <c r="AG12" s="373"/>
      <c r="AH12" s="373"/>
      <c r="AI12" s="373"/>
      <c r="AJ12" s="373"/>
      <c r="AK12" s="373"/>
      <c r="AL12" s="373"/>
      <c r="AM12" s="373"/>
      <c r="AN12" s="373"/>
      <c r="AO12" s="374"/>
      <c r="AP12" s="497" t="e">
        <f>IF(AND($P12&gt;=IF($B$2="mil",1,0.0254)*500, $P12&lt;=IF($B$2="mil",1,0.0254)*3250),"Pass",IF(($P12&gt;=IF($B$2="mil",1,0.0254)*500), IF($B$2="mil",1,0.0254)*3250-$P12, IF($B$2="mil",1,0.0254)*500-$P12))</f>
        <v>#REF!</v>
      </c>
      <c r="AQ12" s="495" t="e">
        <f>IF( $R12&lt;=IF($B$2="mil",1,0.0254)*4000,"Pass", IF($B$2="mil",1,0.0254)*4000-$R12)</f>
        <v>#REF!</v>
      </c>
      <c r="AR12" s="495" t="e">
        <f>IF((ABS($R12-$R13)&lt;=IF($B$2="mil",1,0.0254)*5),"Pass",ABS($R12-$R13))</f>
        <v>#REF!</v>
      </c>
      <c r="AS12" s="374"/>
      <c r="AT12" s="495" t="e">
        <f>IF(MAX(R$10:R$13)-R12&gt;IF($B$2="mil",1,0.0254)*20, MAX(R$10:R$13)-R12,"Pass")</f>
        <v>#REF!</v>
      </c>
      <c r="AU12" s="3" t="e">
        <f>IF(AND(Z12="Pass",AA12="Pass",AB12="Pass",AP12="Pass",AQ12="Pass",AR12="Pass",AT12="Pass",U12="Pass",V12="Pass"),"Pass","Fail")</f>
        <v>#REF!</v>
      </c>
      <c r="AV12" s="3"/>
      <c r="AW12" s="3"/>
      <c r="AX12" s="3"/>
      <c r="AY12" s="3"/>
      <c r="AZ12" s="3"/>
      <c r="BA12" s="3"/>
      <c r="BB12" s="3"/>
      <c r="BC12" s="3"/>
    </row>
    <row r="13" spans="1:55">
      <c r="A13" s="107" t="s">
        <v>16</v>
      </c>
      <c r="B13" s="276" t="s">
        <v>429</v>
      </c>
      <c r="C13" s="628">
        <v>764.48818897637796</v>
      </c>
      <c r="D13" s="19">
        <v>29.7</v>
      </c>
      <c r="E13" s="19">
        <v>0</v>
      </c>
      <c r="F13" s="303">
        <v>2200</v>
      </c>
      <c r="G13" s="306">
        <v>100</v>
      </c>
      <c r="H13" s="138"/>
      <c r="I13" s="139"/>
      <c r="J13" s="139"/>
      <c r="K13" s="139"/>
      <c r="L13" s="139"/>
      <c r="M13" s="139"/>
      <c r="N13" s="139"/>
      <c r="O13" s="140"/>
      <c r="P13" s="516">
        <f xml:space="preserve"> D13+E13+F13+G13</f>
        <v>2329.6999999999998</v>
      </c>
      <c r="Q13" s="508"/>
      <c r="R13" s="489" t="e">
        <f>IF($B$2="mil",1,0.0254)*C13+P13</f>
        <v>#REF!</v>
      </c>
      <c r="S13" s="508"/>
      <c r="T13" s="490">
        <f>$D$23</f>
        <v>3100</v>
      </c>
      <c r="U13" s="491" t="e">
        <f>IF($T13-$R13&lt;IF($B$2="mil",1,0.0254)*10,"Pass",$T13-$R13-IF($B$2="mil",1,0.0254)*10)</f>
        <v>#REF!</v>
      </c>
      <c r="V13" s="517" t="e">
        <f>IF($R13-$T13&lt;IF($B$2="mil",1,0.0254)*10,"Pass",$R13-$T13-IF($B$2="mil",1,0.0254)*10)</f>
        <v>#REF!</v>
      </c>
      <c r="W13" s="506"/>
      <c r="X13" s="43"/>
      <c r="Y13" s="507"/>
      <c r="Z13" s="520" t="e">
        <f>IF($D13&lt;=IF($B$2="mil",1,0.0254)*500,"Pass",IF($B$2="mil",1,0.0254)*500-$D13)</f>
        <v>#REF!</v>
      </c>
      <c r="AA13" s="493" t="e">
        <f>IF($E13&lt;=IF($B$2="mil",1,0.0254)*2550,"Pass",IF($B$2="mil",1,0.0254)*2550-$E13)</f>
        <v>#REF!</v>
      </c>
      <c r="AB13" s="521" t="e">
        <f>IF($G13&lt;=IF($B$2="mil",1,0.0254)*200,"Pass",IF($B$2="mil",1,0.0254)*200-$G13)</f>
        <v>#REF!</v>
      </c>
      <c r="AC13" s="509"/>
      <c r="AD13" s="46"/>
      <c r="AE13" s="46"/>
      <c r="AF13" s="46"/>
      <c r="AG13" s="46"/>
      <c r="AH13" s="46"/>
      <c r="AI13" s="46"/>
      <c r="AJ13" s="46"/>
      <c r="AK13" s="46"/>
      <c r="AL13" s="46"/>
      <c r="AM13" s="46"/>
      <c r="AN13" s="46"/>
      <c r="AO13" s="270"/>
      <c r="AP13" s="497" t="e">
        <f>IF(AND($P13&gt;=IF($B$2="mil",1,0.0254)*500, $P13&lt;=IF($B$2="mil",1,0.0254)*3250),"Pass",IF(($P13&gt;=IF($B$2="mil",1,0.0254)*500), IF($B$2="mil",1,0.0254)*3250-$P13, IF($B$2="mil",1,0.0254)*500-$P13))</f>
        <v>#REF!</v>
      </c>
      <c r="AQ13" s="495" t="e">
        <f>IF( $R13&lt;=IF($B$2="mil",1,0.0254)*4000,"Pass", IF($B$2="mil",1,0.0254)*4000-$R13)</f>
        <v>#REF!</v>
      </c>
      <c r="AR13" s="495" t="e">
        <f>IF((ABS($R13-$R12)&lt;=IF($B$2="mil",1,0.0254)*5),"Pass",ABS($R13-$R12))</f>
        <v>#REF!</v>
      </c>
      <c r="AS13" s="270"/>
      <c r="AT13" s="495" t="e">
        <f>IF(MAX(R$10:R$13)-R13&gt;IF($B$2="mil",1,0.0254)*20, MAX(R$10:R$13)-R13,"Pass")</f>
        <v>#REF!</v>
      </c>
      <c r="AU13" s="3" t="e">
        <f>IF(AND(Z13="Pass",AA13="Pass",AB13="Pass",AP13="Pass",AQ13="Pass",AR13="Pass",AT13="Pass",U13="Pass",V13="Pass"),"Pass","Fail")</f>
        <v>#REF!</v>
      </c>
      <c r="AV13" s="3"/>
      <c r="AW13" s="3"/>
      <c r="AX13" s="3"/>
      <c r="AY13" s="3"/>
      <c r="AZ13" s="3"/>
      <c r="BA13" s="3"/>
      <c r="BB13" s="3"/>
      <c r="BC13" s="3"/>
    </row>
    <row r="14" spans="1:55" s="22" customFormat="1">
      <c r="A14" s="111" t="s">
        <v>237</v>
      </c>
      <c r="B14" s="112"/>
      <c r="C14" s="113"/>
      <c r="D14" s="33"/>
      <c r="E14" s="33"/>
      <c r="F14" s="33"/>
      <c r="G14" s="33"/>
      <c r="H14" s="33"/>
      <c r="I14" s="33"/>
      <c r="J14" s="33"/>
      <c r="K14" s="33"/>
      <c r="L14" s="33"/>
      <c r="M14" s="33"/>
      <c r="N14" s="33"/>
      <c r="O14" s="33"/>
      <c r="P14" s="514"/>
      <c r="Q14" s="514"/>
      <c r="R14" s="34"/>
      <c r="S14" s="34"/>
      <c r="T14" s="34"/>
      <c r="U14" s="32"/>
      <c r="V14" s="32"/>
      <c r="W14" s="32"/>
      <c r="X14" s="32"/>
      <c r="Y14" s="32"/>
      <c r="Z14" s="32"/>
      <c r="AA14" s="35"/>
      <c r="AB14" s="36"/>
      <c r="AC14" s="36"/>
      <c r="AD14" s="36"/>
      <c r="AE14" s="36"/>
      <c r="AF14" s="36"/>
      <c r="AG14" s="36"/>
      <c r="AH14" s="36"/>
      <c r="AI14" s="36"/>
      <c r="AJ14" s="36"/>
      <c r="AK14" s="36"/>
      <c r="AL14" s="36"/>
      <c r="AM14" s="36"/>
      <c r="AN14" s="36"/>
      <c r="AO14" s="36"/>
      <c r="AP14" s="36"/>
      <c r="AQ14" s="36"/>
      <c r="AR14" s="36"/>
      <c r="AS14" s="36"/>
      <c r="AT14" s="268"/>
    </row>
    <row r="15" spans="1:55" s="22" customFormat="1">
      <c r="A15" s="114" t="s">
        <v>18</v>
      </c>
      <c r="B15" s="115" t="s">
        <v>216</v>
      </c>
      <c r="C15" s="352"/>
      <c r="D15" s="106" t="s">
        <v>245</v>
      </c>
      <c r="E15" s="20">
        <v>3700</v>
      </c>
      <c r="F15" s="37"/>
      <c r="G15" s="37"/>
      <c r="H15" s="37"/>
      <c r="I15" s="37"/>
      <c r="J15" s="37"/>
      <c r="K15" s="37"/>
      <c r="L15" s="37"/>
      <c r="M15" s="38"/>
      <c r="N15" s="38"/>
      <c r="O15" s="38"/>
      <c r="P15" s="39"/>
      <c r="Q15" s="39"/>
      <c r="R15" s="39"/>
      <c r="S15" s="39"/>
      <c r="T15" s="39"/>
      <c r="U15" s="39"/>
      <c r="V15" s="40"/>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269"/>
    </row>
    <row r="16" spans="1:55" s="22" customFormat="1">
      <c r="A16" s="114"/>
      <c r="B16" s="115"/>
      <c r="C16" s="352"/>
      <c r="D16" s="106" t="s">
        <v>246</v>
      </c>
      <c r="E16" s="20">
        <v>3400</v>
      </c>
      <c r="F16" s="369"/>
      <c r="G16" s="369"/>
      <c r="H16" s="369"/>
      <c r="I16" s="369"/>
      <c r="J16" s="369"/>
      <c r="K16" s="369"/>
      <c r="L16" s="369"/>
      <c r="M16" s="370"/>
      <c r="N16" s="370"/>
      <c r="O16" s="370"/>
      <c r="P16" s="371"/>
      <c r="Q16" s="371"/>
      <c r="R16" s="371"/>
      <c r="S16" s="371"/>
      <c r="T16" s="371"/>
      <c r="U16" s="371"/>
      <c r="V16" s="372"/>
      <c r="W16" s="373"/>
      <c r="X16" s="373"/>
      <c r="Y16" s="373"/>
      <c r="Z16" s="373"/>
      <c r="AA16" s="373"/>
      <c r="AB16" s="373"/>
      <c r="AC16" s="373"/>
      <c r="AD16" s="373"/>
      <c r="AE16" s="373"/>
      <c r="AF16" s="373"/>
      <c r="AG16" s="373"/>
      <c r="AH16" s="373"/>
      <c r="AI16" s="373"/>
      <c r="AJ16" s="373"/>
      <c r="AK16" s="373"/>
      <c r="AL16" s="373"/>
      <c r="AM16" s="373"/>
      <c r="AN16" s="373"/>
      <c r="AO16" s="373"/>
      <c r="AP16" s="373"/>
      <c r="AQ16" s="373"/>
      <c r="AR16" s="373"/>
      <c r="AS16" s="373"/>
      <c r="AT16" s="374"/>
    </row>
    <row r="17" spans="1:57" s="22" customFormat="1">
      <c r="A17" s="114"/>
      <c r="B17" s="115"/>
      <c r="C17" s="352"/>
      <c r="D17" s="106" t="s">
        <v>248</v>
      </c>
      <c r="E17" s="20">
        <v>3400</v>
      </c>
      <c r="F17" s="369"/>
      <c r="G17" s="369"/>
      <c r="H17" s="369"/>
      <c r="I17" s="369"/>
      <c r="J17" s="369"/>
      <c r="K17" s="369"/>
      <c r="L17" s="369"/>
      <c r="M17" s="370"/>
      <c r="N17" s="370"/>
      <c r="O17" s="370"/>
      <c r="P17" s="371"/>
      <c r="Q17" s="371"/>
      <c r="R17" s="371"/>
      <c r="S17" s="371"/>
      <c r="T17" s="371"/>
      <c r="U17" s="371"/>
      <c r="V17" s="372"/>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73"/>
      <c r="AS17" s="373"/>
      <c r="AT17" s="374"/>
    </row>
    <row r="18" spans="1:57" s="22" customFormat="1">
      <c r="A18" s="114"/>
      <c r="B18" s="115"/>
      <c r="C18" s="352"/>
      <c r="D18" s="106" t="s">
        <v>247</v>
      </c>
      <c r="E18" s="20">
        <v>3700</v>
      </c>
      <c r="F18" s="369"/>
      <c r="G18" s="369"/>
      <c r="H18" s="369"/>
      <c r="I18" s="369"/>
      <c r="J18" s="369"/>
      <c r="K18" s="369"/>
      <c r="L18" s="369"/>
      <c r="M18" s="370"/>
      <c r="N18" s="370"/>
      <c r="O18" s="370"/>
      <c r="P18" s="371"/>
      <c r="Q18" s="371"/>
      <c r="R18" s="371"/>
      <c r="S18" s="371"/>
      <c r="T18" s="371"/>
      <c r="U18" s="371"/>
      <c r="V18" s="372"/>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73"/>
      <c r="AS18" s="373"/>
      <c r="AT18" s="374"/>
    </row>
    <row r="19" spans="1:57" s="22" customFormat="1">
      <c r="A19" s="114"/>
      <c r="B19" s="115"/>
      <c r="C19" s="352"/>
      <c r="D19" s="106" t="s">
        <v>251</v>
      </c>
      <c r="E19" s="20"/>
      <c r="F19" s="369"/>
      <c r="G19" s="369"/>
      <c r="H19" s="369"/>
      <c r="I19" s="369"/>
      <c r="J19" s="369"/>
      <c r="K19" s="369"/>
      <c r="L19" s="369"/>
      <c r="M19" s="370"/>
      <c r="N19" s="370"/>
      <c r="O19" s="370"/>
      <c r="P19" s="371"/>
      <c r="Q19" s="371"/>
      <c r="R19" s="371"/>
      <c r="S19" s="371"/>
      <c r="T19" s="371"/>
      <c r="U19" s="371"/>
      <c r="V19" s="372"/>
      <c r="W19" s="373"/>
      <c r="X19" s="373"/>
      <c r="Y19" s="373"/>
      <c r="Z19" s="373"/>
      <c r="AA19" s="373"/>
      <c r="AB19" s="373"/>
      <c r="AC19" s="373"/>
      <c r="AD19" s="373"/>
      <c r="AE19" s="373"/>
      <c r="AF19" s="373"/>
      <c r="AG19" s="373"/>
      <c r="AH19" s="373"/>
      <c r="AI19" s="373"/>
      <c r="AJ19" s="373"/>
      <c r="AK19" s="373"/>
      <c r="AL19" s="373"/>
      <c r="AM19" s="373"/>
      <c r="AN19" s="373"/>
      <c r="AO19" s="373"/>
      <c r="AP19" s="373"/>
      <c r="AQ19" s="373"/>
      <c r="AR19" s="373"/>
      <c r="AS19" s="373"/>
      <c r="AT19" s="374"/>
    </row>
    <row r="20" spans="1:57" s="22" customFormat="1">
      <c r="A20" s="114"/>
      <c r="B20" s="115"/>
      <c r="C20" s="352"/>
      <c r="D20" s="106" t="s">
        <v>252</v>
      </c>
      <c r="E20" s="20"/>
      <c r="F20" s="369"/>
      <c r="G20" s="369"/>
      <c r="H20" s="369"/>
      <c r="I20" s="369"/>
      <c r="J20" s="369"/>
      <c r="K20" s="369"/>
      <c r="L20" s="369"/>
      <c r="M20" s="370"/>
      <c r="N20" s="370"/>
      <c r="O20" s="370"/>
      <c r="P20" s="371"/>
      <c r="Q20" s="371"/>
      <c r="R20" s="371"/>
      <c r="S20" s="371"/>
      <c r="T20" s="371"/>
      <c r="U20" s="371"/>
      <c r="V20" s="372"/>
      <c r="W20" s="373"/>
      <c r="X20" s="373"/>
      <c r="Y20" s="373"/>
      <c r="Z20" s="373"/>
      <c r="AA20" s="373"/>
      <c r="AB20" s="373"/>
      <c r="AC20" s="373"/>
      <c r="AD20" s="373"/>
      <c r="AE20" s="373"/>
      <c r="AF20" s="373"/>
      <c r="AG20" s="373"/>
      <c r="AH20" s="373"/>
      <c r="AI20" s="373"/>
      <c r="AJ20" s="373"/>
      <c r="AK20" s="373"/>
      <c r="AL20" s="373"/>
      <c r="AM20" s="373"/>
      <c r="AN20" s="373"/>
      <c r="AO20" s="373"/>
      <c r="AP20" s="373"/>
      <c r="AQ20" s="373"/>
      <c r="AR20" s="373"/>
      <c r="AS20" s="373"/>
      <c r="AT20" s="374"/>
    </row>
    <row r="21" spans="1:57" s="22" customFormat="1">
      <c r="A21" s="114"/>
      <c r="B21" s="115"/>
      <c r="C21" s="352"/>
      <c r="D21" s="106" t="s">
        <v>253</v>
      </c>
      <c r="E21" s="20"/>
      <c r="F21" s="369"/>
      <c r="G21" s="369"/>
      <c r="H21" s="369"/>
      <c r="I21" s="369"/>
      <c r="J21" s="369"/>
      <c r="K21" s="369"/>
      <c r="L21" s="369"/>
      <c r="M21" s="370"/>
      <c r="N21" s="370"/>
      <c r="O21" s="370"/>
      <c r="P21" s="371"/>
      <c r="Q21" s="371"/>
      <c r="R21" s="371"/>
      <c r="S21" s="371"/>
      <c r="T21" s="371"/>
      <c r="U21" s="371"/>
      <c r="V21" s="372"/>
      <c r="W21" s="373"/>
      <c r="X21" s="373"/>
      <c r="Y21" s="373"/>
      <c r="Z21" s="373"/>
      <c r="AA21" s="373"/>
      <c r="AB21" s="373"/>
      <c r="AC21" s="373"/>
      <c r="AD21" s="373"/>
      <c r="AE21" s="373"/>
      <c r="AF21" s="373"/>
      <c r="AG21" s="373"/>
      <c r="AH21" s="373"/>
      <c r="AI21" s="373"/>
      <c r="AJ21" s="373"/>
      <c r="AK21" s="373"/>
      <c r="AL21" s="373"/>
      <c r="AM21" s="373"/>
      <c r="AN21" s="373"/>
      <c r="AO21" s="373"/>
      <c r="AP21" s="373"/>
      <c r="AQ21" s="373"/>
      <c r="AR21" s="373"/>
      <c r="AS21" s="373"/>
      <c r="AT21" s="374"/>
    </row>
    <row r="22" spans="1:57" s="22" customFormat="1">
      <c r="A22" s="114"/>
      <c r="B22" s="115"/>
      <c r="C22" s="352"/>
      <c r="D22" s="106" t="s">
        <v>254</v>
      </c>
      <c r="E22" s="20"/>
      <c r="F22" s="369"/>
      <c r="G22" s="369"/>
      <c r="H22" s="369"/>
      <c r="I22" s="369"/>
      <c r="J22" s="369"/>
      <c r="K22" s="369"/>
      <c r="L22" s="369"/>
      <c r="M22" s="370"/>
      <c r="N22" s="370"/>
      <c r="O22" s="370"/>
      <c r="P22" s="371"/>
      <c r="Q22" s="371"/>
      <c r="R22" s="371"/>
      <c r="S22" s="371"/>
      <c r="T22" s="371"/>
      <c r="U22" s="371"/>
      <c r="V22" s="372"/>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4"/>
    </row>
    <row r="23" spans="1:57" s="22" customFormat="1">
      <c r="A23" s="108" t="s">
        <v>19</v>
      </c>
      <c r="B23" s="115" t="s">
        <v>217</v>
      </c>
      <c r="C23" s="352"/>
      <c r="D23" s="20">
        <v>3100</v>
      </c>
      <c r="E23" s="47"/>
      <c r="F23" s="42"/>
      <c r="G23" s="42"/>
      <c r="H23" s="42"/>
      <c r="I23" s="42"/>
      <c r="J23" s="42"/>
      <c r="K23" s="42"/>
      <c r="L23" s="43"/>
      <c r="M23" s="43"/>
      <c r="N23" s="43"/>
      <c r="O23" s="44"/>
      <c r="P23" s="44"/>
      <c r="Q23" s="44"/>
      <c r="R23" s="44"/>
      <c r="S23" s="44"/>
      <c r="T23" s="44"/>
      <c r="U23" s="45"/>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270"/>
    </row>
    <row r="24" spans="1:57" ht="25.5">
      <c r="A24" s="48" t="s">
        <v>9</v>
      </c>
      <c r="B24" s="24"/>
      <c r="C24" s="25"/>
      <c r="D24" s="26"/>
      <c r="E24" s="24"/>
      <c r="F24" s="26"/>
      <c r="G24" s="26"/>
      <c r="H24" s="26"/>
      <c r="I24" s="26"/>
      <c r="J24" s="26"/>
      <c r="K24" s="26"/>
      <c r="L24" s="26"/>
      <c r="M24" s="26"/>
      <c r="N24" s="26"/>
      <c r="O24" s="26"/>
      <c r="P24" s="26"/>
      <c r="Q24" s="26"/>
      <c r="R24" s="26"/>
      <c r="S24" s="26"/>
      <c r="T24" s="26"/>
      <c r="U24" s="26"/>
      <c r="V24" s="26"/>
      <c r="W24" s="26"/>
      <c r="X24" s="26"/>
      <c r="Y24" s="24"/>
      <c r="Z24" s="26"/>
      <c r="AA24" s="24"/>
      <c r="AB24" s="26"/>
      <c r="AC24" s="24"/>
      <c r="AD24" s="24"/>
      <c r="AE24" s="27"/>
      <c r="AF24" s="27"/>
      <c r="AG24" s="27"/>
      <c r="AH24" s="27"/>
      <c r="AI24" s="27"/>
      <c r="AJ24" s="27"/>
      <c r="AK24" s="27"/>
      <c r="AL24" s="27"/>
      <c r="AM24" s="27"/>
      <c r="AN24" s="27"/>
      <c r="AO24" s="27"/>
      <c r="AP24" s="27"/>
      <c r="AQ24" s="27"/>
      <c r="AR24" s="27"/>
      <c r="AS24" s="27"/>
      <c r="AT24" s="27"/>
      <c r="AU24" s="27"/>
      <c r="AV24" s="27"/>
      <c r="AW24" s="27"/>
      <c r="AX24" s="27"/>
      <c r="AY24" s="27"/>
      <c r="AZ24" s="27"/>
      <c r="BA24" s="24"/>
      <c r="BB24" s="24"/>
      <c r="BC24" s="24"/>
    </row>
    <row r="25" spans="1:57">
      <c r="A25" s="25"/>
      <c r="B25" s="26"/>
      <c r="C25" s="25"/>
      <c r="D25" s="26"/>
      <c r="E25" s="3"/>
      <c r="F25" s="302"/>
      <c r="G25" s="26"/>
      <c r="H25" s="26"/>
      <c r="I25" s="26"/>
      <c r="J25" s="26"/>
      <c r="K25" s="26"/>
      <c r="L25" s="26"/>
      <c r="M25" s="26"/>
      <c r="N25" s="26"/>
      <c r="O25" s="26"/>
      <c r="P25" s="26"/>
      <c r="Q25" s="26"/>
      <c r="R25" s="26"/>
      <c r="S25" s="26"/>
      <c r="T25" s="26"/>
      <c r="U25" s="26"/>
      <c r="V25" s="26"/>
      <c r="W25" s="26"/>
      <c r="X25" s="26"/>
      <c r="Y25" s="29"/>
      <c r="Z25" s="26"/>
      <c r="AA25" s="24"/>
      <c r="AB25" s="26"/>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E25" s="29"/>
    </row>
    <row r="26" spans="1:57">
      <c r="A26" s="25"/>
      <c r="B26" s="26"/>
      <c r="C26" s="25"/>
      <c r="D26" s="26"/>
      <c r="E26" s="3"/>
      <c r="F26" s="302"/>
      <c r="G26" s="2"/>
      <c r="H26" s="26"/>
      <c r="J26" s="26"/>
      <c r="K26" s="26"/>
      <c r="L26" s="26"/>
      <c r="M26" s="26"/>
      <c r="N26" s="26"/>
      <c r="O26" s="26"/>
      <c r="P26" s="26"/>
      <c r="Q26" s="26"/>
      <c r="R26" s="26"/>
      <c r="S26" s="26"/>
      <c r="T26" s="26"/>
      <c r="U26" s="26"/>
      <c r="V26" s="26"/>
      <c r="W26" s="26"/>
      <c r="X26" s="26"/>
      <c r="Y26" s="24"/>
      <c r="Z26" s="26"/>
      <c r="AA26" s="24"/>
      <c r="AB26" s="26"/>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row>
    <row r="27" spans="1:57" ht="15.75">
      <c r="A27" s="300"/>
      <c r="B27" s="26"/>
      <c r="C27" s="300"/>
      <c r="D27" s="26"/>
      <c r="E27" s="3"/>
      <c r="F27" s="302"/>
      <c r="G27" s="2"/>
      <c r="H27" s="26"/>
      <c r="J27" s="26"/>
      <c r="K27" s="26"/>
      <c r="L27" s="26"/>
      <c r="M27" s="416"/>
      <c r="N27" s="26"/>
      <c r="O27" s="26"/>
      <c r="P27" s="26"/>
      <c r="Q27" s="26"/>
      <c r="R27" s="26"/>
      <c r="S27" s="26"/>
      <c r="T27" s="26"/>
      <c r="U27" s="26"/>
      <c r="V27" s="26"/>
      <c r="W27" s="26"/>
      <c r="X27" s="26"/>
      <c r="Y27" s="24"/>
      <c r="Z27" s="26"/>
      <c r="AA27" s="24"/>
      <c r="AB27" s="26"/>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row>
    <row r="28" spans="1:57" ht="15.75">
      <c r="A28" s="300"/>
      <c r="B28" s="26"/>
      <c r="C28" s="300"/>
      <c r="D28" s="26"/>
      <c r="E28" s="3"/>
      <c r="F28" s="302"/>
      <c r="G28" s="2"/>
      <c r="H28" s="26"/>
      <c r="J28" s="26"/>
      <c r="K28" s="26"/>
      <c r="L28" s="26"/>
      <c r="M28" s="416"/>
      <c r="N28" s="26"/>
      <c r="O28" s="26"/>
      <c r="P28" s="26"/>
      <c r="Q28" s="26"/>
      <c r="R28" s="26"/>
      <c r="S28" s="26"/>
      <c r="T28" s="26"/>
      <c r="U28" s="26"/>
      <c r="V28" s="26"/>
      <c r="W28" s="26"/>
      <c r="X28" s="26"/>
      <c r="Y28" s="24"/>
      <c r="Z28" s="26"/>
      <c r="AA28" s="24"/>
      <c r="AB28" s="26"/>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row>
    <row r="29" spans="1:57" ht="15.75">
      <c r="A29" s="300"/>
      <c r="B29" s="26"/>
      <c r="C29" s="300"/>
      <c r="D29" s="26"/>
      <c r="E29" s="3"/>
      <c r="F29" s="26"/>
      <c r="G29" s="2"/>
      <c r="H29" s="26"/>
      <c r="J29" s="26"/>
      <c r="K29" s="26"/>
      <c r="L29" s="26"/>
      <c r="M29" s="416"/>
      <c r="N29" s="26"/>
      <c r="O29" s="26"/>
      <c r="P29" s="26"/>
      <c r="Q29" s="26"/>
      <c r="R29" s="26"/>
      <c r="S29" s="26"/>
      <c r="T29" s="26"/>
      <c r="U29" s="26"/>
      <c r="V29" s="26"/>
      <c r="W29" s="26"/>
      <c r="X29" s="26"/>
      <c r="Y29" s="24"/>
      <c r="Z29" s="26"/>
      <c r="AA29" s="24"/>
      <c r="AB29" s="26"/>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row>
    <row r="30" spans="1:57">
      <c r="A30" s="301"/>
      <c r="B30" s="26"/>
      <c r="C30" s="301"/>
      <c r="D30" s="26"/>
      <c r="E30" s="30"/>
      <c r="F30" s="26"/>
      <c r="G30" s="26"/>
      <c r="H30" s="26"/>
      <c r="I30" s="26"/>
      <c r="J30" s="26"/>
      <c r="K30" s="26"/>
      <c r="L30" s="26"/>
      <c r="M30" s="26"/>
      <c r="N30" s="26"/>
      <c r="O30" s="26"/>
      <c r="P30" s="26"/>
      <c r="Q30" s="26"/>
      <c r="R30" s="26"/>
      <c r="S30" s="26"/>
      <c r="T30" s="26"/>
      <c r="U30" s="26"/>
      <c r="V30" s="26"/>
      <c r="W30" s="26"/>
      <c r="X30" s="26"/>
      <c r="Y30" s="24"/>
      <c r="Z30" s="26"/>
      <c r="AA30" s="24"/>
      <c r="AB30" s="26"/>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row>
    <row r="31" spans="1:57">
      <c r="A31" s="301"/>
      <c r="B31" s="26"/>
      <c r="C31" s="301"/>
      <c r="D31" s="26"/>
      <c r="E31" s="24"/>
      <c r="F31" s="26"/>
      <c r="G31" s="26"/>
      <c r="H31" s="26"/>
      <c r="I31" s="26"/>
      <c r="J31" s="26"/>
      <c r="K31" s="26"/>
      <c r="L31" s="26"/>
      <c r="M31" s="26"/>
      <c r="N31" s="26"/>
      <c r="O31" s="26"/>
      <c r="P31" s="26"/>
      <c r="Q31" s="26"/>
      <c r="R31" s="26"/>
      <c r="S31" s="26"/>
      <c r="T31" s="26"/>
      <c r="U31" s="26"/>
      <c r="V31" s="26"/>
      <c r="W31" s="26"/>
      <c r="X31" s="26"/>
      <c r="Y31" s="24"/>
      <c r="Z31" s="26"/>
      <c r="AA31" s="24"/>
      <c r="AB31" s="26"/>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row>
    <row r="32" spans="1:57">
      <c r="A32" s="301"/>
      <c r="B32" s="26"/>
      <c r="C32" s="301"/>
      <c r="D32" s="26"/>
      <c r="E32" s="3"/>
      <c r="F32" s="26"/>
      <c r="G32" s="26"/>
      <c r="H32" s="26"/>
      <c r="I32" s="26"/>
      <c r="J32" s="26"/>
      <c r="K32" s="26"/>
      <c r="L32" s="26"/>
      <c r="M32" s="26"/>
      <c r="N32" s="26"/>
      <c r="O32" s="26"/>
      <c r="P32" s="26"/>
      <c r="Q32" s="26"/>
      <c r="R32" s="26"/>
      <c r="S32" s="26"/>
      <c r="T32" s="26"/>
      <c r="U32" s="26"/>
      <c r="V32" s="26"/>
      <c r="W32" s="26"/>
      <c r="X32" s="26"/>
      <c r="Y32" s="24"/>
      <c r="Z32" s="26"/>
      <c r="AA32" s="24"/>
      <c r="AB32" s="26"/>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row>
    <row r="33" spans="1:55">
      <c r="A33" s="301"/>
      <c r="B33" s="26"/>
      <c r="C33" s="301"/>
      <c r="D33" s="26"/>
      <c r="E33" s="3"/>
      <c r="F33" s="26"/>
      <c r="G33" s="26"/>
      <c r="H33" s="26"/>
      <c r="I33" s="26"/>
      <c r="J33" s="26"/>
      <c r="K33" s="26"/>
      <c r="L33" s="26"/>
      <c r="M33" s="26"/>
      <c r="N33" s="26"/>
      <c r="O33" s="26"/>
      <c r="P33" s="26"/>
      <c r="Q33" s="26"/>
      <c r="R33" s="26"/>
      <c r="S33" s="26"/>
      <c r="T33" s="26"/>
      <c r="U33" s="26"/>
      <c r="V33" s="26"/>
      <c r="W33" s="26"/>
      <c r="X33" s="26"/>
      <c r="Y33" s="24"/>
      <c r="Z33" s="26"/>
      <c r="AA33" s="24"/>
      <c r="AB33" s="26"/>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row>
    <row r="34" spans="1:55">
      <c r="A34" s="27"/>
      <c r="B34" s="27"/>
      <c r="C34" s="25"/>
      <c r="D34" s="26"/>
      <c r="E34" s="3"/>
      <c r="F34" s="26"/>
      <c r="G34" s="26"/>
      <c r="H34" s="26"/>
      <c r="I34" s="26"/>
      <c r="J34" s="26"/>
      <c r="K34" s="26"/>
      <c r="L34" s="26"/>
      <c r="M34" s="26"/>
      <c r="N34" s="26"/>
      <c r="O34" s="26"/>
      <c r="P34" s="26"/>
      <c r="Q34" s="26"/>
      <c r="R34" s="26"/>
      <c r="S34" s="26"/>
      <c r="T34" s="26"/>
      <c r="U34" s="26"/>
      <c r="V34" s="26"/>
      <c r="W34" s="26"/>
      <c r="X34" s="26"/>
      <c r="Y34" s="24"/>
      <c r="Z34" s="26"/>
      <c r="AA34" s="24"/>
      <c r="AB34" s="26"/>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row>
    <row r="35" spans="1:55">
      <c r="A35" s="27"/>
      <c r="B35" s="27"/>
      <c r="C35" s="25"/>
      <c r="D35" s="26"/>
      <c r="E35" s="3"/>
      <c r="F35" s="26"/>
      <c r="G35" s="26"/>
      <c r="H35" s="26"/>
      <c r="I35" s="26"/>
      <c r="J35" s="26"/>
      <c r="K35" s="26"/>
      <c r="L35" s="26"/>
      <c r="M35" s="26"/>
      <c r="N35" s="26"/>
      <c r="O35" s="26"/>
      <c r="P35" s="26"/>
      <c r="Q35" s="26"/>
      <c r="R35" s="26"/>
      <c r="S35" s="26"/>
      <c r="T35" s="26"/>
      <c r="U35" s="26"/>
      <c r="V35" s="26"/>
      <c r="W35" s="26"/>
      <c r="X35" s="26"/>
      <c r="Y35" s="24"/>
      <c r="Z35" s="26"/>
      <c r="AA35" s="24"/>
      <c r="AB35" s="26"/>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row>
    <row r="36" spans="1:55">
      <c r="A36" s="27"/>
      <c r="B36" s="27"/>
      <c r="C36" s="25"/>
      <c r="D36" s="26"/>
      <c r="E36" s="3"/>
      <c r="F36" s="26"/>
      <c r="G36" s="26"/>
      <c r="H36" s="26"/>
      <c r="I36" s="26"/>
      <c r="J36" s="26"/>
      <c r="K36" s="26"/>
      <c r="L36" s="26"/>
      <c r="M36" s="26"/>
      <c r="N36" s="26"/>
      <c r="O36" s="26"/>
      <c r="P36" s="26"/>
      <c r="Q36" s="26"/>
      <c r="R36" s="26"/>
      <c r="S36" s="26"/>
      <c r="T36" s="26"/>
      <c r="U36" s="26"/>
      <c r="V36" s="26"/>
      <c r="W36" s="26"/>
      <c r="X36" s="26"/>
      <c r="Y36" s="24"/>
      <c r="Z36" s="26"/>
      <c r="AA36" s="24"/>
      <c r="AB36" s="26"/>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row>
    <row r="37" spans="1:55">
      <c r="A37" s="27"/>
      <c r="B37" s="27"/>
      <c r="C37" s="25"/>
      <c r="D37" s="26"/>
      <c r="E37" s="3"/>
      <c r="F37" s="26"/>
      <c r="G37" s="26"/>
      <c r="H37" s="26"/>
      <c r="I37" s="26"/>
      <c r="J37" s="26"/>
      <c r="K37" s="26"/>
      <c r="L37" s="26"/>
      <c r="M37" s="26"/>
      <c r="N37" s="26"/>
      <c r="O37" s="26"/>
      <c r="P37" s="26"/>
      <c r="Q37" s="26"/>
      <c r="R37" s="26"/>
      <c r="S37" s="26"/>
      <c r="T37" s="26"/>
      <c r="U37" s="26"/>
      <c r="V37" s="26"/>
      <c r="W37" s="26"/>
      <c r="X37" s="26"/>
      <c r="Y37" s="24"/>
      <c r="Z37" s="26"/>
      <c r="AA37" s="24"/>
      <c r="AB37" s="26"/>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row>
    <row r="38" spans="1:55">
      <c r="A38" s="287"/>
      <c r="B38" s="27"/>
      <c r="C38" s="25"/>
      <c r="D38" s="26"/>
      <c r="E38" s="3"/>
      <c r="F38" s="26"/>
      <c r="G38" s="26"/>
      <c r="H38" s="26"/>
      <c r="I38" s="26"/>
      <c r="J38" s="26"/>
      <c r="K38" s="26"/>
      <c r="L38" s="26"/>
      <c r="M38" s="26"/>
      <c r="N38" s="26"/>
      <c r="O38" s="26"/>
      <c r="P38" s="26"/>
      <c r="Q38" s="26"/>
      <c r="R38" s="26"/>
      <c r="S38" s="26"/>
      <c r="T38" s="26"/>
      <c r="U38" s="26"/>
      <c r="V38" s="26"/>
      <c r="W38" s="26"/>
      <c r="X38" s="26"/>
      <c r="Y38" s="24"/>
      <c r="Z38" s="26"/>
      <c r="AA38" s="24"/>
      <c r="AB38" s="26"/>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row>
    <row r="39" spans="1:55">
      <c r="A39" s="287"/>
      <c r="B39" s="27"/>
      <c r="C39" s="25"/>
      <c r="D39" s="26"/>
      <c r="E39" s="3"/>
      <c r="F39" s="26"/>
      <c r="G39" s="26"/>
      <c r="H39" s="26"/>
      <c r="I39" s="26"/>
      <c r="J39" s="26"/>
      <c r="K39" s="26"/>
      <c r="L39" s="26"/>
      <c r="M39" s="26"/>
      <c r="N39" s="26"/>
      <c r="O39" s="26"/>
      <c r="P39" s="26"/>
      <c r="Q39" s="26"/>
      <c r="R39" s="26"/>
      <c r="S39" s="26"/>
      <c r="T39" s="26"/>
      <c r="U39" s="26"/>
      <c r="V39" s="26"/>
      <c r="W39" s="26"/>
      <c r="X39" s="26"/>
      <c r="Y39" s="24"/>
      <c r="Z39" s="26"/>
      <c r="AA39" s="24"/>
      <c r="AB39" s="26"/>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row>
    <row r="40" spans="1:55">
      <c r="A40" s="287"/>
      <c r="B40" s="24"/>
      <c r="C40" s="25"/>
      <c r="D40" s="26"/>
      <c r="E40" s="3"/>
      <c r="F40" s="26"/>
      <c r="G40" s="26"/>
      <c r="H40" s="26"/>
      <c r="I40" s="26"/>
      <c r="J40" s="26"/>
      <c r="K40" s="26"/>
      <c r="L40" s="26"/>
      <c r="M40" s="26"/>
      <c r="N40" s="26"/>
      <c r="O40" s="26"/>
      <c r="P40" s="26"/>
      <c r="Q40" s="26"/>
      <c r="R40" s="26"/>
      <c r="S40" s="26"/>
      <c r="T40" s="26"/>
      <c r="U40" s="26"/>
      <c r="V40" s="26"/>
      <c r="W40" s="26"/>
      <c r="X40" s="26"/>
      <c r="Y40" s="24"/>
      <c r="Z40" s="26"/>
      <c r="AA40" s="24"/>
      <c r="AB40" s="26"/>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row>
    <row r="41" spans="1:55">
      <c r="A41" s="287"/>
      <c r="B41" s="24"/>
      <c r="C41" s="25"/>
      <c r="D41" s="26"/>
      <c r="E41" s="3"/>
      <c r="F41" s="26"/>
      <c r="G41" s="26"/>
      <c r="H41" s="26"/>
      <c r="I41" s="26"/>
      <c r="J41" s="26"/>
      <c r="K41" s="26"/>
      <c r="L41" s="26"/>
      <c r="M41" s="26"/>
      <c r="N41" s="26"/>
      <c r="O41" s="26"/>
      <c r="P41" s="26"/>
      <c r="Q41" s="26"/>
      <c r="R41" s="26"/>
      <c r="S41" s="26"/>
      <c r="T41" s="26"/>
      <c r="U41" s="26"/>
      <c r="V41" s="26"/>
      <c r="W41" s="26"/>
      <c r="X41" s="26"/>
      <c r="Y41" s="24"/>
      <c r="Z41" s="26"/>
      <c r="AA41" s="24"/>
      <c r="AB41" s="26"/>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row>
    <row r="42" spans="1:55">
      <c r="A42" s="24"/>
      <c r="B42" s="24"/>
      <c r="C42" s="25"/>
      <c r="D42" s="26"/>
      <c r="E42" s="3"/>
      <c r="F42" s="26"/>
      <c r="G42" s="26"/>
      <c r="H42" s="26"/>
      <c r="I42" s="26"/>
      <c r="J42" s="26"/>
      <c r="K42" s="26"/>
      <c r="L42" s="26"/>
      <c r="M42" s="26"/>
      <c r="N42" s="26"/>
      <c r="O42" s="26"/>
      <c r="P42" s="26"/>
      <c r="Q42" s="26"/>
      <c r="R42" s="26"/>
      <c r="S42" s="26"/>
      <c r="T42" s="26"/>
      <c r="U42" s="26"/>
      <c r="V42" s="26"/>
      <c r="W42" s="26"/>
      <c r="X42" s="26"/>
      <c r="Y42" s="24"/>
      <c r="Z42" s="26"/>
      <c r="AA42" s="24"/>
      <c r="AB42" s="26"/>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row>
    <row r="43" spans="1:55">
      <c r="A43" s="24"/>
      <c r="B43" s="24"/>
      <c r="C43" s="25"/>
      <c r="D43" s="26"/>
      <c r="E43" s="3"/>
      <c r="F43" s="26"/>
      <c r="G43" s="26"/>
      <c r="H43" s="26"/>
      <c r="I43" s="26"/>
      <c r="J43" s="26"/>
      <c r="K43" s="26"/>
      <c r="L43" s="26"/>
      <c r="M43" s="26"/>
      <c r="N43" s="26"/>
      <c r="O43" s="26"/>
      <c r="P43" s="26"/>
      <c r="Q43" s="26"/>
      <c r="R43" s="26"/>
      <c r="S43" s="26"/>
      <c r="T43" s="26"/>
      <c r="U43" s="26"/>
      <c r="V43" s="26"/>
      <c r="W43" s="26"/>
      <c r="X43" s="26"/>
      <c r="Y43" s="24"/>
      <c r="Z43" s="26"/>
      <c r="AA43" s="24"/>
      <c r="AB43" s="26"/>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row>
    <row r="44" spans="1:55">
      <c r="A44" s="24"/>
      <c r="B44" s="24"/>
      <c r="C44" s="25"/>
      <c r="D44" s="26"/>
      <c r="E44" s="3"/>
      <c r="F44" s="26"/>
      <c r="G44" s="26"/>
      <c r="H44" s="26"/>
      <c r="I44" s="26"/>
      <c r="J44" s="26"/>
      <c r="K44" s="26"/>
      <c r="L44" s="26"/>
      <c r="M44" s="26"/>
      <c r="N44" s="26"/>
      <c r="O44" s="26"/>
      <c r="P44" s="26"/>
      <c r="Q44" s="26"/>
      <c r="R44" s="26"/>
      <c r="S44" s="26"/>
      <c r="T44" s="26"/>
      <c r="U44" s="26"/>
      <c r="V44" s="26"/>
      <c r="W44" s="26"/>
      <c r="X44" s="26"/>
      <c r="Y44" s="24"/>
      <c r="Z44" s="26"/>
      <c r="AA44" s="24"/>
      <c r="AB44" s="26"/>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row>
    <row r="45" spans="1:55">
      <c r="A45" s="24"/>
      <c r="B45" s="24"/>
      <c r="C45" s="25"/>
      <c r="D45" s="26"/>
      <c r="E45" s="24"/>
      <c r="F45" s="26"/>
      <c r="G45" s="26"/>
      <c r="H45" s="26"/>
      <c r="I45" s="26"/>
      <c r="J45" s="26"/>
      <c r="K45" s="26"/>
      <c r="L45" s="26"/>
      <c r="M45" s="26"/>
      <c r="N45" s="26"/>
      <c r="O45" s="26"/>
      <c r="P45" s="26"/>
      <c r="Q45" s="26"/>
      <c r="R45" s="26"/>
      <c r="S45" s="26"/>
      <c r="T45" s="26"/>
      <c r="U45" s="26"/>
      <c r="V45" s="26"/>
      <c r="W45" s="26"/>
      <c r="X45" s="26"/>
      <c r="Y45" s="24"/>
      <c r="Z45" s="26"/>
      <c r="AA45" s="24"/>
      <c r="AB45" s="26"/>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row>
    <row r="46" spans="1:55">
      <c r="A46" s="24"/>
      <c r="B46" s="24"/>
      <c r="C46" s="25"/>
      <c r="D46" s="26"/>
      <c r="E46" s="24"/>
      <c r="F46" s="26"/>
      <c r="G46" s="26"/>
      <c r="H46" s="26"/>
      <c r="I46" s="26"/>
      <c r="J46" s="26"/>
      <c r="K46" s="26"/>
      <c r="L46" s="26"/>
      <c r="M46" s="26"/>
      <c r="N46" s="26"/>
      <c r="O46" s="26"/>
      <c r="P46" s="26"/>
      <c r="Q46" s="26"/>
      <c r="R46" s="26"/>
      <c r="S46" s="26"/>
      <c r="T46" s="26"/>
      <c r="U46" s="26"/>
      <c r="V46" s="26"/>
      <c r="W46" s="26"/>
      <c r="X46" s="26"/>
      <c r="Y46" s="24"/>
      <c r="Z46" s="26"/>
      <c r="AA46" s="24"/>
      <c r="AB46" s="26"/>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row>
    <row r="47" spans="1:55">
      <c r="A47" s="24"/>
      <c r="B47" s="24"/>
      <c r="C47" s="25"/>
      <c r="D47" s="26"/>
      <c r="E47" s="24"/>
      <c r="F47" s="26"/>
      <c r="G47" s="26"/>
      <c r="H47" s="26"/>
      <c r="I47" s="26"/>
      <c r="J47" s="26"/>
      <c r="K47" s="26"/>
      <c r="L47" s="26"/>
      <c r="M47" s="26"/>
      <c r="N47" s="26"/>
      <c r="O47" s="26"/>
      <c r="P47" s="26"/>
      <c r="Q47" s="26"/>
      <c r="R47" s="26"/>
      <c r="S47" s="26"/>
      <c r="T47" s="26"/>
      <c r="U47" s="26"/>
      <c r="V47" s="26"/>
      <c r="W47" s="26"/>
      <c r="X47" s="26"/>
      <c r="Y47" s="24"/>
      <c r="Z47" s="26"/>
      <c r="AA47" s="24"/>
      <c r="AB47" s="26"/>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row>
    <row r="48" spans="1:55">
      <c r="A48" s="24"/>
      <c r="B48" s="24"/>
      <c r="C48" s="25"/>
      <c r="D48" s="26"/>
      <c r="E48" s="24"/>
      <c r="F48" s="26"/>
      <c r="G48" s="26"/>
      <c r="H48" s="26"/>
      <c r="I48" s="26"/>
      <c r="J48" s="26"/>
      <c r="K48" s="26"/>
      <c r="L48" s="26"/>
      <c r="M48" s="26"/>
      <c r="N48" s="26"/>
      <c r="O48" s="26"/>
      <c r="P48" s="26"/>
      <c r="Q48" s="26"/>
      <c r="R48" s="26"/>
      <c r="S48" s="26"/>
      <c r="T48" s="26"/>
      <c r="U48" s="26"/>
      <c r="V48" s="26"/>
      <c r="W48" s="26"/>
      <c r="X48" s="26"/>
      <c r="Y48" s="24"/>
      <c r="Z48" s="26"/>
      <c r="AA48" s="24"/>
      <c r="AB48" s="26"/>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row>
    <row r="49" spans="1:55">
      <c r="A49" s="24"/>
      <c r="B49" s="24"/>
      <c r="C49" s="25"/>
      <c r="D49" s="26"/>
      <c r="E49" s="24"/>
      <c r="F49" s="26"/>
      <c r="G49" s="26"/>
      <c r="H49" s="26"/>
      <c r="I49" s="26"/>
      <c r="J49" s="26"/>
      <c r="K49" s="26"/>
      <c r="L49" s="26"/>
      <c r="M49" s="26"/>
      <c r="N49" s="26"/>
      <c r="O49" s="26"/>
      <c r="P49" s="26"/>
      <c r="Q49" s="26"/>
      <c r="R49" s="26"/>
      <c r="S49" s="26"/>
      <c r="T49" s="26"/>
      <c r="U49" s="26"/>
      <c r="V49" s="26"/>
      <c r="W49" s="26"/>
      <c r="X49" s="26"/>
      <c r="Y49" s="24"/>
      <c r="Z49" s="26"/>
      <c r="AA49" s="24"/>
      <c r="AB49" s="26"/>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row>
    <row r="50" spans="1:55">
      <c r="A50" s="24"/>
      <c r="B50" s="24"/>
      <c r="C50" s="25"/>
      <c r="D50" s="26"/>
      <c r="E50" s="24"/>
      <c r="F50" s="26"/>
      <c r="G50" s="26"/>
      <c r="H50" s="26"/>
      <c r="I50" s="26"/>
      <c r="J50" s="26"/>
      <c r="K50" s="26"/>
      <c r="L50" s="26"/>
      <c r="M50" s="26"/>
      <c r="N50" s="26"/>
      <c r="O50" s="26"/>
      <c r="P50" s="26"/>
      <c r="Q50" s="26"/>
      <c r="R50" s="26"/>
      <c r="S50" s="26"/>
      <c r="T50" s="26"/>
      <c r="U50" s="26"/>
      <c r="V50" s="26"/>
      <c r="W50" s="26"/>
      <c r="X50" s="26"/>
      <c r="Y50" s="24"/>
      <c r="Z50" s="26"/>
      <c r="AA50" s="24"/>
      <c r="AB50" s="26"/>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row>
    <row r="51" spans="1:55">
      <c r="A51" s="24"/>
      <c r="B51" s="24"/>
      <c r="C51" s="25"/>
      <c r="D51" s="26"/>
      <c r="E51" s="24"/>
      <c r="F51" s="26"/>
      <c r="G51" s="26"/>
      <c r="H51" s="26"/>
      <c r="I51" s="26"/>
      <c r="J51" s="26"/>
      <c r="K51" s="26"/>
      <c r="L51" s="26"/>
      <c r="M51" s="26"/>
      <c r="N51" s="26"/>
      <c r="O51" s="26"/>
      <c r="P51" s="26"/>
      <c r="Q51" s="26"/>
      <c r="R51" s="26"/>
      <c r="S51" s="26"/>
      <c r="T51" s="26"/>
      <c r="U51" s="26"/>
      <c r="V51" s="26"/>
      <c r="W51" s="26"/>
      <c r="X51" s="26"/>
      <c r="Y51" s="24"/>
      <c r="Z51" s="26"/>
      <c r="AA51" s="24"/>
      <c r="AB51" s="26"/>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row>
    <row r="52" spans="1:55">
      <c r="A52" s="24"/>
      <c r="B52" s="24"/>
      <c r="C52" s="25"/>
      <c r="D52" s="26"/>
      <c r="E52" s="24"/>
      <c r="F52" s="26"/>
      <c r="G52" s="26"/>
      <c r="H52" s="26"/>
      <c r="I52" s="26"/>
      <c r="J52" s="26"/>
      <c r="K52" s="26"/>
      <c r="L52" s="26"/>
      <c r="M52" s="26"/>
      <c r="N52" s="26"/>
      <c r="O52" s="26"/>
      <c r="P52" s="26"/>
      <c r="Q52" s="26"/>
      <c r="R52" s="26"/>
      <c r="S52" s="26"/>
      <c r="T52" s="26"/>
      <c r="U52" s="26"/>
      <c r="V52" s="26"/>
      <c r="W52" s="26"/>
      <c r="X52" s="26"/>
      <c r="Y52" s="24"/>
      <c r="Z52" s="26"/>
      <c r="AA52" s="24"/>
      <c r="AB52" s="26"/>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row>
    <row r="53" spans="1:55">
      <c r="A53" s="24"/>
      <c r="B53" s="24"/>
      <c r="C53" s="25"/>
      <c r="D53" s="26"/>
      <c r="E53" s="24"/>
      <c r="F53" s="26"/>
      <c r="G53" s="26"/>
      <c r="H53" s="26"/>
      <c r="I53" s="26"/>
      <c r="J53" s="26"/>
      <c r="K53" s="26"/>
      <c r="L53" s="26"/>
      <c r="M53" s="26"/>
      <c r="N53" s="26"/>
      <c r="O53" s="26"/>
      <c r="P53" s="26"/>
      <c r="Q53" s="26"/>
      <c r="R53" s="26"/>
      <c r="S53" s="26"/>
      <c r="T53" s="26"/>
      <c r="U53" s="26"/>
      <c r="V53" s="26"/>
      <c r="W53" s="26"/>
      <c r="X53" s="26"/>
      <c r="Y53" s="24"/>
      <c r="Z53" s="26"/>
      <c r="AA53" s="24"/>
      <c r="AB53" s="26"/>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row>
    <row r="54" spans="1:55">
      <c r="A54" s="24"/>
      <c r="B54" s="24"/>
      <c r="C54" s="25"/>
      <c r="D54" s="26"/>
      <c r="E54" s="24"/>
      <c r="F54" s="26"/>
      <c r="G54" s="26"/>
      <c r="H54" s="26"/>
      <c r="I54" s="26"/>
      <c r="J54" s="26"/>
      <c r="K54" s="26"/>
      <c r="L54" s="26"/>
      <c r="M54" s="26"/>
      <c r="N54" s="26"/>
      <c r="O54" s="26"/>
      <c r="P54" s="26"/>
      <c r="Q54" s="26"/>
      <c r="R54" s="26"/>
      <c r="S54" s="26"/>
      <c r="T54" s="26"/>
      <c r="U54" s="26"/>
      <c r="V54" s="26"/>
      <c r="W54" s="26"/>
      <c r="X54" s="26"/>
      <c r="Y54" s="24"/>
      <c r="Z54" s="26"/>
      <c r="AA54" s="24"/>
      <c r="AB54" s="26"/>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row>
    <row r="55" spans="1:55">
      <c r="A55" s="24"/>
      <c r="B55" s="24"/>
      <c r="C55" s="25"/>
      <c r="D55" s="26"/>
      <c r="E55" s="24"/>
      <c r="F55" s="26"/>
      <c r="G55" s="26"/>
      <c r="H55" s="26"/>
      <c r="I55" s="26"/>
      <c r="J55" s="26"/>
      <c r="K55" s="26"/>
      <c r="L55" s="26"/>
      <c r="M55" s="26"/>
      <c r="N55" s="26"/>
      <c r="O55" s="26"/>
      <c r="P55" s="26"/>
      <c r="Q55" s="26"/>
      <c r="R55" s="26"/>
      <c r="S55" s="26"/>
      <c r="T55" s="26"/>
      <c r="U55" s="26"/>
      <c r="V55" s="26"/>
      <c r="W55" s="26"/>
      <c r="X55" s="26"/>
      <c r="Y55" s="24"/>
      <c r="Z55" s="26"/>
      <c r="AA55" s="24"/>
      <c r="AB55" s="26"/>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row>
    <row r="56" spans="1:55">
      <c r="A56" s="24"/>
      <c r="B56" s="24"/>
      <c r="C56" s="25"/>
      <c r="D56" s="26"/>
      <c r="E56" s="24"/>
      <c r="F56" s="26"/>
      <c r="G56" s="26"/>
      <c r="H56" s="26"/>
      <c r="I56" s="26"/>
      <c r="J56" s="26"/>
      <c r="K56" s="26"/>
      <c r="L56" s="26"/>
      <c r="M56" s="26"/>
      <c r="N56" s="26"/>
      <c r="O56" s="26"/>
      <c r="P56" s="26"/>
      <c r="Q56" s="26"/>
      <c r="R56" s="26"/>
      <c r="S56" s="26"/>
      <c r="T56" s="26"/>
      <c r="U56" s="26"/>
      <c r="V56" s="26"/>
      <c r="W56" s="26"/>
      <c r="X56" s="26"/>
      <c r="Y56" s="24"/>
      <c r="Z56" s="26"/>
      <c r="AA56" s="24"/>
      <c r="AB56" s="26"/>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row>
    <row r="57" spans="1:55">
      <c r="A57" s="24"/>
      <c r="B57" s="24"/>
      <c r="C57" s="25"/>
      <c r="D57" s="26"/>
      <c r="E57" s="24"/>
      <c r="F57" s="26"/>
      <c r="G57" s="26"/>
      <c r="H57" s="26"/>
      <c r="I57" s="26"/>
      <c r="J57" s="26"/>
      <c r="K57" s="26"/>
      <c r="L57" s="26"/>
      <c r="M57" s="26"/>
      <c r="N57" s="26"/>
      <c r="O57" s="26"/>
      <c r="P57" s="26"/>
      <c r="Q57" s="26"/>
      <c r="R57" s="26"/>
      <c r="S57" s="26"/>
      <c r="T57" s="26"/>
      <c r="U57" s="26"/>
      <c r="V57" s="26"/>
      <c r="W57" s="26"/>
      <c r="X57" s="26"/>
      <c r="Y57" s="24"/>
      <c r="Z57" s="26"/>
      <c r="AA57" s="24"/>
      <c r="AB57" s="26"/>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row>
    <row r="58" spans="1:55">
      <c r="A58" s="24"/>
      <c r="B58" s="24"/>
      <c r="C58" s="25"/>
      <c r="D58" s="26"/>
      <c r="E58" s="24"/>
      <c r="F58" s="26"/>
      <c r="G58" s="26"/>
      <c r="H58" s="26"/>
      <c r="I58" s="26"/>
      <c r="J58" s="26"/>
      <c r="K58" s="26"/>
      <c r="L58" s="26"/>
      <c r="M58" s="26"/>
      <c r="N58" s="26"/>
      <c r="O58" s="26"/>
      <c r="P58" s="26"/>
      <c r="Q58" s="26"/>
      <c r="R58" s="26"/>
      <c r="S58" s="26"/>
      <c r="T58" s="26"/>
      <c r="U58" s="26"/>
      <c r="V58" s="26"/>
      <c r="W58" s="26"/>
      <c r="X58" s="26"/>
      <c r="Y58" s="24"/>
      <c r="Z58" s="26"/>
      <c r="AA58" s="24"/>
      <c r="AB58" s="26"/>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row>
    <row r="59" spans="1:55">
      <c r="A59" s="24"/>
      <c r="B59" s="24"/>
      <c r="C59" s="25"/>
      <c r="D59" s="26"/>
      <c r="E59" s="24"/>
      <c r="F59" s="26"/>
      <c r="G59" s="26"/>
      <c r="H59" s="26"/>
      <c r="I59" s="26"/>
      <c r="J59" s="26"/>
      <c r="K59" s="26"/>
      <c r="L59" s="26"/>
      <c r="M59" s="26"/>
      <c r="N59" s="26"/>
      <c r="O59" s="26"/>
      <c r="P59" s="26"/>
      <c r="Q59" s="26"/>
      <c r="R59" s="26"/>
      <c r="S59" s="26"/>
      <c r="T59" s="26"/>
      <c r="U59" s="26"/>
      <c r="V59" s="26"/>
      <c r="W59" s="26"/>
      <c r="X59" s="26"/>
      <c r="Y59" s="24"/>
      <c r="Z59" s="26"/>
      <c r="AA59" s="24"/>
      <c r="AB59" s="26"/>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row>
    <row r="60" spans="1:55">
      <c r="A60" s="24"/>
      <c r="B60" s="24"/>
      <c r="C60" s="25"/>
      <c r="D60" s="26"/>
      <c r="E60" s="24"/>
      <c r="F60" s="26"/>
      <c r="G60" s="26"/>
      <c r="H60" s="26"/>
      <c r="I60" s="26"/>
      <c r="J60" s="26"/>
      <c r="K60" s="26"/>
      <c r="L60" s="26"/>
      <c r="M60" s="26"/>
      <c r="N60" s="26"/>
      <c r="O60" s="26"/>
      <c r="P60" s="26"/>
      <c r="Q60" s="26"/>
      <c r="R60" s="26"/>
      <c r="S60" s="26"/>
      <c r="T60" s="26"/>
      <c r="U60" s="26"/>
      <c r="V60" s="26"/>
      <c r="W60" s="26"/>
      <c r="X60" s="26"/>
      <c r="Y60" s="24"/>
      <c r="Z60" s="26"/>
      <c r="AA60" s="24"/>
      <c r="AB60" s="26"/>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row>
    <row r="61" spans="1:55">
      <c r="A61" s="24"/>
      <c r="B61" s="24"/>
      <c r="C61" s="25"/>
      <c r="D61" s="26"/>
      <c r="E61" s="24"/>
      <c r="F61" s="26"/>
      <c r="G61" s="26"/>
      <c r="H61" s="26"/>
      <c r="I61" s="26"/>
      <c r="J61" s="26"/>
      <c r="K61" s="26"/>
      <c r="L61" s="26"/>
      <c r="M61" s="26"/>
      <c r="N61" s="26"/>
      <c r="O61" s="26"/>
      <c r="P61" s="26"/>
      <c r="Q61" s="26"/>
      <c r="R61" s="26"/>
      <c r="S61" s="26"/>
      <c r="T61" s="26"/>
      <c r="U61" s="26"/>
      <c r="V61" s="26"/>
      <c r="W61" s="26"/>
      <c r="X61" s="26"/>
      <c r="Y61" s="24"/>
      <c r="Z61" s="26"/>
      <c r="AA61" s="24"/>
      <c r="AB61" s="26"/>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row>
    <row r="62" spans="1:55">
      <c r="A62" s="24"/>
      <c r="B62" s="24"/>
      <c r="C62" s="25"/>
      <c r="D62" s="26"/>
      <c r="E62" s="24"/>
      <c r="F62" s="26"/>
      <c r="G62" s="26"/>
      <c r="H62" s="26"/>
      <c r="I62" s="26"/>
      <c r="J62" s="26"/>
      <c r="K62" s="26"/>
      <c r="L62" s="26"/>
      <c r="M62" s="26"/>
      <c r="N62" s="26"/>
      <c r="O62" s="26"/>
      <c r="P62" s="26"/>
      <c r="Q62" s="26"/>
      <c r="R62" s="26"/>
      <c r="S62" s="26"/>
      <c r="T62" s="26"/>
      <c r="U62" s="26"/>
      <c r="V62" s="26"/>
      <c r="W62" s="26"/>
      <c r="X62" s="26"/>
      <c r="Y62" s="24"/>
      <c r="Z62" s="26"/>
      <c r="AA62" s="24"/>
      <c r="AB62" s="26"/>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row>
    <row r="63" spans="1:55">
      <c r="A63" s="24"/>
      <c r="B63" s="24"/>
      <c r="C63" s="25"/>
      <c r="D63" s="26"/>
      <c r="E63" s="24"/>
      <c r="F63" s="26"/>
      <c r="G63" s="26"/>
      <c r="H63" s="26"/>
      <c r="I63" s="26"/>
      <c r="J63" s="26"/>
      <c r="K63" s="26"/>
      <c r="L63" s="26"/>
      <c r="M63" s="26"/>
      <c r="N63" s="26"/>
      <c r="O63" s="26"/>
      <c r="P63" s="26"/>
      <c r="Q63" s="26"/>
      <c r="R63" s="26"/>
      <c r="S63" s="26"/>
      <c r="T63" s="26"/>
      <c r="U63" s="26"/>
      <c r="V63" s="26"/>
      <c r="W63" s="26"/>
      <c r="X63" s="26"/>
      <c r="Y63" s="24"/>
      <c r="Z63" s="26"/>
      <c r="AA63" s="24"/>
      <c r="AB63" s="26"/>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row>
    <row r="64" spans="1:55">
      <c r="A64" s="24"/>
      <c r="B64" s="24"/>
      <c r="C64" s="25"/>
      <c r="D64" s="26"/>
      <c r="E64" s="24"/>
      <c r="F64" s="26"/>
      <c r="G64" s="26"/>
      <c r="H64" s="26"/>
      <c r="I64" s="26"/>
      <c r="J64" s="26"/>
      <c r="K64" s="26"/>
      <c r="L64" s="26"/>
      <c r="M64" s="26"/>
      <c r="N64" s="26"/>
      <c r="O64" s="26"/>
      <c r="P64" s="26"/>
      <c r="Q64" s="26"/>
      <c r="R64" s="26"/>
      <c r="S64" s="26"/>
      <c r="T64" s="26"/>
      <c r="U64" s="26"/>
      <c r="V64" s="26"/>
      <c r="W64" s="26"/>
      <c r="X64" s="26"/>
      <c r="Y64" s="24"/>
      <c r="Z64" s="26"/>
      <c r="AA64" s="24"/>
      <c r="AB64" s="26"/>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row>
    <row r="65" spans="1:55">
      <c r="A65" s="24"/>
      <c r="B65" s="24"/>
      <c r="C65" s="25"/>
      <c r="D65" s="26"/>
      <c r="E65" s="24"/>
      <c r="F65" s="26"/>
      <c r="G65" s="26"/>
      <c r="H65" s="26"/>
      <c r="I65" s="26"/>
      <c r="J65" s="26"/>
      <c r="K65" s="26"/>
      <c r="L65" s="26"/>
      <c r="M65" s="26"/>
      <c r="N65" s="26"/>
      <c r="O65" s="26"/>
      <c r="P65" s="26"/>
      <c r="Q65" s="26"/>
      <c r="R65" s="26"/>
      <c r="S65" s="26"/>
      <c r="T65" s="26"/>
      <c r="U65" s="26"/>
      <c r="V65" s="26"/>
      <c r="W65" s="26"/>
      <c r="X65" s="26"/>
      <c r="Y65" s="24"/>
      <c r="Z65" s="26"/>
      <c r="AA65" s="24"/>
      <c r="AB65" s="26"/>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row>
    <row r="66" spans="1:55">
      <c r="A66" s="24"/>
      <c r="B66" s="24"/>
      <c r="C66" s="25"/>
      <c r="D66" s="26"/>
      <c r="E66" s="24"/>
      <c r="F66" s="26"/>
      <c r="G66" s="26"/>
      <c r="H66" s="26"/>
      <c r="I66" s="26"/>
      <c r="J66" s="26"/>
      <c r="K66" s="26"/>
      <c r="L66" s="26"/>
      <c r="M66" s="26"/>
      <c r="N66" s="26"/>
      <c r="O66" s="26"/>
      <c r="P66" s="26"/>
      <c r="Q66" s="26"/>
      <c r="R66" s="26"/>
      <c r="S66" s="26"/>
      <c r="T66" s="26"/>
      <c r="U66" s="26"/>
      <c r="V66" s="26"/>
      <c r="W66" s="26"/>
      <c r="X66" s="26"/>
      <c r="Y66" s="24"/>
      <c r="Z66" s="26"/>
      <c r="AA66" s="24"/>
      <c r="AB66" s="26"/>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row>
    <row r="67" spans="1:55">
      <c r="A67" s="24"/>
      <c r="B67" s="24"/>
      <c r="C67" s="25"/>
      <c r="D67" s="26"/>
      <c r="E67" s="24"/>
      <c r="F67" s="26"/>
      <c r="G67" s="26"/>
      <c r="H67" s="26"/>
      <c r="I67" s="26"/>
      <c r="J67" s="26"/>
      <c r="K67" s="26"/>
      <c r="L67" s="26"/>
      <c r="M67" s="26"/>
      <c r="N67" s="26"/>
      <c r="O67" s="26"/>
      <c r="P67" s="26"/>
      <c r="Q67" s="26"/>
      <c r="R67" s="26"/>
      <c r="S67" s="26"/>
      <c r="T67" s="26"/>
      <c r="U67" s="26"/>
      <c r="V67" s="26"/>
      <c r="W67" s="26"/>
      <c r="X67" s="26"/>
      <c r="Y67" s="24"/>
      <c r="Z67" s="26"/>
      <c r="AA67" s="24"/>
      <c r="AB67" s="26"/>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row>
    <row r="68" spans="1:55">
      <c r="A68" s="24"/>
      <c r="B68" s="24"/>
      <c r="C68" s="25"/>
      <c r="D68" s="26"/>
      <c r="E68" s="24"/>
      <c r="F68" s="26"/>
      <c r="G68" s="26"/>
      <c r="H68" s="26"/>
      <c r="I68" s="26"/>
      <c r="J68" s="26"/>
      <c r="K68" s="26"/>
      <c r="L68" s="26"/>
      <c r="M68" s="26"/>
      <c r="N68" s="26"/>
      <c r="O68" s="26"/>
      <c r="P68" s="26"/>
      <c r="Q68" s="26"/>
      <c r="R68" s="26"/>
      <c r="S68" s="26"/>
      <c r="T68" s="26"/>
      <c r="U68" s="26"/>
      <c r="V68" s="26"/>
      <c r="W68" s="26"/>
      <c r="X68" s="26"/>
      <c r="Y68" s="24"/>
      <c r="Z68" s="26"/>
      <c r="AA68" s="24"/>
      <c r="AB68" s="26"/>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row>
    <row r="69" spans="1:55">
      <c r="A69" s="24"/>
      <c r="B69" s="24"/>
      <c r="C69" s="25"/>
      <c r="D69" s="26"/>
      <c r="E69" s="24"/>
      <c r="F69" s="26"/>
      <c r="G69" s="26"/>
      <c r="H69" s="26"/>
      <c r="I69" s="26"/>
      <c r="J69" s="26"/>
      <c r="K69" s="26"/>
      <c r="L69" s="26"/>
      <c r="M69" s="26"/>
      <c r="N69" s="26"/>
      <c r="O69" s="26"/>
      <c r="P69" s="26"/>
      <c r="Q69" s="26"/>
      <c r="R69" s="26"/>
      <c r="S69" s="26"/>
      <c r="T69" s="26"/>
      <c r="U69" s="26"/>
      <c r="V69" s="26"/>
      <c r="W69" s="26"/>
      <c r="X69" s="26"/>
      <c r="Y69" s="24"/>
      <c r="Z69" s="26"/>
      <c r="AA69" s="24"/>
      <c r="AB69" s="26"/>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row>
    <row r="70" spans="1:55">
      <c r="A70" s="24"/>
      <c r="B70" s="24"/>
      <c r="C70" s="25"/>
      <c r="D70" s="26"/>
      <c r="E70" s="24"/>
      <c r="F70" s="26"/>
      <c r="G70" s="26"/>
      <c r="H70" s="26"/>
      <c r="I70" s="26"/>
      <c r="J70" s="26"/>
      <c r="K70" s="26"/>
      <c r="L70" s="26"/>
      <c r="M70" s="26"/>
      <c r="N70" s="26"/>
      <c r="O70" s="26"/>
      <c r="P70" s="26"/>
      <c r="Q70" s="26"/>
      <c r="R70" s="26"/>
      <c r="S70" s="26"/>
      <c r="T70" s="26"/>
      <c r="U70" s="26"/>
      <c r="V70" s="26"/>
      <c r="W70" s="26"/>
      <c r="X70" s="26"/>
      <c r="Y70" s="24"/>
      <c r="Z70" s="26"/>
      <c r="AA70" s="24"/>
      <c r="AB70" s="26"/>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row>
    <row r="71" spans="1:55">
      <c r="A71" s="24"/>
      <c r="B71" s="24"/>
      <c r="C71" s="25"/>
      <c r="D71" s="26"/>
      <c r="E71" s="24"/>
      <c r="F71" s="26"/>
      <c r="G71" s="26"/>
      <c r="H71" s="26"/>
      <c r="I71" s="26"/>
      <c r="J71" s="26"/>
      <c r="K71" s="26"/>
      <c r="L71" s="26"/>
      <c r="M71" s="26"/>
      <c r="N71" s="26"/>
      <c r="O71" s="26"/>
      <c r="P71" s="26"/>
      <c r="Q71" s="26"/>
      <c r="R71" s="26"/>
      <c r="S71" s="26"/>
      <c r="T71" s="26"/>
      <c r="U71" s="26"/>
      <c r="V71" s="26"/>
      <c r="W71" s="26"/>
      <c r="X71" s="26"/>
      <c r="Y71" s="24"/>
      <c r="Z71" s="26"/>
      <c r="AA71" s="24"/>
      <c r="AB71" s="26"/>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row>
    <row r="72" spans="1:55">
      <c r="A72" s="24"/>
      <c r="B72" s="24"/>
      <c r="C72" s="25"/>
      <c r="D72" s="26"/>
      <c r="E72" s="24"/>
      <c r="F72" s="26"/>
      <c r="G72" s="26"/>
      <c r="H72" s="26"/>
      <c r="I72" s="26"/>
      <c r="J72" s="26"/>
      <c r="K72" s="26"/>
      <c r="L72" s="26"/>
      <c r="M72" s="26"/>
      <c r="N72" s="26"/>
      <c r="O72" s="26"/>
      <c r="P72" s="26"/>
      <c r="Q72" s="26"/>
      <c r="R72" s="26"/>
      <c r="S72" s="26"/>
      <c r="T72" s="26"/>
      <c r="U72" s="26"/>
      <c r="V72" s="26"/>
      <c r="W72" s="26"/>
      <c r="X72" s="26"/>
      <c r="Y72" s="24"/>
      <c r="Z72" s="26"/>
      <c r="AA72" s="24"/>
      <c r="AB72" s="26"/>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row>
    <row r="73" spans="1:55">
      <c r="A73" s="24"/>
      <c r="B73" s="24"/>
      <c r="C73" s="25"/>
      <c r="D73" s="26"/>
      <c r="E73" s="24"/>
      <c r="F73" s="26"/>
      <c r="G73" s="26"/>
      <c r="H73" s="26"/>
      <c r="I73" s="26"/>
      <c r="J73" s="26"/>
      <c r="K73" s="26"/>
      <c r="L73" s="26"/>
      <c r="M73" s="26"/>
      <c r="N73" s="26"/>
      <c r="O73" s="26"/>
      <c r="P73" s="26"/>
      <c r="Q73" s="26"/>
      <c r="R73" s="26"/>
      <c r="S73" s="26"/>
      <c r="T73" s="26"/>
      <c r="U73" s="26"/>
      <c r="V73" s="26"/>
      <c r="W73" s="26"/>
      <c r="X73" s="26"/>
      <c r="Y73" s="24"/>
      <c r="Z73" s="26"/>
      <c r="AA73" s="24"/>
      <c r="AB73" s="26"/>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row>
    <row r="74" spans="1:55">
      <c r="A74" s="24"/>
      <c r="B74" s="24"/>
      <c r="C74" s="25"/>
      <c r="D74" s="26"/>
      <c r="E74" s="24"/>
      <c r="F74" s="26"/>
      <c r="G74" s="26"/>
      <c r="H74" s="26"/>
      <c r="I74" s="26"/>
      <c r="J74" s="26"/>
      <c r="K74" s="26"/>
      <c r="L74" s="26"/>
      <c r="M74" s="26"/>
      <c r="N74" s="26"/>
      <c r="O74" s="26"/>
      <c r="P74" s="26"/>
      <c r="Q74" s="26"/>
      <c r="R74" s="26"/>
      <c r="S74" s="26"/>
      <c r="T74" s="26"/>
      <c r="U74" s="26"/>
      <c r="V74" s="26"/>
      <c r="W74" s="26"/>
      <c r="X74" s="26"/>
      <c r="Y74" s="24"/>
      <c r="Z74" s="26"/>
      <c r="AA74" s="24"/>
      <c r="AB74" s="26"/>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row>
    <row r="75" spans="1:55">
      <c r="A75" s="24"/>
      <c r="B75" s="24"/>
      <c r="C75" s="25"/>
      <c r="D75" s="26"/>
      <c r="E75" s="24"/>
      <c r="F75" s="26"/>
      <c r="G75" s="26"/>
      <c r="H75" s="26"/>
      <c r="I75" s="26"/>
      <c r="J75" s="26"/>
      <c r="K75" s="26"/>
      <c r="L75" s="26"/>
      <c r="M75" s="26"/>
      <c r="N75" s="26"/>
      <c r="O75" s="26"/>
      <c r="P75" s="26"/>
      <c r="Q75" s="26"/>
      <c r="R75" s="26"/>
      <c r="S75" s="26"/>
      <c r="T75" s="26"/>
      <c r="U75" s="26"/>
      <c r="V75" s="26"/>
      <c r="W75" s="26"/>
      <c r="X75" s="26"/>
      <c r="Y75" s="24"/>
      <c r="Z75" s="26"/>
      <c r="AA75" s="24"/>
      <c r="AB75" s="26"/>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row>
    <row r="76" spans="1:55">
      <c r="A76" s="24"/>
      <c r="B76" s="24"/>
      <c r="C76" s="25"/>
      <c r="D76" s="26"/>
      <c r="E76" s="24"/>
      <c r="F76" s="26"/>
      <c r="G76" s="26"/>
      <c r="H76" s="26"/>
      <c r="I76" s="26"/>
      <c r="J76" s="26"/>
      <c r="K76" s="26"/>
      <c r="L76" s="26"/>
      <c r="M76" s="26"/>
      <c r="N76" s="26"/>
      <c r="O76" s="26"/>
      <c r="P76" s="26"/>
      <c r="Q76" s="26"/>
      <c r="R76" s="26"/>
      <c r="S76" s="26"/>
      <c r="T76" s="26"/>
      <c r="U76" s="26"/>
      <c r="V76" s="26"/>
      <c r="W76" s="26"/>
      <c r="X76" s="26"/>
      <c r="Y76" s="24"/>
      <c r="Z76" s="26"/>
      <c r="AA76" s="24"/>
      <c r="AB76" s="26"/>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row>
    <row r="77" spans="1:55">
      <c r="A77" s="24"/>
      <c r="B77" s="24"/>
      <c r="C77" s="25"/>
      <c r="D77" s="26"/>
      <c r="E77" s="24"/>
      <c r="F77" s="26"/>
      <c r="G77" s="26"/>
      <c r="H77" s="26"/>
      <c r="I77" s="26"/>
      <c r="J77" s="26"/>
      <c r="K77" s="26"/>
      <c r="L77" s="26"/>
      <c r="M77" s="26"/>
      <c r="N77" s="26"/>
      <c r="O77" s="26"/>
      <c r="P77" s="26"/>
      <c r="Q77" s="26"/>
      <c r="R77" s="26"/>
      <c r="S77" s="26"/>
      <c r="T77" s="26"/>
      <c r="U77" s="26"/>
      <c r="V77" s="26"/>
      <c r="W77" s="26"/>
      <c r="X77" s="26"/>
      <c r="Y77" s="24"/>
      <c r="Z77" s="26"/>
      <c r="AA77" s="24"/>
      <c r="AB77" s="26"/>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row>
    <row r="78" spans="1:55">
      <c r="A78" s="24"/>
      <c r="B78" s="24"/>
      <c r="C78" s="25"/>
      <c r="D78" s="26"/>
      <c r="E78" s="24"/>
      <c r="F78" s="26"/>
      <c r="G78" s="26"/>
      <c r="H78" s="26"/>
      <c r="I78" s="26"/>
      <c r="J78" s="26"/>
      <c r="K78" s="26"/>
      <c r="L78" s="26"/>
      <c r="M78" s="26"/>
      <c r="N78" s="26"/>
      <c r="O78" s="26"/>
      <c r="P78" s="26"/>
      <c r="Q78" s="26"/>
      <c r="R78" s="26"/>
      <c r="S78" s="26"/>
      <c r="T78" s="26"/>
      <c r="U78" s="26"/>
      <c r="V78" s="26"/>
      <c r="W78" s="26"/>
      <c r="X78" s="26"/>
      <c r="Y78" s="24"/>
      <c r="Z78" s="26"/>
      <c r="AA78" s="24"/>
      <c r="AB78" s="26"/>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row>
    <row r="79" spans="1:55">
      <c r="A79" s="24"/>
      <c r="B79" s="24"/>
      <c r="C79" s="25"/>
      <c r="D79" s="26"/>
      <c r="E79" s="24"/>
      <c r="F79" s="26"/>
      <c r="G79" s="26"/>
      <c r="H79" s="26"/>
      <c r="I79" s="26"/>
      <c r="J79" s="26"/>
      <c r="K79" s="26"/>
      <c r="L79" s="26"/>
      <c r="M79" s="26"/>
      <c r="N79" s="26"/>
      <c r="O79" s="26"/>
      <c r="P79" s="26"/>
      <c r="Q79" s="26"/>
      <c r="R79" s="26"/>
      <c r="S79" s="26"/>
      <c r="T79" s="26"/>
      <c r="U79" s="26"/>
      <c r="V79" s="26"/>
      <c r="W79" s="26"/>
      <c r="X79" s="26"/>
      <c r="Y79" s="24"/>
      <c r="Z79" s="26"/>
      <c r="AA79" s="24"/>
      <c r="AB79" s="26"/>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row>
    <row r="80" spans="1:55">
      <c r="A80" s="24"/>
      <c r="B80" s="24"/>
      <c r="C80" s="25"/>
      <c r="D80" s="26"/>
      <c r="E80" s="24"/>
      <c r="F80" s="26"/>
      <c r="G80" s="26"/>
      <c r="H80" s="26"/>
      <c r="I80" s="26"/>
      <c r="J80" s="26"/>
      <c r="K80" s="26"/>
      <c r="L80" s="26"/>
      <c r="M80" s="26"/>
      <c r="N80" s="26"/>
      <c r="O80" s="26"/>
      <c r="P80" s="26"/>
      <c r="Q80" s="26"/>
      <c r="R80" s="26"/>
      <c r="S80" s="26"/>
      <c r="T80" s="26"/>
      <c r="U80" s="26"/>
      <c r="V80" s="26"/>
      <c r="W80" s="26"/>
      <c r="X80" s="26"/>
      <c r="Y80" s="24"/>
      <c r="Z80" s="26"/>
      <c r="AA80" s="24"/>
      <c r="AB80" s="26"/>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row>
    <row r="81" spans="1:55">
      <c r="A81" s="24"/>
      <c r="B81" s="24"/>
      <c r="C81" s="25"/>
      <c r="D81" s="26"/>
      <c r="E81" s="24"/>
      <c r="F81" s="26"/>
      <c r="G81" s="26"/>
      <c r="H81" s="26"/>
      <c r="I81" s="26"/>
      <c r="J81" s="26"/>
      <c r="K81" s="26"/>
      <c r="L81" s="26"/>
      <c r="M81" s="26"/>
      <c r="N81" s="26"/>
      <c r="O81" s="26"/>
      <c r="P81" s="26"/>
      <c r="Q81" s="26"/>
      <c r="R81" s="26"/>
      <c r="S81" s="26"/>
      <c r="T81" s="26"/>
      <c r="U81" s="26"/>
      <c r="V81" s="26"/>
      <c r="W81" s="26"/>
      <c r="X81" s="26"/>
      <c r="Y81" s="24"/>
      <c r="Z81" s="26"/>
      <c r="AA81" s="24"/>
      <c r="AB81" s="26"/>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row>
    <row r="82" spans="1:55">
      <c r="A82" s="24"/>
      <c r="B82" s="24"/>
      <c r="C82" s="25"/>
      <c r="D82" s="26"/>
      <c r="E82" s="24"/>
      <c r="F82" s="26"/>
      <c r="G82" s="26"/>
      <c r="H82" s="26"/>
      <c r="I82" s="26"/>
      <c r="J82" s="26"/>
      <c r="K82" s="26"/>
      <c r="L82" s="26"/>
      <c r="M82" s="26"/>
      <c r="N82" s="26"/>
      <c r="O82" s="26"/>
      <c r="P82" s="26"/>
      <c r="Q82" s="26"/>
      <c r="R82" s="26"/>
      <c r="S82" s="26"/>
      <c r="T82" s="26"/>
      <c r="U82" s="26"/>
      <c r="V82" s="26"/>
      <c r="W82" s="26"/>
      <c r="X82" s="26"/>
      <c r="Y82" s="24"/>
      <c r="Z82" s="26"/>
      <c r="AA82" s="24"/>
      <c r="AB82" s="26"/>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row>
    <row r="83" spans="1:55">
      <c r="A83" s="24"/>
      <c r="B83" s="24"/>
      <c r="C83" s="25"/>
      <c r="D83" s="26"/>
      <c r="E83" s="24"/>
      <c r="F83" s="26"/>
      <c r="G83" s="26"/>
      <c r="H83" s="26"/>
      <c r="I83" s="26"/>
      <c r="J83" s="26"/>
      <c r="K83" s="26"/>
      <c r="L83" s="26"/>
      <c r="M83" s="26"/>
      <c r="N83" s="26"/>
      <c r="O83" s="26"/>
      <c r="P83" s="26"/>
      <c r="Q83" s="26"/>
      <c r="R83" s="26"/>
      <c r="S83" s="26"/>
      <c r="T83" s="26"/>
      <c r="U83" s="26"/>
      <c r="V83" s="26"/>
      <c r="W83" s="26"/>
      <c r="X83" s="26"/>
      <c r="Y83" s="24"/>
      <c r="Z83" s="26"/>
      <c r="AA83" s="24"/>
      <c r="AB83" s="26"/>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row>
    <row r="84" spans="1:55">
      <c r="A84" s="24"/>
      <c r="B84" s="24"/>
      <c r="C84" s="25"/>
      <c r="D84" s="26"/>
      <c r="E84" s="24"/>
      <c r="F84" s="26"/>
      <c r="G84" s="26"/>
      <c r="H84" s="26"/>
      <c r="I84" s="26"/>
      <c r="J84" s="26"/>
      <c r="K84" s="26"/>
      <c r="L84" s="26"/>
      <c r="M84" s="26"/>
      <c r="N84" s="26"/>
      <c r="O84" s="26"/>
      <c r="P84" s="26"/>
      <c r="Q84" s="26"/>
      <c r="R84" s="26"/>
      <c r="S84" s="26"/>
      <c r="T84" s="26"/>
      <c r="U84" s="26"/>
      <c r="V84" s="26"/>
      <c r="W84" s="26"/>
      <c r="X84" s="26"/>
      <c r="Y84" s="24"/>
      <c r="Z84" s="26"/>
      <c r="AA84" s="24"/>
      <c r="AB84" s="26"/>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row>
    <row r="85" spans="1:55">
      <c r="A85" s="24"/>
      <c r="B85" s="24"/>
      <c r="C85" s="25"/>
      <c r="D85" s="26"/>
      <c r="E85" s="24"/>
      <c r="F85" s="26"/>
      <c r="G85" s="26"/>
      <c r="H85" s="26"/>
      <c r="I85" s="26"/>
      <c r="J85" s="26"/>
      <c r="K85" s="26"/>
      <c r="L85" s="26"/>
      <c r="M85" s="26"/>
      <c r="N85" s="26"/>
      <c r="O85" s="26"/>
      <c r="P85" s="26"/>
      <c r="Q85" s="26"/>
      <c r="R85" s="26"/>
      <c r="S85" s="26"/>
      <c r="T85" s="26"/>
      <c r="U85" s="26"/>
      <c r="V85" s="26"/>
      <c r="W85" s="26"/>
      <c r="X85" s="26"/>
      <c r="Y85" s="24"/>
      <c r="Z85" s="26"/>
      <c r="AA85" s="24"/>
      <c r="AB85" s="26"/>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row>
    <row r="86" spans="1:55">
      <c r="A86" s="24"/>
      <c r="B86" s="24"/>
      <c r="C86" s="25"/>
      <c r="D86" s="26"/>
      <c r="E86" s="24"/>
      <c r="F86" s="26"/>
      <c r="G86" s="26"/>
      <c r="H86" s="26"/>
      <c r="I86" s="26"/>
      <c r="J86" s="26"/>
      <c r="K86" s="26"/>
      <c r="L86" s="26"/>
      <c r="M86" s="26"/>
      <c r="N86" s="26"/>
      <c r="O86" s="26"/>
      <c r="P86" s="26"/>
      <c r="Q86" s="26"/>
      <c r="R86" s="26"/>
      <c r="S86" s="26"/>
      <c r="T86" s="26"/>
      <c r="U86" s="26"/>
      <c r="V86" s="26"/>
      <c r="W86" s="26"/>
      <c r="X86" s="26"/>
      <c r="Y86" s="24"/>
      <c r="Z86" s="26"/>
      <c r="AA86" s="24"/>
      <c r="AB86" s="26"/>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row>
    <row r="87" spans="1:55">
      <c r="A87" s="24"/>
      <c r="B87" s="24"/>
      <c r="C87" s="25"/>
      <c r="D87" s="26"/>
      <c r="E87" s="24"/>
      <c r="F87" s="26"/>
      <c r="G87" s="26"/>
      <c r="H87" s="26"/>
      <c r="I87" s="26"/>
      <c r="J87" s="26"/>
      <c r="K87" s="26"/>
      <c r="L87" s="26"/>
      <c r="M87" s="26"/>
      <c r="N87" s="26"/>
      <c r="O87" s="26"/>
      <c r="P87" s="26"/>
      <c r="Q87" s="26"/>
      <c r="R87" s="26"/>
      <c r="S87" s="26"/>
      <c r="T87" s="26"/>
      <c r="U87" s="26"/>
      <c r="V87" s="26"/>
      <c r="W87" s="26"/>
      <c r="X87" s="26"/>
      <c r="Y87" s="24"/>
      <c r="Z87" s="26"/>
      <c r="AA87" s="24"/>
      <c r="AB87" s="26"/>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row>
    <row r="88" spans="1:55">
      <c r="A88" s="24"/>
      <c r="B88" s="24"/>
      <c r="C88" s="25"/>
      <c r="D88" s="26"/>
      <c r="E88" s="24"/>
      <c r="F88" s="26"/>
      <c r="G88" s="26"/>
      <c r="H88" s="26"/>
      <c r="I88" s="26"/>
      <c r="J88" s="26"/>
      <c r="K88" s="26"/>
      <c r="L88" s="26"/>
      <c r="M88" s="26"/>
      <c r="N88" s="26"/>
      <c r="O88" s="26"/>
      <c r="P88" s="26"/>
      <c r="Q88" s="26"/>
      <c r="R88" s="26"/>
      <c r="S88" s="26"/>
      <c r="T88" s="26"/>
      <c r="U88" s="26"/>
      <c r="V88" s="26"/>
      <c r="W88" s="26"/>
      <c r="X88" s="26"/>
      <c r="Y88" s="24"/>
      <c r="Z88" s="26"/>
      <c r="AA88" s="24"/>
      <c r="AB88" s="26"/>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row>
    <row r="89" spans="1:55">
      <c r="A89" s="24"/>
      <c r="B89" s="24"/>
      <c r="C89" s="25"/>
      <c r="D89" s="26"/>
      <c r="E89" s="24"/>
      <c r="F89" s="26"/>
      <c r="G89" s="26"/>
      <c r="H89" s="26"/>
      <c r="I89" s="26"/>
      <c r="J89" s="26"/>
      <c r="K89" s="26"/>
      <c r="L89" s="26"/>
      <c r="M89" s="26"/>
      <c r="N89" s="26"/>
      <c r="O89" s="26"/>
      <c r="P89" s="26"/>
      <c r="Q89" s="26"/>
      <c r="R89" s="26"/>
      <c r="S89" s="26"/>
      <c r="T89" s="26"/>
      <c r="U89" s="26"/>
      <c r="V89" s="26"/>
      <c r="W89" s="26"/>
      <c r="X89" s="26"/>
      <c r="Y89" s="24"/>
      <c r="Z89" s="26"/>
      <c r="AA89" s="24"/>
      <c r="AB89" s="26"/>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row>
    <row r="90" spans="1:55">
      <c r="A90" s="24"/>
      <c r="B90" s="24"/>
      <c r="C90" s="25"/>
      <c r="D90" s="26"/>
      <c r="E90" s="24"/>
      <c r="F90" s="26"/>
      <c r="G90" s="26"/>
      <c r="H90" s="26"/>
      <c r="I90" s="26"/>
      <c r="J90" s="26"/>
      <c r="K90" s="26"/>
      <c r="L90" s="26"/>
      <c r="M90" s="26"/>
      <c r="N90" s="26"/>
      <c r="O90" s="26"/>
      <c r="P90" s="26"/>
      <c r="Q90" s="26"/>
      <c r="R90" s="26"/>
      <c r="S90" s="26"/>
      <c r="T90" s="26"/>
      <c r="U90" s="26"/>
      <c r="V90" s="26"/>
      <c r="W90" s="26"/>
      <c r="X90" s="26"/>
      <c r="Y90" s="24"/>
      <c r="Z90" s="26"/>
      <c r="AA90" s="24"/>
      <c r="AB90" s="26"/>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row>
    <row r="91" spans="1:55">
      <c r="A91" s="24"/>
      <c r="B91" s="24"/>
      <c r="C91" s="25"/>
      <c r="D91" s="26"/>
      <c r="E91" s="24"/>
      <c r="F91" s="26"/>
      <c r="G91" s="26"/>
      <c r="H91" s="26"/>
      <c r="I91" s="26"/>
      <c r="J91" s="26"/>
      <c r="K91" s="26"/>
      <c r="L91" s="26"/>
      <c r="M91" s="26"/>
      <c r="N91" s="26"/>
      <c r="O91" s="26"/>
      <c r="P91" s="26"/>
      <c r="Q91" s="26"/>
      <c r="R91" s="26"/>
      <c r="S91" s="26"/>
      <c r="T91" s="26"/>
      <c r="U91" s="26"/>
      <c r="V91" s="26"/>
      <c r="W91" s="26"/>
      <c r="X91" s="26"/>
      <c r="Y91" s="24"/>
      <c r="Z91" s="26"/>
      <c r="AA91" s="24"/>
      <c r="AB91" s="26"/>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row>
    <row r="92" spans="1:55">
      <c r="A92" s="24"/>
      <c r="B92" s="24"/>
      <c r="C92" s="25"/>
      <c r="D92" s="26"/>
      <c r="E92" s="24"/>
      <c r="F92" s="26"/>
      <c r="G92" s="26"/>
      <c r="H92" s="26"/>
      <c r="I92" s="26"/>
      <c r="J92" s="26"/>
      <c r="K92" s="26"/>
      <c r="L92" s="26"/>
      <c r="M92" s="26"/>
      <c r="N92" s="26"/>
      <c r="O92" s="26"/>
      <c r="P92" s="26"/>
      <c r="Q92" s="26"/>
      <c r="R92" s="26"/>
      <c r="S92" s="26"/>
      <c r="T92" s="26"/>
      <c r="U92" s="26"/>
      <c r="V92" s="26"/>
      <c r="W92" s="26"/>
      <c r="X92" s="26"/>
      <c r="Y92" s="24"/>
      <c r="Z92" s="26"/>
      <c r="AA92" s="24"/>
      <c r="AB92" s="26"/>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row>
    <row r="93" spans="1:55">
      <c r="A93" s="24"/>
      <c r="B93" s="24"/>
      <c r="C93" s="25"/>
      <c r="D93" s="26"/>
      <c r="E93" s="24"/>
      <c r="F93" s="26"/>
      <c r="G93" s="26"/>
      <c r="H93" s="26"/>
      <c r="I93" s="26"/>
      <c r="J93" s="26"/>
      <c r="K93" s="26"/>
      <c r="L93" s="26"/>
      <c r="M93" s="26"/>
      <c r="N93" s="26"/>
      <c r="O93" s="26"/>
      <c r="P93" s="26"/>
      <c r="Q93" s="26"/>
      <c r="R93" s="26"/>
      <c r="S93" s="26"/>
      <c r="T93" s="26"/>
      <c r="U93" s="26"/>
      <c r="V93" s="26"/>
      <c r="W93" s="26"/>
      <c r="X93" s="26"/>
      <c r="Y93" s="24"/>
      <c r="Z93" s="26"/>
      <c r="AA93" s="24"/>
      <c r="AB93" s="26"/>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row>
    <row r="94" spans="1:55">
      <c r="A94" s="24"/>
      <c r="B94" s="24"/>
      <c r="C94" s="25"/>
      <c r="D94" s="26"/>
      <c r="E94" s="24"/>
      <c r="F94" s="26"/>
      <c r="G94" s="26"/>
      <c r="H94" s="26"/>
      <c r="I94" s="26"/>
      <c r="J94" s="26"/>
      <c r="K94" s="26"/>
      <c r="L94" s="26"/>
      <c r="M94" s="26"/>
      <c r="N94" s="26"/>
      <c r="O94" s="26"/>
      <c r="P94" s="26"/>
      <c r="Q94" s="26"/>
      <c r="R94" s="26"/>
      <c r="S94" s="26"/>
      <c r="T94" s="26"/>
      <c r="U94" s="26"/>
      <c r="V94" s="26"/>
      <c r="W94" s="26"/>
      <c r="X94" s="26"/>
      <c r="Y94" s="24"/>
      <c r="Z94" s="26"/>
      <c r="AA94" s="24"/>
      <c r="AB94" s="26"/>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row>
    <row r="95" spans="1:55">
      <c r="A95" s="24"/>
      <c r="B95" s="24"/>
      <c r="C95" s="25"/>
      <c r="D95" s="26"/>
      <c r="E95" s="24"/>
      <c r="F95" s="26"/>
      <c r="G95" s="26"/>
      <c r="H95" s="26"/>
      <c r="I95" s="26"/>
      <c r="J95" s="26"/>
      <c r="K95" s="26"/>
      <c r="L95" s="26"/>
      <c r="M95" s="26"/>
      <c r="N95" s="26"/>
      <c r="O95" s="26"/>
      <c r="P95" s="26"/>
      <c r="Q95" s="26"/>
      <c r="R95" s="26"/>
      <c r="S95" s="26"/>
      <c r="T95" s="26"/>
      <c r="U95" s="26"/>
      <c r="V95" s="26"/>
      <c r="W95" s="26"/>
      <c r="X95" s="26"/>
      <c r="Y95" s="24"/>
      <c r="Z95" s="26"/>
      <c r="AA95" s="24"/>
      <c r="AB95" s="26"/>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row>
    <row r="96" spans="1:55">
      <c r="A96" s="24"/>
      <c r="B96" s="24"/>
      <c r="C96" s="25"/>
      <c r="D96" s="26"/>
      <c r="E96" s="24"/>
      <c r="F96" s="26"/>
      <c r="G96" s="26"/>
      <c r="H96" s="26"/>
      <c r="I96" s="26"/>
      <c r="J96" s="26"/>
      <c r="K96" s="26"/>
      <c r="L96" s="26"/>
      <c r="M96" s="26"/>
      <c r="N96" s="26"/>
      <c r="O96" s="26"/>
      <c r="P96" s="26"/>
      <c r="Q96" s="26"/>
      <c r="R96" s="26"/>
      <c r="S96" s="26"/>
      <c r="T96" s="26"/>
      <c r="U96" s="26"/>
      <c r="V96" s="26"/>
      <c r="W96" s="26"/>
      <c r="X96" s="26"/>
      <c r="Y96" s="24"/>
      <c r="Z96" s="26"/>
      <c r="AA96" s="24"/>
      <c r="AB96" s="26"/>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row>
    <row r="97" spans="1:55">
      <c r="A97" s="24"/>
      <c r="B97" s="24"/>
      <c r="C97" s="25"/>
      <c r="D97" s="26"/>
      <c r="E97" s="24"/>
      <c r="F97" s="26"/>
      <c r="G97" s="26"/>
      <c r="H97" s="26"/>
      <c r="I97" s="26"/>
      <c r="J97" s="26"/>
      <c r="K97" s="26"/>
      <c r="L97" s="26"/>
      <c r="M97" s="26"/>
      <c r="N97" s="26"/>
      <c r="O97" s="26"/>
      <c r="P97" s="26"/>
      <c r="Q97" s="26"/>
      <c r="R97" s="26"/>
      <c r="S97" s="26"/>
      <c r="T97" s="26"/>
      <c r="U97" s="26"/>
      <c r="V97" s="26"/>
      <c r="W97" s="26"/>
      <c r="X97" s="26"/>
      <c r="Y97" s="24"/>
      <c r="Z97" s="26"/>
      <c r="AA97" s="24"/>
      <c r="AB97" s="26"/>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row>
    <row r="98" spans="1:55">
      <c r="A98" s="24"/>
      <c r="B98" s="24"/>
      <c r="C98" s="25"/>
      <c r="D98" s="26"/>
      <c r="E98" s="24"/>
      <c r="F98" s="26"/>
      <c r="G98" s="26"/>
      <c r="H98" s="26"/>
      <c r="I98" s="26"/>
      <c r="J98" s="26"/>
      <c r="K98" s="26"/>
      <c r="L98" s="26"/>
      <c r="M98" s="26"/>
      <c r="N98" s="26"/>
      <c r="O98" s="26"/>
      <c r="P98" s="26"/>
      <c r="Q98" s="26"/>
      <c r="R98" s="26"/>
      <c r="S98" s="26"/>
      <c r="T98" s="26"/>
      <c r="U98" s="26"/>
      <c r="V98" s="26"/>
      <c r="W98" s="26"/>
      <c r="X98" s="26"/>
      <c r="Y98" s="24"/>
      <c r="Z98" s="26"/>
      <c r="AA98" s="24"/>
      <c r="AB98" s="26"/>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row>
    <row r="99" spans="1:55">
      <c r="A99" s="24"/>
      <c r="B99" s="24"/>
      <c r="C99" s="25"/>
      <c r="D99" s="26"/>
      <c r="E99" s="24"/>
      <c r="F99" s="26"/>
      <c r="G99" s="26"/>
      <c r="H99" s="26"/>
      <c r="I99" s="26"/>
      <c r="J99" s="26"/>
      <c r="K99" s="26"/>
      <c r="L99" s="26"/>
      <c r="M99" s="26"/>
      <c r="N99" s="26"/>
      <c r="O99" s="26"/>
      <c r="P99" s="26"/>
      <c r="Q99" s="26"/>
      <c r="R99" s="26"/>
      <c r="S99" s="26"/>
      <c r="T99" s="26"/>
      <c r="U99" s="26"/>
      <c r="V99" s="26"/>
      <c r="W99" s="26"/>
      <c r="X99" s="26"/>
      <c r="Y99" s="24"/>
      <c r="Z99" s="26"/>
      <c r="AA99" s="24"/>
      <c r="AB99" s="26"/>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row>
    <row r="100" spans="1:55">
      <c r="A100" s="24"/>
      <c r="B100" s="24"/>
      <c r="C100" s="25"/>
      <c r="D100" s="26"/>
      <c r="E100" s="24"/>
      <c r="F100" s="26"/>
      <c r="G100" s="26"/>
      <c r="H100" s="26"/>
      <c r="I100" s="26"/>
      <c r="J100" s="26"/>
      <c r="K100" s="26"/>
      <c r="L100" s="26"/>
      <c r="M100" s="26"/>
      <c r="N100" s="26"/>
      <c r="O100" s="26"/>
      <c r="P100" s="26"/>
      <c r="Q100" s="26"/>
      <c r="R100" s="26"/>
      <c r="S100" s="26"/>
      <c r="T100" s="26"/>
      <c r="U100" s="26"/>
      <c r="V100" s="26"/>
      <c r="W100" s="26"/>
      <c r="X100" s="26"/>
      <c r="Y100" s="24"/>
      <c r="Z100" s="26"/>
      <c r="AA100" s="24"/>
      <c r="AB100" s="26"/>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row>
    <row r="101" spans="1:55">
      <c r="A101" s="24"/>
      <c r="B101" s="24"/>
      <c r="C101" s="25"/>
      <c r="D101" s="26"/>
      <c r="E101" s="24"/>
      <c r="F101" s="26"/>
      <c r="G101" s="26"/>
      <c r="H101" s="26"/>
      <c r="I101" s="26"/>
      <c r="J101" s="26"/>
      <c r="K101" s="26"/>
      <c r="L101" s="26"/>
      <c r="M101" s="26"/>
      <c r="N101" s="26"/>
      <c r="O101" s="26"/>
      <c r="P101" s="26"/>
      <c r="Q101" s="26"/>
      <c r="R101" s="26"/>
      <c r="S101" s="26"/>
      <c r="T101" s="26"/>
      <c r="U101" s="26"/>
      <c r="V101" s="26"/>
      <c r="W101" s="26"/>
      <c r="X101" s="26"/>
      <c r="Y101" s="24"/>
      <c r="Z101" s="26"/>
      <c r="AA101" s="24"/>
      <c r="AB101" s="26"/>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row>
    <row r="102" spans="1:55">
      <c r="A102" s="24"/>
      <c r="B102" s="24"/>
      <c r="C102" s="25"/>
      <c r="D102" s="26"/>
      <c r="E102" s="24"/>
      <c r="F102" s="26"/>
      <c r="G102" s="26"/>
      <c r="H102" s="26"/>
      <c r="I102" s="26"/>
      <c r="J102" s="26"/>
      <c r="K102" s="26"/>
      <c r="L102" s="26"/>
      <c r="M102" s="26"/>
      <c r="N102" s="26"/>
      <c r="O102" s="26"/>
      <c r="P102" s="26"/>
      <c r="Q102" s="26"/>
      <c r="R102" s="26"/>
      <c r="S102" s="26"/>
      <c r="T102" s="26"/>
      <c r="U102" s="26"/>
      <c r="V102" s="26"/>
      <c r="W102" s="26"/>
      <c r="X102" s="26"/>
      <c r="Y102" s="24"/>
      <c r="Z102" s="26"/>
      <c r="AA102" s="24"/>
      <c r="AB102" s="26"/>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row>
    <row r="103" spans="1:55">
      <c r="A103" s="24"/>
      <c r="B103" s="24"/>
      <c r="C103" s="25"/>
      <c r="D103" s="26"/>
      <c r="E103" s="24"/>
      <c r="F103" s="26"/>
      <c r="G103" s="26"/>
      <c r="H103" s="26"/>
      <c r="I103" s="26"/>
      <c r="J103" s="26"/>
      <c r="K103" s="26"/>
      <c r="L103" s="26"/>
      <c r="M103" s="26"/>
      <c r="N103" s="26"/>
      <c r="O103" s="26"/>
      <c r="P103" s="26"/>
      <c r="Q103" s="26"/>
      <c r="R103" s="26"/>
      <c r="S103" s="26"/>
      <c r="T103" s="26"/>
      <c r="U103" s="26"/>
      <c r="V103" s="26"/>
      <c r="W103" s="26"/>
      <c r="X103" s="26"/>
      <c r="Y103" s="24"/>
      <c r="Z103" s="26"/>
      <c r="AA103" s="24"/>
      <c r="AB103" s="26"/>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row>
    <row r="104" spans="1:55">
      <c r="A104" s="24"/>
      <c r="B104" s="24"/>
      <c r="C104" s="25"/>
      <c r="D104" s="26"/>
      <c r="E104" s="24"/>
      <c r="F104" s="26"/>
      <c r="G104" s="26"/>
      <c r="H104" s="26"/>
      <c r="I104" s="26"/>
      <c r="J104" s="26"/>
      <c r="K104" s="26"/>
      <c r="L104" s="26"/>
      <c r="M104" s="26"/>
      <c r="N104" s="26"/>
      <c r="O104" s="26"/>
      <c r="P104" s="26"/>
      <c r="Q104" s="26"/>
      <c r="R104" s="26"/>
      <c r="S104" s="26"/>
      <c r="T104" s="26"/>
      <c r="U104" s="26"/>
      <c r="V104" s="26"/>
      <c r="W104" s="26"/>
      <c r="X104" s="26"/>
      <c r="Y104" s="24"/>
      <c r="Z104" s="26"/>
      <c r="AA104" s="24"/>
      <c r="AB104" s="26"/>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row>
    <row r="105" spans="1:55">
      <c r="A105" s="24"/>
      <c r="B105" s="24"/>
      <c r="C105" s="25"/>
      <c r="D105" s="26"/>
      <c r="E105" s="24"/>
      <c r="F105" s="26"/>
      <c r="G105" s="26"/>
      <c r="H105" s="26"/>
      <c r="I105" s="26"/>
      <c r="J105" s="26"/>
      <c r="K105" s="26"/>
      <c r="L105" s="26"/>
      <c r="M105" s="26"/>
      <c r="N105" s="26"/>
      <c r="O105" s="26"/>
      <c r="P105" s="26"/>
      <c r="Q105" s="26"/>
      <c r="R105" s="26"/>
      <c r="S105" s="26"/>
      <c r="T105" s="26"/>
      <c r="U105" s="26"/>
      <c r="V105" s="26"/>
      <c r="W105" s="26"/>
      <c r="X105" s="26"/>
      <c r="Y105" s="24"/>
      <c r="Z105" s="26"/>
      <c r="AA105" s="24"/>
      <c r="AB105" s="26"/>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row>
    <row r="106" spans="1:55">
      <c r="A106" s="24"/>
      <c r="B106" s="24"/>
      <c r="C106" s="25"/>
      <c r="D106" s="26"/>
      <c r="E106" s="24"/>
      <c r="F106" s="26"/>
      <c r="G106" s="26"/>
      <c r="H106" s="26"/>
      <c r="I106" s="26"/>
      <c r="J106" s="26"/>
      <c r="K106" s="26"/>
      <c r="L106" s="26"/>
      <c r="M106" s="26"/>
      <c r="N106" s="26"/>
      <c r="O106" s="26"/>
      <c r="P106" s="26"/>
      <c r="Q106" s="26"/>
      <c r="R106" s="26"/>
      <c r="S106" s="26"/>
      <c r="T106" s="26"/>
      <c r="U106" s="26"/>
      <c r="V106" s="26"/>
      <c r="W106" s="26"/>
      <c r="X106" s="26"/>
      <c r="Y106" s="24"/>
      <c r="Z106" s="26"/>
      <c r="AA106" s="24"/>
      <c r="AB106" s="26"/>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row>
    <row r="107" spans="1:55">
      <c r="A107" s="24"/>
      <c r="B107" s="24"/>
      <c r="C107" s="25"/>
      <c r="D107" s="26"/>
      <c r="E107" s="24"/>
      <c r="F107" s="26"/>
      <c r="G107" s="26"/>
      <c r="H107" s="26"/>
      <c r="I107" s="26"/>
      <c r="J107" s="26"/>
      <c r="K107" s="26"/>
      <c r="L107" s="26"/>
      <c r="M107" s="26"/>
      <c r="N107" s="26"/>
      <c r="O107" s="26"/>
      <c r="P107" s="26"/>
      <c r="Q107" s="26"/>
      <c r="R107" s="26"/>
      <c r="S107" s="26"/>
      <c r="T107" s="26"/>
      <c r="U107" s="26"/>
      <c r="V107" s="26"/>
      <c r="W107" s="26"/>
      <c r="X107" s="26"/>
      <c r="Y107" s="24"/>
      <c r="Z107" s="26"/>
      <c r="AA107" s="24"/>
      <c r="AB107" s="26"/>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row>
    <row r="108" spans="1:55">
      <c r="A108" s="24"/>
      <c r="B108" s="24"/>
      <c r="C108" s="25"/>
      <c r="D108" s="26"/>
      <c r="E108" s="24"/>
      <c r="F108" s="26"/>
      <c r="G108" s="26"/>
      <c r="H108" s="26"/>
      <c r="I108" s="26"/>
      <c r="J108" s="26"/>
      <c r="K108" s="26"/>
      <c r="L108" s="26"/>
      <c r="M108" s="26"/>
      <c r="N108" s="26"/>
      <c r="O108" s="26"/>
      <c r="P108" s="26"/>
      <c r="Q108" s="26"/>
      <c r="R108" s="26"/>
      <c r="S108" s="26"/>
      <c r="T108" s="26"/>
      <c r="U108" s="26"/>
      <c r="V108" s="26"/>
      <c r="W108" s="26"/>
      <c r="X108" s="26"/>
      <c r="Y108" s="24"/>
      <c r="Z108" s="26"/>
      <c r="AA108" s="24"/>
      <c r="AB108" s="26"/>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row>
    <row r="109" spans="1:55">
      <c r="A109" s="24"/>
      <c r="B109" s="24"/>
      <c r="C109" s="25"/>
      <c r="D109" s="26"/>
      <c r="E109" s="24"/>
      <c r="F109" s="26"/>
      <c r="G109" s="26"/>
      <c r="H109" s="26"/>
      <c r="I109" s="26"/>
      <c r="J109" s="26"/>
      <c r="K109" s="26"/>
      <c r="L109" s="26"/>
      <c r="M109" s="26"/>
      <c r="N109" s="26"/>
      <c r="O109" s="26"/>
      <c r="P109" s="26"/>
      <c r="Q109" s="26"/>
      <c r="R109" s="26"/>
      <c r="S109" s="26"/>
      <c r="T109" s="26"/>
      <c r="U109" s="26"/>
      <c r="V109" s="26"/>
      <c r="W109" s="26"/>
      <c r="X109" s="26"/>
      <c r="Y109" s="24"/>
      <c r="Z109" s="26"/>
      <c r="AA109" s="24"/>
      <c r="AB109" s="26"/>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row>
    <row r="110" spans="1:55">
      <c r="A110" s="24"/>
      <c r="B110" s="24"/>
      <c r="C110" s="25"/>
      <c r="D110" s="26"/>
      <c r="E110" s="24"/>
      <c r="F110" s="26"/>
      <c r="G110" s="26"/>
      <c r="H110" s="26"/>
      <c r="I110" s="26"/>
      <c r="J110" s="26"/>
      <c r="K110" s="26"/>
      <c r="L110" s="26"/>
      <c r="M110" s="26"/>
      <c r="N110" s="26"/>
      <c r="O110" s="26"/>
      <c r="P110" s="26"/>
      <c r="Q110" s="26"/>
      <c r="R110" s="26"/>
      <c r="S110" s="26"/>
      <c r="T110" s="26"/>
      <c r="U110" s="26"/>
      <c r="V110" s="26"/>
      <c r="W110" s="26"/>
      <c r="X110" s="26"/>
      <c r="Y110" s="24"/>
      <c r="Z110" s="26"/>
      <c r="AA110" s="24"/>
      <c r="AB110" s="26"/>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row>
    <row r="111" spans="1:55">
      <c r="A111" s="24"/>
      <c r="B111" s="24"/>
      <c r="C111" s="25"/>
      <c r="D111" s="26"/>
      <c r="E111" s="24"/>
      <c r="F111" s="26"/>
      <c r="G111" s="26"/>
      <c r="H111" s="26"/>
      <c r="I111" s="26"/>
      <c r="J111" s="26"/>
      <c r="K111" s="26"/>
      <c r="L111" s="26"/>
      <c r="M111" s="26"/>
      <c r="N111" s="26"/>
      <c r="O111" s="26"/>
      <c r="P111" s="26"/>
      <c r="Q111" s="26"/>
      <c r="R111" s="26"/>
      <c r="S111" s="26"/>
      <c r="T111" s="26"/>
      <c r="U111" s="26"/>
      <c r="V111" s="26"/>
      <c r="W111" s="26"/>
      <c r="X111" s="26"/>
      <c r="Y111" s="24"/>
      <c r="Z111" s="26"/>
      <c r="AA111" s="24"/>
      <c r="AB111" s="26"/>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row>
    <row r="112" spans="1:55">
      <c r="A112" s="24"/>
      <c r="B112" s="24"/>
      <c r="C112" s="25"/>
      <c r="D112" s="26"/>
      <c r="E112" s="24"/>
      <c r="F112" s="26"/>
      <c r="G112" s="26"/>
      <c r="H112" s="26"/>
      <c r="I112" s="26"/>
      <c r="J112" s="26"/>
      <c r="K112" s="26"/>
      <c r="L112" s="26"/>
      <c r="M112" s="26"/>
      <c r="N112" s="26"/>
      <c r="O112" s="26"/>
      <c r="P112" s="26"/>
      <c r="Q112" s="26"/>
      <c r="R112" s="26"/>
      <c r="S112" s="26"/>
      <c r="T112" s="26"/>
      <c r="U112" s="26"/>
      <c r="V112" s="26"/>
      <c r="W112" s="26"/>
      <c r="X112" s="26"/>
      <c r="Y112" s="24"/>
      <c r="Z112" s="26"/>
      <c r="AA112" s="24"/>
      <c r="AB112" s="26"/>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row>
    <row r="113" spans="1:55">
      <c r="A113" s="24"/>
      <c r="B113" s="24"/>
      <c r="C113" s="25"/>
      <c r="D113" s="26"/>
      <c r="E113" s="24"/>
      <c r="F113" s="26"/>
      <c r="G113" s="26"/>
      <c r="H113" s="26"/>
      <c r="I113" s="26"/>
      <c r="J113" s="26"/>
      <c r="K113" s="26"/>
      <c r="L113" s="26"/>
      <c r="M113" s="26"/>
      <c r="N113" s="26"/>
      <c r="O113" s="26"/>
      <c r="P113" s="26"/>
      <c r="Q113" s="26"/>
      <c r="R113" s="26"/>
      <c r="S113" s="26"/>
      <c r="T113" s="26"/>
      <c r="U113" s="26"/>
      <c r="V113" s="26"/>
      <c r="W113" s="26"/>
      <c r="X113" s="26"/>
      <c r="Y113" s="24"/>
      <c r="Z113" s="26"/>
      <c r="AA113" s="24"/>
      <c r="AB113" s="26"/>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row>
    <row r="114" spans="1:55">
      <c r="A114" s="24"/>
      <c r="B114" s="24"/>
      <c r="C114" s="25"/>
      <c r="D114" s="26"/>
      <c r="E114" s="24"/>
      <c r="F114" s="26"/>
      <c r="G114" s="26"/>
      <c r="H114" s="26"/>
      <c r="I114" s="26"/>
      <c r="J114" s="26"/>
      <c r="K114" s="26"/>
      <c r="L114" s="26"/>
      <c r="M114" s="26"/>
      <c r="N114" s="26"/>
      <c r="O114" s="26"/>
      <c r="P114" s="26"/>
      <c r="Q114" s="26"/>
      <c r="R114" s="26"/>
      <c r="S114" s="26"/>
      <c r="T114" s="26"/>
      <c r="U114" s="26"/>
      <c r="V114" s="26"/>
      <c r="W114" s="26"/>
      <c r="X114" s="26"/>
      <c r="Y114" s="24"/>
      <c r="Z114" s="26"/>
      <c r="AA114" s="24"/>
      <c r="AB114" s="26"/>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row>
    <row r="115" spans="1:55">
      <c r="A115" s="24"/>
      <c r="B115" s="24"/>
      <c r="C115" s="25"/>
      <c r="D115" s="26"/>
      <c r="E115" s="24"/>
      <c r="F115" s="26"/>
      <c r="G115" s="26"/>
      <c r="H115" s="26"/>
      <c r="I115" s="26"/>
      <c r="J115" s="26"/>
      <c r="K115" s="26"/>
      <c r="L115" s="26"/>
      <c r="M115" s="26"/>
      <c r="N115" s="26"/>
      <c r="O115" s="26"/>
      <c r="P115" s="26"/>
      <c r="Q115" s="26"/>
      <c r="R115" s="26"/>
      <c r="S115" s="26"/>
      <c r="T115" s="26"/>
      <c r="U115" s="26"/>
      <c r="V115" s="26"/>
      <c r="W115" s="26"/>
      <c r="X115" s="26"/>
      <c r="Y115" s="24"/>
      <c r="Z115" s="26"/>
      <c r="AA115" s="24"/>
      <c r="AB115" s="26"/>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row>
    <row r="116" spans="1:55">
      <c r="A116" s="24"/>
      <c r="B116" s="24"/>
      <c r="C116" s="25"/>
      <c r="D116" s="26"/>
      <c r="E116" s="24"/>
      <c r="F116" s="26"/>
      <c r="G116" s="26"/>
      <c r="H116" s="26"/>
      <c r="I116" s="26"/>
      <c r="J116" s="26"/>
      <c r="K116" s="26"/>
      <c r="L116" s="26"/>
      <c r="M116" s="26"/>
      <c r="N116" s="26"/>
      <c r="O116" s="26"/>
      <c r="P116" s="26"/>
      <c r="Q116" s="26"/>
      <c r="R116" s="26"/>
      <c r="S116" s="26"/>
      <c r="T116" s="26"/>
      <c r="U116" s="26"/>
      <c r="V116" s="26"/>
      <c r="W116" s="26"/>
      <c r="X116" s="26"/>
      <c r="Y116" s="24"/>
      <c r="Z116" s="26"/>
      <c r="AA116" s="24"/>
      <c r="AB116" s="26"/>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row>
    <row r="117" spans="1:55">
      <c r="A117" s="24"/>
      <c r="B117" s="24"/>
      <c r="C117" s="25"/>
      <c r="D117" s="26"/>
      <c r="E117" s="24"/>
      <c r="F117" s="26"/>
      <c r="G117" s="26"/>
      <c r="H117" s="26"/>
      <c r="I117" s="26"/>
      <c r="J117" s="26"/>
      <c r="K117" s="26"/>
      <c r="L117" s="26"/>
      <c r="M117" s="26"/>
      <c r="N117" s="26"/>
      <c r="O117" s="26"/>
      <c r="P117" s="26"/>
      <c r="Q117" s="26"/>
      <c r="R117" s="26"/>
      <c r="S117" s="26"/>
      <c r="T117" s="26"/>
      <c r="U117" s="26"/>
      <c r="V117" s="26"/>
      <c r="W117" s="26"/>
      <c r="X117" s="26"/>
      <c r="Y117" s="24"/>
      <c r="Z117" s="26"/>
      <c r="AA117" s="24"/>
      <c r="AB117" s="26"/>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row>
    <row r="118" spans="1:55">
      <c r="A118" s="24"/>
      <c r="B118" s="24"/>
      <c r="C118" s="25"/>
      <c r="D118" s="26"/>
      <c r="E118" s="24"/>
      <c r="F118" s="26"/>
      <c r="G118" s="26"/>
      <c r="H118" s="26"/>
      <c r="I118" s="26"/>
      <c r="J118" s="26"/>
      <c r="K118" s="26"/>
      <c r="L118" s="26"/>
      <c r="M118" s="26"/>
      <c r="N118" s="26"/>
      <c r="O118" s="26"/>
      <c r="P118" s="26"/>
      <c r="Q118" s="26"/>
      <c r="R118" s="26"/>
      <c r="S118" s="26"/>
      <c r="T118" s="26"/>
      <c r="U118" s="26"/>
      <c r="V118" s="26"/>
      <c r="W118" s="26"/>
      <c r="X118" s="26"/>
      <c r="Y118" s="24"/>
      <c r="Z118" s="26"/>
      <c r="AA118" s="24"/>
      <c r="AB118" s="26"/>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row>
    <row r="119" spans="1:55">
      <c r="A119" s="24"/>
      <c r="B119" s="24"/>
      <c r="C119" s="25"/>
      <c r="D119" s="26"/>
      <c r="E119" s="24"/>
      <c r="F119" s="26"/>
      <c r="G119" s="26"/>
      <c r="H119" s="26"/>
      <c r="I119" s="26"/>
      <c r="J119" s="26"/>
      <c r="K119" s="26"/>
      <c r="L119" s="26"/>
      <c r="M119" s="26"/>
      <c r="N119" s="26"/>
      <c r="O119" s="26"/>
      <c r="P119" s="26"/>
      <c r="Q119" s="26"/>
      <c r="R119" s="26"/>
      <c r="S119" s="26"/>
      <c r="T119" s="26"/>
      <c r="U119" s="26"/>
      <c r="V119" s="26"/>
      <c r="W119" s="26"/>
      <c r="X119" s="26"/>
      <c r="Y119" s="24"/>
      <c r="Z119" s="26"/>
      <c r="AA119" s="24"/>
      <c r="AB119" s="26"/>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row>
    <row r="120" spans="1:55">
      <c r="A120" s="24"/>
      <c r="B120" s="24"/>
      <c r="C120" s="25"/>
      <c r="D120" s="26"/>
      <c r="E120" s="24"/>
      <c r="F120" s="26"/>
      <c r="G120" s="26"/>
      <c r="H120" s="26"/>
      <c r="I120" s="26"/>
      <c r="J120" s="26"/>
      <c r="K120" s="26"/>
      <c r="L120" s="26"/>
      <c r="M120" s="26"/>
      <c r="N120" s="26"/>
      <c r="O120" s="26"/>
      <c r="P120" s="26"/>
      <c r="Q120" s="26"/>
      <c r="R120" s="26"/>
      <c r="S120" s="26"/>
      <c r="T120" s="26"/>
      <c r="U120" s="26"/>
      <c r="V120" s="26"/>
      <c r="W120" s="26"/>
      <c r="X120" s="26"/>
      <c r="Y120" s="24"/>
      <c r="Z120" s="26"/>
      <c r="AA120" s="24"/>
      <c r="AB120" s="26"/>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row>
    <row r="121" spans="1:55">
      <c r="A121" s="24"/>
      <c r="B121" s="24"/>
      <c r="C121" s="25"/>
      <c r="D121" s="26"/>
      <c r="E121" s="24"/>
      <c r="F121" s="26"/>
      <c r="G121" s="26"/>
      <c r="H121" s="26"/>
      <c r="I121" s="26"/>
      <c r="J121" s="26"/>
      <c r="K121" s="26"/>
      <c r="L121" s="26"/>
      <c r="M121" s="26"/>
      <c r="N121" s="26"/>
      <c r="O121" s="26"/>
      <c r="P121" s="26"/>
      <c r="Q121" s="26"/>
      <c r="R121" s="26"/>
      <c r="S121" s="26"/>
      <c r="T121" s="26"/>
      <c r="U121" s="26"/>
      <c r="V121" s="26"/>
      <c r="W121" s="26"/>
      <c r="X121" s="26"/>
      <c r="Y121" s="24"/>
      <c r="Z121" s="26"/>
      <c r="AA121" s="24"/>
      <c r="AB121" s="26"/>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row>
    <row r="122" spans="1:55">
      <c r="A122" s="24"/>
      <c r="B122" s="24"/>
      <c r="C122" s="25"/>
      <c r="D122" s="26"/>
      <c r="E122" s="24"/>
      <c r="F122" s="26"/>
      <c r="G122" s="26"/>
      <c r="H122" s="26"/>
      <c r="I122" s="26"/>
      <c r="J122" s="26"/>
      <c r="K122" s="26"/>
      <c r="L122" s="26"/>
      <c r="M122" s="26"/>
      <c r="N122" s="26"/>
      <c r="O122" s="26"/>
      <c r="P122" s="26"/>
      <c r="Q122" s="26"/>
      <c r="R122" s="26"/>
      <c r="S122" s="26"/>
      <c r="T122" s="26"/>
      <c r="U122" s="26"/>
      <c r="V122" s="26"/>
      <c r="W122" s="26"/>
      <c r="X122" s="26"/>
      <c r="Y122" s="24"/>
      <c r="Z122" s="26"/>
      <c r="AA122" s="24"/>
      <c r="AB122" s="26"/>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row>
    <row r="123" spans="1:55">
      <c r="A123" s="24"/>
      <c r="B123" s="24"/>
      <c r="C123" s="25"/>
      <c r="D123" s="26"/>
      <c r="E123" s="24"/>
      <c r="F123" s="26"/>
      <c r="G123" s="26"/>
      <c r="H123" s="26"/>
      <c r="I123" s="26"/>
      <c r="J123" s="26"/>
      <c r="K123" s="26"/>
      <c r="L123" s="26"/>
      <c r="M123" s="26"/>
      <c r="N123" s="26"/>
      <c r="O123" s="26"/>
      <c r="P123" s="26"/>
      <c r="Q123" s="26"/>
      <c r="R123" s="26"/>
      <c r="S123" s="26"/>
      <c r="T123" s="26"/>
      <c r="U123" s="26"/>
      <c r="V123" s="26"/>
      <c r="W123" s="26"/>
      <c r="X123" s="26"/>
      <c r="Y123" s="24"/>
      <c r="Z123" s="26"/>
      <c r="AA123" s="24"/>
      <c r="AB123" s="26"/>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row>
    <row r="124" spans="1:55">
      <c r="A124" s="24"/>
      <c r="B124" s="24"/>
      <c r="C124" s="25"/>
      <c r="D124" s="26"/>
      <c r="E124" s="24"/>
      <c r="F124" s="26"/>
      <c r="G124" s="26"/>
      <c r="H124" s="26"/>
      <c r="I124" s="26"/>
      <c r="J124" s="26"/>
      <c r="K124" s="26"/>
      <c r="L124" s="26"/>
      <c r="M124" s="26"/>
      <c r="N124" s="26"/>
      <c r="O124" s="26"/>
      <c r="P124" s="26"/>
      <c r="Q124" s="26"/>
      <c r="R124" s="26"/>
      <c r="S124" s="26"/>
      <c r="T124" s="26"/>
      <c r="U124" s="26"/>
      <c r="V124" s="26"/>
      <c r="W124" s="26"/>
      <c r="X124" s="26"/>
      <c r="Y124" s="24"/>
      <c r="Z124" s="26"/>
      <c r="AA124" s="24"/>
      <c r="AB124" s="26"/>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row>
    <row r="125" spans="1:55">
      <c r="A125" s="24"/>
      <c r="B125" s="24"/>
      <c r="C125" s="25"/>
      <c r="D125" s="26"/>
      <c r="E125" s="24"/>
      <c r="F125" s="26"/>
      <c r="G125" s="26"/>
      <c r="H125" s="26"/>
      <c r="I125" s="26"/>
      <c r="J125" s="26"/>
      <c r="K125" s="26"/>
      <c r="L125" s="26"/>
      <c r="M125" s="26"/>
      <c r="N125" s="26"/>
      <c r="O125" s="26"/>
      <c r="P125" s="26"/>
      <c r="Q125" s="26"/>
      <c r="R125" s="26"/>
      <c r="S125" s="26"/>
      <c r="T125" s="26"/>
      <c r="U125" s="26"/>
      <c r="V125" s="26"/>
      <c r="W125" s="26"/>
      <c r="X125" s="26"/>
      <c r="Y125" s="24"/>
      <c r="Z125" s="26"/>
      <c r="AA125" s="24"/>
      <c r="AB125" s="26"/>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row>
    <row r="126" spans="1:55">
      <c r="A126" s="24"/>
      <c r="B126" s="24"/>
      <c r="C126" s="25"/>
      <c r="D126" s="26"/>
      <c r="E126" s="24"/>
      <c r="F126" s="26"/>
      <c r="G126" s="26"/>
      <c r="H126" s="26"/>
      <c r="I126" s="26"/>
      <c r="J126" s="26"/>
      <c r="K126" s="26"/>
      <c r="L126" s="26"/>
      <c r="M126" s="26"/>
      <c r="N126" s="26"/>
      <c r="O126" s="26"/>
      <c r="P126" s="26"/>
      <c r="Q126" s="26"/>
      <c r="R126" s="26"/>
      <c r="S126" s="26"/>
      <c r="T126" s="26"/>
      <c r="U126" s="26"/>
      <c r="V126" s="26"/>
      <c r="W126" s="26"/>
      <c r="X126" s="26"/>
      <c r="Y126" s="24"/>
      <c r="Z126" s="26"/>
      <c r="AA126" s="24"/>
      <c r="AB126" s="26"/>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row>
    <row r="127" spans="1:55">
      <c r="A127" s="24"/>
      <c r="B127" s="24"/>
      <c r="C127" s="25"/>
      <c r="D127" s="26"/>
      <c r="E127" s="24"/>
      <c r="F127" s="26"/>
      <c r="G127" s="26"/>
      <c r="H127" s="26"/>
      <c r="I127" s="26"/>
      <c r="J127" s="26"/>
      <c r="K127" s="26"/>
      <c r="L127" s="26"/>
      <c r="M127" s="26"/>
      <c r="N127" s="26"/>
      <c r="O127" s="26"/>
      <c r="P127" s="26"/>
      <c r="Q127" s="26"/>
      <c r="R127" s="26"/>
      <c r="S127" s="26"/>
      <c r="T127" s="26"/>
      <c r="U127" s="26"/>
      <c r="V127" s="26"/>
      <c r="W127" s="26"/>
      <c r="X127" s="26"/>
      <c r="Y127" s="24"/>
      <c r="Z127" s="26"/>
      <c r="AA127" s="24"/>
      <c r="AB127" s="26"/>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row>
    <row r="128" spans="1:55">
      <c r="A128" s="24"/>
      <c r="B128" s="24"/>
      <c r="C128" s="25"/>
      <c r="D128" s="26"/>
      <c r="E128" s="24"/>
      <c r="F128" s="26"/>
      <c r="G128" s="26"/>
      <c r="H128" s="26"/>
      <c r="I128" s="26"/>
      <c r="J128" s="26"/>
      <c r="K128" s="26"/>
      <c r="L128" s="26"/>
      <c r="M128" s="26"/>
      <c r="N128" s="26"/>
      <c r="O128" s="26"/>
      <c r="P128" s="26"/>
      <c r="Q128" s="26"/>
      <c r="R128" s="26"/>
      <c r="S128" s="26"/>
      <c r="T128" s="26"/>
      <c r="U128" s="26"/>
      <c r="V128" s="26"/>
      <c r="W128" s="26"/>
      <c r="X128" s="26"/>
      <c r="Y128" s="24"/>
      <c r="Z128" s="26"/>
      <c r="AA128" s="24"/>
      <c r="AB128" s="26"/>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row>
    <row r="129" spans="1:55">
      <c r="A129" s="24"/>
      <c r="B129" s="24"/>
      <c r="C129" s="25"/>
      <c r="D129" s="26"/>
      <c r="E129" s="24"/>
      <c r="F129" s="26"/>
      <c r="G129" s="26"/>
      <c r="H129" s="26"/>
      <c r="I129" s="26"/>
      <c r="J129" s="26"/>
      <c r="K129" s="26"/>
      <c r="L129" s="26"/>
      <c r="M129" s="26"/>
      <c r="N129" s="26"/>
      <c r="O129" s="26"/>
      <c r="P129" s="26"/>
      <c r="Q129" s="26"/>
      <c r="R129" s="26"/>
      <c r="S129" s="26"/>
      <c r="T129" s="26"/>
      <c r="U129" s="26"/>
      <c r="V129" s="26"/>
      <c r="W129" s="26"/>
      <c r="X129" s="26"/>
      <c r="Y129" s="24"/>
      <c r="Z129" s="26"/>
      <c r="AA129" s="24"/>
      <c r="AB129" s="26"/>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row>
    <row r="130" spans="1:55">
      <c r="A130" s="24"/>
      <c r="B130" s="24"/>
      <c r="C130" s="25"/>
      <c r="D130" s="26"/>
      <c r="E130" s="24"/>
      <c r="F130" s="26"/>
      <c r="G130" s="26"/>
      <c r="H130" s="26"/>
      <c r="I130" s="26"/>
      <c r="J130" s="26"/>
      <c r="K130" s="26"/>
      <c r="L130" s="26"/>
      <c r="M130" s="26"/>
      <c r="N130" s="26"/>
      <c r="O130" s="26"/>
      <c r="P130" s="26"/>
      <c r="Q130" s="26"/>
      <c r="R130" s="26"/>
      <c r="S130" s="26"/>
      <c r="T130" s="26"/>
      <c r="U130" s="26"/>
      <c r="V130" s="26"/>
      <c r="W130" s="26"/>
      <c r="X130" s="26"/>
      <c r="Y130" s="24"/>
      <c r="Z130" s="26"/>
      <c r="AA130" s="24"/>
      <c r="AB130" s="26"/>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row>
    <row r="131" spans="1:55">
      <c r="A131" s="24"/>
      <c r="B131" s="24"/>
      <c r="C131" s="25"/>
      <c r="D131" s="26"/>
      <c r="E131" s="24"/>
      <c r="F131" s="26"/>
      <c r="G131" s="26"/>
      <c r="H131" s="26"/>
      <c r="I131" s="26"/>
      <c r="J131" s="26"/>
      <c r="K131" s="26"/>
      <c r="L131" s="26"/>
      <c r="M131" s="26"/>
      <c r="N131" s="26"/>
      <c r="O131" s="26"/>
      <c r="P131" s="26"/>
      <c r="Q131" s="26"/>
      <c r="R131" s="26"/>
      <c r="S131" s="26"/>
      <c r="T131" s="26"/>
      <c r="U131" s="26"/>
      <c r="V131" s="26"/>
      <c r="W131" s="26"/>
      <c r="X131" s="26"/>
      <c r="Y131" s="24"/>
      <c r="Z131" s="26"/>
      <c r="AA131" s="24"/>
      <c r="AB131" s="26"/>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row>
    <row r="132" spans="1:55">
      <c r="A132" s="24"/>
      <c r="B132" s="24"/>
      <c r="C132" s="25"/>
      <c r="D132" s="26"/>
      <c r="E132" s="24"/>
      <c r="F132" s="26"/>
      <c r="G132" s="26"/>
      <c r="H132" s="26"/>
      <c r="I132" s="26"/>
      <c r="J132" s="26"/>
      <c r="K132" s="26"/>
      <c r="L132" s="26"/>
      <c r="M132" s="26"/>
      <c r="N132" s="26"/>
      <c r="O132" s="26"/>
      <c r="P132" s="26"/>
      <c r="Q132" s="26"/>
      <c r="R132" s="26"/>
      <c r="S132" s="26"/>
      <c r="T132" s="26"/>
      <c r="U132" s="26"/>
      <c r="V132" s="26"/>
      <c r="W132" s="26"/>
      <c r="X132" s="26"/>
      <c r="Y132" s="24"/>
      <c r="Z132" s="26"/>
      <c r="AA132" s="24"/>
      <c r="AB132" s="26"/>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row>
    <row r="133" spans="1:55">
      <c r="A133" s="24"/>
      <c r="B133" s="24"/>
      <c r="C133" s="25"/>
      <c r="D133" s="26"/>
      <c r="E133" s="24"/>
      <c r="F133" s="26"/>
      <c r="G133" s="26"/>
      <c r="H133" s="26"/>
      <c r="I133" s="26"/>
      <c r="J133" s="26"/>
      <c r="K133" s="26"/>
      <c r="L133" s="26"/>
      <c r="M133" s="26"/>
      <c r="N133" s="26"/>
      <c r="O133" s="26"/>
      <c r="P133" s="26"/>
      <c r="Q133" s="26"/>
      <c r="R133" s="26"/>
      <c r="S133" s="26"/>
      <c r="T133" s="26"/>
      <c r="U133" s="26"/>
      <c r="V133" s="26"/>
      <c r="W133" s="26"/>
      <c r="X133" s="26"/>
      <c r="Y133" s="24"/>
      <c r="Z133" s="26"/>
      <c r="AA133" s="24"/>
      <c r="AB133" s="26"/>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row>
    <row r="134" spans="1:55">
      <c r="A134" s="24"/>
      <c r="B134" s="24"/>
      <c r="C134" s="25"/>
      <c r="D134" s="26"/>
      <c r="E134" s="24"/>
      <c r="F134" s="26"/>
      <c r="G134" s="26"/>
      <c r="H134" s="26"/>
      <c r="I134" s="26"/>
      <c r="J134" s="26"/>
      <c r="K134" s="26"/>
      <c r="L134" s="26"/>
      <c r="M134" s="26"/>
      <c r="N134" s="26"/>
      <c r="O134" s="26"/>
      <c r="P134" s="26"/>
      <c r="Q134" s="26"/>
      <c r="R134" s="26"/>
      <c r="S134" s="26"/>
      <c r="T134" s="26"/>
      <c r="U134" s="26"/>
      <c r="V134" s="26"/>
      <c r="W134" s="26"/>
      <c r="X134" s="26"/>
      <c r="Y134" s="24"/>
      <c r="Z134" s="26"/>
      <c r="AA134" s="24"/>
      <c r="AB134" s="26"/>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row>
    <row r="135" spans="1:55">
      <c r="A135" s="24"/>
      <c r="B135" s="24"/>
      <c r="C135" s="25"/>
      <c r="D135" s="26"/>
      <c r="E135" s="24"/>
      <c r="F135" s="26"/>
      <c r="G135" s="26"/>
      <c r="H135" s="26"/>
      <c r="I135" s="26"/>
      <c r="J135" s="26"/>
      <c r="K135" s="26"/>
      <c r="L135" s="26"/>
      <c r="M135" s="26"/>
      <c r="N135" s="26"/>
      <c r="O135" s="26"/>
      <c r="P135" s="26"/>
      <c r="Q135" s="26"/>
      <c r="R135" s="26"/>
      <c r="S135" s="26"/>
      <c r="T135" s="26"/>
      <c r="U135" s="26"/>
      <c r="V135" s="26"/>
      <c r="W135" s="26"/>
      <c r="X135" s="26"/>
      <c r="Y135" s="24"/>
      <c r="Z135" s="26"/>
      <c r="AA135" s="24"/>
      <c r="AB135" s="26"/>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row>
    <row r="136" spans="1:55">
      <c r="A136" s="24"/>
      <c r="B136" s="24"/>
      <c r="C136" s="25"/>
      <c r="D136" s="26"/>
      <c r="E136" s="24"/>
      <c r="F136" s="26"/>
      <c r="G136" s="26"/>
      <c r="H136" s="26"/>
      <c r="I136" s="26"/>
      <c r="J136" s="26"/>
      <c r="K136" s="26"/>
      <c r="L136" s="26"/>
      <c r="M136" s="26"/>
      <c r="N136" s="26"/>
      <c r="O136" s="26"/>
      <c r="P136" s="26"/>
      <c r="Q136" s="26"/>
      <c r="R136" s="26"/>
      <c r="S136" s="26"/>
      <c r="T136" s="26"/>
      <c r="U136" s="26"/>
      <c r="V136" s="26"/>
      <c r="W136" s="26"/>
      <c r="X136" s="26"/>
      <c r="Y136" s="24"/>
      <c r="Z136" s="26"/>
      <c r="AA136" s="24"/>
      <c r="AB136" s="26"/>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row>
    <row r="137" spans="1:55">
      <c r="A137" s="24"/>
      <c r="B137" s="24"/>
      <c r="C137" s="25"/>
      <c r="D137" s="26"/>
      <c r="E137" s="24"/>
      <c r="F137" s="26"/>
      <c r="G137" s="26"/>
      <c r="H137" s="26"/>
      <c r="I137" s="26"/>
      <c r="J137" s="26"/>
      <c r="K137" s="26"/>
      <c r="L137" s="26"/>
      <c r="M137" s="26"/>
      <c r="N137" s="26"/>
      <c r="O137" s="26"/>
      <c r="P137" s="26"/>
      <c r="Q137" s="26"/>
      <c r="R137" s="26"/>
      <c r="S137" s="26"/>
      <c r="T137" s="26"/>
      <c r="U137" s="26"/>
      <c r="V137" s="26"/>
      <c r="W137" s="26"/>
      <c r="X137" s="26"/>
      <c r="Y137" s="24"/>
      <c r="Z137" s="26"/>
      <c r="AA137" s="24"/>
      <c r="AB137" s="26"/>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row>
    <row r="138" spans="1:55">
      <c r="A138" s="24"/>
      <c r="B138" s="24"/>
      <c r="C138" s="25"/>
      <c r="D138" s="26"/>
      <c r="E138" s="24"/>
      <c r="F138" s="26"/>
      <c r="G138" s="26"/>
      <c r="H138" s="26"/>
      <c r="I138" s="26"/>
      <c r="J138" s="26"/>
      <c r="K138" s="26"/>
      <c r="L138" s="26"/>
      <c r="M138" s="26"/>
      <c r="N138" s="26"/>
      <c r="O138" s="26"/>
      <c r="P138" s="26"/>
      <c r="Q138" s="26"/>
      <c r="R138" s="26"/>
      <c r="S138" s="26"/>
      <c r="T138" s="26"/>
      <c r="U138" s="26"/>
      <c r="V138" s="26"/>
      <c r="W138" s="26"/>
      <c r="X138" s="26"/>
      <c r="Y138" s="24"/>
      <c r="Z138" s="26"/>
      <c r="AA138" s="24"/>
      <c r="AB138" s="26"/>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row>
    <row r="139" spans="1:55">
      <c r="A139" s="24"/>
      <c r="B139" s="24"/>
      <c r="C139" s="25"/>
      <c r="D139" s="26"/>
      <c r="E139" s="24"/>
      <c r="F139" s="26"/>
      <c r="G139" s="26"/>
      <c r="H139" s="26"/>
      <c r="I139" s="26"/>
      <c r="J139" s="26"/>
      <c r="K139" s="26"/>
      <c r="L139" s="26"/>
      <c r="M139" s="26"/>
      <c r="N139" s="26"/>
      <c r="O139" s="26"/>
      <c r="P139" s="26"/>
      <c r="Q139" s="26"/>
      <c r="R139" s="26"/>
      <c r="S139" s="26"/>
      <c r="T139" s="26"/>
      <c r="U139" s="26"/>
      <c r="V139" s="26"/>
      <c r="W139" s="26"/>
      <c r="X139" s="26"/>
      <c r="Y139" s="24"/>
      <c r="Z139" s="26"/>
      <c r="AA139" s="24"/>
      <c r="AB139" s="26"/>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row>
    <row r="140" spans="1:55">
      <c r="A140" s="24"/>
      <c r="B140" s="24"/>
      <c r="C140" s="25"/>
      <c r="D140" s="26"/>
      <c r="E140" s="24"/>
      <c r="F140" s="26"/>
      <c r="G140" s="26"/>
      <c r="H140" s="26"/>
      <c r="I140" s="26"/>
      <c r="J140" s="26"/>
      <c r="K140" s="26"/>
      <c r="L140" s="26"/>
      <c r="M140" s="26"/>
      <c r="N140" s="26"/>
      <c r="O140" s="26"/>
      <c r="P140" s="26"/>
      <c r="Q140" s="26"/>
      <c r="R140" s="26"/>
      <c r="S140" s="26"/>
      <c r="T140" s="26"/>
      <c r="U140" s="26"/>
      <c r="V140" s="26"/>
      <c r="W140" s="26"/>
      <c r="X140" s="26"/>
      <c r="Y140" s="24"/>
      <c r="Z140" s="26"/>
      <c r="AA140" s="24"/>
      <c r="AB140" s="26"/>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row>
    <row r="141" spans="1:55">
      <c r="A141" s="24"/>
      <c r="B141" s="24"/>
      <c r="C141" s="25"/>
      <c r="D141" s="26"/>
      <c r="E141" s="24"/>
      <c r="F141" s="26"/>
      <c r="G141" s="26"/>
      <c r="H141" s="26"/>
      <c r="I141" s="26"/>
      <c r="J141" s="26"/>
      <c r="K141" s="26"/>
      <c r="L141" s="26"/>
      <c r="M141" s="26"/>
      <c r="N141" s="26"/>
      <c r="O141" s="26"/>
      <c r="P141" s="26"/>
      <c r="Q141" s="26"/>
      <c r="R141" s="26"/>
      <c r="S141" s="26"/>
      <c r="T141" s="26"/>
      <c r="U141" s="26"/>
      <c r="V141" s="26"/>
      <c r="W141" s="26"/>
      <c r="X141" s="26"/>
      <c r="Y141" s="24"/>
      <c r="Z141" s="26"/>
      <c r="AA141" s="24"/>
      <c r="AB141" s="26"/>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row>
    <row r="142" spans="1:55">
      <c r="A142" s="24"/>
      <c r="B142" s="24"/>
      <c r="C142" s="25"/>
      <c r="D142" s="26"/>
      <c r="E142" s="24"/>
      <c r="F142" s="26"/>
      <c r="G142" s="26"/>
      <c r="H142" s="26"/>
      <c r="I142" s="26"/>
      <c r="J142" s="26"/>
      <c r="K142" s="26"/>
      <c r="L142" s="26"/>
      <c r="M142" s="26"/>
      <c r="N142" s="26"/>
      <c r="O142" s="26"/>
      <c r="P142" s="26"/>
      <c r="Q142" s="26"/>
      <c r="R142" s="26"/>
      <c r="S142" s="26"/>
      <c r="T142" s="26"/>
      <c r="U142" s="26"/>
      <c r="V142" s="26"/>
      <c r="W142" s="26"/>
      <c r="X142" s="26"/>
      <c r="Y142" s="24"/>
      <c r="Z142" s="26"/>
      <c r="AA142" s="24"/>
      <c r="AB142" s="26"/>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row>
    <row r="143" spans="1:55">
      <c r="A143" s="24"/>
      <c r="B143" s="24"/>
      <c r="C143" s="25"/>
      <c r="D143" s="26"/>
      <c r="E143" s="24"/>
      <c r="F143" s="26"/>
      <c r="G143" s="26"/>
      <c r="H143" s="26"/>
      <c r="I143" s="26"/>
      <c r="J143" s="26"/>
      <c r="K143" s="26"/>
      <c r="L143" s="26"/>
      <c r="M143" s="26"/>
      <c r="N143" s="26"/>
      <c r="O143" s="26"/>
      <c r="P143" s="26"/>
      <c r="Q143" s="26"/>
      <c r="R143" s="26"/>
      <c r="S143" s="26"/>
      <c r="T143" s="26"/>
      <c r="U143" s="26"/>
      <c r="V143" s="26"/>
      <c r="W143" s="26"/>
      <c r="X143" s="26"/>
      <c r="Y143" s="24"/>
      <c r="Z143" s="26"/>
      <c r="AA143" s="24"/>
      <c r="AB143" s="26"/>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row>
    <row r="144" spans="1:55">
      <c r="A144" s="24"/>
      <c r="B144" s="24"/>
      <c r="C144" s="25"/>
      <c r="D144" s="26"/>
      <c r="E144" s="24"/>
      <c r="F144" s="26"/>
      <c r="G144" s="26"/>
      <c r="H144" s="26"/>
      <c r="I144" s="26"/>
      <c r="J144" s="26"/>
      <c r="K144" s="26"/>
      <c r="L144" s="26"/>
      <c r="M144" s="26"/>
      <c r="N144" s="26"/>
      <c r="O144" s="26"/>
      <c r="P144" s="26"/>
      <c r="Q144" s="26"/>
      <c r="R144" s="26"/>
      <c r="S144" s="26"/>
      <c r="T144" s="26"/>
      <c r="U144" s="26"/>
      <c r="V144" s="26"/>
      <c r="W144" s="26"/>
      <c r="X144" s="26"/>
      <c r="Y144" s="24"/>
      <c r="Z144" s="26"/>
      <c r="AA144" s="24"/>
      <c r="AB144" s="26"/>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row>
    <row r="145" spans="1:55">
      <c r="A145" s="24"/>
      <c r="B145" s="24"/>
      <c r="C145" s="25"/>
      <c r="D145" s="26"/>
      <c r="E145" s="24"/>
      <c r="F145" s="26"/>
      <c r="G145" s="26"/>
      <c r="H145" s="26"/>
      <c r="I145" s="26"/>
      <c r="J145" s="26"/>
      <c r="K145" s="26"/>
      <c r="L145" s="26"/>
      <c r="M145" s="26"/>
      <c r="N145" s="26"/>
      <c r="O145" s="26"/>
      <c r="P145" s="26"/>
      <c r="Q145" s="26"/>
      <c r="R145" s="26"/>
      <c r="S145" s="26"/>
      <c r="T145" s="26"/>
      <c r="U145" s="26"/>
      <c r="V145" s="26"/>
      <c r="W145" s="26"/>
      <c r="X145" s="26"/>
      <c r="Y145" s="24"/>
      <c r="Z145" s="26"/>
      <c r="AA145" s="24"/>
      <c r="AB145" s="26"/>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row>
    <row r="146" spans="1:55">
      <c r="A146" s="24"/>
      <c r="B146" s="24"/>
      <c r="C146" s="25"/>
      <c r="D146" s="26"/>
      <c r="E146" s="24"/>
      <c r="F146" s="26"/>
      <c r="G146" s="26"/>
      <c r="H146" s="26"/>
      <c r="I146" s="26"/>
      <c r="J146" s="26"/>
      <c r="K146" s="26"/>
      <c r="L146" s="26"/>
      <c r="M146" s="26"/>
      <c r="N146" s="26"/>
      <c r="O146" s="26"/>
      <c r="P146" s="26"/>
      <c r="Q146" s="26"/>
      <c r="R146" s="26"/>
      <c r="S146" s="26"/>
      <c r="T146" s="26"/>
      <c r="U146" s="26"/>
      <c r="V146" s="26"/>
      <c r="W146" s="26"/>
      <c r="X146" s="26"/>
      <c r="Y146" s="24"/>
      <c r="Z146" s="26"/>
      <c r="AA146" s="24"/>
      <c r="AB146" s="26"/>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row>
    <row r="147" spans="1:55">
      <c r="A147" s="24"/>
      <c r="B147" s="24"/>
      <c r="C147" s="25"/>
      <c r="D147" s="26"/>
      <c r="E147" s="24"/>
      <c r="F147" s="26"/>
      <c r="G147" s="26"/>
      <c r="H147" s="26"/>
      <c r="I147" s="26"/>
      <c r="J147" s="26"/>
      <c r="K147" s="26"/>
      <c r="L147" s="26"/>
      <c r="M147" s="26"/>
      <c r="N147" s="26"/>
      <c r="O147" s="26"/>
      <c r="P147" s="26"/>
      <c r="Q147" s="26"/>
      <c r="R147" s="26"/>
      <c r="S147" s="26"/>
      <c r="T147" s="26"/>
      <c r="U147" s="26"/>
      <c r="V147" s="26"/>
      <c r="W147" s="26"/>
      <c r="X147" s="26"/>
      <c r="Y147" s="24"/>
      <c r="Z147" s="26"/>
      <c r="AA147" s="24"/>
      <c r="AB147" s="26"/>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row>
    <row r="148" spans="1:55">
      <c r="A148" s="24"/>
      <c r="B148" s="24"/>
      <c r="C148" s="25"/>
      <c r="D148" s="26"/>
      <c r="E148" s="24"/>
      <c r="F148" s="26"/>
      <c r="G148" s="26"/>
      <c r="H148" s="26"/>
      <c r="I148" s="26"/>
      <c r="J148" s="26"/>
      <c r="K148" s="26"/>
      <c r="L148" s="26"/>
      <c r="M148" s="26"/>
      <c r="N148" s="26"/>
      <c r="O148" s="26"/>
      <c r="P148" s="26"/>
      <c r="Q148" s="26"/>
      <c r="R148" s="26"/>
      <c r="S148" s="26"/>
      <c r="T148" s="26"/>
      <c r="U148" s="26"/>
      <c r="V148" s="26"/>
      <c r="W148" s="26"/>
      <c r="X148" s="26"/>
      <c r="Y148" s="24"/>
      <c r="Z148" s="26"/>
      <c r="AA148" s="24"/>
      <c r="AB148" s="26"/>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row>
    <row r="149" spans="1:55">
      <c r="A149" s="24"/>
      <c r="B149" s="24"/>
      <c r="C149" s="25"/>
      <c r="D149" s="26"/>
      <c r="E149" s="24"/>
      <c r="F149" s="26"/>
      <c r="G149" s="26"/>
      <c r="H149" s="26"/>
      <c r="I149" s="26"/>
      <c r="J149" s="26"/>
      <c r="K149" s="26"/>
      <c r="L149" s="26"/>
      <c r="M149" s="26"/>
      <c r="N149" s="26"/>
      <c r="O149" s="26"/>
      <c r="P149" s="26"/>
      <c r="Q149" s="26"/>
      <c r="R149" s="26"/>
      <c r="S149" s="26"/>
      <c r="T149" s="26"/>
      <c r="U149" s="26"/>
      <c r="V149" s="26"/>
      <c r="W149" s="26"/>
      <c r="X149" s="26"/>
      <c r="Y149" s="24"/>
      <c r="Z149" s="26"/>
      <c r="AA149" s="24"/>
      <c r="AB149" s="26"/>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row>
    <row r="150" spans="1:55">
      <c r="A150" s="24"/>
      <c r="B150" s="24"/>
      <c r="C150" s="25"/>
      <c r="D150" s="26"/>
      <c r="E150" s="24"/>
      <c r="F150" s="26"/>
      <c r="G150" s="26"/>
      <c r="H150" s="26"/>
      <c r="I150" s="26"/>
      <c r="J150" s="26"/>
      <c r="K150" s="26"/>
      <c r="L150" s="26"/>
      <c r="M150" s="26"/>
      <c r="N150" s="26"/>
      <c r="O150" s="26"/>
      <c r="P150" s="26"/>
      <c r="Q150" s="26"/>
      <c r="R150" s="26"/>
      <c r="S150" s="26"/>
      <c r="T150" s="26"/>
      <c r="U150" s="26"/>
      <c r="V150" s="26"/>
      <c r="W150" s="26"/>
      <c r="X150" s="26"/>
      <c r="Y150" s="24"/>
      <c r="Z150" s="26"/>
      <c r="AA150" s="24"/>
      <c r="AB150" s="26"/>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row>
    <row r="151" spans="1:55">
      <c r="A151" s="24"/>
      <c r="B151" s="24"/>
      <c r="C151" s="25"/>
      <c r="D151" s="26"/>
      <c r="E151" s="24"/>
      <c r="F151" s="26"/>
      <c r="G151" s="26"/>
      <c r="H151" s="26"/>
      <c r="I151" s="26"/>
      <c r="J151" s="26"/>
      <c r="K151" s="26"/>
      <c r="L151" s="26"/>
      <c r="M151" s="26"/>
      <c r="N151" s="26"/>
      <c r="O151" s="26"/>
      <c r="P151" s="26"/>
      <c r="Q151" s="26"/>
      <c r="R151" s="26"/>
      <c r="S151" s="26"/>
      <c r="T151" s="26"/>
      <c r="U151" s="26"/>
      <c r="V151" s="26"/>
      <c r="W151" s="26"/>
      <c r="X151" s="26"/>
      <c r="Y151" s="24"/>
      <c r="Z151" s="26"/>
      <c r="AA151" s="24"/>
      <c r="AB151" s="26"/>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row>
    <row r="152" spans="1:55">
      <c r="A152" s="24"/>
      <c r="B152" s="24"/>
      <c r="C152" s="25"/>
      <c r="D152" s="26"/>
      <c r="E152" s="24"/>
      <c r="F152" s="26"/>
      <c r="G152" s="26"/>
      <c r="H152" s="26"/>
      <c r="I152" s="26"/>
      <c r="J152" s="26"/>
      <c r="K152" s="26"/>
      <c r="L152" s="26"/>
      <c r="M152" s="26"/>
      <c r="N152" s="26"/>
      <c r="O152" s="26"/>
      <c r="P152" s="26"/>
      <c r="Q152" s="26"/>
      <c r="R152" s="26"/>
      <c r="S152" s="26"/>
      <c r="T152" s="26"/>
      <c r="U152" s="26"/>
      <c r="V152" s="26"/>
      <c r="W152" s="26"/>
      <c r="X152" s="26"/>
      <c r="Y152" s="24"/>
      <c r="Z152" s="26"/>
      <c r="AA152" s="24"/>
      <c r="AB152" s="26"/>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row>
    <row r="153" spans="1:55">
      <c r="A153" s="24"/>
      <c r="B153" s="24"/>
      <c r="C153" s="25"/>
      <c r="D153" s="26"/>
      <c r="E153" s="24"/>
      <c r="F153" s="26"/>
      <c r="G153" s="26"/>
      <c r="H153" s="26"/>
      <c r="I153" s="26"/>
      <c r="J153" s="26"/>
      <c r="K153" s="26"/>
      <c r="L153" s="26"/>
      <c r="M153" s="26"/>
      <c r="N153" s="26"/>
      <c r="O153" s="26"/>
      <c r="P153" s="26"/>
      <c r="Q153" s="26"/>
      <c r="R153" s="26"/>
      <c r="S153" s="26"/>
      <c r="T153" s="26"/>
      <c r="U153" s="26"/>
      <c r="V153" s="26"/>
      <c r="W153" s="26"/>
      <c r="X153" s="26"/>
      <c r="Y153" s="24"/>
      <c r="Z153" s="26"/>
      <c r="AA153" s="24"/>
      <c r="AB153" s="26"/>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row>
    <row r="154" spans="1:55">
      <c r="A154" s="24"/>
      <c r="B154" s="24"/>
      <c r="C154" s="25"/>
      <c r="D154" s="26"/>
      <c r="E154" s="24"/>
      <c r="F154" s="26"/>
      <c r="G154" s="26"/>
      <c r="H154" s="26"/>
      <c r="I154" s="26"/>
      <c r="J154" s="26"/>
      <c r="K154" s="26"/>
      <c r="L154" s="26"/>
      <c r="M154" s="26"/>
      <c r="N154" s="26"/>
      <c r="O154" s="26"/>
      <c r="P154" s="26"/>
      <c r="Q154" s="26"/>
      <c r="R154" s="26"/>
      <c r="S154" s="26"/>
      <c r="T154" s="26"/>
      <c r="U154" s="26"/>
      <c r="V154" s="26"/>
      <c r="W154" s="26"/>
      <c r="X154" s="26"/>
      <c r="Y154" s="24"/>
      <c r="Z154" s="26"/>
      <c r="AA154" s="24"/>
      <c r="AB154" s="26"/>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row>
    <row r="155" spans="1:55">
      <c r="A155" s="24"/>
      <c r="B155" s="24"/>
      <c r="C155" s="25"/>
      <c r="D155" s="26"/>
      <c r="E155" s="24"/>
      <c r="F155" s="26"/>
      <c r="G155" s="26"/>
      <c r="H155" s="26"/>
      <c r="I155" s="26"/>
      <c r="J155" s="26"/>
      <c r="K155" s="26"/>
      <c r="L155" s="26"/>
      <c r="M155" s="26"/>
      <c r="N155" s="26"/>
      <c r="O155" s="26"/>
      <c r="P155" s="26"/>
      <c r="Q155" s="26"/>
      <c r="R155" s="26"/>
      <c r="S155" s="26"/>
      <c r="T155" s="26"/>
      <c r="U155" s="26"/>
      <c r="V155" s="26"/>
      <c r="W155" s="26"/>
      <c r="X155" s="26"/>
      <c r="Y155" s="24"/>
      <c r="Z155" s="26"/>
      <c r="AA155" s="24"/>
      <c r="AB155" s="26"/>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row>
    <row r="156" spans="1:55">
      <c r="A156" s="24"/>
      <c r="B156" s="24"/>
      <c r="C156" s="25"/>
      <c r="D156" s="26"/>
      <c r="E156" s="24"/>
      <c r="F156" s="26"/>
      <c r="G156" s="26"/>
      <c r="H156" s="26"/>
      <c r="I156" s="26"/>
      <c r="J156" s="26"/>
      <c r="K156" s="26"/>
      <c r="L156" s="26"/>
      <c r="M156" s="26"/>
      <c r="N156" s="26"/>
      <c r="O156" s="26"/>
      <c r="P156" s="26"/>
      <c r="Q156" s="26"/>
      <c r="R156" s="26"/>
      <c r="S156" s="26"/>
      <c r="T156" s="26"/>
      <c r="U156" s="26"/>
      <c r="V156" s="26"/>
      <c r="W156" s="26"/>
      <c r="X156" s="26"/>
      <c r="Y156" s="24"/>
      <c r="Z156" s="26"/>
      <c r="AA156" s="24"/>
      <c r="AB156" s="26"/>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row>
    <row r="157" spans="1:55">
      <c r="A157" s="24"/>
      <c r="B157" s="24"/>
      <c r="C157" s="25"/>
      <c r="D157" s="26"/>
      <c r="E157" s="24"/>
      <c r="F157" s="26"/>
      <c r="G157" s="26"/>
      <c r="H157" s="26"/>
      <c r="I157" s="26"/>
      <c r="J157" s="26"/>
      <c r="K157" s="26"/>
      <c r="L157" s="26"/>
      <c r="M157" s="26"/>
      <c r="N157" s="26"/>
      <c r="O157" s="26"/>
      <c r="P157" s="26"/>
      <c r="Q157" s="26"/>
      <c r="R157" s="26"/>
      <c r="S157" s="26"/>
      <c r="T157" s="26"/>
      <c r="U157" s="26"/>
      <c r="V157" s="26"/>
      <c r="W157" s="26"/>
      <c r="X157" s="26"/>
      <c r="Y157" s="24"/>
      <c r="Z157" s="26"/>
      <c r="AA157" s="24"/>
      <c r="AB157" s="26"/>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row>
    <row r="158" spans="1:55">
      <c r="A158" s="24"/>
      <c r="B158" s="24"/>
      <c r="C158" s="25"/>
      <c r="D158" s="26"/>
      <c r="E158" s="24"/>
      <c r="F158" s="26"/>
      <c r="G158" s="26"/>
      <c r="H158" s="26"/>
      <c r="I158" s="26"/>
      <c r="J158" s="26"/>
      <c r="K158" s="26"/>
      <c r="L158" s="26"/>
      <c r="M158" s="26"/>
      <c r="N158" s="26"/>
      <c r="O158" s="26"/>
      <c r="P158" s="26"/>
      <c r="Q158" s="26"/>
      <c r="R158" s="26"/>
      <c r="S158" s="26"/>
      <c r="T158" s="26"/>
      <c r="U158" s="26"/>
      <c r="V158" s="26"/>
      <c r="W158" s="26"/>
      <c r="X158" s="26"/>
      <c r="Y158" s="24"/>
      <c r="Z158" s="26"/>
      <c r="AA158" s="24"/>
      <c r="AB158" s="26"/>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row>
    <row r="159" spans="1:55">
      <c r="A159" s="24"/>
      <c r="B159" s="24"/>
      <c r="C159" s="25"/>
      <c r="D159" s="26"/>
      <c r="E159" s="24"/>
      <c r="F159" s="26"/>
      <c r="G159" s="26"/>
      <c r="H159" s="26"/>
      <c r="I159" s="26"/>
      <c r="J159" s="26"/>
      <c r="K159" s="26"/>
      <c r="L159" s="26"/>
      <c r="M159" s="26"/>
      <c r="N159" s="26"/>
      <c r="O159" s="26"/>
      <c r="P159" s="26"/>
      <c r="Q159" s="26"/>
      <c r="R159" s="26"/>
      <c r="S159" s="26"/>
      <c r="T159" s="26"/>
      <c r="U159" s="26"/>
      <c r="V159" s="26"/>
      <c r="W159" s="26"/>
      <c r="X159" s="26"/>
      <c r="Y159" s="24"/>
      <c r="Z159" s="26"/>
      <c r="AA159" s="24"/>
      <c r="AB159" s="26"/>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row>
    <row r="160" spans="1:55">
      <c r="A160" s="24"/>
      <c r="B160" s="24"/>
      <c r="C160" s="25"/>
      <c r="D160" s="26"/>
      <c r="E160" s="24"/>
      <c r="F160" s="26"/>
      <c r="G160" s="26"/>
      <c r="H160" s="26"/>
      <c r="I160" s="26"/>
      <c r="J160" s="26"/>
      <c r="K160" s="26"/>
      <c r="L160" s="26"/>
      <c r="M160" s="26"/>
      <c r="N160" s="26"/>
      <c r="O160" s="26"/>
      <c r="P160" s="26"/>
      <c r="Q160" s="26"/>
      <c r="R160" s="26"/>
      <c r="S160" s="26"/>
      <c r="T160" s="26"/>
      <c r="U160" s="26"/>
      <c r="V160" s="26"/>
      <c r="W160" s="26"/>
      <c r="X160" s="26"/>
      <c r="Y160" s="24"/>
      <c r="Z160" s="26"/>
      <c r="AA160" s="24"/>
      <c r="AB160" s="26"/>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row>
    <row r="161" spans="1:55">
      <c r="A161" s="24"/>
      <c r="B161" s="24"/>
      <c r="C161" s="25"/>
      <c r="D161" s="26"/>
      <c r="E161" s="24"/>
      <c r="F161" s="26"/>
      <c r="G161" s="26"/>
      <c r="H161" s="26"/>
      <c r="I161" s="26"/>
      <c r="J161" s="26"/>
      <c r="K161" s="26"/>
      <c r="L161" s="26"/>
      <c r="M161" s="26"/>
      <c r="N161" s="26"/>
      <c r="O161" s="26"/>
      <c r="P161" s="26"/>
      <c r="Q161" s="26"/>
      <c r="R161" s="26"/>
      <c r="S161" s="26"/>
      <c r="T161" s="26"/>
      <c r="U161" s="26"/>
      <c r="V161" s="26"/>
      <c r="W161" s="26"/>
      <c r="X161" s="26"/>
      <c r="Y161" s="24"/>
      <c r="Z161" s="26"/>
      <c r="AA161" s="24"/>
      <c r="AB161" s="26"/>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row>
    <row r="162" spans="1:55">
      <c r="A162" s="24"/>
      <c r="B162" s="24"/>
      <c r="C162" s="25"/>
      <c r="D162" s="26"/>
      <c r="E162" s="24"/>
      <c r="F162" s="26"/>
      <c r="G162" s="26"/>
      <c r="H162" s="26"/>
      <c r="I162" s="26"/>
      <c r="J162" s="26"/>
      <c r="K162" s="26"/>
      <c r="L162" s="26"/>
      <c r="M162" s="26"/>
      <c r="N162" s="26"/>
      <c r="O162" s="26"/>
      <c r="P162" s="26"/>
      <c r="Q162" s="26"/>
      <c r="R162" s="26"/>
      <c r="S162" s="26"/>
      <c r="T162" s="26"/>
      <c r="U162" s="26"/>
      <c r="V162" s="26"/>
      <c r="W162" s="26"/>
      <c r="X162" s="26"/>
      <c r="Y162" s="24"/>
      <c r="Z162" s="26"/>
      <c r="AA162" s="24"/>
      <c r="AB162" s="26"/>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row>
    <row r="163" spans="1:55">
      <c r="A163" s="24"/>
      <c r="B163" s="24"/>
      <c r="C163" s="25"/>
      <c r="D163" s="26"/>
      <c r="E163" s="24"/>
      <c r="F163" s="26"/>
      <c r="G163" s="26"/>
      <c r="H163" s="26"/>
      <c r="I163" s="26"/>
      <c r="J163" s="26"/>
      <c r="K163" s="26"/>
      <c r="L163" s="26"/>
      <c r="M163" s="26"/>
      <c r="N163" s="26"/>
      <c r="O163" s="26"/>
      <c r="P163" s="26"/>
      <c r="Q163" s="26"/>
      <c r="R163" s="26"/>
      <c r="S163" s="26"/>
      <c r="T163" s="26"/>
      <c r="U163" s="26"/>
      <c r="V163" s="26"/>
      <c r="W163" s="26"/>
      <c r="X163" s="26"/>
      <c r="Y163" s="24"/>
      <c r="Z163" s="26"/>
      <c r="AA163" s="24"/>
      <c r="AB163" s="26"/>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row>
    <row r="164" spans="1:55">
      <c r="A164" s="24"/>
      <c r="B164" s="24"/>
      <c r="C164" s="25"/>
      <c r="D164" s="26"/>
      <c r="E164" s="24"/>
      <c r="F164" s="26"/>
      <c r="G164" s="26"/>
      <c r="H164" s="26"/>
      <c r="I164" s="26"/>
      <c r="J164" s="26"/>
      <c r="K164" s="26"/>
      <c r="L164" s="26"/>
      <c r="M164" s="26"/>
      <c r="N164" s="26"/>
      <c r="O164" s="26"/>
      <c r="P164" s="26"/>
      <c r="Q164" s="26"/>
      <c r="R164" s="26"/>
      <c r="S164" s="26"/>
      <c r="T164" s="26"/>
      <c r="U164" s="26"/>
      <c r="V164" s="26"/>
      <c r="W164" s="26"/>
      <c r="X164" s="26"/>
      <c r="Y164" s="24"/>
      <c r="Z164" s="26"/>
      <c r="AA164" s="24"/>
      <c r="AB164" s="26"/>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row>
    <row r="165" spans="1:55">
      <c r="A165" s="24"/>
      <c r="B165" s="24"/>
      <c r="C165" s="25"/>
      <c r="D165" s="26"/>
      <c r="E165" s="24"/>
      <c r="F165" s="26"/>
      <c r="G165" s="26"/>
      <c r="H165" s="26"/>
      <c r="I165" s="26"/>
      <c r="J165" s="26"/>
      <c r="K165" s="26"/>
      <c r="L165" s="26"/>
      <c r="M165" s="26"/>
      <c r="N165" s="26"/>
      <c r="O165" s="26"/>
      <c r="P165" s="26"/>
      <c r="Q165" s="26"/>
      <c r="R165" s="26"/>
      <c r="S165" s="26"/>
      <c r="T165" s="26"/>
      <c r="U165" s="26"/>
      <c r="V165" s="26"/>
      <c r="W165" s="26"/>
      <c r="X165" s="26"/>
      <c r="Y165" s="24"/>
      <c r="Z165" s="26"/>
      <c r="AA165" s="24"/>
      <c r="AB165" s="26"/>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row>
    <row r="166" spans="1:55">
      <c r="A166" s="24"/>
      <c r="B166" s="24"/>
      <c r="C166" s="25"/>
      <c r="D166" s="26"/>
      <c r="E166" s="24"/>
      <c r="F166" s="26"/>
      <c r="G166" s="26"/>
      <c r="H166" s="26"/>
      <c r="I166" s="26"/>
      <c r="J166" s="26"/>
      <c r="K166" s="26"/>
      <c r="L166" s="26"/>
      <c r="M166" s="26"/>
      <c r="N166" s="26"/>
      <c r="O166" s="26"/>
      <c r="P166" s="26"/>
      <c r="Q166" s="26"/>
      <c r="R166" s="26"/>
      <c r="S166" s="26"/>
      <c r="T166" s="26"/>
      <c r="U166" s="26"/>
      <c r="V166" s="26"/>
      <c r="W166" s="26"/>
      <c r="X166" s="26"/>
      <c r="Y166" s="24"/>
      <c r="Z166" s="26"/>
      <c r="AA166" s="24"/>
      <c r="AB166" s="26"/>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row>
    <row r="167" spans="1:55">
      <c r="A167" s="24"/>
      <c r="B167" s="24"/>
      <c r="C167" s="25"/>
      <c r="D167" s="26"/>
      <c r="E167" s="24"/>
      <c r="F167" s="26"/>
      <c r="G167" s="26"/>
      <c r="H167" s="26"/>
      <c r="I167" s="26"/>
      <c r="J167" s="26"/>
      <c r="K167" s="26"/>
      <c r="L167" s="26"/>
      <c r="M167" s="26"/>
      <c r="N167" s="26"/>
      <c r="O167" s="26"/>
      <c r="P167" s="26"/>
      <c r="Q167" s="26"/>
      <c r="R167" s="26"/>
      <c r="S167" s="26"/>
      <c r="T167" s="26"/>
      <c r="U167" s="26"/>
      <c r="V167" s="26"/>
      <c r="W167" s="26"/>
      <c r="X167" s="26"/>
      <c r="Y167" s="24"/>
      <c r="Z167" s="26"/>
      <c r="AA167" s="24"/>
      <c r="AB167" s="26"/>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row>
    <row r="168" spans="1:55">
      <c r="A168" s="24"/>
      <c r="B168" s="24"/>
      <c r="C168" s="25"/>
      <c r="D168" s="26"/>
      <c r="E168" s="24"/>
      <c r="F168" s="26"/>
      <c r="G168" s="26"/>
      <c r="H168" s="26"/>
      <c r="I168" s="26"/>
      <c r="J168" s="26"/>
      <c r="K168" s="26"/>
      <c r="L168" s="26"/>
      <c r="M168" s="26"/>
      <c r="N168" s="26"/>
      <c r="O168" s="26"/>
      <c r="P168" s="26"/>
      <c r="Q168" s="26"/>
      <c r="R168" s="26"/>
      <c r="S168" s="26"/>
      <c r="T168" s="26"/>
      <c r="U168" s="26"/>
      <c r="V168" s="26"/>
      <c r="W168" s="26"/>
      <c r="X168" s="26"/>
      <c r="Y168" s="24"/>
      <c r="Z168" s="26"/>
      <c r="AA168" s="24"/>
      <c r="AB168" s="26"/>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row>
    <row r="169" spans="1:55">
      <c r="A169" s="24"/>
      <c r="B169" s="24"/>
      <c r="C169" s="25"/>
      <c r="D169" s="26"/>
      <c r="E169" s="24"/>
      <c r="F169" s="26"/>
      <c r="G169" s="26"/>
      <c r="H169" s="26"/>
      <c r="I169" s="26"/>
      <c r="J169" s="26"/>
      <c r="K169" s="26"/>
      <c r="L169" s="26"/>
      <c r="M169" s="26"/>
      <c r="N169" s="26"/>
      <c r="O169" s="26"/>
      <c r="P169" s="26"/>
      <c r="Q169" s="26"/>
      <c r="R169" s="26"/>
      <c r="S169" s="26"/>
      <c r="T169" s="26"/>
      <c r="U169" s="26"/>
      <c r="V169" s="26"/>
      <c r="W169" s="26"/>
      <c r="X169" s="26"/>
      <c r="Y169" s="24"/>
      <c r="Z169" s="26"/>
      <c r="AA169" s="24"/>
      <c r="AB169" s="26"/>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row>
    <row r="170" spans="1:55">
      <c r="A170" s="24"/>
      <c r="B170" s="24"/>
      <c r="C170" s="25"/>
      <c r="D170" s="26"/>
      <c r="E170" s="24"/>
      <c r="F170" s="26"/>
      <c r="G170" s="26"/>
      <c r="H170" s="26"/>
      <c r="I170" s="26"/>
      <c r="J170" s="26"/>
      <c r="K170" s="26"/>
      <c r="L170" s="26"/>
      <c r="M170" s="26"/>
      <c r="N170" s="26"/>
      <c r="O170" s="26"/>
      <c r="P170" s="26"/>
      <c r="Q170" s="26"/>
      <c r="R170" s="26"/>
      <c r="S170" s="26"/>
      <c r="T170" s="26"/>
      <c r="U170" s="26"/>
      <c r="V170" s="26"/>
      <c r="W170" s="26"/>
      <c r="X170" s="26"/>
      <c r="Y170" s="24"/>
      <c r="Z170" s="26"/>
      <c r="AA170" s="24"/>
      <c r="AB170" s="26"/>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row>
    <row r="171" spans="1:55">
      <c r="A171" s="24"/>
      <c r="B171" s="24"/>
      <c r="C171" s="25"/>
      <c r="D171" s="26"/>
      <c r="E171" s="24"/>
      <c r="F171" s="26"/>
      <c r="G171" s="26"/>
      <c r="H171" s="26"/>
      <c r="I171" s="26"/>
      <c r="J171" s="26"/>
      <c r="K171" s="26"/>
      <c r="L171" s="26"/>
      <c r="M171" s="26"/>
      <c r="N171" s="26"/>
      <c r="O171" s="26"/>
      <c r="P171" s="26"/>
      <c r="Q171" s="26"/>
      <c r="R171" s="26"/>
      <c r="S171" s="26"/>
      <c r="T171" s="26"/>
      <c r="U171" s="26"/>
      <c r="V171" s="26"/>
      <c r="W171" s="26"/>
      <c r="X171" s="26"/>
      <c r="Y171" s="24"/>
      <c r="Z171" s="26"/>
      <c r="AA171" s="24"/>
      <c r="AB171" s="26"/>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row>
    <row r="172" spans="1:55">
      <c r="A172" s="24"/>
      <c r="B172" s="24"/>
      <c r="C172" s="25"/>
      <c r="D172" s="26"/>
      <c r="E172" s="24"/>
      <c r="F172" s="26"/>
      <c r="G172" s="26"/>
      <c r="H172" s="26"/>
      <c r="I172" s="26"/>
      <c r="J172" s="26"/>
      <c r="K172" s="26"/>
      <c r="L172" s="26"/>
      <c r="M172" s="26"/>
      <c r="N172" s="26"/>
      <c r="O172" s="26"/>
      <c r="P172" s="26"/>
      <c r="Q172" s="26"/>
      <c r="R172" s="26"/>
      <c r="S172" s="26"/>
      <c r="T172" s="26"/>
      <c r="U172" s="26"/>
      <c r="V172" s="26"/>
      <c r="W172" s="26"/>
      <c r="X172" s="26"/>
      <c r="Y172" s="24"/>
      <c r="Z172" s="26"/>
      <c r="AA172" s="24"/>
      <c r="AB172" s="26"/>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row>
    <row r="173" spans="1:55">
      <c r="A173" s="24"/>
      <c r="B173" s="24"/>
      <c r="C173" s="25"/>
      <c r="D173" s="26"/>
      <c r="E173" s="24"/>
      <c r="F173" s="26"/>
      <c r="G173" s="26"/>
      <c r="H173" s="26"/>
      <c r="I173" s="26"/>
      <c r="J173" s="26"/>
      <c r="K173" s="26"/>
      <c r="L173" s="26"/>
      <c r="M173" s="26"/>
      <c r="N173" s="26"/>
      <c r="O173" s="26"/>
      <c r="P173" s="26"/>
      <c r="Q173" s="26"/>
      <c r="R173" s="26"/>
      <c r="S173" s="26"/>
      <c r="T173" s="26"/>
      <c r="U173" s="26"/>
      <c r="V173" s="26"/>
      <c r="W173" s="26"/>
      <c r="X173" s="26"/>
      <c r="Y173" s="24"/>
      <c r="Z173" s="26"/>
      <c r="AA173" s="24"/>
      <c r="AB173" s="26"/>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row>
    <row r="174" spans="1:55">
      <c r="A174" s="24"/>
      <c r="B174" s="24"/>
      <c r="C174" s="25"/>
      <c r="D174" s="26"/>
      <c r="E174" s="24"/>
      <c r="F174" s="26"/>
      <c r="G174" s="26"/>
      <c r="H174" s="26"/>
      <c r="I174" s="26"/>
      <c r="J174" s="26"/>
      <c r="K174" s="26"/>
      <c r="L174" s="26"/>
      <c r="M174" s="26"/>
      <c r="N174" s="26"/>
      <c r="O174" s="26"/>
      <c r="P174" s="26"/>
      <c r="Q174" s="26"/>
      <c r="R174" s="26"/>
      <c r="S174" s="26"/>
      <c r="T174" s="26"/>
      <c r="U174" s="26"/>
      <c r="V174" s="26"/>
      <c r="W174" s="26"/>
      <c r="X174" s="26"/>
      <c r="Y174" s="24"/>
      <c r="Z174" s="26"/>
      <c r="AA174" s="24"/>
      <c r="AB174" s="26"/>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row>
    <row r="175" spans="1:55">
      <c r="A175" s="24"/>
      <c r="B175" s="24"/>
      <c r="C175" s="25"/>
      <c r="D175" s="26"/>
      <c r="E175" s="24"/>
      <c r="F175" s="26"/>
      <c r="G175" s="26"/>
      <c r="H175" s="26"/>
      <c r="I175" s="26"/>
      <c r="J175" s="26"/>
      <c r="K175" s="26"/>
      <c r="L175" s="26"/>
      <c r="M175" s="26"/>
      <c r="N175" s="26"/>
      <c r="O175" s="26"/>
      <c r="P175" s="26"/>
      <c r="Q175" s="26"/>
      <c r="R175" s="26"/>
      <c r="S175" s="26"/>
      <c r="T175" s="26"/>
      <c r="U175" s="26"/>
      <c r="V175" s="26"/>
      <c r="W175" s="26"/>
      <c r="X175" s="26"/>
      <c r="Y175" s="24"/>
      <c r="Z175" s="26"/>
      <c r="AA175" s="24"/>
      <c r="AB175" s="26"/>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row>
    <row r="176" spans="1:55">
      <c r="A176" s="24"/>
      <c r="B176" s="24"/>
      <c r="C176" s="25"/>
      <c r="D176" s="26"/>
      <c r="E176" s="24"/>
      <c r="F176" s="26"/>
      <c r="G176" s="26"/>
      <c r="H176" s="26"/>
      <c r="I176" s="26"/>
      <c r="J176" s="26"/>
      <c r="K176" s="26"/>
      <c r="L176" s="26"/>
      <c r="M176" s="26"/>
      <c r="N176" s="26"/>
      <c r="O176" s="26"/>
      <c r="P176" s="26"/>
      <c r="Q176" s="26"/>
      <c r="R176" s="26"/>
      <c r="S176" s="26"/>
      <c r="T176" s="26"/>
      <c r="U176" s="26"/>
      <c r="V176" s="26"/>
      <c r="W176" s="26"/>
      <c r="X176" s="26"/>
      <c r="Y176" s="24"/>
      <c r="Z176" s="26"/>
      <c r="AA176" s="24"/>
      <c r="AB176" s="26"/>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row>
    <row r="177" spans="1:55">
      <c r="A177" s="24"/>
      <c r="B177" s="24"/>
      <c r="C177" s="25"/>
      <c r="D177" s="26"/>
      <c r="E177" s="24"/>
      <c r="F177" s="26"/>
      <c r="G177" s="26"/>
      <c r="H177" s="26"/>
      <c r="I177" s="26"/>
      <c r="J177" s="26"/>
      <c r="K177" s="26"/>
      <c r="L177" s="26"/>
      <c r="M177" s="26"/>
      <c r="N177" s="26"/>
      <c r="O177" s="26"/>
      <c r="P177" s="26"/>
      <c r="Q177" s="26"/>
      <c r="R177" s="26"/>
      <c r="S177" s="26"/>
      <c r="T177" s="26"/>
      <c r="U177" s="26"/>
      <c r="V177" s="26"/>
      <c r="W177" s="26"/>
      <c r="X177" s="26"/>
      <c r="Y177" s="24"/>
      <c r="Z177" s="26"/>
      <c r="AA177" s="24"/>
      <c r="AB177" s="26"/>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row>
    <row r="178" spans="1:55">
      <c r="A178" s="24"/>
      <c r="B178" s="24"/>
      <c r="C178" s="25"/>
      <c r="D178" s="26"/>
      <c r="E178" s="24"/>
      <c r="F178" s="26"/>
      <c r="G178" s="26"/>
      <c r="H178" s="26"/>
      <c r="I178" s="26"/>
      <c r="J178" s="26"/>
      <c r="K178" s="26"/>
      <c r="L178" s="26"/>
      <c r="M178" s="26"/>
      <c r="N178" s="26"/>
      <c r="O178" s="26"/>
      <c r="P178" s="26"/>
      <c r="Q178" s="26"/>
      <c r="R178" s="26"/>
      <c r="S178" s="26"/>
      <c r="T178" s="26"/>
      <c r="U178" s="26"/>
      <c r="V178" s="26"/>
      <c r="W178" s="26"/>
      <c r="X178" s="26"/>
      <c r="Y178" s="24"/>
      <c r="Z178" s="26"/>
      <c r="AA178" s="24"/>
      <c r="AB178" s="26"/>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row>
    <row r="179" spans="1:55">
      <c r="A179" s="24"/>
      <c r="B179" s="24"/>
      <c r="C179" s="25"/>
      <c r="D179" s="26"/>
      <c r="E179" s="24"/>
      <c r="F179" s="26"/>
      <c r="G179" s="26"/>
      <c r="H179" s="26"/>
      <c r="I179" s="26"/>
      <c r="J179" s="26"/>
      <c r="K179" s="26"/>
      <c r="L179" s="26"/>
      <c r="M179" s="26"/>
      <c r="N179" s="26"/>
      <c r="O179" s="26"/>
      <c r="P179" s="26"/>
      <c r="Q179" s="26"/>
      <c r="R179" s="26"/>
      <c r="S179" s="26"/>
      <c r="T179" s="26"/>
      <c r="U179" s="26"/>
      <c r="V179" s="26"/>
      <c r="W179" s="26"/>
      <c r="X179" s="26"/>
      <c r="Y179" s="24"/>
      <c r="Z179" s="26"/>
      <c r="AA179" s="24"/>
      <c r="AB179" s="26"/>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row>
    <row r="180" spans="1:55">
      <c r="A180" s="24"/>
      <c r="B180" s="24"/>
      <c r="C180" s="25"/>
      <c r="D180" s="26"/>
      <c r="E180" s="24"/>
      <c r="F180" s="26"/>
      <c r="G180" s="26"/>
      <c r="H180" s="26"/>
      <c r="I180" s="26"/>
      <c r="J180" s="26"/>
      <c r="K180" s="26"/>
      <c r="L180" s="26"/>
      <c r="M180" s="26"/>
      <c r="N180" s="26"/>
      <c r="O180" s="26"/>
      <c r="P180" s="26"/>
      <c r="Q180" s="26"/>
      <c r="R180" s="26"/>
      <c r="S180" s="26"/>
      <c r="T180" s="26"/>
      <c r="U180" s="26"/>
      <c r="V180" s="26"/>
      <c r="W180" s="26"/>
      <c r="X180" s="26"/>
      <c r="Y180" s="24"/>
      <c r="Z180" s="26"/>
      <c r="AA180" s="24"/>
      <c r="AB180" s="26"/>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row>
    <row r="181" spans="1:55">
      <c r="A181" s="24"/>
      <c r="B181" s="24"/>
      <c r="C181" s="25"/>
      <c r="D181" s="26"/>
      <c r="E181" s="24"/>
      <c r="F181" s="26"/>
      <c r="G181" s="26"/>
      <c r="H181" s="26"/>
      <c r="I181" s="26"/>
      <c r="J181" s="26"/>
      <c r="K181" s="26"/>
      <c r="L181" s="26"/>
      <c r="M181" s="26"/>
      <c r="N181" s="26"/>
      <c r="O181" s="26"/>
      <c r="P181" s="26"/>
      <c r="Q181" s="26"/>
      <c r="R181" s="26"/>
      <c r="S181" s="26"/>
      <c r="T181" s="26"/>
      <c r="U181" s="26"/>
      <c r="V181" s="26"/>
      <c r="W181" s="26"/>
      <c r="X181" s="26"/>
      <c r="Y181" s="24"/>
      <c r="Z181" s="26"/>
      <c r="AA181" s="24"/>
      <c r="AB181" s="26"/>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row>
    <row r="182" spans="1:55">
      <c r="A182" s="24"/>
      <c r="B182" s="24"/>
      <c r="C182" s="25"/>
      <c r="D182" s="26"/>
      <c r="E182" s="24"/>
      <c r="F182" s="26"/>
      <c r="G182" s="26"/>
      <c r="H182" s="26"/>
      <c r="I182" s="26"/>
      <c r="J182" s="26"/>
      <c r="K182" s="26"/>
      <c r="L182" s="26"/>
      <c r="M182" s="26"/>
      <c r="N182" s="26"/>
      <c r="O182" s="26"/>
      <c r="P182" s="26"/>
      <c r="Q182" s="26"/>
      <c r="R182" s="26"/>
      <c r="S182" s="26"/>
      <c r="T182" s="26"/>
      <c r="U182" s="26"/>
      <c r="V182" s="26"/>
      <c r="W182" s="26"/>
      <c r="X182" s="26"/>
      <c r="Y182" s="24"/>
      <c r="Z182" s="26"/>
      <c r="AA182" s="24"/>
      <c r="AB182" s="26"/>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row>
    <row r="183" spans="1:55">
      <c r="A183" s="24"/>
      <c r="B183" s="24"/>
      <c r="C183" s="25"/>
      <c r="D183" s="26"/>
      <c r="E183" s="24"/>
      <c r="F183" s="26"/>
      <c r="G183" s="26"/>
      <c r="H183" s="26"/>
      <c r="I183" s="26"/>
      <c r="J183" s="26"/>
      <c r="K183" s="26"/>
      <c r="L183" s="26"/>
      <c r="M183" s="26"/>
      <c r="N183" s="26"/>
      <c r="O183" s="26"/>
      <c r="P183" s="26"/>
      <c r="Q183" s="26"/>
      <c r="R183" s="26"/>
      <c r="S183" s="26"/>
      <c r="T183" s="26"/>
      <c r="U183" s="26"/>
      <c r="V183" s="26"/>
      <c r="W183" s="26"/>
      <c r="X183" s="26"/>
      <c r="Y183" s="24"/>
      <c r="Z183" s="26"/>
      <c r="AA183" s="24"/>
      <c r="AB183" s="26"/>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row>
    <row r="184" spans="1:55">
      <c r="A184" s="24"/>
      <c r="B184" s="24"/>
      <c r="C184" s="25"/>
      <c r="D184" s="26"/>
      <c r="E184" s="24"/>
      <c r="F184" s="26"/>
      <c r="G184" s="26"/>
      <c r="H184" s="26"/>
      <c r="I184" s="26"/>
      <c r="J184" s="26"/>
      <c r="K184" s="26"/>
      <c r="L184" s="26"/>
      <c r="M184" s="26"/>
      <c r="N184" s="26"/>
      <c r="O184" s="26"/>
      <c r="P184" s="26"/>
      <c r="Q184" s="26"/>
      <c r="R184" s="26"/>
      <c r="S184" s="26"/>
      <c r="T184" s="26"/>
      <c r="U184" s="26"/>
      <c r="V184" s="26"/>
      <c r="W184" s="26"/>
      <c r="X184" s="26"/>
      <c r="Y184" s="24"/>
      <c r="Z184" s="26"/>
      <c r="AA184" s="24"/>
      <c r="AB184" s="26"/>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row>
    <row r="185" spans="1:55">
      <c r="A185" s="24"/>
      <c r="B185" s="24"/>
      <c r="C185" s="25"/>
      <c r="D185" s="26"/>
      <c r="E185" s="24"/>
      <c r="F185" s="26"/>
      <c r="G185" s="26"/>
      <c r="H185" s="26"/>
      <c r="I185" s="26"/>
      <c r="J185" s="26"/>
      <c r="K185" s="26"/>
      <c r="L185" s="26"/>
      <c r="M185" s="26"/>
      <c r="N185" s="26"/>
      <c r="O185" s="26"/>
      <c r="P185" s="26"/>
      <c r="Q185" s="26"/>
      <c r="R185" s="26"/>
      <c r="S185" s="26"/>
      <c r="T185" s="26"/>
      <c r="U185" s="26"/>
      <c r="V185" s="26"/>
      <c r="W185" s="26"/>
      <c r="X185" s="26"/>
      <c r="Y185" s="24"/>
      <c r="Z185" s="26"/>
      <c r="AA185" s="24"/>
      <c r="AB185" s="26"/>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row>
    <row r="186" spans="1:55">
      <c r="A186" s="24"/>
      <c r="B186" s="24"/>
      <c r="C186" s="25"/>
      <c r="D186" s="26"/>
      <c r="E186" s="24"/>
      <c r="F186" s="26"/>
      <c r="G186" s="26"/>
      <c r="H186" s="26"/>
      <c r="I186" s="26"/>
      <c r="J186" s="26"/>
      <c r="K186" s="26"/>
      <c r="L186" s="26"/>
      <c r="M186" s="26"/>
      <c r="N186" s="26"/>
      <c r="O186" s="26"/>
      <c r="P186" s="26"/>
      <c r="Q186" s="26"/>
      <c r="R186" s="26"/>
      <c r="S186" s="26"/>
      <c r="T186" s="26"/>
      <c r="U186" s="26"/>
      <c r="V186" s="26"/>
      <c r="W186" s="26"/>
      <c r="X186" s="26"/>
      <c r="Y186" s="24"/>
      <c r="Z186" s="26"/>
      <c r="AA186" s="24"/>
      <c r="AB186" s="26"/>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row>
    <row r="187" spans="1:55">
      <c r="A187" s="24"/>
      <c r="B187" s="24"/>
      <c r="C187" s="25"/>
      <c r="D187" s="26"/>
      <c r="E187" s="24"/>
      <c r="F187" s="26"/>
      <c r="G187" s="26"/>
      <c r="H187" s="26"/>
      <c r="I187" s="26"/>
      <c r="J187" s="26"/>
      <c r="K187" s="26"/>
      <c r="L187" s="26"/>
      <c r="M187" s="26"/>
      <c r="N187" s="26"/>
      <c r="O187" s="26"/>
      <c r="P187" s="26"/>
      <c r="Q187" s="26"/>
      <c r="R187" s="26"/>
      <c r="S187" s="26"/>
      <c r="T187" s="26"/>
      <c r="U187" s="26"/>
      <c r="V187" s="26"/>
      <c r="W187" s="26"/>
      <c r="X187" s="26"/>
      <c r="Y187" s="24"/>
      <c r="Z187" s="26"/>
      <c r="AA187" s="24"/>
      <c r="AB187" s="26"/>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row>
    <row r="188" spans="1:55">
      <c r="A188" s="24"/>
      <c r="B188" s="24"/>
      <c r="C188" s="25"/>
      <c r="D188" s="26"/>
      <c r="E188" s="24"/>
      <c r="F188" s="26"/>
      <c r="G188" s="26"/>
      <c r="H188" s="26"/>
      <c r="I188" s="26"/>
      <c r="J188" s="26"/>
      <c r="K188" s="26"/>
      <c r="L188" s="26"/>
      <c r="M188" s="26"/>
      <c r="N188" s="26"/>
      <c r="O188" s="26"/>
      <c r="P188" s="26"/>
      <c r="Q188" s="26"/>
      <c r="R188" s="26"/>
      <c r="S188" s="26"/>
      <c r="T188" s="26"/>
      <c r="U188" s="26"/>
      <c r="V188" s="26"/>
      <c r="W188" s="26"/>
      <c r="X188" s="26"/>
      <c r="Y188" s="24"/>
      <c r="Z188" s="26"/>
      <c r="AA188" s="24"/>
      <c r="AB188" s="26"/>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row>
    <row r="189" spans="1:55">
      <c r="A189" s="24"/>
      <c r="B189" s="24"/>
      <c r="C189" s="25"/>
      <c r="D189" s="26"/>
      <c r="E189" s="24"/>
      <c r="F189" s="26"/>
      <c r="G189" s="26"/>
      <c r="H189" s="26"/>
      <c r="I189" s="26"/>
      <c r="J189" s="26"/>
      <c r="K189" s="26"/>
      <c r="L189" s="26"/>
      <c r="M189" s="26"/>
      <c r="N189" s="26"/>
      <c r="O189" s="26"/>
      <c r="P189" s="26"/>
      <c r="Q189" s="26"/>
      <c r="R189" s="26"/>
      <c r="S189" s="26"/>
      <c r="T189" s="26"/>
      <c r="U189" s="26"/>
      <c r="V189" s="26"/>
      <c r="W189" s="26"/>
      <c r="X189" s="26"/>
      <c r="Y189" s="24"/>
      <c r="Z189" s="26"/>
      <c r="AA189" s="24"/>
      <c r="AB189" s="26"/>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row>
    <row r="190" spans="1:55">
      <c r="A190" s="24"/>
      <c r="B190" s="24"/>
      <c r="C190" s="25"/>
      <c r="D190" s="26"/>
      <c r="E190" s="24"/>
      <c r="F190" s="26"/>
      <c r="G190" s="26"/>
      <c r="H190" s="26"/>
      <c r="I190" s="26"/>
      <c r="J190" s="26"/>
      <c r="K190" s="26"/>
      <c r="L190" s="26"/>
      <c r="M190" s="26"/>
      <c r="N190" s="26"/>
      <c r="O190" s="26"/>
      <c r="P190" s="26"/>
      <c r="Q190" s="26"/>
      <c r="R190" s="26"/>
      <c r="S190" s="26"/>
      <c r="T190" s="26"/>
      <c r="U190" s="26"/>
      <c r="V190" s="26"/>
      <c r="W190" s="26"/>
      <c r="X190" s="26"/>
      <c r="Y190" s="24"/>
      <c r="Z190" s="26"/>
      <c r="AA190" s="24"/>
      <c r="AB190" s="26"/>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row>
    <row r="191" spans="1:55">
      <c r="A191" s="24"/>
      <c r="B191" s="24"/>
      <c r="C191" s="25"/>
      <c r="D191" s="26"/>
      <c r="E191" s="24"/>
      <c r="F191" s="26"/>
      <c r="G191" s="26"/>
      <c r="H191" s="26"/>
      <c r="I191" s="26"/>
      <c r="J191" s="26"/>
      <c r="K191" s="26"/>
      <c r="L191" s="26"/>
      <c r="M191" s="26"/>
      <c r="N191" s="26"/>
      <c r="O191" s="26"/>
      <c r="P191" s="26"/>
      <c r="Q191" s="26"/>
      <c r="R191" s="26"/>
      <c r="S191" s="26"/>
      <c r="T191" s="26"/>
      <c r="U191" s="26"/>
      <c r="V191" s="26"/>
      <c r="W191" s="26"/>
      <c r="X191" s="26"/>
      <c r="Y191" s="24"/>
      <c r="Z191" s="26"/>
      <c r="AA191" s="24"/>
      <c r="AB191" s="26"/>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row>
    <row r="192" spans="1:55">
      <c r="A192" s="24"/>
      <c r="B192" s="24"/>
      <c r="C192" s="25"/>
      <c r="D192" s="26"/>
      <c r="E192" s="24"/>
      <c r="F192" s="26"/>
      <c r="G192" s="26"/>
      <c r="H192" s="26"/>
      <c r="I192" s="26"/>
      <c r="J192" s="26"/>
      <c r="K192" s="26"/>
      <c r="L192" s="26"/>
      <c r="M192" s="26"/>
      <c r="N192" s="26"/>
      <c r="O192" s="26"/>
      <c r="P192" s="26"/>
      <c r="Q192" s="26"/>
      <c r="R192" s="26"/>
      <c r="S192" s="26"/>
      <c r="T192" s="26"/>
      <c r="U192" s="26"/>
      <c r="V192" s="26"/>
      <c r="W192" s="26"/>
      <c r="X192" s="26"/>
      <c r="Y192" s="24"/>
      <c r="Z192" s="26"/>
      <c r="AA192" s="24"/>
      <c r="AB192" s="26"/>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row>
    <row r="193" spans="1:55">
      <c r="A193" s="24"/>
      <c r="B193" s="24"/>
      <c r="C193" s="25"/>
      <c r="D193" s="26"/>
      <c r="E193" s="24"/>
      <c r="F193" s="26"/>
      <c r="G193" s="26"/>
      <c r="H193" s="26"/>
      <c r="I193" s="26"/>
      <c r="J193" s="26"/>
      <c r="K193" s="26"/>
      <c r="L193" s="26"/>
      <c r="M193" s="26"/>
      <c r="N193" s="26"/>
      <c r="O193" s="26"/>
      <c r="P193" s="26"/>
      <c r="Q193" s="26"/>
      <c r="R193" s="26"/>
      <c r="S193" s="26"/>
      <c r="T193" s="26"/>
      <c r="U193" s="26"/>
      <c r="V193" s="26"/>
      <c r="W193" s="26"/>
      <c r="X193" s="26"/>
      <c r="Y193" s="24"/>
      <c r="Z193" s="26"/>
      <c r="AA193" s="24"/>
      <c r="AB193" s="26"/>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row>
    <row r="194" spans="1:55">
      <c r="A194" s="24"/>
      <c r="B194" s="24"/>
      <c r="C194" s="25"/>
      <c r="D194" s="26"/>
      <c r="E194" s="24"/>
      <c r="F194" s="26"/>
      <c r="G194" s="26"/>
      <c r="H194" s="26"/>
      <c r="I194" s="26"/>
      <c r="J194" s="26"/>
      <c r="K194" s="26"/>
      <c r="L194" s="26"/>
      <c r="M194" s="26"/>
      <c r="N194" s="26"/>
      <c r="O194" s="26"/>
      <c r="P194" s="26"/>
      <c r="Q194" s="26"/>
      <c r="R194" s="26"/>
      <c r="S194" s="26"/>
      <c r="T194" s="26"/>
      <c r="U194" s="26"/>
      <c r="V194" s="26"/>
      <c r="W194" s="26"/>
      <c r="X194" s="26"/>
      <c r="Y194" s="24"/>
      <c r="Z194" s="26"/>
      <c r="AA194" s="24"/>
      <c r="AB194" s="26"/>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row>
    <row r="195" spans="1:55">
      <c r="A195" s="24"/>
      <c r="B195" s="24"/>
      <c r="C195" s="25"/>
      <c r="D195" s="26"/>
      <c r="E195" s="24"/>
      <c r="F195" s="26"/>
      <c r="G195" s="26"/>
      <c r="H195" s="26"/>
      <c r="I195" s="26"/>
      <c r="J195" s="26"/>
      <c r="K195" s="26"/>
      <c r="L195" s="26"/>
      <c r="M195" s="26"/>
      <c r="N195" s="26"/>
      <c r="O195" s="26"/>
      <c r="P195" s="26"/>
      <c r="Q195" s="26"/>
      <c r="R195" s="26"/>
      <c r="S195" s="26"/>
      <c r="T195" s="26"/>
      <c r="U195" s="26"/>
      <c r="V195" s="26"/>
      <c r="W195" s="26"/>
      <c r="X195" s="26"/>
      <c r="Y195" s="24"/>
      <c r="Z195" s="26"/>
      <c r="AA195" s="24"/>
      <c r="AB195" s="26"/>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row>
    <row r="196" spans="1:55">
      <c r="A196" s="24"/>
      <c r="B196" s="24"/>
      <c r="C196" s="25"/>
      <c r="D196" s="26"/>
      <c r="E196" s="24"/>
      <c r="F196" s="26"/>
      <c r="G196" s="26"/>
      <c r="H196" s="26"/>
      <c r="I196" s="26"/>
      <c r="J196" s="26"/>
      <c r="K196" s="26"/>
      <c r="L196" s="26"/>
      <c r="M196" s="26"/>
      <c r="N196" s="26"/>
      <c r="O196" s="26"/>
      <c r="P196" s="26"/>
      <c r="Q196" s="26"/>
      <c r="R196" s="26"/>
      <c r="S196" s="26"/>
      <c r="T196" s="26"/>
      <c r="U196" s="26"/>
      <c r="V196" s="26"/>
      <c r="W196" s="26"/>
      <c r="X196" s="26"/>
      <c r="Y196" s="24"/>
      <c r="Z196" s="26"/>
      <c r="AA196" s="24"/>
      <c r="AB196" s="26"/>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row>
    <row r="197" spans="1:55">
      <c r="A197" s="24"/>
      <c r="B197" s="24"/>
      <c r="C197" s="25"/>
      <c r="D197" s="26"/>
      <c r="E197" s="24"/>
      <c r="F197" s="26"/>
      <c r="G197" s="26"/>
      <c r="H197" s="26"/>
      <c r="I197" s="26"/>
      <c r="J197" s="26"/>
      <c r="K197" s="26"/>
      <c r="L197" s="26"/>
      <c r="M197" s="26"/>
      <c r="N197" s="26"/>
      <c r="O197" s="26"/>
      <c r="P197" s="26"/>
      <c r="Q197" s="26"/>
      <c r="R197" s="26"/>
      <c r="S197" s="26"/>
      <c r="T197" s="26"/>
      <c r="U197" s="26"/>
      <c r="V197" s="26"/>
      <c r="W197" s="26"/>
      <c r="X197" s="26"/>
      <c r="Y197" s="24"/>
      <c r="Z197" s="26"/>
      <c r="AA197" s="24"/>
      <c r="AB197" s="26"/>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row>
    <row r="198" spans="1:55">
      <c r="A198" s="24"/>
      <c r="B198" s="24"/>
      <c r="C198" s="25"/>
      <c r="D198" s="26"/>
      <c r="E198" s="24"/>
      <c r="F198" s="26"/>
      <c r="G198" s="26"/>
      <c r="H198" s="26"/>
      <c r="I198" s="26"/>
      <c r="J198" s="26"/>
      <c r="K198" s="26"/>
      <c r="L198" s="26"/>
      <c r="M198" s="26"/>
      <c r="N198" s="26"/>
      <c r="O198" s="26"/>
      <c r="P198" s="26"/>
      <c r="Q198" s="26"/>
      <c r="R198" s="26"/>
      <c r="S198" s="26"/>
      <c r="T198" s="26"/>
      <c r="U198" s="26"/>
      <c r="V198" s="26"/>
      <c r="W198" s="26"/>
      <c r="X198" s="26"/>
      <c r="Y198" s="24"/>
      <c r="Z198" s="26"/>
      <c r="AA198" s="24"/>
      <c r="AB198" s="26"/>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row>
    <row r="199" spans="1:55">
      <c r="A199" s="24"/>
      <c r="B199" s="24"/>
      <c r="C199" s="25"/>
      <c r="D199" s="26"/>
      <c r="E199" s="24"/>
      <c r="F199" s="26"/>
      <c r="G199" s="26"/>
      <c r="H199" s="26"/>
      <c r="I199" s="26"/>
      <c r="J199" s="26"/>
      <c r="K199" s="26"/>
      <c r="L199" s="26"/>
      <c r="M199" s="26"/>
      <c r="N199" s="26"/>
      <c r="O199" s="26"/>
      <c r="P199" s="26"/>
      <c r="Q199" s="26"/>
      <c r="R199" s="26"/>
      <c r="S199" s="26"/>
      <c r="T199" s="26"/>
      <c r="U199" s="26"/>
      <c r="V199" s="26"/>
      <c r="W199" s="26"/>
      <c r="X199" s="26"/>
      <c r="Y199" s="24"/>
      <c r="Z199" s="26"/>
      <c r="AA199" s="24"/>
      <c r="AB199" s="26"/>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row>
    <row r="200" spans="1:55">
      <c r="A200" s="24"/>
      <c r="B200" s="24"/>
      <c r="C200" s="25"/>
      <c r="D200" s="26"/>
      <c r="E200" s="24"/>
      <c r="F200" s="26"/>
      <c r="G200" s="26"/>
      <c r="H200" s="26"/>
      <c r="I200" s="26"/>
      <c r="J200" s="26"/>
      <c r="K200" s="26"/>
      <c r="L200" s="26"/>
      <c r="M200" s="26"/>
      <c r="N200" s="26"/>
      <c r="O200" s="26"/>
      <c r="P200" s="26"/>
      <c r="Q200" s="26"/>
      <c r="R200" s="26"/>
      <c r="S200" s="26"/>
      <c r="T200" s="26"/>
      <c r="U200" s="26"/>
      <c r="V200" s="26"/>
      <c r="W200" s="26"/>
      <c r="X200" s="26"/>
      <c r="Y200" s="24"/>
      <c r="Z200" s="26"/>
      <c r="AA200" s="24"/>
      <c r="AB200" s="26"/>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row>
    <row r="201" spans="1:55">
      <c r="A201" s="24"/>
      <c r="B201" s="24"/>
      <c r="C201" s="25"/>
      <c r="D201" s="26"/>
      <c r="E201" s="24"/>
      <c r="F201" s="26"/>
      <c r="G201" s="26"/>
      <c r="H201" s="26"/>
      <c r="I201" s="26"/>
      <c r="J201" s="26"/>
      <c r="K201" s="26"/>
      <c r="L201" s="26"/>
      <c r="M201" s="26"/>
      <c r="N201" s="26"/>
      <c r="O201" s="26"/>
      <c r="P201" s="26"/>
      <c r="Q201" s="26"/>
      <c r="R201" s="26"/>
      <c r="S201" s="26"/>
      <c r="T201" s="26"/>
      <c r="U201" s="26"/>
      <c r="V201" s="26"/>
      <c r="W201" s="26"/>
      <c r="X201" s="26"/>
      <c r="Y201" s="24"/>
      <c r="Z201" s="26"/>
      <c r="AA201" s="24"/>
      <c r="AB201" s="26"/>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row>
    <row r="202" spans="1:55">
      <c r="A202" s="24"/>
      <c r="B202" s="24"/>
      <c r="C202" s="25"/>
      <c r="D202" s="26"/>
      <c r="E202" s="24"/>
      <c r="F202" s="26"/>
      <c r="G202" s="26"/>
      <c r="H202" s="26"/>
      <c r="I202" s="26"/>
      <c r="J202" s="26"/>
      <c r="K202" s="26"/>
      <c r="L202" s="26"/>
      <c r="M202" s="26"/>
      <c r="N202" s="26"/>
      <c r="O202" s="26"/>
      <c r="P202" s="26"/>
      <c r="Q202" s="26"/>
      <c r="R202" s="26"/>
      <c r="S202" s="26"/>
      <c r="T202" s="26"/>
      <c r="U202" s="26"/>
      <c r="V202" s="26"/>
      <c r="W202" s="26"/>
      <c r="X202" s="26"/>
      <c r="Y202" s="24"/>
      <c r="Z202" s="26"/>
      <c r="AA202" s="24"/>
      <c r="AB202" s="26"/>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row>
    <row r="203" spans="1:55">
      <c r="A203" s="24"/>
      <c r="B203" s="24"/>
      <c r="C203" s="25"/>
      <c r="D203" s="26"/>
      <c r="E203" s="24"/>
      <c r="F203" s="26"/>
      <c r="G203" s="26"/>
      <c r="H203" s="26"/>
      <c r="I203" s="26"/>
      <c r="J203" s="26"/>
      <c r="K203" s="26"/>
      <c r="L203" s="26"/>
      <c r="M203" s="26"/>
      <c r="N203" s="26"/>
      <c r="O203" s="26"/>
      <c r="P203" s="26"/>
      <c r="Q203" s="26"/>
      <c r="R203" s="26"/>
      <c r="S203" s="26"/>
      <c r="T203" s="26"/>
      <c r="U203" s="26"/>
      <c r="V203" s="26"/>
      <c r="W203" s="26"/>
      <c r="X203" s="26"/>
      <c r="Y203" s="24"/>
      <c r="Z203" s="26"/>
      <c r="AA203" s="24"/>
      <c r="AB203" s="26"/>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row>
    <row r="204" spans="1:55">
      <c r="A204" s="24"/>
      <c r="B204" s="24"/>
      <c r="C204" s="25"/>
      <c r="D204" s="26"/>
      <c r="E204" s="24"/>
      <c r="F204" s="26"/>
      <c r="G204" s="26"/>
      <c r="H204" s="26"/>
      <c r="I204" s="26"/>
      <c r="J204" s="26"/>
      <c r="K204" s="26"/>
      <c r="L204" s="26"/>
      <c r="M204" s="26"/>
      <c r="N204" s="26"/>
      <c r="O204" s="26"/>
      <c r="P204" s="26"/>
      <c r="Q204" s="26"/>
      <c r="R204" s="26"/>
      <c r="S204" s="26"/>
      <c r="T204" s="26"/>
      <c r="U204" s="26"/>
      <c r="V204" s="26"/>
      <c r="W204" s="26"/>
      <c r="X204" s="26"/>
      <c r="Y204" s="24"/>
      <c r="Z204" s="26"/>
      <c r="AA204" s="24"/>
      <c r="AB204" s="26"/>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row>
    <row r="205" spans="1:55">
      <c r="A205" s="24"/>
      <c r="B205" s="24"/>
      <c r="C205" s="25"/>
      <c r="D205" s="26"/>
      <c r="E205" s="24"/>
      <c r="F205" s="26"/>
      <c r="G205" s="26"/>
      <c r="H205" s="26"/>
      <c r="I205" s="26"/>
      <c r="J205" s="26"/>
      <c r="K205" s="26"/>
      <c r="L205" s="26"/>
      <c r="M205" s="26"/>
      <c r="N205" s="26"/>
      <c r="O205" s="26"/>
      <c r="P205" s="26"/>
      <c r="Q205" s="26"/>
      <c r="R205" s="26"/>
      <c r="S205" s="26"/>
      <c r="T205" s="26"/>
      <c r="U205" s="26"/>
      <c r="V205" s="26"/>
      <c r="W205" s="26"/>
      <c r="X205" s="26"/>
      <c r="Y205" s="24"/>
      <c r="Z205" s="26"/>
      <c r="AA205" s="24"/>
      <c r="AB205" s="26"/>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row>
    <row r="206" spans="1:55">
      <c r="A206" s="24"/>
      <c r="B206" s="24"/>
      <c r="C206" s="25"/>
      <c r="D206" s="26"/>
      <c r="E206" s="24"/>
      <c r="F206" s="26"/>
      <c r="G206" s="26"/>
      <c r="H206" s="26"/>
      <c r="I206" s="26"/>
      <c r="J206" s="26"/>
      <c r="K206" s="26"/>
      <c r="L206" s="26"/>
      <c r="M206" s="26"/>
      <c r="N206" s="26"/>
      <c r="O206" s="26"/>
      <c r="P206" s="26"/>
      <c r="Q206" s="26"/>
      <c r="R206" s="26"/>
      <c r="S206" s="26"/>
      <c r="T206" s="26"/>
      <c r="U206" s="26"/>
      <c r="V206" s="26"/>
      <c r="W206" s="26"/>
      <c r="X206" s="26"/>
      <c r="Y206" s="24"/>
      <c r="Z206" s="26"/>
      <c r="AA206" s="24"/>
      <c r="AB206" s="26"/>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row>
    <row r="207" spans="1:55">
      <c r="A207" s="24"/>
      <c r="B207" s="24"/>
      <c r="C207" s="25"/>
      <c r="D207" s="26"/>
      <c r="E207" s="24"/>
      <c r="F207" s="26"/>
      <c r="G207" s="26"/>
      <c r="H207" s="26"/>
      <c r="I207" s="26"/>
      <c r="J207" s="26"/>
      <c r="K207" s="26"/>
      <c r="L207" s="26"/>
      <c r="M207" s="26"/>
      <c r="N207" s="26"/>
      <c r="O207" s="26"/>
      <c r="P207" s="26"/>
      <c r="Q207" s="26"/>
      <c r="R207" s="26"/>
      <c r="S207" s="26"/>
      <c r="T207" s="26"/>
      <c r="U207" s="26"/>
      <c r="V207" s="26"/>
      <c r="W207" s="26"/>
      <c r="X207" s="26"/>
      <c r="Y207" s="24"/>
      <c r="Z207" s="26"/>
      <c r="AA207" s="24"/>
      <c r="AB207" s="26"/>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row>
    <row r="208" spans="1:55">
      <c r="A208" s="24"/>
      <c r="B208" s="24"/>
      <c r="C208" s="25"/>
      <c r="D208" s="26"/>
      <c r="E208" s="24"/>
      <c r="F208" s="26"/>
      <c r="G208" s="26"/>
      <c r="H208" s="26"/>
      <c r="I208" s="26"/>
      <c r="J208" s="26"/>
      <c r="K208" s="26"/>
      <c r="L208" s="26"/>
      <c r="M208" s="26"/>
      <c r="N208" s="26"/>
      <c r="O208" s="26"/>
      <c r="P208" s="26"/>
      <c r="Q208" s="26"/>
      <c r="R208" s="26"/>
      <c r="S208" s="26"/>
      <c r="T208" s="26"/>
      <c r="U208" s="26"/>
      <c r="V208" s="26"/>
      <c r="W208" s="26"/>
      <c r="X208" s="26"/>
      <c r="Y208" s="24"/>
      <c r="Z208" s="26"/>
      <c r="AA208" s="24"/>
      <c r="AB208" s="26"/>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row>
    <row r="209" spans="1:55">
      <c r="A209" s="24"/>
      <c r="B209" s="24"/>
      <c r="C209" s="25"/>
      <c r="D209" s="26"/>
      <c r="E209" s="24"/>
      <c r="F209" s="26"/>
      <c r="G209" s="26"/>
      <c r="H209" s="26"/>
      <c r="I209" s="26"/>
      <c r="J209" s="26"/>
      <c r="K209" s="26"/>
      <c r="L209" s="26"/>
      <c r="M209" s="26"/>
      <c r="N209" s="26"/>
      <c r="O209" s="26"/>
      <c r="P209" s="26"/>
      <c r="Q209" s="26"/>
      <c r="R209" s="26"/>
      <c r="S209" s="26"/>
      <c r="T209" s="26"/>
      <c r="U209" s="26"/>
      <c r="V209" s="26"/>
      <c r="W209" s="26"/>
      <c r="X209" s="26"/>
      <c r="Y209" s="24"/>
      <c r="Z209" s="26"/>
      <c r="AA209" s="24"/>
      <c r="AB209" s="26"/>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row>
    <row r="210" spans="1:55">
      <c r="A210" s="24"/>
      <c r="B210" s="24"/>
      <c r="C210" s="25"/>
      <c r="D210" s="26"/>
      <c r="E210" s="24"/>
      <c r="F210" s="26"/>
      <c r="G210" s="26"/>
      <c r="H210" s="26"/>
      <c r="I210" s="26"/>
      <c r="J210" s="26"/>
      <c r="K210" s="26"/>
      <c r="L210" s="26"/>
      <c r="M210" s="26"/>
      <c r="N210" s="26"/>
      <c r="O210" s="26"/>
      <c r="P210" s="26"/>
      <c r="Q210" s="26"/>
      <c r="R210" s="26"/>
      <c r="S210" s="26"/>
      <c r="T210" s="26"/>
      <c r="U210" s="26"/>
      <c r="V210" s="26"/>
      <c r="W210" s="26"/>
      <c r="X210" s="26"/>
      <c r="Y210" s="24"/>
      <c r="Z210" s="26"/>
      <c r="AA210" s="24"/>
      <c r="AB210" s="26"/>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row>
    <row r="211" spans="1:55">
      <c r="A211" s="24"/>
      <c r="B211" s="24"/>
      <c r="C211" s="25"/>
      <c r="D211" s="26"/>
      <c r="E211" s="24"/>
      <c r="F211" s="26"/>
      <c r="G211" s="26"/>
      <c r="H211" s="26"/>
      <c r="I211" s="26"/>
      <c r="J211" s="26"/>
      <c r="K211" s="26"/>
      <c r="L211" s="26"/>
      <c r="M211" s="26"/>
      <c r="N211" s="26"/>
      <c r="O211" s="26"/>
      <c r="P211" s="26"/>
      <c r="Q211" s="26"/>
      <c r="R211" s="26"/>
      <c r="S211" s="26"/>
      <c r="T211" s="26"/>
      <c r="U211" s="26"/>
      <c r="V211" s="26"/>
      <c r="W211" s="26"/>
      <c r="X211" s="26"/>
      <c r="Y211" s="24"/>
      <c r="Z211" s="26"/>
      <c r="AA211" s="24"/>
      <c r="AB211" s="26"/>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row>
    <row r="212" spans="1:55">
      <c r="A212" s="24"/>
      <c r="B212" s="24"/>
      <c r="C212" s="25"/>
      <c r="D212" s="26"/>
      <c r="E212" s="24"/>
      <c r="F212" s="26"/>
      <c r="G212" s="26"/>
      <c r="H212" s="26"/>
      <c r="I212" s="26"/>
      <c r="J212" s="26"/>
      <c r="K212" s="26"/>
      <c r="L212" s="26"/>
      <c r="M212" s="26"/>
      <c r="N212" s="26"/>
      <c r="O212" s="26"/>
      <c r="P212" s="26"/>
      <c r="Q212" s="26"/>
      <c r="R212" s="26"/>
      <c r="S212" s="26"/>
      <c r="T212" s="26"/>
      <c r="U212" s="26"/>
      <c r="V212" s="26"/>
      <c r="W212" s="26"/>
      <c r="X212" s="26"/>
      <c r="Y212" s="24"/>
      <c r="Z212" s="26"/>
      <c r="AA212" s="24"/>
      <c r="AB212" s="26"/>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row>
    <row r="213" spans="1:55">
      <c r="A213" s="24"/>
      <c r="B213" s="24"/>
      <c r="C213" s="25"/>
      <c r="D213" s="26"/>
      <c r="E213" s="24"/>
      <c r="F213" s="26"/>
      <c r="G213" s="26"/>
      <c r="H213" s="26"/>
      <c r="I213" s="26"/>
      <c r="J213" s="26"/>
      <c r="K213" s="26"/>
      <c r="L213" s="26"/>
      <c r="M213" s="26"/>
      <c r="N213" s="26"/>
      <c r="O213" s="26"/>
      <c r="P213" s="26"/>
      <c r="Q213" s="26"/>
      <c r="R213" s="26"/>
      <c r="S213" s="26"/>
      <c r="T213" s="26"/>
      <c r="U213" s="26"/>
      <c r="V213" s="26"/>
      <c r="W213" s="26"/>
      <c r="X213" s="26"/>
      <c r="Y213" s="24"/>
      <c r="Z213" s="26"/>
      <c r="AA213" s="24"/>
      <c r="AB213" s="26"/>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row>
    <row r="214" spans="1:55">
      <c r="A214" s="24"/>
      <c r="B214" s="24"/>
      <c r="C214" s="25"/>
      <c r="D214" s="26"/>
      <c r="E214" s="24"/>
      <c r="F214" s="26"/>
      <c r="G214" s="26"/>
      <c r="H214" s="26"/>
      <c r="I214" s="26"/>
      <c r="J214" s="26"/>
      <c r="K214" s="26"/>
      <c r="L214" s="26"/>
      <c r="M214" s="26"/>
      <c r="N214" s="26"/>
      <c r="O214" s="26"/>
      <c r="P214" s="26"/>
      <c r="Q214" s="26"/>
      <c r="R214" s="26"/>
      <c r="S214" s="26"/>
      <c r="T214" s="26"/>
      <c r="U214" s="26"/>
      <c r="V214" s="26"/>
      <c r="W214" s="26"/>
      <c r="X214" s="26"/>
      <c r="Y214" s="24"/>
      <c r="Z214" s="26"/>
      <c r="AA214" s="24"/>
      <c r="AB214" s="26"/>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row>
    <row r="215" spans="1:55">
      <c r="A215" s="24"/>
      <c r="B215" s="24"/>
      <c r="C215" s="25"/>
      <c r="D215" s="26"/>
      <c r="E215" s="24"/>
      <c r="F215" s="26"/>
      <c r="G215" s="26"/>
      <c r="H215" s="26"/>
      <c r="I215" s="26"/>
      <c r="J215" s="26"/>
      <c r="K215" s="26"/>
      <c r="L215" s="26"/>
      <c r="M215" s="26"/>
      <c r="N215" s="26"/>
      <c r="O215" s="26"/>
      <c r="P215" s="26"/>
      <c r="Q215" s="26"/>
      <c r="R215" s="26"/>
      <c r="S215" s="26"/>
      <c r="T215" s="26"/>
      <c r="U215" s="26"/>
      <c r="V215" s="26"/>
      <c r="W215" s="26"/>
      <c r="X215" s="26"/>
      <c r="Y215" s="24"/>
      <c r="Z215" s="26"/>
      <c r="AA215" s="24"/>
      <c r="AB215" s="26"/>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row>
    <row r="216" spans="1:55">
      <c r="A216" s="24"/>
      <c r="B216" s="24"/>
      <c r="C216" s="25"/>
      <c r="D216" s="26"/>
      <c r="E216" s="24"/>
      <c r="F216" s="26"/>
      <c r="G216" s="26"/>
      <c r="H216" s="26"/>
      <c r="I216" s="26"/>
      <c r="J216" s="26"/>
      <c r="K216" s="26"/>
      <c r="L216" s="26"/>
      <c r="M216" s="26"/>
      <c r="N216" s="26"/>
      <c r="O216" s="26"/>
      <c r="P216" s="26"/>
      <c r="Q216" s="26"/>
      <c r="R216" s="26"/>
      <c r="S216" s="26"/>
      <c r="T216" s="26"/>
      <c r="U216" s="26"/>
      <c r="V216" s="26"/>
      <c r="W216" s="26"/>
      <c r="X216" s="26"/>
      <c r="Y216" s="24"/>
      <c r="Z216" s="26"/>
      <c r="AA216" s="24"/>
      <c r="AB216" s="26"/>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row>
    <row r="217" spans="1:55">
      <c r="A217" s="24"/>
      <c r="B217" s="24"/>
      <c r="C217" s="25"/>
      <c r="D217" s="26"/>
      <c r="E217" s="24"/>
      <c r="F217" s="26"/>
      <c r="G217" s="26"/>
      <c r="H217" s="26"/>
      <c r="I217" s="26"/>
      <c r="J217" s="26"/>
      <c r="K217" s="26"/>
      <c r="L217" s="26"/>
      <c r="M217" s="26"/>
      <c r="N217" s="26"/>
      <c r="O217" s="26"/>
      <c r="P217" s="26"/>
      <c r="Q217" s="26"/>
      <c r="R217" s="26"/>
      <c r="S217" s="26"/>
      <c r="T217" s="26"/>
      <c r="U217" s="26"/>
      <c r="V217" s="26"/>
      <c r="W217" s="26"/>
      <c r="X217" s="26"/>
      <c r="Y217" s="24"/>
      <c r="Z217" s="26"/>
      <c r="AA217" s="24"/>
      <c r="AB217" s="26"/>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row>
    <row r="218" spans="1:55">
      <c r="A218" s="24"/>
      <c r="B218" s="24"/>
      <c r="C218" s="25"/>
      <c r="D218" s="26"/>
      <c r="E218" s="24"/>
      <c r="F218" s="26"/>
      <c r="G218" s="26"/>
      <c r="H218" s="26"/>
      <c r="I218" s="26"/>
      <c r="J218" s="26"/>
      <c r="K218" s="26"/>
      <c r="L218" s="26"/>
      <c r="M218" s="26"/>
      <c r="N218" s="26"/>
      <c r="O218" s="26"/>
      <c r="P218" s="26"/>
      <c r="Q218" s="26"/>
      <c r="R218" s="26"/>
      <c r="S218" s="26"/>
      <c r="T218" s="26"/>
      <c r="U218" s="26"/>
      <c r="V218" s="26"/>
      <c r="W218" s="26"/>
      <c r="X218" s="26"/>
      <c r="Y218" s="24"/>
      <c r="Z218" s="26"/>
      <c r="AA218" s="24"/>
      <c r="AB218" s="26"/>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row>
    <row r="219" spans="1:55">
      <c r="A219" s="24"/>
      <c r="B219" s="24"/>
      <c r="C219" s="25"/>
      <c r="D219" s="26"/>
      <c r="E219" s="24"/>
      <c r="F219" s="26"/>
      <c r="G219" s="26"/>
      <c r="H219" s="26"/>
      <c r="I219" s="26"/>
      <c r="J219" s="26"/>
      <c r="K219" s="26"/>
      <c r="L219" s="26"/>
      <c r="M219" s="26"/>
      <c r="N219" s="26"/>
      <c r="O219" s="26"/>
      <c r="P219" s="26"/>
      <c r="Q219" s="26"/>
      <c r="R219" s="26"/>
      <c r="S219" s="26"/>
      <c r="T219" s="26"/>
      <c r="U219" s="26"/>
      <c r="V219" s="26"/>
      <c r="W219" s="26"/>
      <c r="X219" s="26"/>
      <c r="Y219" s="24"/>
      <c r="Z219" s="26"/>
      <c r="AA219" s="24"/>
      <c r="AB219" s="26"/>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row>
    <row r="220" spans="1:55">
      <c r="A220" s="24"/>
      <c r="B220" s="24"/>
      <c r="C220" s="25"/>
      <c r="D220" s="26"/>
      <c r="E220" s="24"/>
      <c r="F220" s="26"/>
      <c r="G220" s="26"/>
      <c r="H220" s="26"/>
      <c r="I220" s="26"/>
      <c r="J220" s="26"/>
      <c r="K220" s="26"/>
      <c r="L220" s="26"/>
      <c r="M220" s="26"/>
      <c r="N220" s="26"/>
      <c r="O220" s="26"/>
      <c r="P220" s="26"/>
      <c r="Q220" s="26"/>
      <c r="R220" s="26"/>
      <c r="S220" s="26"/>
      <c r="T220" s="26"/>
      <c r="U220" s="26"/>
      <c r="V220" s="26"/>
      <c r="W220" s="26"/>
      <c r="X220" s="26"/>
      <c r="Y220" s="24"/>
      <c r="Z220" s="26"/>
      <c r="AA220" s="24"/>
      <c r="AB220" s="26"/>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row>
    <row r="221" spans="1:55">
      <c r="A221" s="24"/>
      <c r="B221" s="24"/>
      <c r="C221" s="25"/>
      <c r="D221" s="26"/>
      <c r="E221" s="24"/>
      <c r="F221" s="26"/>
      <c r="G221" s="26"/>
      <c r="H221" s="26"/>
      <c r="I221" s="26"/>
      <c r="J221" s="26"/>
      <c r="K221" s="26"/>
      <c r="L221" s="26"/>
      <c r="M221" s="26"/>
      <c r="N221" s="26"/>
      <c r="O221" s="26"/>
      <c r="P221" s="26"/>
      <c r="Q221" s="26"/>
      <c r="R221" s="26"/>
      <c r="S221" s="26"/>
      <c r="T221" s="26"/>
      <c r="U221" s="26"/>
      <c r="V221" s="26"/>
      <c r="W221" s="26"/>
      <c r="X221" s="26"/>
      <c r="Y221" s="24"/>
      <c r="Z221" s="26"/>
      <c r="AA221" s="24"/>
      <c r="AB221" s="26"/>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row>
    <row r="222" spans="1:55">
      <c r="A222" s="24"/>
      <c r="B222" s="24"/>
      <c r="C222" s="25"/>
      <c r="D222" s="26"/>
      <c r="E222" s="24"/>
      <c r="F222" s="26"/>
      <c r="G222" s="26"/>
      <c r="H222" s="26"/>
      <c r="I222" s="26"/>
      <c r="J222" s="26"/>
      <c r="K222" s="26"/>
      <c r="L222" s="26"/>
      <c r="M222" s="26"/>
      <c r="N222" s="26"/>
      <c r="O222" s="26"/>
      <c r="P222" s="26"/>
      <c r="Q222" s="26"/>
      <c r="R222" s="26"/>
      <c r="S222" s="26"/>
      <c r="T222" s="26"/>
      <c r="U222" s="26"/>
      <c r="V222" s="26"/>
      <c r="W222" s="26"/>
      <c r="X222" s="26"/>
      <c r="Y222" s="24"/>
      <c r="Z222" s="26"/>
      <c r="AA222" s="24"/>
      <c r="AB222" s="26"/>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row>
    <row r="223" spans="1:55">
      <c r="A223" s="24"/>
      <c r="B223" s="24"/>
      <c r="C223" s="25"/>
      <c r="D223" s="26"/>
      <c r="E223" s="24"/>
      <c r="F223" s="26"/>
      <c r="G223" s="26"/>
      <c r="H223" s="26"/>
      <c r="I223" s="26"/>
      <c r="J223" s="26"/>
      <c r="K223" s="26"/>
      <c r="L223" s="26"/>
      <c r="M223" s="26"/>
      <c r="N223" s="26"/>
      <c r="O223" s="26"/>
      <c r="P223" s="26"/>
      <c r="Q223" s="26"/>
      <c r="R223" s="26"/>
      <c r="S223" s="26"/>
      <c r="T223" s="26"/>
      <c r="U223" s="26"/>
      <c r="V223" s="26"/>
      <c r="W223" s="26"/>
      <c r="X223" s="26"/>
      <c r="Y223" s="24"/>
      <c r="Z223" s="26"/>
      <c r="AA223" s="24"/>
      <c r="AB223" s="26"/>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row>
    <row r="224" spans="1:55">
      <c r="A224" s="24"/>
      <c r="B224" s="24"/>
      <c r="C224" s="25"/>
      <c r="D224" s="26"/>
      <c r="E224" s="24"/>
      <c r="F224" s="26"/>
      <c r="G224" s="26"/>
      <c r="H224" s="26"/>
      <c r="I224" s="26"/>
      <c r="J224" s="26"/>
      <c r="K224" s="26"/>
      <c r="L224" s="26"/>
      <c r="M224" s="26"/>
      <c r="N224" s="26"/>
      <c r="O224" s="26"/>
      <c r="P224" s="26"/>
      <c r="Q224" s="26"/>
      <c r="R224" s="26"/>
      <c r="S224" s="26"/>
      <c r="T224" s="26"/>
      <c r="U224" s="26"/>
      <c r="V224" s="26"/>
      <c r="W224" s="26"/>
      <c r="X224" s="26"/>
      <c r="Y224" s="24"/>
      <c r="Z224" s="26"/>
      <c r="AA224" s="24"/>
      <c r="AB224" s="26"/>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row>
    <row r="225" spans="1:55">
      <c r="A225" s="24"/>
      <c r="B225" s="24"/>
      <c r="C225" s="25"/>
      <c r="D225" s="26"/>
      <c r="E225" s="24"/>
      <c r="F225" s="26"/>
      <c r="G225" s="26"/>
      <c r="H225" s="26"/>
      <c r="I225" s="26"/>
      <c r="J225" s="26"/>
      <c r="K225" s="26"/>
      <c r="L225" s="26"/>
      <c r="M225" s="26"/>
      <c r="N225" s="26"/>
      <c r="O225" s="26"/>
      <c r="P225" s="26"/>
      <c r="Q225" s="26"/>
      <c r="R225" s="26"/>
      <c r="S225" s="26"/>
      <c r="T225" s="26"/>
      <c r="U225" s="26"/>
      <c r="V225" s="26"/>
      <c r="W225" s="26"/>
      <c r="X225" s="26"/>
      <c r="Y225" s="24"/>
      <c r="Z225" s="26"/>
      <c r="AA225" s="24"/>
      <c r="AB225" s="26"/>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row>
    <row r="226" spans="1:55">
      <c r="A226" s="24"/>
      <c r="B226" s="24"/>
      <c r="C226" s="25"/>
      <c r="D226" s="26"/>
      <c r="E226" s="24"/>
      <c r="F226" s="26"/>
      <c r="G226" s="26"/>
      <c r="H226" s="26"/>
      <c r="I226" s="26"/>
      <c r="J226" s="26"/>
      <c r="K226" s="26"/>
      <c r="L226" s="26"/>
      <c r="M226" s="26"/>
      <c r="N226" s="26"/>
      <c r="O226" s="26"/>
      <c r="P226" s="26"/>
      <c r="Q226" s="26"/>
      <c r="R226" s="26"/>
      <c r="S226" s="26"/>
      <c r="T226" s="26"/>
      <c r="U226" s="26"/>
      <c r="V226" s="26"/>
      <c r="W226" s="26"/>
      <c r="X226" s="26"/>
      <c r="Y226" s="24"/>
      <c r="Z226" s="26"/>
      <c r="AA226" s="24"/>
      <c r="AB226" s="26"/>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row>
    <row r="227" spans="1:55">
      <c r="A227" s="24"/>
      <c r="B227" s="24"/>
      <c r="C227" s="25"/>
      <c r="D227" s="26"/>
      <c r="E227" s="24"/>
      <c r="F227" s="26"/>
      <c r="G227" s="26"/>
      <c r="H227" s="26"/>
      <c r="I227" s="26"/>
      <c r="J227" s="26"/>
      <c r="K227" s="26"/>
      <c r="L227" s="26"/>
      <c r="M227" s="26"/>
      <c r="N227" s="26"/>
      <c r="O227" s="26"/>
      <c r="P227" s="26"/>
      <c r="Q227" s="26"/>
      <c r="R227" s="26"/>
      <c r="S227" s="26"/>
      <c r="T227" s="26"/>
      <c r="U227" s="26"/>
      <c r="V227" s="26"/>
      <c r="W227" s="26"/>
      <c r="X227" s="26"/>
      <c r="Y227" s="24"/>
      <c r="Z227" s="26"/>
      <c r="AA227" s="24"/>
      <c r="AB227" s="26"/>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row>
    <row r="228" spans="1:55">
      <c r="A228" s="24"/>
      <c r="B228" s="24"/>
      <c r="C228" s="25"/>
      <c r="D228" s="26"/>
      <c r="E228" s="24"/>
      <c r="F228" s="26"/>
      <c r="G228" s="26"/>
      <c r="H228" s="26"/>
      <c r="I228" s="26"/>
      <c r="J228" s="26"/>
      <c r="K228" s="26"/>
      <c r="L228" s="26"/>
      <c r="M228" s="26"/>
      <c r="N228" s="26"/>
      <c r="O228" s="26"/>
      <c r="P228" s="26"/>
      <c r="Q228" s="26"/>
      <c r="R228" s="26"/>
      <c r="S228" s="26"/>
      <c r="T228" s="26"/>
      <c r="U228" s="26"/>
      <c r="V228" s="26"/>
      <c r="W228" s="26"/>
      <c r="X228" s="26"/>
      <c r="Y228" s="24"/>
      <c r="Z228" s="26"/>
      <c r="AA228" s="24"/>
      <c r="AB228" s="26"/>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row>
    <row r="229" spans="1:55">
      <c r="A229" s="24"/>
      <c r="B229" s="24"/>
      <c r="C229" s="25"/>
      <c r="D229" s="26"/>
      <c r="E229" s="24"/>
      <c r="F229" s="26"/>
      <c r="G229" s="26"/>
      <c r="H229" s="26"/>
      <c r="I229" s="26"/>
      <c r="J229" s="26"/>
      <c r="K229" s="26"/>
      <c r="L229" s="26"/>
      <c r="M229" s="26"/>
      <c r="N229" s="26"/>
      <c r="O229" s="26"/>
      <c r="P229" s="26"/>
      <c r="Q229" s="26"/>
      <c r="R229" s="26"/>
      <c r="S229" s="26"/>
      <c r="T229" s="26"/>
      <c r="U229" s="26"/>
      <c r="V229" s="26"/>
      <c r="W229" s="26"/>
      <c r="X229" s="26"/>
      <c r="Y229" s="24"/>
      <c r="Z229" s="26"/>
      <c r="AA229" s="24"/>
      <c r="AB229" s="26"/>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row>
    <row r="230" spans="1:55">
      <c r="A230" s="24"/>
      <c r="B230" s="24"/>
      <c r="C230" s="25"/>
      <c r="D230" s="26"/>
      <c r="E230" s="24"/>
      <c r="F230" s="26"/>
      <c r="G230" s="26"/>
      <c r="H230" s="26"/>
      <c r="I230" s="26"/>
      <c r="J230" s="26"/>
      <c r="K230" s="26"/>
      <c r="L230" s="26"/>
      <c r="M230" s="26"/>
      <c r="N230" s="26"/>
      <c r="O230" s="26"/>
      <c r="P230" s="26"/>
      <c r="Q230" s="26"/>
      <c r="R230" s="26"/>
      <c r="S230" s="26"/>
      <c r="T230" s="26"/>
      <c r="U230" s="26"/>
      <c r="V230" s="26"/>
      <c r="W230" s="26"/>
      <c r="X230" s="26"/>
      <c r="Y230" s="24"/>
      <c r="Z230" s="26"/>
      <c r="AA230" s="24"/>
      <c r="AB230" s="26"/>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row>
    <row r="231" spans="1:55">
      <c r="A231" s="24"/>
      <c r="B231" s="24"/>
      <c r="C231" s="25"/>
      <c r="D231" s="26"/>
      <c r="E231" s="24"/>
      <c r="F231" s="26"/>
      <c r="G231" s="26"/>
      <c r="H231" s="26"/>
      <c r="I231" s="26"/>
      <c r="J231" s="26"/>
      <c r="K231" s="26"/>
      <c r="L231" s="26"/>
      <c r="M231" s="26"/>
      <c r="N231" s="26"/>
      <c r="O231" s="26"/>
      <c r="P231" s="26"/>
      <c r="Q231" s="26"/>
      <c r="R231" s="26"/>
      <c r="S231" s="26"/>
      <c r="T231" s="26"/>
      <c r="U231" s="26"/>
      <c r="V231" s="26"/>
      <c r="W231" s="26"/>
      <c r="X231" s="26"/>
      <c r="Y231" s="24"/>
      <c r="Z231" s="26"/>
      <c r="AA231" s="24"/>
      <c r="AB231" s="26"/>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row>
    <row r="232" spans="1:55">
      <c r="A232" s="24"/>
      <c r="B232" s="24"/>
      <c r="C232" s="25"/>
      <c r="D232" s="26"/>
      <c r="E232" s="24"/>
      <c r="F232" s="26"/>
      <c r="G232" s="26"/>
      <c r="H232" s="26"/>
      <c r="I232" s="26"/>
      <c r="J232" s="26"/>
      <c r="K232" s="26"/>
      <c r="L232" s="26"/>
      <c r="M232" s="26"/>
      <c r="N232" s="26"/>
      <c r="O232" s="26"/>
      <c r="P232" s="26"/>
      <c r="Q232" s="26"/>
      <c r="R232" s="26"/>
      <c r="S232" s="26"/>
      <c r="T232" s="26"/>
      <c r="U232" s="26"/>
      <c r="V232" s="26"/>
      <c r="W232" s="26"/>
      <c r="X232" s="26"/>
      <c r="Y232" s="24"/>
      <c r="Z232" s="26"/>
      <c r="AA232" s="24"/>
      <c r="AB232" s="26"/>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row>
    <row r="233" spans="1:55">
      <c r="A233" s="24"/>
      <c r="B233" s="24"/>
      <c r="C233" s="25"/>
      <c r="D233" s="26"/>
      <c r="E233" s="24"/>
      <c r="F233" s="26"/>
      <c r="G233" s="26"/>
      <c r="H233" s="26"/>
      <c r="I233" s="26"/>
      <c r="J233" s="26"/>
      <c r="K233" s="26"/>
      <c r="L233" s="26"/>
      <c r="M233" s="26"/>
      <c r="N233" s="26"/>
      <c r="O233" s="26"/>
      <c r="P233" s="26"/>
      <c r="Q233" s="26"/>
      <c r="R233" s="26"/>
      <c r="S233" s="26"/>
      <c r="T233" s="26"/>
      <c r="U233" s="26"/>
      <c r="V233" s="26"/>
      <c r="W233" s="26"/>
      <c r="X233" s="26"/>
      <c r="Y233" s="24"/>
      <c r="Z233" s="26"/>
      <c r="AA233" s="24"/>
      <c r="AB233" s="26"/>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row>
    <row r="234" spans="1:55">
      <c r="A234" s="24"/>
      <c r="B234" s="24"/>
      <c r="C234" s="25"/>
      <c r="D234" s="26"/>
      <c r="E234" s="24"/>
      <c r="F234" s="26"/>
      <c r="G234" s="26"/>
      <c r="H234" s="26"/>
      <c r="I234" s="26"/>
      <c r="J234" s="26"/>
      <c r="K234" s="26"/>
      <c r="L234" s="26"/>
      <c r="M234" s="26"/>
      <c r="N234" s="26"/>
      <c r="O234" s="26"/>
      <c r="P234" s="26"/>
      <c r="Q234" s="26"/>
      <c r="R234" s="26"/>
      <c r="S234" s="26"/>
      <c r="T234" s="26"/>
      <c r="U234" s="26"/>
      <c r="V234" s="26"/>
      <c r="W234" s="26"/>
      <c r="X234" s="26"/>
      <c r="Y234" s="24"/>
      <c r="Z234" s="26"/>
      <c r="AA234" s="24"/>
      <c r="AB234" s="26"/>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row>
    <row r="235" spans="1:55">
      <c r="A235" s="24"/>
      <c r="B235" s="24"/>
      <c r="C235" s="25"/>
      <c r="D235" s="26"/>
      <c r="E235" s="24"/>
      <c r="F235" s="26"/>
      <c r="G235" s="26"/>
      <c r="H235" s="26"/>
      <c r="I235" s="26"/>
      <c r="J235" s="26"/>
      <c r="K235" s="26"/>
      <c r="L235" s="26"/>
      <c r="M235" s="26"/>
      <c r="N235" s="26"/>
      <c r="O235" s="26"/>
      <c r="P235" s="26"/>
      <c r="Q235" s="26"/>
      <c r="R235" s="26"/>
      <c r="S235" s="26"/>
      <c r="T235" s="26"/>
      <c r="U235" s="26"/>
      <c r="V235" s="26"/>
      <c r="W235" s="26"/>
      <c r="X235" s="26"/>
      <c r="Y235" s="24"/>
      <c r="Z235" s="26"/>
      <c r="AA235" s="24"/>
      <c r="AB235" s="26"/>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row>
    <row r="236" spans="1:55">
      <c r="A236" s="24"/>
      <c r="B236" s="24"/>
      <c r="C236" s="25"/>
      <c r="D236" s="26"/>
      <c r="E236" s="24"/>
      <c r="F236" s="26"/>
      <c r="G236" s="26"/>
      <c r="H236" s="26"/>
      <c r="I236" s="26"/>
      <c r="J236" s="26"/>
      <c r="K236" s="26"/>
      <c r="L236" s="26"/>
      <c r="M236" s="26"/>
      <c r="N236" s="26"/>
      <c r="O236" s="26"/>
      <c r="P236" s="26"/>
      <c r="Q236" s="26"/>
      <c r="R236" s="26"/>
      <c r="S236" s="26"/>
      <c r="T236" s="26"/>
      <c r="U236" s="26"/>
      <c r="V236" s="26"/>
      <c r="W236" s="26"/>
      <c r="X236" s="26"/>
      <c r="Y236" s="24"/>
      <c r="Z236" s="26"/>
      <c r="AA236" s="24"/>
      <c r="AB236" s="26"/>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row>
    <row r="237" spans="1:55">
      <c r="A237" s="24"/>
      <c r="B237" s="24"/>
      <c r="C237" s="25"/>
      <c r="D237" s="26"/>
      <c r="E237" s="24"/>
      <c r="F237" s="26"/>
      <c r="G237" s="26"/>
      <c r="H237" s="26"/>
      <c r="I237" s="26"/>
      <c r="J237" s="26"/>
      <c r="K237" s="26"/>
      <c r="L237" s="26"/>
      <c r="M237" s="26"/>
      <c r="N237" s="26"/>
      <c r="O237" s="26"/>
      <c r="P237" s="26"/>
      <c r="Q237" s="26"/>
      <c r="R237" s="26"/>
      <c r="S237" s="26"/>
      <c r="T237" s="26"/>
      <c r="U237" s="26"/>
      <c r="V237" s="26"/>
      <c r="W237" s="26"/>
      <c r="X237" s="26"/>
      <c r="Y237" s="24"/>
      <c r="Z237" s="26"/>
      <c r="AA237" s="24"/>
      <c r="AB237" s="26"/>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row>
    <row r="238" spans="1:55">
      <c r="A238" s="24"/>
      <c r="B238" s="24"/>
      <c r="C238" s="25"/>
      <c r="D238" s="26"/>
      <c r="E238" s="24"/>
      <c r="F238" s="26"/>
      <c r="G238" s="26"/>
      <c r="H238" s="26"/>
      <c r="I238" s="26"/>
      <c r="J238" s="26"/>
      <c r="K238" s="26"/>
      <c r="L238" s="26"/>
      <c r="M238" s="26"/>
      <c r="N238" s="26"/>
      <c r="O238" s="26"/>
      <c r="P238" s="26"/>
      <c r="Q238" s="26"/>
      <c r="R238" s="26"/>
      <c r="S238" s="26"/>
      <c r="T238" s="26"/>
      <c r="U238" s="26"/>
      <c r="V238" s="26"/>
      <c r="W238" s="26"/>
      <c r="X238" s="26"/>
      <c r="Y238" s="24"/>
      <c r="Z238" s="26"/>
      <c r="AA238" s="24"/>
      <c r="AB238" s="26"/>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row>
    <row r="239" spans="1:55">
      <c r="A239" s="24"/>
      <c r="B239" s="24"/>
      <c r="C239" s="25"/>
      <c r="D239" s="26"/>
      <c r="E239" s="24"/>
      <c r="F239" s="26"/>
      <c r="G239" s="26"/>
      <c r="H239" s="26"/>
      <c r="I239" s="26"/>
      <c r="J239" s="26"/>
      <c r="K239" s="26"/>
      <c r="L239" s="26"/>
      <c r="M239" s="26"/>
      <c r="N239" s="26"/>
      <c r="O239" s="26"/>
      <c r="P239" s="26"/>
      <c r="Q239" s="26"/>
      <c r="R239" s="26"/>
      <c r="S239" s="26"/>
      <c r="T239" s="26"/>
      <c r="U239" s="26"/>
      <c r="V239" s="26"/>
      <c r="W239" s="26"/>
      <c r="X239" s="26"/>
      <c r="Y239" s="24"/>
      <c r="Z239" s="26"/>
      <c r="AA239" s="24"/>
      <c r="AB239" s="26"/>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row>
    <row r="240" spans="1:55">
      <c r="A240" s="24"/>
      <c r="B240" s="24"/>
      <c r="C240" s="25"/>
      <c r="D240" s="26"/>
      <c r="E240" s="24"/>
      <c r="F240" s="26"/>
      <c r="G240" s="26"/>
      <c r="H240" s="26"/>
      <c r="I240" s="26"/>
      <c r="J240" s="26"/>
      <c r="K240" s="26"/>
      <c r="L240" s="26"/>
      <c r="M240" s="26"/>
      <c r="N240" s="26"/>
      <c r="O240" s="26"/>
      <c r="P240" s="26"/>
      <c r="Q240" s="26"/>
      <c r="R240" s="26"/>
      <c r="S240" s="26"/>
      <c r="T240" s="26"/>
      <c r="U240" s="26"/>
      <c r="V240" s="26"/>
      <c r="W240" s="26"/>
      <c r="X240" s="26"/>
      <c r="Y240" s="24"/>
      <c r="Z240" s="26"/>
      <c r="AA240" s="24"/>
      <c r="AB240" s="26"/>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row>
    <row r="241" spans="1:55">
      <c r="A241" s="24"/>
      <c r="B241" s="24"/>
      <c r="C241" s="25"/>
      <c r="D241" s="26"/>
      <c r="E241" s="24"/>
      <c r="F241" s="26"/>
      <c r="G241" s="26"/>
      <c r="H241" s="26"/>
      <c r="I241" s="26"/>
      <c r="J241" s="26"/>
      <c r="K241" s="26"/>
      <c r="L241" s="26"/>
      <c r="M241" s="26"/>
      <c r="N241" s="26"/>
      <c r="O241" s="26"/>
      <c r="P241" s="26"/>
      <c r="Q241" s="26"/>
      <c r="R241" s="26"/>
      <c r="S241" s="26"/>
      <c r="T241" s="26"/>
      <c r="U241" s="26"/>
      <c r="V241" s="26"/>
      <c r="W241" s="26"/>
      <c r="X241" s="26"/>
      <c r="Y241" s="24"/>
      <c r="Z241" s="26"/>
      <c r="AA241" s="24"/>
      <c r="AB241" s="26"/>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row>
    <row r="242" spans="1:55">
      <c r="A242" s="24"/>
      <c r="B242" s="24"/>
      <c r="C242" s="25"/>
      <c r="D242" s="26"/>
      <c r="E242" s="24"/>
      <c r="F242" s="26"/>
      <c r="G242" s="26"/>
      <c r="H242" s="26"/>
      <c r="I242" s="26"/>
      <c r="J242" s="26"/>
      <c r="K242" s="26"/>
      <c r="L242" s="26"/>
      <c r="M242" s="26"/>
      <c r="N242" s="26"/>
      <c r="O242" s="26"/>
      <c r="P242" s="26"/>
      <c r="Q242" s="26"/>
      <c r="R242" s="26"/>
      <c r="S242" s="26"/>
      <c r="T242" s="26"/>
      <c r="U242" s="26"/>
      <c r="V242" s="26"/>
      <c r="W242" s="26"/>
      <c r="X242" s="26"/>
      <c r="Y242" s="24"/>
      <c r="Z242" s="26"/>
      <c r="AA242" s="24"/>
      <c r="AB242" s="26"/>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row>
    <row r="243" spans="1:55">
      <c r="A243" s="24"/>
      <c r="B243" s="24"/>
      <c r="C243" s="25"/>
      <c r="D243" s="26"/>
      <c r="E243" s="24"/>
      <c r="F243" s="26"/>
      <c r="G243" s="26"/>
      <c r="H243" s="26"/>
      <c r="I243" s="26"/>
      <c r="J243" s="26"/>
      <c r="K243" s="26"/>
      <c r="L243" s="26"/>
      <c r="M243" s="26"/>
      <c r="N243" s="26"/>
      <c r="O243" s="26"/>
      <c r="P243" s="26"/>
      <c r="Q243" s="26"/>
      <c r="R243" s="26"/>
      <c r="S243" s="26"/>
      <c r="T243" s="26"/>
      <c r="U243" s="26"/>
      <c r="V243" s="26"/>
      <c r="W243" s="26"/>
      <c r="X243" s="26"/>
      <c r="Y243" s="24"/>
      <c r="Z243" s="26"/>
      <c r="AA243" s="24"/>
      <c r="AB243" s="26"/>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row>
    <row r="244" spans="1:55">
      <c r="A244" s="24"/>
      <c r="B244" s="24"/>
      <c r="C244" s="25"/>
      <c r="D244" s="26"/>
      <c r="E244" s="24"/>
      <c r="F244" s="26"/>
      <c r="G244" s="26"/>
      <c r="H244" s="26"/>
      <c r="I244" s="26"/>
      <c r="J244" s="26"/>
      <c r="K244" s="26"/>
      <c r="L244" s="26"/>
      <c r="M244" s="26"/>
      <c r="N244" s="26"/>
      <c r="O244" s="26"/>
      <c r="P244" s="26"/>
      <c r="Q244" s="26"/>
      <c r="R244" s="26"/>
      <c r="S244" s="26"/>
      <c r="T244" s="26"/>
      <c r="U244" s="26"/>
      <c r="V244" s="26"/>
      <c r="W244" s="26"/>
      <c r="X244" s="26"/>
      <c r="Y244" s="24"/>
      <c r="Z244" s="26"/>
      <c r="AA244" s="24"/>
      <c r="AB244" s="26"/>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row>
    <row r="245" spans="1:55">
      <c r="A245" s="24"/>
      <c r="B245" s="24"/>
      <c r="C245" s="25"/>
      <c r="D245" s="26"/>
      <c r="E245" s="24"/>
      <c r="F245" s="26"/>
      <c r="G245" s="26"/>
      <c r="H245" s="26"/>
      <c r="I245" s="26"/>
      <c r="J245" s="26"/>
      <c r="K245" s="26"/>
      <c r="L245" s="26"/>
      <c r="M245" s="26"/>
      <c r="N245" s="26"/>
      <c r="O245" s="26"/>
      <c r="P245" s="26"/>
      <c r="Q245" s="26"/>
      <c r="R245" s="26"/>
      <c r="S245" s="26"/>
      <c r="T245" s="26"/>
      <c r="U245" s="26"/>
      <c r="V245" s="26"/>
      <c r="W245" s="26"/>
      <c r="X245" s="26"/>
      <c r="Y245" s="24"/>
      <c r="Z245" s="26"/>
      <c r="AA245" s="24"/>
      <c r="AB245" s="26"/>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row>
    <row r="246" spans="1:55">
      <c r="A246" s="24"/>
      <c r="B246" s="24"/>
      <c r="C246" s="25"/>
      <c r="D246" s="26"/>
      <c r="E246" s="24"/>
      <c r="F246" s="26"/>
      <c r="G246" s="26"/>
      <c r="H246" s="26"/>
      <c r="I246" s="26"/>
      <c r="J246" s="26"/>
      <c r="K246" s="26"/>
      <c r="L246" s="26"/>
      <c r="M246" s="26"/>
      <c r="N246" s="26"/>
      <c r="O246" s="26"/>
      <c r="P246" s="26"/>
      <c r="Q246" s="26"/>
      <c r="R246" s="26"/>
      <c r="S246" s="26"/>
      <c r="T246" s="26"/>
      <c r="U246" s="26"/>
      <c r="V246" s="26"/>
      <c r="W246" s="26"/>
      <c r="X246" s="26"/>
      <c r="Y246" s="24"/>
      <c r="Z246" s="26"/>
      <c r="AA246" s="24"/>
      <c r="AB246" s="26"/>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row>
    <row r="247" spans="1:55">
      <c r="A247" s="24"/>
      <c r="B247" s="24"/>
      <c r="C247" s="25"/>
      <c r="D247" s="26"/>
      <c r="E247" s="24"/>
      <c r="F247" s="26"/>
      <c r="G247" s="26"/>
      <c r="H247" s="26"/>
      <c r="I247" s="26"/>
      <c r="J247" s="26"/>
      <c r="K247" s="26"/>
      <c r="L247" s="26"/>
      <c r="M247" s="26"/>
      <c r="N247" s="26"/>
      <c r="O247" s="26"/>
      <c r="P247" s="26"/>
      <c r="Q247" s="26"/>
      <c r="R247" s="26"/>
      <c r="S247" s="26"/>
      <c r="T247" s="26"/>
      <c r="U247" s="26"/>
      <c r="V247" s="26"/>
      <c r="W247" s="26"/>
      <c r="X247" s="26"/>
      <c r="Y247" s="24"/>
      <c r="Z247" s="26"/>
      <c r="AA247" s="24"/>
      <c r="AB247" s="26"/>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row>
    <row r="248" spans="1:55">
      <c r="A248" s="24"/>
      <c r="B248" s="24"/>
      <c r="C248" s="25"/>
      <c r="D248" s="26"/>
      <c r="E248" s="24"/>
      <c r="F248" s="26"/>
      <c r="G248" s="26"/>
      <c r="H248" s="26"/>
      <c r="I248" s="26"/>
      <c r="J248" s="26"/>
      <c r="K248" s="26"/>
      <c r="L248" s="26"/>
      <c r="M248" s="26"/>
      <c r="N248" s="26"/>
      <c r="O248" s="26"/>
      <c r="P248" s="26"/>
      <c r="Q248" s="26"/>
      <c r="R248" s="26"/>
      <c r="S248" s="26"/>
      <c r="T248" s="26"/>
      <c r="U248" s="26"/>
      <c r="V248" s="26"/>
      <c r="W248" s="26"/>
      <c r="X248" s="26"/>
      <c r="Y248" s="24"/>
      <c r="Z248" s="26"/>
      <c r="AA248" s="24"/>
      <c r="AB248" s="26"/>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row>
    <row r="249" spans="1:55">
      <c r="A249" s="24"/>
      <c r="B249" s="24"/>
      <c r="C249" s="25"/>
      <c r="D249" s="26"/>
      <c r="E249" s="24"/>
      <c r="F249" s="26"/>
      <c r="G249" s="26"/>
      <c r="H249" s="26"/>
      <c r="I249" s="26"/>
      <c r="J249" s="26"/>
      <c r="K249" s="26"/>
      <c r="L249" s="26"/>
      <c r="M249" s="26"/>
      <c r="N249" s="26"/>
      <c r="O249" s="26"/>
      <c r="P249" s="26"/>
      <c r="Q249" s="26"/>
      <c r="R249" s="26"/>
      <c r="S249" s="26"/>
      <c r="T249" s="26"/>
      <c r="U249" s="26"/>
      <c r="V249" s="26"/>
      <c r="W249" s="26"/>
      <c r="X249" s="26"/>
      <c r="Y249" s="24"/>
      <c r="Z249" s="26"/>
      <c r="AA249" s="24"/>
      <c r="AB249" s="26"/>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row>
    <row r="250" spans="1:55">
      <c r="A250" s="24"/>
      <c r="B250" s="24"/>
      <c r="C250" s="25"/>
      <c r="D250" s="26"/>
      <c r="E250" s="24"/>
      <c r="F250" s="26"/>
      <c r="G250" s="26"/>
      <c r="H250" s="26"/>
      <c r="I250" s="26"/>
      <c r="J250" s="26"/>
      <c r="K250" s="26"/>
      <c r="L250" s="26"/>
      <c r="M250" s="26"/>
      <c r="N250" s="26"/>
      <c r="O250" s="26"/>
      <c r="P250" s="26"/>
      <c r="Q250" s="26"/>
      <c r="R250" s="26"/>
      <c r="S250" s="26"/>
      <c r="T250" s="26"/>
      <c r="U250" s="26"/>
      <c r="V250" s="26"/>
      <c r="W250" s="26"/>
      <c r="X250" s="26"/>
      <c r="Y250" s="24"/>
      <c r="Z250" s="26"/>
      <c r="AA250" s="24"/>
      <c r="AB250" s="26"/>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row>
    <row r="251" spans="1:55">
      <c r="A251" s="24"/>
      <c r="B251" s="24"/>
      <c r="C251" s="25"/>
      <c r="D251" s="26"/>
      <c r="E251" s="24"/>
      <c r="F251" s="26"/>
      <c r="G251" s="26"/>
      <c r="H251" s="26"/>
      <c r="I251" s="26"/>
      <c r="J251" s="26"/>
      <c r="K251" s="26"/>
      <c r="L251" s="26"/>
      <c r="M251" s="26"/>
      <c r="N251" s="26"/>
      <c r="O251" s="26"/>
      <c r="P251" s="26"/>
      <c r="Q251" s="26"/>
      <c r="R251" s="26"/>
      <c r="S251" s="26"/>
      <c r="T251" s="26"/>
      <c r="U251" s="26"/>
      <c r="V251" s="26"/>
      <c r="W251" s="26"/>
      <c r="X251" s="26"/>
      <c r="Y251" s="24"/>
      <c r="Z251" s="26"/>
      <c r="AA251" s="24"/>
      <c r="AB251" s="26"/>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row>
    <row r="252" spans="1:55">
      <c r="A252" s="24"/>
      <c r="B252" s="24"/>
      <c r="C252" s="25"/>
      <c r="D252" s="26"/>
      <c r="E252" s="24"/>
      <c r="F252" s="26"/>
      <c r="G252" s="26"/>
      <c r="H252" s="26"/>
      <c r="I252" s="26"/>
      <c r="J252" s="26"/>
      <c r="K252" s="26"/>
      <c r="L252" s="26"/>
      <c r="M252" s="26"/>
      <c r="N252" s="26"/>
      <c r="O252" s="26"/>
      <c r="P252" s="26"/>
      <c r="Q252" s="26"/>
      <c r="R252" s="26"/>
      <c r="S252" s="26"/>
      <c r="T252" s="26"/>
      <c r="U252" s="26"/>
      <c r="V252" s="26"/>
      <c r="W252" s="26"/>
      <c r="X252" s="26"/>
      <c r="Y252" s="24"/>
      <c r="Z252" s="26"/>
      <c r="AA252" s="24"/>
      <c r="AB252" s="26"/>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row>
    <row r="253" spans="1:55">
      <c r="A253" s="24"/>
      <c r="B253" s="24"/>
      <c r="C253" s="25"/>
      <c r="D253" s="26"/>
      <c r="E253" s="24"/>
      <c r="F253" s="26"/>
      <c r="G253" s="26"/>
      <c r="H253" s="26"/>
      <c r="I253" s="26"/>
      <c r="J253" s="26"/>
      <c r="K253" s="26"/>
      <c r="L253" s="26"/>
      <c r="M253" s="26"/>
      <c r="N253" s="26"/>
      <c r="O253" s="26"/>
      <c r="P253" s="26"/>
      <c r="Q253" s="26"/>
      <c r="R253" s="26"/>
      <c r="S253" s="26"/>
      <c r="T253" s="26"/>
      <c r="U253" s="26"/>
      <c r="V253" s="26"/>
      <c r="W253" s="26"/>
      <c r="X253" s="26"/>
      <c r="Y253" s="24"/>
      <c r="Z253" s="26"/>
      <c r="AA253" s="24"/>
      <c r="AB253" s="26"/>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row>
    <row r="254" spans="1:55">
      <c r="A254" s="24"/>
      <c r="B254" s="24"/>
      <c r="C254" s="25"/>
      <c r="D254" s="26"/>
      <c r="E254" s="24"/>
      <c r="F254" s="26"/>
      <c r="G254" s="26"/>
      <c r="H254" s="26"/>
      <c r="I254" s="26"/>
      <c r="J254" s="26"/>
      <c r="K254" s="26"/>
      <c r="L254" s="26"/>
      <c r="M254" s="26"/>
      <c r="N254" s="26"/>
      <c r="O254" s="26"/>
      <c r="P254" s="26"/>
      <c r="Q254" s="26"/>
      <c r="R254" s="26"/>
      <c r="S254" s="26"/>
      <c r="T254" s="26"/>
      <c r="U254" s="26"/>
      <c r="V254" s="26"/>
      <c r="W254" s="26"/>
      <c r="X254" s="26"/>
      <c r="Y254" s="24"/>
      <c r="Z254" s="26"/>
      <c r="AA254" s="24"/>
      <c r="AB254" s="26"/>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row>
    <row r="255" spans="1:55">
      <c r="A255" s="24"/>
      <c r="B255" s="24"/>
      <c r="C255" s="25"/>
      <c r="D255" s="26"/>
      <c r="E255" s="24"/>
      <c r="F255" s="26"/>
      <c r="G255" s="26"/>
      <c r="H255" s="26"/>
      <c r="I255" s="26"/>
      <c r="J255" s="26"/>
      <c r="K255" s="26"/>
      <c r="L255" s="26"/>
      <c r="M255" s="26"/>
      <c r="N255" s="26"/>
      <c r="O255" s="26"/>
      <c r="P255" s="26"/>
      <c r="Q255" s="26"/>
      <c r="R255" s="26"/>
      <c r="S255" s="26"/>
      <c r="T255" s="26"/>
      <c r="U255" s="26"/>
      <c r="V255" s="26"/>
      <c r="W255" s="26"/>
      <c r="X255" s="26"/>
      <c r="Y255" s="24"/>
      <c r="Z255" s="26"/>
      <c r="AA255" s="24"/>
      <c r="AB255" s="26"/>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row>
    <row r="256" spans="1:55">
      <c r="A256" s="24"/>
      <c r="B256" s="24"/>
      <c r="C256" s="25"/>
      <c r="D256" s="26"/>
      <c r="E256" s="24"/>
      <c r="F256" s="26"/>
      <c r="G256" s="26"/>
      <c r="H256" s="26"/>
      <c r="I256" s="26"/>
      <c r="J256" s="26"/>
      <c r="K256" s="26"/>
      <c r="L256" s="26"/>
      <c r="M256" s="26"/>
      <c r="N256" s="26"/>
      <c r="O256" s="26"/>
      <c r="P256" s="26"/>
      <c r="Q256" s="26"/>
      <c r="R256" s="26"/>
      <c r="S256" s="26"/>
      <c r="T256" s="26"/>
      <c r="U256" s="26"/>
      <c r="V256" s="26"/>
      <c r="W256" s="26"/>
      <c r="X256" s="26"/>
      <c r="Y256" s="24"/>
      <c r="Z256" s="26"/>
      <c r="AA256" s="24"/>
      <c r="AB256" s="26"/>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row>
    <row r="257" spans="1:55">
      <c r="A257" s="24"/>
      <c r="B257" s="24"/>
      <c r="C257" s="25"/>
      <c r="D257" s="26"/>
      <c r="E257" s="24"/>
      <c r="F257" s="26"/>
      <c r="G257" s="26"/>
      <c r="H257" s="26"/>
      <c r="I257" s="26"/>
      <c r="J257" s="26"/>
      <c r="K257" s="26"/>
      <c r="L257" s="26"/>
      <c r="M257" s="26"/>
      <c r="N257" s="26"/>
      <c r="O257" s="26"/>
      <c r="P257" s="26"/>
      <c r="Q257" s="26"/>
      <c r="R257" s="26"/>
      <c r="S257" s="26"/>
      <c r="T257" s="26"/>
      <c r="U257" s="26"/>
      <c r="V257" s="26"/>
      <c r="W257" s="26"/>
      <c r="X257" s="26"/>
      <c r="Y257" s="24"/>
      <c r="Z257" s="26"/>
      <c r="AA257" s="24"/>
      <c r="AB257" s="26"/>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row>
    <row r="258" spans="1:55">
      <c r="A258" s="24"/>
      <c r="B258" s="24"/>
      <c r="C258" s="25"/>
      <c r="D258" s="26"/>
      <c r="E258" s="24"/>
      <c r="F258" s="26"/>
      <c r="G258" s="26"/>
      <c r="H258" s="26"/>
      <c r="I258" s="26"/>
      <c r="J258" s="26"/>
      <c r="K258" s="26"/>
      <c r="L258" s="26"/>
      <c r="M258" s="26"/>
      <c r="N258" s="26"/>
      <c r="O258" s="26"/>
      <c r="P258" s="26"/>
      <c r="Q258" s="26"/>
      <c r="R258" s="26"/>
      <c r="S258" s="26"/>
      <c r="T258" s="26"/>
      <c r="U258" s="26"/>
      <c r="V258" s="26"/>
      <c r="W258" s="26"/>
      <c r="X258" s="26"/>
      <c r="Y258" s="24"/>
      <c r="Z258" s="26"/>
      <c r="AA258" s="24"/>
      <c r="AB258" s="26"/>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row>
    <row r="259" spans="1:55">
      <c r="A259" s="24"/>
      <c r="B259" s="24"/>
      <c r="C259" s="25"/>
      <c r="D259" s="26"/>
      <c r="E259" s="24"/>
      <c r="F259" s="26"/>
      <c r="G259" s="26"/>
      <c r="H259" s="26"/>
      <c r="I259" s="26"/>
      <c r="J259" s="26"/>
      <c r="K259" s="26"/>
      <c r="L259" s="26"/>
      <c r="M259" s="26"/>
      <c r="N259" s="26"/>
      <c r="O259" s="26"/>
      <c r="P259" s="26"/>
      <c r="Q259" s="26"/>
      <c r="R259" s="26"/>
      <c r="S259" s="26"/>
      <c r="T259" s="26"/>
      <c r="U259" s="26"/>
      <c r="V259" s="26"/>
      <c r="W259" s="26"/>
      <c r="X259" s="26"/>
      <c r="Y259" s="24"/>
      <c r="Z259" s="26"/>
      <c r="AA259" s="24"/>
      <c r="AB259" s="26"/>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row>
    <row r="260" spans="1:55">
      <c r="A260" s="24"/>
      <c r="B260" s="24"/>
      <c r="C260" s="25"/>
      <c r="D260" s="26"/>
      <c r="E260" s="24"/>
      <c r="F260" s="26"/>
      <c r="G260" s="26"/>
      <c r="H260" s="26"/>
      <c r="I260" s="26"/>
      <c r="J260" s="26"/>
      <c r="K260" s="26"/>
      <c r="L260" s="26"/>
      <c r="M260" s="26"/>
      <c r="N260" s="26"/>
      <c r="O260" s="26"/>
      <c r="P260" s="26"/>
      <c r="Q260" s="26"/>
      <c r="R260" s="26"/>
      <c r="S260" s="26"/>
      <c r="T260" s="26"/>
      <c r="U260" s="26"/>
      <c r="V260" s="26"/>
      <c r="W260" s="26"/>
      <c r="X260" s="26"/>
      <c r="Y260" s="24"/>
      <c r="Z260" s="26"/>
      <c r="AA260" s="24"/>
      <c r="AB260" s="26"/>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row>
    <row r="261" spans="1:55">
      <c r="A261" s="24"/>
      <c r="B261" s="24"/>
      <c r="C261" s="25"/>
      <c r="D261" s="26"/>
      <c r="E261" s="24"/>
      <c r="F261" s="26"/>
      <c r="G261" s="26"/>
      <c r="H261" s="26"/>
      <c r="I261" s="26"/>
      <c r="J261" s="26"/>
      <c r="K261" s="26"/>
      <c r="L261" s="26"/>
      <c r="M261" s="26"/>
      <c r="N261" s="26"/>
      <c r="O261" s="26"/>
      <c r="P261" s="26"/>
      <c r="Q261" s="26"/>
      <c r="R261" s="26"/>
      <c r="S261" s="26"/>
      <c r="T261" s="26"/>
      <c r="U261" s="26"/>
      <c r="V261" s="26"/>
      <c r="W261" s="26"/>
      <c r="X261" s="26"/>
      <c r="Y261" s="24"/>
      <c r="Z261" s="26"/>
      <c r="AA261" s="24"/>
      <c r="AB261" s="26"/>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row>
    <row r="262" spans="1:55">
      <c r="A262" s="24"/>
      <c r="B262" s="24"/>
      <c r="C262" s="25"/>
      <c r="D262" s="26"/>
      <c r="E262" s="24"/>
      <c r="F262" s="26"/>
      <c r="G262" s="26"/>
      <c r="H262" s="26"/>
      <c r="I262" s="26"/>
      <c r="J262" s="26"/>
      <c r="K262" s="26"/>
      <c r="L262" s="26"/>
      <c r="M262" s="26"/>
      <c r="N262" s="26"/>
      <c r="O262" s="26"/>
      <c r="P262" s="26"/>
      <c r="Q262" s="26"/>
      <c r="R262" s="26"/>
      <c r="S262" s="26"/>
      <c r="T262" s="26"/>
      <c r="U262" s="26"/>
      <c r="V262" s="26"/>
      <c r="W262" s="26"/>
      <c r="X262" s="26"/>
      <c r="Y262" s="24"/>
      <c r="Z262" s="26"/>
      <c r="AA262" s="24"/>
      <c r="AB262" s="26"/>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row>
    <row r="263" spans="1:55">
      <c r="A263" s="24"/>
      <c r="B263" s="24"/>
      <c r="C263" s="25"/>
      <c r="D263" s="26"/>
      <c r="E263" s="24"/>
      <c r="F263" s="26"/>
      <c r="G263" s="26"/>
      <c r="H263" s="26"/>
      <c r="I263" s="26"/>
      <c r="J263" s="26"/>
      <c r="K263" s="26"/>
      <c r="L263" s="26"/>
      <c r="M263" s="26"/>
      <c r="N263" s="26"/>
      <c r="O263" s="26"/>
      <c r="P263" s="26"/>
      <c r="Q263" s="26"/>
      <c r="R263" s="26"/>
      <c r="S263" s="26"/>
      <c r="T263" s="26"/>
      <c r="U263" s="26"/>
      <c r="V263" s="26"/>
      <c r="W263" s="26"/>
      <c r="X263" s="26"/>
      <c r="Y263" s="24"/>
      <c r="Z263" s="26"/>
      <c r="AA263" s="24"/>
      <c r="AB263" s="26"/>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row>
    <row r="264" spans="1:55">
      <c r="A264" s="24"/>
      <c r="B264" s="24"/>
      <c r="C264" s="25"/>
      <c r="D264" s="26"/>
      <c r="E264" s="24"/>
      <c r="F264" s="26"/>
      <c r="G264" s="26"/>
      <c r="H264" s="26"/>
      <c r="I264" s="26"/>
      <c r="J264" s="26"/>
      <c r="K264" s="26"/>
      <c r="L264" s="26"/>
      <c r="M264" s="26"/>
      <c r="N264" s="26"/>
      <c r="O264" s="26"/>
      <c r="P264" s="26"/>
      <c r="Q264" s="26"/>
      <c r="R264" s="26"/>
      <c r="S264" s="26"/>
      <c r="T264" s="26"/>
      <c r="U264" s="26"/>
      <c r="V264" s="26"/>
      <c r="W264" s="26"/>
      <c r="X264" s="26"/>
      <c r="Y264" s="24"/>
      <c r="Z264" s="26"/>
      <c r="AA264" s="24"/>
      <c r="AB264" s="26"/>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row>
    <row r="265" spans="1:55">
      <c r="A265" s="24"/>
      <c r="B265" s="24"/>
      <c r="C265" s="25"/>
      <c r="D265" s="26"/>
      <c r="E265" s="24"/>
      <c r="F265" s="26"/>
      <c r="G265" s="26"/>
      <c r="H265" s="26"/>
      <c r="I265" s="26"/>
      <c r="J265" s="26"/>
      <c r="K265" s="26"/>
      <c r="L265" s="26"/>
      <c r="M265" s="26"/>
      <c r="N265" s="26"/>
      <c r="O265" s="26"/>
      <c r="P265" s="26"/>
      <c r="Q265" s="26"/>
      <c r="R265" s="26"/>
      <c r="S265" s="26"/>
      <c r="T265" s="26"/>
      <c r="U265" s="26"/>
      <c r="V265" s="26"/>
      <c r="W265" s="26"/>
      <c r="X265" s="26"/>
      <c r="Y265" s="24"/>
      <c r="Z265" s="26"/>
      <c r="AA265" s="24"/>
      <c r="AB265" s="26"/>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row>
    <row r="266" spans="1:55">
      <c r="A266" s="24"/>
      <c r="B266" s="24"/>
      <c r="C266" s="25"/>
      <c r="D266" s="26"/>
      <c r="E266" s="24"/>
      <c r="F266" s="26"/>
      <c r="G266" s="26"/>
      <c r="H266" s="26"/>
      <c r="I266" s="26"/>
      <c r="J266" s="26"/>
      <c r="K266" s="26"/>
      <c r="L266" s="26"/>
      <c r="M266" s="26"/>
      <c r="N266" s="26"/>
      <c r="O266" s="26"/>
      <c r="P266" s="26"/>
      <c r="Q266" s="26"/>
      <c r="R266" s="26"/>
      <c r="S266" s="26"/>
      <c r="T266" s="26"/>
      <c r="U266" s="26"/>
      <c r="V266" s="26"/>
      <c r="W266" s="26"/>
      <c r="X266" s="26"/>
      <c r="Y266" s="24"/>
      <c r="Z266" s="26"/>
      <c r="AA266" s="24"/>
      <c r="AB266" s="26"/>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row>
    <row r="267" spans="1:55">
      <c r="A267" s="24"/>
      <c r="B267" s="24"/>
      <c r="C267" s="25"/>
      <c r="D267" s="26"/>
      <c r="E267" s="24"/>
      <c r="F267" s="26"/>
      <c r="G267" s="26"/>
      <c r="H267" s="26"/>
      <c r="I267" s="26"/>
      <c r="J267" s="26"/>
      <c r="K267" s="26"/>
      <c r="L267" s="26"/>
      <c r="M267" s="26"/>
      <c r="N267" s="26"/>
      <c r="O267" s="26"/>
      <c r="P267" s="26"/>
      <c r="Q267" s="26"/>
      <c r="R267" s="26"/>
      <c r="S267" s="26"/>
      <c r="T267" s="26"/>
      <c r="U267" s="26"/>
      <c r="V267" s="26"/>
      <c r="W267" s="26"/>
      <c r="X267" s="26"/>
      <c r="Y267" s="24"/>
      <c r="Z267" s="26"/>
      <c r="AA267" s="24"/>
      <c r="AB267" s="26"/>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row>
    <row r="268" spans="1:55">
      <c r="A268" s="24"/>
      <c r="B268" s="24"/>
      <c r="C268" s="25"/>
      <c r="D268" s="26"/>
      <c r="E268" s="24"/>
      <c r="F268" s="26"/>
      <c r="G268" s="26"/>
      <c r="H268" s="26"/>
      <c r="I268" s="26"/>
      <c r="J268" s="26"/>
      <c r="K268" s="26"/>
      <c r="L268" s="26"/>
      <c r="M268" s="26"/>
      <c r="N268" s="26"/>
      <c r="O268" s="26"/>
      <c r="P268" s="26"/>
      <c r="Q268" s="26"/>
      <c r="R268" s="26"/>
      <c r="S268" s="26"/>
      <c r="T268" s="26"/>
      <c r="U268" s="26"/>
      <c r="V268" s="26"/>
      <c r="W268" s="26"/>
      <c r="X268" s="26"/>
      <c r="Y268" s="24"/>
      <c r="Z268" s="26"/>
      <c r="AA268" s="24"/>
      <c r="AB268" s="26"/>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row>
    <row r="269" spans="1:55">
      <c r="A269" s="24"/>
      <c r="B269" s="24"/>
      <c r="C269" s="25"/>
      <c r="D269" s="26"/>
      <c r="E269" s="24"/>
      <c r="F269" s="26"/>
      <c r="G269" s="26"/>
      <c r="H269" s="26"/>
      <c r="I269" s="26"/>
      <c r="J269" s="26"/>
      <c r="K269" s="26"/>
      <c r="L269" s="26"/>
      <c r="M269" s="26"/>
      <c r="N269" s="26"/>
      <c r="O269" s="26"/>
      <c r="P269" s="26"/>
      <c r="Q269" s="26"/>
      <c r="R269" s="26"/>
      <c r="S269" s="26"/>
      <c r="T269" s="26"/>
      <c r="U269" s="26"/>
      <c r="V269" s="26"/>
      <c r="W269" s="26"/>
      <c r="X269" s="26"/>
      <c r="Y269" s="24"/>
      <c r="Z269" s="26"/>
      <c r="AA269" s="24"/>
      <c r="AB269" s="26"/>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row>
    <row r="270" spans="1:55">
      <c r="A270" s="24"/>
      <c r="B270" s="24"/>
      <c r="C270" s="25"/>
      <c r="D270" s="26"/>
      <c r="E270" s="24"/>
      <c r="F270" s="26"/>
      <c r="G270" s="26"/>
      <c r="H270" s="26"/>
      <c r="I270" s="26"/>
      <c r="J270" s="26"/>
      <c r="K270" s="26"/>
      <c r="L270" s="26"/>
      <c r="M270" s="26"/>
      <c r="N270" s="26"/>
      <c r="O270" s="26"/>
      <c r="P270" s="26"/>
      <c r="Q270" s="26"/>
      <c r="R270" s="26"/>
      <c r="S270" s="26"/>
      <c r="T270" s="26"/>
      <c r="U270" s="26"/>
      <c r="V270" s="26"/>
      <c r="W270" s="26"/>
      <c r="X270" s="26"/>
      <c r="Y270" s="24"/>
      <c r="Z270" s="26"/>
      <c r="AA270" s="24"/>
      <c r="AB270" s="26"/>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row>
    <row r="271" spans="1:55">
      <c r="A271" s="24"/>
      <c r="B271" s="24"/>
      <c r="C271" s="25"/>
      <c r="D271" s="26"/>
      <c r="E271" s="24"/>
      <c r="F271" s="26"/>
      <c r="G271" s="26"/>
      <c r="H271" s="26"/>
      <c r="I271" s="26"/>
      <c r="J271" s="26"/>
      <c r="K271" s="26"/>
      <c r="L271" s="26"/>
      <c r="M271" s="26"/>
      <c r="N271" s="26"/>
      <c r="O271" s="26"/>
      <c r="P271" s="26"/>
      <c r="Q271" s="26"/>
      <c r="R271" s="26"/>
      <c r="S271" s="26"/>
      <c r="T271" s="26"/>
      <c r="U271" s="26"/>
      <c r="V271" s="26"/>
      <c r="W271" s="26"/>
      <c r="X271" s="26"/>
      <c r="Y271" s="24"/>
      <c r="Z271" s="26"/>
      <c r="AA271" s="24"/>
      <c r="AB271" s="26"/>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row>
    <row r="272" spans="1:55">
      <c r="A272" s="24"/>
      <c r="B272" s="24"/>
      <c r="C272" s="25"/>
      <c r="D272" s="26"/>
      <c r="E272" s="24"/>
      <c r="F272" s="26"/>
      <c r="G272" s="26"/>
      <c r="H272" s="26"/>
      <c r="I272" s="26"/>
      <c r="J272" s="26"/>
      <c r="K272" s="26"/>
      <c r="L272" s="26"/>
      <c r="M272" s="26"/>
      <c r="N272" s="26"/>
      <c r="O272" s="26"/>
      <c r="P272" s="26"/>
      <c r="Q272" s="26"/>
      <c r="R272" s="26"/>
      <c r="S272" s="26"/>
      <c r="T272" s="26"/>
      <c r="U272" s="26"/>
      <c r="V272" s="26"/>
      <c r="W272" s="26"/>
      <c r="X272" s="26"/>
      <c r="Y272" s="24"/>
      <c r="Z272" s="26"/>
      <c r="AA272" s="24"/>
      <c r="AB272" s="26"/>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row>
    <row r="273" spans="1:55">
      <c r="A273" s="24"/>
      <c r="B273" s="24"/>
      <c r="C273" s="25"/>
      <c r="D273" s="26"/>
      <c r="E273" s="24"/>
      <c r="F273" s="26"/>
      <c r="G273" s="26"/>
      <c r="H273" s="26"/>
      <c r="I273" s="26"/>
      <c r="J273" s="26"/>
      <c r="K273" s="26"/>
      <c r="L273" s="26"/>
      <c r="M273" s="26"/>
      <c r="N273" s="26"/>
      <c r="O273" s="26"/>
      <c r="P273" s="26"/>
      <c r="Q273" s="26"/>
      <c r="R273" s="26"/>
      <c r="S273" s="26"/>
      <c r="T273" s="26"/>
      <c r="U273" s="26"/>
      <c r="V273" s="26"/>
      <c r="W273" s="26"/>
      <c r="X273" s="26"/>
      <c r="Y273" s="24"/>
      <c r="Z273" s="26"/>
      <c r="AA273" s="24"/>
      <c r="AB273" s="26"/>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row>
    <row r="274" spans="1:55">
      <c r="A274" s="24"/>
      <c r="B274" s="24"/>
      <c r="C274" s="25"/>
      <c r="D274" s="26"/>
      <c r="E274" s="24"/>
      <c r="F274" s="26"/>
      <c r="G274" s="26"/>
      <c r="H274" s="26"/>
      <c r="I274" s="26"/>
      <c r="J274" s="26"/>
      <c r="K274" s="26"/>
      <c r="L274" s="26"/>
      <c r="M274" s="26"/>
      <c r="N274" s="26"/>
      <c r="O274" s="26"/>
      <c r="P274" s="26"/>
      <c r="Q274" s="26"/>
      <c r="R274" s="26"/>
      <c r="S274" s="26"/>
      <c r="T274" s="26"/>
      <c r="U274" s="26"/>
      <c r="V274" s="26"/>
      <c r="W274" s="26"/>
      <c r="X274" s="26"/>
      <c r="Y274" s="24"/>
      <c r="Z274" s="26"/>
      <c r="AA274" s="24"/>
      <c r="AB274" s="26"/>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row>
    <row r="275" spans="1:55">
      <c r="A275" s="24"/>
      <c r="B275" s="24"/>
      <c r="C275" s="25"/>
      <c r="D275" s="26"/>
      <c r="E275" s="24"/>
      <c r="F275" s="26"/>
      <c r="G275" s="26"/>
      <c r="H275" s="26"/>
      <c r="I275" s="26"/>
      <c r="J275" s="26"/>
      <c r="K275" s="26"/>
      <c r="L275" s="26"/>
      <c r="M275" s="26"/>
      <c r="N275" s="26"/>
      <c r="O275" s="26"/>
      <c r="P275" s="26"/>
      <c r="Q275" s="26"/>
      <c r="R275" s="26"/>
      <c r="S275" s="26"/>
      <c r="T275" s="26"/>
      <c r="U275" s="26"/>
      <c r="V275" s="26"/>
      <c r="W275" s="26"/>
      <c r="X275" s="26"/>
      <c r="Y275" s="24"/>
      <c r="Z275" s="26"/>
      <c r="AA275" s="24"/>
      <c r="AB275" s="26"/>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row>
    <row r="276" spans="1:55">
      <c r="A276" s="24"/>
      <c r="B276" s="24"/>
      <c r="C276" s="25"/>
      <c r="D276" s="26"/>
      <c r="E276" s="24"/>
      <c r="F276" s="26"/>
      <c r="G276" s="26"/>
      <c r="H276" s="26"/>
      <c r="I276" s="26"/>
      <c r="J276" s="26"/>
      <c r="K276" s="26"/>
      <c r="L276" s="26"/>
      <c r="M276" s="26"/>
      <c r="N276" s="26"/>
      <c r="O276" s="26"/>
      <c r="P276" s="26"/>
      <c r="Q276" s="26"/>
      <c r="R276" s="26"/>
      <c r="S276" s="26"/>
      <c r="T276" s="26"/>
      <c r="U276" s="26"/>
      <c r="V276" s="26"/>
      <c r="W276" s="26"/>
      <c r="X276" s="26"/>
      <c r="Y276" s="24"/>
      <c r="Z276" s="26"/>
      <c r="AA276" s="24"/>
      <c r="AB276" s="26"/>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row>
    <row r="277" spans="1:55">
      <c r="A277" s="24"/>
      <c r="B277" s="24"/>
      <c r="C277" s="25"/>
      <c r="D277" s="26"/>
      <c r="E277" s="24"/>
      <c r="F277" s="26"/>
      <c r="G277" s="26"/>
      <c r="H277" s="26"/>
      <c r="I277" s="26"/>
      <c r="J277" s="26"/>
      <c r="K277" s="26"/>
      <c r="L277" s="26"/>
      <c r="M277" s="26"/>
      <c r="N277" s="26"/>
      <c r="O277" s="26"/>
      <c r="P277" s="26"/>
      <c r="Q277" s="26"/>
      <c r="R277" s="26"/>
      <c r="S277" s="26"/>
      <c r="T277" s="26"/>
      <c r="U277" s="26"/>
      <c r="V277" s="26"/>
      <c r="W277" s="26"/>
      <c r="X277" s="26"/>
      <c r="Y277" s="24"/>
      <c r="Z277" s="26"/>
      <c r="AA277" s="24"/>
      <c r="AB277" s="26"/>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row>
    <row r="278" spans="1:55">
      <c r="A278" s="24"/>
      <c r="B278" s="24"/>
      <c r="C278" s="25"/>
      <c r="D278" s="26"/>
      <c r="E278" s="24"/>
      <c r="F278" s="26"/>
      <c r="G278" s="26"/>
      <c r="H278" s="26"/>
      <c r="I278" s="26"/>
      <c r="J278" s="26"/>
      <c r="K278" s="26"/>
      <c r="L278" s="26"/>
      <c r="M278" s="26"/>
      <c r="N278" s="26"/>
      <c r="O278" s="26"/>
      <c r="P278" s="26"/>
      <c r="Q278" s="26"/>
      <c r="R278" s="26"/>
      <c r="S278" s="26"/>
      <c r="T278" s="26"/>
      <c r="U278" s="26"/>
      <c r="V278" s="26"/>
      <c r="W278" s="26"/>
      <c r="X278" s="26"/>
      <c r="Y278" s="24"/>
      <c r="Z278" s="26"/>
      <c r="AA278" s="24"/>
      <c r="AB278" s="26"/>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row>
    <row r="279" spans="1:55">
      <c r="A279" s="24"/>
      <c r="B279" s="24"/>
      <c r="C279" s="25"/>
      <c r="D279" s="26"/>
      <c r="E279" s="24"/>
      <c r="F279" s="26"/>
      <c r="G279" s="26"/>
      <c r="H279" s="26"/>
      <c r="I279" s="26"/>
      <c r="J279" s="26"/>
      <c r="K279" s="26"/>
      <c r="L279" s="26"/>
      <c r="M279" s="26"/>
      <c r="N279" s="26"/>
      <c r="O279" s="26"/>
      <c r="P279" s="26"/>
      <c r="Q279" s="26"/>
      <c r="R279" s="26"/>
      <c r="S279" s="26"/>
      <c r="T279" s="26"/>
      <c r="U279" s="26"/>
      <c r="V279" s="26"/>
      <c r="W279" s="26"/>
      <c r="X279" s="26"/>
      <c r="Y279" s="24"/>
      <c r="Z279" s="26"/>
      <c r="AA279" s="24"/>
      <c r="AB279" s="26"/>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row>
    <row r="280" spans="1:55">
      <c r="A280" s="24"/>
      <c r="B280" s="24"/>
      <c r="C280" s="25"/>
      <c r="D280" s="26"/>
      <c r="E280" s="24"/>
      <c r="F280" s="26"/>
      <c r="G280" s="26"/>
      <c r="H280" s="26"/>
      <c r="I280" s="26"/>
      <c r="J280" s="26"/>
      <c r="K280" s="26"/>
      <c r="L280" s="26"/>
      <c r="M280" s="26"/>
      <c r="N280" s="26"/>
      <c r="O280" s="26"/>
      <c r="P280" s="26"/>
      <c r="Q280" s="26"/>
      <c r="R280" s="26"/>
      <c r="S280" s="26"/>
      <c r="T280" s="26"/>
      <c r="U280" s="26"/>
      <c r="V280" s="26"/>
      <c r="W280" s="26"/>
      <c r="X280" s="26"/>
      <c r="Y280" s="24"/>
      <c r="Z280" s="26"/>
      <c r="AA280" s="24"/>
      <c r="AB280" s="26"/>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row>
    <row r="281" spans="1:55">
      <c r="A281" s="24"/>
      <c r="B281" s="24"/>
      <c r="C281" s="25"/>
      <c r="D281" s="26"/>
      <c r="E281" s="24"/>
      <c r="F281" s="26"/>
      <c r="G281" s="26"/>
      <c r="H281" s="26"/>
      <c r="I281" s="26"/>
      <c r="J281" s="26"/>
      <c r="K281" s="26"/>
      <c r="L281" s="26"/>
      <c r="M281" s="26"/>
      <c r="N281" s="26"/>
      <c r="O281" s="26"/>
      <c r="P281" s="26"/>
      <c r="Q281" s="26"/>
      <c r="R281" s="26"/>
      <c r="S281" s="26"/>
      <c r="T281" s="26"/>
      <c r="U281" s="26"/>
      <c r="V281" s="26"/>
      <c r="W281" s="26"/>
      <c r="X281" s="26"/>
      <c r="Y281" s="24"/>
      <c r="Z281" s="26"/>
      <c r="AA281" s="24"/>
      <c r="AB281" s="26"/>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row>
    <row r="282" spans="1:55">
      <c r="A282" s="24"/>
      <c r="B282" s="24"/>
      <c r="C282" s="25"/>
      <c r="D282" s="26"/>
      <c r="E282" s="24"/>
      <c r="F282" s="26"/>
      <c r="G282" s="26"/>
      <c r="H282" s="26"/>
      <c r="I282" s="26"/>
      <c r="J282" s="26"/>
      <c r="K282" s="26"/>
      <c r="L282" s="26"/>
      <c r="M282" s="26"/>
      <c r="N282" s="26"/>
      <c r="O282" s="26"/>
      <c r="P282" s="26"/>
      <c r="Q282" s="26"/>
      <c r="R282" s="26"/>
      <c r="S282" s="26"/>
      <c r="T282" s="26"/>
      <c r="U282" s="26"/>
      <c r="V282" s="26"/>
      <c r="W282" s="26"/>
      <c r="X282" s="26"/>
      <c r="Y282" s="24"/>
      <c r="Z282" s="26"/>
      <c r="AA282" s="24"/>
      <c r="AB282" s="26"/>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row>
    <row r="283" spans="1:55">
      <c r="A283" s="24"/>
      <c r="B283" s="24"/>
      <c r="C283" s="25"/>
      <c r="D283" s="26"/>
      <c r="E283" s="24"/>
      <c r="F283" s="26"/>
      <c r="G283" s="26"/>
      <c r="H283" s="26"/>
      <c r="I283" s="26"/>
      <c r="J283" s="26"/>
      <c r="K283" s="26"/>
      <c r="L283" s="26"/>
      <c r="M283" s="26"/>
      <c r="N283" s="26"/>
      <c r="O283" s="26"/>
      <c r="P283" s="26"/>
      <c r="Q283" s="26"/>
      <c r="R283" s="26"/>
      <c r="S283" s="26"/>
      <c r="T283" s="26"/>
      <c r="U283" s="26"/>
      <c r="V283" s="26"/>
      <c r="W283" s="26"/>
      <c r="X283" s="26"/>
      <c r="Y283" s="24"/>
      <c r="Z283" s="26"/>
      <c r="AA283" s="24"/>
      <c r="AB283" s="26"/>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row>
    <row r="284" spans="1:55">
      <c r="A284" s="24"/>
      <c r="B284" s="24"/>
      <c r="C284" s="25"/>
      <c r="D284" s="26"/>
      <c r="E284" s="24"/>
      <c r="F284" s="26"/>
      <c r="G284" s="26"/>
      <c r="H284" s="26"/>
      <c r="I284" s="26"/>
      <c r="J284" s="26"/>
      <c r="K284" s="26"/>
      <c r="L284" s="26"/>
      <c r="M284" s="26"/>
      <c r="N284" s="26"/>
      <c r="O284" s="26"/>
      <c r="P284" s="26"/>
      <c r="Q284" s="26"/>
      <c r="R284" s="26"/>
      <c r="S284" s="26"/>
      <c r="T284" s="26"/>
      <c r="U284" s="26"/>
      <c r="V284" s="26"/>
      <c r="W284" s="26"/>
      <c r="X284" s="26"/>
      <c r="Y284" s="24"/>
      <c r="Z284" s="26"/>
      <c r="AA284" s="24"/>
      <c r="AB284" s="26"/>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row>
    <row r="285" spans="1:55">
      <c r="A285" s="24"/>
      <c r="B285" s="24"/>
      <c r="C285" s="25"/>
      <c r="D285" s="26"/>
      <c r="E285" s="24"/>
      <c r="F285" s="26"/>
      <c r="G285" s="26"/>
      <c r="H285" s="26"/>
      <c r="I285" s="26"/>
      <c r="J285" s="26"/>
      <c r="K285" s="26"/>
      <c r="L285" s="26"/>
      <c r="M285" s="26"/>
      <c r="N285" s="26"/>
      <c r="O285" s="26"/>
      <c r="P285" s="26"/>
      <c r="Q285" s="26"/>
      <c r="R285" s="26"/>
      <c r="S285" s="26"/>
      <c r="T285" s="26"/>
      <c r="U285" s="26"/>
      <c r="V285" s="26"/>
      <c r="W285" s="26"/>
      <c r="X285" s="26"/>
      <c r="Y285" s="24"/>
      <c r="Z285" s="26"/>
      <c r="AA285" s="24"/>
      <c r="AB285" s="26"/>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row>
    <row r="286" spans="1:55">
      <c r="A286" s="24"/>
      <c r="B286" s="24"/>
      <c r="C286" s="25"/>
      <c r="D286" s="26"/>
      <c r="E286" s="24"/>
      <c r="F286" s="26"/>
      <c r="G286" s="26"/>
      <c r="H286" s="26"/>
      <c r="I286" s="26"/>
      <c r="J286" s="26"/>
      <c r="K286" s="26"/>
      <c r="L286" s="26"/>
      <c r="M286" s="26"/>
      <c r="N286" s="26"/>
      <c r="O286" s="26"/>
      <c r="P286" s="26"/>
      <c r="Q286" s="26"/>
      <c r="R286" s="26"/>
      <c r="S286" s="26"/>
      <c r="T286" s="26"/>
      <c r="U286" s="26"/>
      <c r="V286" s="26"/>
      <c r="W286" s="26"/>
      <c r="X286" s="26"/>
      <c r="Y286" s="24"/>
      <c r="Z286" s="26"/>
      <c r="AA286" s="24"/>
      <c r="AB286" s="26"/>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row>
    <row r="287" spans="1:55">
      <c r="A287" s="24"/>
      <c r="B287" s="24"/>
      <c r="C287" s="25"/>
      <c r="D287" s="26"/>
      <c r="E287" s="24"/>
      <c r="F287" s="26"/>
      <c r="G287" s="26"/>
      <c r="H287" s="26"/>
      <c r="I287" s="26"/>
      <c r="J287" s="26"/>
      <c r="K287" s="26"/>
      <c r="L287" s="26"/>
      <c r="M287" s="26"/>
      <c r="N287" s="26"/>
      <c r="O287" s="26"/>
      <c r="P287" s="26"/>
      <c r="Q287" s="26"/>
      <c r="R287" s="26"/>
      <c r="S287" s="26"/>
      <c r="T287" s="26"/>
      <c r="U287" s="26"/>
      <c r="V287" s="26"/>
      <c r="W287" s="26"/>
      <c r="X287" s="26"/>
      <c r="Y287" s="24"/>
      <c r="Z287" s="26"/>
      <c r="AA287" s="24"/>
      <c r="AB287" s="26"/>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row>
    <row r="288" spans="1:55">
      <c r="A288" s="24"/>
      <c r="B288" s="24"/>
      <c r="C288" s="25"/>
      <c r="D288" s="26"/>
      <c r="E288" s="24"/>
      <c r="F288" s="26"/>
      <c r="G288" s="26"/>
      <c r="H288" s="26"/>
      <c r="I288" s="26"/>
      <c r="J288" s="26"/>
      <c r="K288" s="26"/>
      <c r="L288" s="26"/>
      <c r="M288" s="26"/>
      <c r="N288" s="26"/>
      <c r="O288" s="26"/>
      <c r="P288" s="26"/>
      <c r="Q288" s="26"/>
      <c r="R288" s="26"/>
      <c r="S288" s="26"/>
      <c r="T288" s="26"/>
      <c r="U288" s="26"/>
      <c r="V288" s="26"/>
      <c r="W288" s="26"/>
      <c r="X288" s="26"/>
      <c r="Y288" s="24"/>
      <c r="Z288" s="26"/>
      <c r="AA288" s="24"/>
      <c r="AB288" s="26"/>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row>
    <row r="289" spans="1:55">
      <c r="A289" s="24"/>
      <c r="B289" s="24"/>
      <c r="C289" s="25"/>
      <c r="D289" s="26"/>
      <c r="E289" s="24"/>
      <c r="F289" s="26"/>
      <c r="G289" s="26"/>
      <c r="H289" s="26"/>
      <c r="I289" s="26"/>
      <c r="J289" s="26"/>
      <c r="K289" s="26"/>
      <c r="L289" s="26"/>
      <c r="M289" s="26"/>
      <c r="N289" s="26"/>
      <c r="O289" s="26"/>
      <c r="P289" s="26"/>
      <c r="Q289" s="26"/>
      <c r="R289" s="26"/>
      <c r="S289" s="26"/>
      <c r="T289" s="26"/>
      <c r="U289" s="26"/>
      <c r="V289" s="26"/>
      <c r="W289" s="26"/>
      <c r="X289" s="26"/>
      <c r="Y289" s="24"/>
      <c r="Z289" s="26"/>
      <c r="AA289" s="24"/>
      <c r="AB289" s="26"/>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row>
    <row r="290" spans="1:55">
      <c r="A290" s="24"/>
      <c r="B290" s="24"/>
      <c r="C290" s="25"/>
      <c r="D290" s="26"/>
      <c r="E290" s="24"/>
      <c r="F290" s="26"/>
      <c r="G290" s="26"/>
      <c r="H290" s="26"/>
      <c r="I290" s="26"/>
      <c r="J290" s="26"/>
      <c r="K290" s="26"/>
      <c r="L290" s="26"/>
      <c r="M290" s="26"/>
      <c r="N290" s="26"/>
      <c r="O290" s="26"/>
      <c r="P290" s="26"/>
      <c r="Q290" s="26"/>
      <c r="R290" s="26"/>
      <c r="S290" s="26"/>
      <c r="T290" s="26"/>
      <c r="U290" s="26"/>
      <c r="V290" s="26"/>
      <c r="W290" s="26"/>
      <c r="X290" s="26"/>
      <c r="Y290" s="24"/>
      <c r="Z290" s="26"/>
      <c r="AA290" s="24"/>
      <c r="AB290" s="26"/>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row>
    <row r="291" spans="1:55">
      <c r="A291" s="24"/>
      <c r="B291" s="24"/>
      <c r="C291" s="25"/>
      <c r="D291" s="26"/>
      <c r="E291" s="24"/>
      <c r="F291" s="26"/>
      <c r="G291" s="26"/>
      <c r="H291" s="26"/>
      <c r="I291" s="26"/>
      <c r="J291" s="26"/>
      <c r="K291" s="26"/>
      <c r="L291" s="26"/>
      <c r="M291" s="26"/>
      <c r="N291" s="26"/>
      <c r="O291" s="26"/>
      <c r="P291" s="26"/>
      <c r="Q291" s="26"/>
      <c r="R291" s="26"/>
      <c r="S291" s="26"/>
      <c r="T291" s="26"/>
      <c r="U291" s="26"/>
      <c r="V291" s="26"/>
      <c r="W291" s="26"/>
      <c r="X291" s="26"/>
      <c r="Y291" s="24"/>
      <c r="Z291" s="26"/>
      <c r="AA291" s="24"/>
      <c r="AB291" s="26"/>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row>
    <row r="292" spans="1:55">
      <c r="A292" s="24"/>
      <c r="B292" s="24"/>
      <c r="C292" s="25"/>
      <c r="D292" s="26"/>
      <c r="E292" s="24"/>
      <c r="F292" s="26"/>
      <c r="G292" s="26"/>
      <c r="H292" s="26"/>
      <c r="I292" s="26"/>
      <c r="J292" s="26"/>
      <c r="K292" s="26"/>
      <c r="L292" s="26"/>
      <c r="M292" s="26"/>
      <c r="N292" s="26"/>
      <c r="O292" s="26"/>
      <c r="P292" s="26"/>
      <c r="Q292" s="26"/>
      <c r="R292" s="26"/>
      <c r="S292" s="26"/>
      <c r="T292" s="26"/>
      <c r="U292" s="26"/>
      <c r="V292" s="26"/>
      <c r="W292" s="26"/>
      <c r="X292" s="26"/>
      <c r="Y292" s="24"/>
      <c r="Z292" s="26"/>
      <c r="AA292" s="24"/>
      <c r="AB292" s="26"/>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row>
    <row r="293" spans="1:55">
      <c r="A293" s="24"/>
      <c r="B293" s="24"/>
      <c r="C293" s="25"/>
      <c r="D293" s="26"/>
      <c r="E293" s="24"/>
      <c r="F293" s="26"/>
      <c r="G293" s="26"/>
      <c r="H293" s="26"/>
      <c r="I293" s="26"/>
      <c r="J293" s="26"/>
      <c r="K293" s="26"/>
      <c r="L293" s="26"/>
      <c r="M293" s="26"/>
      <c r="N293" s="26"/>
      <c r="O293" s="26"/>
      <c r="P293" s="26"/>
      <c r="Q293" s="26"/>
      <c r="R293" s="26"/>
      <c r="S293" s="26"/>
      <c r="T293" s="26"/>
      <c r="U293" s="26"/>
      <c r="V293" s="26"/>
      <c r="W293" s="26"/>
      <c r="X293" s="26"/>
      <c r="Y293" s="24"/>
      <c r="Z293" s="26"/>
      <c r="AA293" s="24"/>
      <c r="AB293" s="26"/>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row>
    <row r="294" spans="1:55">
      <c r="A294" s="24"/>
      <c r="B294" s="24"/>
      <c r="C294" s="25"/>
      <c r="D294" s="26"/>
      <c r="E294" s="24"/>
      <c r="F294" s="26"/>
      <c r="G294" s="26"/>
      <c r="H294" s="26"/>
      <c r="I294" s="26"/>
      <c r="J294" s="26"/>
      <c r="K294" s="26"/>
      <c r="L294" s="26"/>
      <c r="M294" s="26"/>
      <c r="N294" s="26"/>
      <c r="O294" s="26"/>
      <c r="P294" s="26"/>
      <c r="Q294" s="26"/>
      <c r="R294" s="26"/>
      <c r="S294" s="26"/>
      <c r="T294" s="26"/>
      <c r="U294" s="26"/>
      <c r="V294" s="26"/>
      <c r="W294" s="26"/>
      <c r="X294" s="26"/>
      <c r="Y294" s="24"/>
      <c r="Z294" s="26"/>
      <c r="AA294" s="24"/>
      <c r="AB294" s="26"/>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row>
    <row r="295" spans="1:55">
      <c r="A295" s="24"/>
      <c r="B295" s="24"/>
      <c r="C295" s="25"/>
      <c r="D295" s="26"/>
      <c r="E295" s="24"/>
      <c r="F295" s="26"/>
      <c r="G295" s="26"/>
      <c r="H295" s="26"/>
      <c r="I295" s="26"/>
      <c r="J295" s="26"/>
      <c r="K295" s="26"/>
      <c r="L295" s="26"/>
      <c r="M295" s="26"/>
      <c r="N295" s="26"/>
      <c r="O295" s="26"/>
      <c r="P295" s="26"/>
      <c r="Q295" s="26"/>
      <c r="R295" s="26"/>
      <c r="S295" s="26"/>
      <c r="T295" s="26"/>
      <c r="U295" s="26"/>
      <c r="V295" s="26"/>
      <c r="W295" s="26"/>
      <c r="X295" s="26"/>
      <c r="Y295" s="24"/>
      <c r="Z295" s="26"/>
      <c r="AA295" s="24"/>
      <c r="AB295" s="26"/>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row>
    <row r="296" spans="1:55">
      <c r="A296" s="24"/>
      <c r="B296" s="24"/>
      <c r="C296" s="25"/>
      <c r="D296" s="26"/>
      <c r="E296" s="24"/>
      <c r="F296" s="26"/>
      <c r="G296" s="26"/>
      <c r="H296" s="26"/>
      <c r="I296" s="26"/>
      <c r="J296" s="26"/>
      <c r="K296" s="26"/>
      <c r="L296" s="26"/>
      <c r="M296" s="26"/>
      <c r="N296" s="26"/>
      <c r="O296" s="26"/>
      <c r="P296" s="26"/>
      <c r="Q296" s="26"/>
      <c r="R296" s="26"/>
      <c r="S296" s="26"/>
      <c r="T296" s="26"/>
      <c r="U296" s="26"/>
      <c r="V296" s="26"/>
      <c r="W296" s="26"/>
      <c r="X296" s="26"/>
      <c r="Y296" s="24"/>
      <c r="Z296" s="26"/>
      <c r="AA296" s="24"/>
      <c r="AB296" s="26"/>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row>
    <row r="297" spans="1:55">
      <c r="A297" s="24"/>
      <c r="B297" s="24"/>
      <c r="C297" s="25"/>
      <c r="D297" s="26"/>
      <c r="E297" s="24"/>
      <c r="F297" s="26"/>
      <c r="G297" s="26"/>
      <c r="H297" s="26"/>
      <c r="I297" s="26"/>
      <c r="J297" s="26"/>
      <c r="K297" s="26"/>
      <c r="L297" s="26"/>
      <c r="M297" s="26"/>
      <c r="N297" s="26"/>
      <c r="O297" s="26"/>
      <c r="P297" s="26"/>
      <c r="Q297" s="26"/>
      <c r="R297" s="26"/>
      <c r="S297" s="26"/>
      <c r="T297" s="26"/>
      <c r="U297" s="26"/>
      <c r="V297" s="26"/>
      <c r="W297" s="26"/>
      <c r="X297" s="26"/>
      <c r="Y297" s="24"/>
      <c r="Z297" s="26"/>
      <c r="AA297" s="24"/>
      <c r="AB297" s="26"/>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row>
    <row r="298" spans="1:55">
      <c r="A298" s="24"/>
      <c r="B298" s="24"/>
      <c r="C298" s="25"/>
      <c r="D298" s="26"/>
      <c r="E298" s="24"/>
      <c r="F298" s="26"/>
      <c r="G298" s="26"/>
      <c r="H298" s="26"/>
      <c r="I298" s="26"/>
      <c r="J298" s="26"/>
      <c r="K298" s="26"/>
      <c r="L298" s="26"/>
      <c r="M298" s="26"/>
      <c r="N298" s="26"/>
      <c r="O298" s="26"/>
      <c r="P298" s="26"/>
      <c r="Q298" s="26"/>
      <c r="R298" s="26"/>
      <c r="S298" s="26"/>
      <c r="T298" s="26"/>
      <c r="U298" s="26"/>
      <c r="V298" s="26"/>
      <c r="W298" s="26"/>
      <c r="X298" s="26"/>
      <c r="Y298" s="24"/>
      <c r="Z298" s="26"/>
      <c r="AA298" s="24"/>
      <c r="AB298" s="26"/>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row>
    <row r="299" spans="1:55">
      <c r="A299" s="24"/>
      <c r="B299" s="24"/>
      <c r="C299" s="25"/>
      <c r="D299" s="26"/>
      <c r="E299" s="24"/>
      <c r="F299" s="26"/>
      <c r="G299" s="26"/>
      <c r="H299" s="26"/>
      <c r="I299" s="26"/>
      <c r="J299" s="26"/>
      <c r="K299" s="26"/>
      <c r="L299" s="26"/>
      <c r="M299" s="26"/>
      <c r="N299" s="26"/>
      <c r="O299" s="26"/>
      <c r="P299" s="26"/>
      <c r="Q299" s="26"/>
      <c r="R299" s="26"/>
      <c r="S299" s="26"/>
      <c r="T299" s="26"/>
      <c r="U299" s="26"/>
      <c r="V299" s="26"/>
      <c r="W299" s="26"/>
      <c r="X299" s="26"/>
      <c r="Y299" s="24"/>
      <c r="Z299" s="26"/>
      <c r="AA299" s="24"/>
      <c r="AB299" s="26"/>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row>
    <row r="300" spans="1:55">
      <c r="A300" s="24"/>
      <c r="B300" s="24"/>
      <c r="C300" s="25"/>
      <c r="D300" s="26"/>
      <c r="E300" s="24"/>
      <c r="F300" s="26"/>
      <c r="G300" s="26"/>
      <c r="H300" s="26"/>
      <c r="I300" s="26"/>
      <c r="J300" s="26"/>
      <c r="K300" s="26"/>
      <c r="L300" s="26"/>
      <c r="M300" s="26"/>
      <c r="N300" s="26"/>
      <c r="O300" s="26"/>
      <c r="P300" s="26"/>
      <c r="Q300" s="26"/>
      <c r="R300" s="26"/>
      <c r="S300" s="26"/>
      <c r="T300" s="26"/>
      <c r="U300" s="26"/>
      <c r="V300" s="26"/>
      <c r="W300" s="26"/>
      <c r="X300" s="26"/>
      <c r="Y300" s="24"/>
      <c r="Z300" s="26"/>
      <c r="AA300" s="24"/>
      <c r="AB300" s="26"/>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row>
    <row r="301" spans="1:55">
      <c r="A301" s="24"/>
      <c r="B301" s="24"/>
      <c r="C301" s="25"/>
      <c r="D301" s="26"/>
      <c r="E301" s="24"/>
      <c r="F301" s="26"/>
      <c r="G301" s="26"/>
      <c r="H301" s="26"/>
      <c r="I301" s="26"/>
      <c r="J301" s="26"/>
      <c r="K301" s="26"/>
      <c r="L301" s="26"/>
      <c r="M301" s="26"/>
      <c r="N301" s="26"/>
      <c r="O301" s="26"/>
      <c r="P301" s="26"/>
      <c r="Q301" s="26"/>
      <c r="R301" s="26"/>
      <c r="S301" s="26"/>
      <c r="T301" s="26"/>
      <c r="U301" s="26"/>
      <c r="V301" s="26"/>
      <c r="W301" s="26"/>
      <c r="X301" s="26"/>
      <c r="Y301" s="24"/>
      <c r="Z301" s="26"/>
      <c r="AA301" s="24"/>
      <c r="AB301" s="26"/>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row>
    <row r="302" spans="1:55">
      <c r="A302" s="24"/>
      <c r="B302" s="24"/>
      <c r="C302" s="25"/>
      <c r="D302" s="26"/>
      <c r="E302" s="24"/>
      <c r="F302" s="26"/>
      <c r="G302" s="26"/>
      <c r="H302" s="26"/>
      <c r="I302" s="26"/>
      <c r="J302" s="26"/>
      <c r="K302" s="26"/>
      <c r="L302" s="26"/>
      <c r="M302" s="26"/>
      <c r="N302" s="26"/>
      <c r="O302" s="26"/>
      <c r="P302" s="26"/>
      <c r="Q302" s="26"/>
      <c r="R302" s="26"/>
      <c r="S302" s="26"/>
      <c r="T302" s="26"/>
      <c r="U302" s="26"/>
      <c r="V302" s="26"/>
      <c r="W302" s="26"/>
      <c r="X302" s="26"/>
      <c r="Y302" s="24"/>
      <c r="Z302" s="26"/>
      <c r="AA302" s="24"/>
      <c r="AB302" s="26"/>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row>
    <row r="303" spans="1:55">
      <c r="A303" s="24"/>
      <c r="B303" s="24"/>
      <c r="C303" s="25"/>
      <c r="D303" s="26"/>
      <c r="E303" s="24"/>
      <c r="F303" s="26"/>
      <c r="G303" s="26"/>
      <c r="H303" s="26"/>
      <c r="I303" s="26"/>
      <c r="J303" s="26"/>
      <c r="K303" s="26"/>
      <c r="L303" s="26"/>
      <c r="M303" s="26"/>
      <c r="N303" s="26"/>
      <c r="O303" s="26"/>
      <c r="P303" s="26"/>
      <c r="Q303" s="26"/>
      <c r="R303" s="26"/>
      <c r="S303" s="26"/>
      <c r="T303" s="26"/>
      <c r="U303" s="26"/>
      <c r="V303" s="26"/>
      <c r="W303" s="26"/>
      <c r="X303" s="26"/>
      <c r="Y303" s="24"/>
      <c r="Z303" s="26"/>
      <c r="AA303" s="24"/>
      <c r="AB303" s="26"/>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row>
    <row r="304" spans="1:55">
      <c r="A304" s="24"/>
      <c r="B304" s="24"/>
      <c r="C304" s="25"/>
      <c r="D304" s="26"/>
      <c r="E304" s="24"/>
      <c r="F304" s="26"/>
      <c r="G304" s="26"/>
      <c r="H304" s="26"/>
      <c r="I304" s="26"/>
      <c r="J304" s="26"/>
      <c r="K304" s="26"/>
      <c r="L304" s="26"/>
      <c r="M304" s="26"/>
      <c r="N304" s="26"/>
      <c r="O304" s="26"/>
      <c r="P304" s="26"/>
      <c r="Q304" s="26"/>
      <c r="R304" s="26"/>
      <c r="S304" s="26"/>
      <c r="T304" s="26"/>
      <c r="U304" s="26"/>
      <c r="V304" s="26"/>
      <c r="W304" s="26"/>
      <c r="X304" s="26"/>
      <c r="Y304" s="24"/>
      <c r="Z304" s="26"/>
      <c r="AA304" s="24"/>
      <c r="AB304" s="26"/>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row>
    <row r="305" spans="1:55">
      <c r="A305" s="24"/>
      <c r="B305" s="24"/>
      <c r="C305" s="25"/>
      <c r="D305" s="26"/>
      <c r="E305" s="24"/>
      <c r="F305" s="26"/>
      <c r="G305" s="26"/>
      <c r="H305" s="26"/>
      <c r="I305" s="26"/>
      <c r="J305" s="26"/>
      <c r="K305" s="26"/>
      <c r="L305" s="26"/>
      <c r="M305" s="26"/>
      <c r="N305" s="26"/>
      <c r="O305" s="26"/>
      <c r="P305" s="26"/>
      <c r="Q305" s="26"/>
      <c r="R305" s="26"/>
      <c r="S305" s="26"/>
      <c r="T305" s="26"/>
      <c r="U305" s="26"/>
      <c r="V305" s="26"/>
      <c r="W305" s="26"/>
      <c r="X305" s="26"/>
      <c r="Y305" s="24"/>
      <c r="Z305" s="26"/>
      <c r="AA305" s="24"/>
      <c r="AB305" s="26"/>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row>
    <row r="306" spans="1:55">
      <c r="A306" s="24"/>
      <c r="B306" s="24"/>
      <c r="C306" s="25"/>
      <c r="D306" s="26"/>
      <c r="E306" s="24"/>
      <c r="F306" s="26"/>
      <c r="G306" s="26"/>
      <c r="H306" s="26"/>
      <c r="I306" s="26"/>
      <c r="J306" s="26"/>
      <c r="K306" s="26"/>
      <c r="L306" s="26"/>
      <c r="M306" s="26"/>
      <c r="N306" s="26"/>
      <c r="O306" s="26"/>
      <c r="P306" s="26"/>
      <c r="Q306" s="26"/>
      <c r="R306" s="26"/>
      <c r="S306" s="26"/>
      <c r="T306" s="26"/>
      <c r="U306" s="26"/>
      <c r="V306" s="26"/>
      <c r="W306" s="26"/>
      <c r="X306" s="26"/>
      <c r="Y306" s="24"/>
      <c r="Z306" s="26"/>
      <c r="AA306" s="24"/>
      <c r="AB306" s="26"/>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row>
    <row r="307" spans="1:55">
      <c r="A307" s="24"/>
      <c r="B307" s="24"/>
      <c r="C307" s="25"/>
      <c r="D307" s="26"/>
      <c r="E307" s="24"/>
      <c r="F307" s="26"/>
      <c r="G307" s="26"/>
      <c r="H307" s="26"/>
      <c r="I307" s="26"/>
      <c r="J307" s="26"/>
      <c r="K307" s="26"/>
      <c r="L307" s="26"/>
      <c r="M307" s="26"/>
      <c r="N307" s="26"/>
      <c r="O307" s="26"/>
      <c r="P307" s="26"/>
      <c r="Q307" s="26"/>
      <c r="R307" s="26"/>
      <c r="S307" s="26"/>
      <c r="T307" s="26"/>
      <c r="U307" s="26"/>
      <c r="V307" s="26"/>
      <c r="W307" s="26"/>
      <c r="X307" s="26"/>
      <c r="Y307" s="24"/>
      <c r="Z307" s="26"/>
      <c r="AA307" s="24"/>
      <c r="AB307" s="26"/>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row>
    <row r="308" spans="1:55">
      <c r="A308" s="24"/>
      <c r="B308" s="24"/>
      <c r="C308" s="25"/>
      <c r="D308" s="26"/>
      <c r="E308" s="24"/>
      <c r="F308" s="26"/>
      <c r="G308" s="26"/>
      <c r="H308" s="26"/>
      <c r="I308" s="26"/>
      <c r="J308" s="26"/>
      <c r="K308" s="26"/>
      <c r="L308" s="26"/>
      <c r="M308" s="26"/>
      <c r="N308" s="26"/>
      <c r="O308" s="26"/>
      <c r="P308" s="26"/>
      <c r="Q308" s="26"/>
      <c r="R308" s="26"/>
      <c r="S308" s="26"/>
      <c r="T308" s="26"/>
      <c r="U308" s="26"/>
      <c r="V308" s="26"/>
      <c r="W308" s="26"/>
      <c r="X308" s="26"/>
      <c r="Y308" s="24"/>
      <c r="Z308" s="26"/>
      <c r="AA308" s="24"/>
      <c r="AB308" s="26"/>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row>
    <row r="309" spans="1:55">
      <c r="A309" s="24"/>
      <c r="B309" s="24"/>
      <c r="C309" s="25"/>
      <c r="D309" s="26"/>
      <c r="E309" s="24"/>
      <c r="F309" s="26"/>
      <c r="G309" s="26"/>
      <c r="H309" s="26"/>
      <c r="I309" s="26"/>
      <c r="J309" s="26"/>
      <c r="K309" s="26"/>
      <c r="L309" s="26"/>
      <c r="M309" s="26"/>
      <c r="N309" s="26"/>
      <c r="O309" s="26"/>
      <c r="P309" s="26"/>
      <c r="Q309" s="26"/>
      <c r="R309" s="26"/>
      <c r="S309" s="26"/>
      <c r="T309" s="26"/>
      <c r="U309" s="26"/>
      <c r="V309" s="26"/>
      <c r="W309" s="26"/>
      <c r="X309" s="26"/>
      <c r="Y309" s="24"/>
      <c r="Z309" s="26"/>
      <c r="AA309" s="24"/>
      <c r="AB309" s="26"/>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row>
    <row r="310" spans="1:55">
      <c r="A310" s="24"/>
      <c r="B310" s="24"/>
      <c r="C310" s="25"/>
      <c r="D310" s="26"/>
      <c r="E310" s="24"/>
      <c r="F310" s="26"/>
      <c r="G310" s="26"/>
      <c r="H310" s="26"/>
      <c r="I310" s="26"/>
      <c r="J310" s="26"/>
      <c r="K310" s="26"/>
      <c r="L310" s="26"/>
      <c r="M310" s="26"/>
      <c r="N310" s="26"/>
      <c r="O310" s="26"/>
      <c r="P310" s="26"/>
      <c r="Q310" s="26"/>
      <c r="R310" s="26"/>
      <c r="S310" s="26"/>
      <c r="T310" s="26"/>
      <c r="U310" s="26"/>
      <c r="V310" s="26"/>
      <c r="W310" s="26"/>
      <c r="X310" s="26"/>
      <c r="Y310" s="24"/>
      <c r="Z310" s="26"/>
      <c r="AA310" s="24"/>
      <c r="AB310" s="26"/>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row>
    <row r="311" spans="1:55">
      <c r="A311" s="24"/>
      <c r="B311" s="24"/>
      <c r="C311" s="25"/>
      <c r="D311" s="26"/>
      <c r="E311" s="24"/>
      <c r="F311" s="26"/>
      <c r="G311" s="26"/>
      <c r="H311" s="26"/>
      <c r="I311" s="26"/>
      <c r="J311" s="26"/>
      <c r="K311" s="26"/>
      <c r="L311" s="26"/>
      <c r="M311" s="26"/>
      <c r="N311" s="26"/>
      <c r="O311" s="26"/>
      <c r="P311" s="26"/>
      <c r="Q311" s="26"/>
      <c r="R311" s="26"/>
      <c r="S311" s="26"/>
      <c r="T311" s="26"/>
      <c r="U311" s="26"/>
      <c r="V311" s="26"/>
      <c r="W311" s="26"/>
      <c r="X311" s="26"/>
      <c r="Y311" s="24"/>
      <c r="Z311" s="26"/>
      <c r="AA311" s="24"/>
      <c r="AB311" s="26"/>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row>
    <row r="312" spans="1:55">
      <c r="A312" s="24"/>
      <c r="B312" s="24"/>
      <c r="C312" s="25"/>
      <c r="D312" s="26"/>
      <c r="E312" s="24"/>
      <c r="F312" s="26"/>
      <c r="G312" s="26"/>
      <c r="H312" s="26"/>
      <c r="I312" s="26"/>
      <c r="J312" s="26"/>
      <c r="K312" s="26"/>
      <c r="L312" s="26"/>
      <c r="M312" s="26"/>
      <c r="N312" s="26"/>
      <c r="O312" s="26"/>
      <c r="P312" s="26"/>
      <c r="Q312" s="26"/>
      <c r="R312" s="26"/>
      <c r="S312" s="26"/>
      <c r="T312" s="26"/>
      <c r="U312" s="26"/>
      <c r="V312" s="26"/>
      <c r="W312" s="26"/>
      <c r="X312" s="26"/>
      <c r="Y312" s="24"/>
      <c r="Z312" s="26"/>
      <c r="AA312" s="24"/>
      <c r="AB312" s="26"/>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row>
    <row r="313" spans="1:55">
      <c r="A313" s="24"/>
      <c r="B313" s="24"/>
      <c r="C313" s="25"/>
      <c r="D313" s="26"/>
      <c r="E313" s="24"/>
      <c r="F313" s="26"/>
      <c r="G313" s="26"/>
      <c r="H313" s="26"/>
      <c r="I313" s="26"/>
      <c r="J313" s="26"/>
      <c r="K313" s="26"/>
      <c r="L313" s="26"/>
      <c r="M313" s="26"/>
      <c r="N313" s="26"/>
      <c r="O313" s="26"/>
      <c r="P313" s="26"/>
      <c r="Q313" s="26"/>
      <c r="R313" s="26"/>
      <c r="S313" s="26"/>
      <c r="T313" s="26"/>
      <c r="U313" s="26"/>
      <c r="V313" s="26"/>
      <c r="W313" s="26"/>
      <c r="X313" s="26"/>
      <c r="Y313" s="24"/>
      <c r="Z313" s="26"/>
      <c r="AA313" s="24"/>
      <c r="AB313" s="26"/>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row>
    <row r="314" spans="1:55">
      <c r="A314" s="24"/>
      <c r="B314" s="24"/>
      <c r="C314" s="25"/>
      <c r="D314" s="26"/>
      <c r="E314" s="24"/>
      <c r="F314" s="26"/>
      <c r="G314" s="26"/>
      <c r="H314" s="26"/>
      <c r="I314" s="26"/>
      <c r="J314" s="26"/>
      <c r="K314" s="26"/>
      <c r="L314" s="26"/>
      <c r="M314" s="26"/>
      <c r="N314" s="26"/>
      <c r="O314" s="26"/>
      <c r="P314" s="26"/>
      <c r="Q314" s="26"/>
      <c r="R314" s="26"/>
      <c r="S314" s="26"/>
      <c r="T314" s="26"/>
      <c r="U314" s="26"/>
      <c r="V314" s="26"/>
      <c r="W314" s="26"/>
      <c r="X314" s="26"/>
      <c r="Y314" s="24"/>
      <c r="Z314" s="26"/>
      <c r="AA314" s="24"/>
      <c r="AB314" s="26"/>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row>
    <row r="315" spans="1:55">
      <c r="A315" s="24"/>
      <c r="B315" s="24"/>
      <c r="C315" s="25"/>
      <c r="D315" s="26"/>
      <c r="E315" s="24"/>
      <c r="F315" s="26"/>
      <c r="G315" s="26"/>
      <c r="H315" s="26"/>
      <c r="I315" s="26"/>
      <c r="J315" s="26"/>
      <c r="K315" s="26"/>
      <c r="L315" s="26"/>
      <c r="M315" s="26"/>
      <c r="N315" s="26"/>
      <c r="O315" s="26"/>
      <c r="P315" s="26"/>
      <c r="Q315" s="26"/>
      <c r="R315" s="26"/>
      <c r="S315" s="26"/>
      <c r="T315" s="26"/>
      <c r="U315" s="26"/>
      <c r="V315" s="26"/>
      <c r="W315" s="26"/>
      <c r="X315" s="26"/>
      <c r="Y315" s="24"/>
      <c r="Z315" s="26"/>
      <c r="AA315" s="24"/>
      <c r="AB315" s="26"/>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row>
    <row r="316" spans="1:55">
      <c r="A316" s="24"/>
      <c r="B316" s="24"/>
      <c r="C316" s="25"/>
      <c r="D316" s="26"/>
      <c r="E316" s="24"/>
      <c r="F316" s="26"/>
      <c r="G316" s="26"/>
      <c r="H316" s="26"/>
      <c r="I316" s="26"/>
      <c r="J316" s="26"/>
      <c r="K316" s="26"/>
      <c r="L316" s="26"/>
      <c r="M316" s="26"/>
      <c r="N316" s="26"/>
      <c r="O316" s="26"/>
      <c r="P316" s="26"/>
      <c r="Q316" s="26"/>
      <c r="R316" s="26"/>
      <c r="S316" s="26"/>
      <c r="T316" s="26"/>
      <c r="U316" s="26"/>
      <c r="V316" s="26"/>
      <c r="W316" s="26"/>
      <c r="X316" s="26"/>
      <c r="Y316" s="24"/>
      <c r="Z316" s="26"/>
      <c r="AA316" s="24"/>
      <c r="AB316" s="26"/>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row>
    <row r="317" spans="1:55">
      <c r="A317" s="24"/>
      <c r="B317" s="24"/>
      <c r="C317" s="25"/>
      <c r="D317" s="26"/>
      <c r="E317" s="24"/>
      <c r="F317" s="26"/>
      <c r="G317" s="26"/>
      <c r="H317" s="26"/>
      <c r="I317" s="26"/>
      <c r="J317" s="26"/>
      <c r="K317" s="26"/>
      <c r="L317" s="26"/>
      <c r="M317" s="26"/>
      <c r="N317" s="26"/>
      <c r="O317" s="26"/>
      <c r="P317" s="26"/>
      <c r="Q317" s="26"/>
      <c r="R317" s="26"/>
      <c r="S317" s="26"/>
      <c r="T317" s="26"/>
      <c r="U317" s="26"/>
      <c r="V317" s="26"/>
      <c r="W317" s="26"/>
      <c r="X317" s="26"/>
      <c r="Y317" s="24"/>
      <c r="Z317" s="26"/>
      <c r="AA317" s="24"/>
      <c r="AB317" s="26"/>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row>
    <row r="318" spans="1:55">
      <c r="A318" s="24"/>
      <c r="B318" s="24"/>
      <c r="C318" s="25"/>
      <c r="D318" s="26"/>
      <c r="E318" s="24"/>
      <c r="F318" s="26"/>
      <c r="G318" s="26"/>
      <c r="H318" s="26"/>
      <c r="I318" s="26"/>
      <c r="J318" s="26"/>
      <c r="K318" s="26"/>
      <c r="L318" s="26"/>
      <c r="M318" s="26"/>
      <c r="N318" s="26"/>
      <c r="O318" s="26"/>
      <c r="P318" s="26"/>
      <c r="Q318" s="26"/>
      <c r="R318" s="26"/>
      <c r="S318" s="26"/>
      <c r="T318" s="26"/>
      <c r="U318" s="26"/>
      <c r="V318" s="26"/>
      <c r="W318" s="26"/>
      <c r="X318" s="26"/>
      <c r="Y318" s="24"/>
      <c r="Z318" s="26"/>
      <c r="AA318" s="24"/>
      <c r="AB318" s="26"/>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row>
    <row r="319" spans="1:55">
      <c r="A319" s="24"/>
      <c r="B319" s="24"/>
      <c r="C319" s="25"/>
      <c r="D319" s="26"/>
      <c r="E319" s="24"/>
      <c r="F319" s="26"/>
      <c r="G319" s="26"/>
      <c r="H319" s="26"/>
      <c r="I319" s="26"/>
      <c r="J319" s="26"/>
      <c r="K319" s="26"/>
      <c r="L319" s="26"/>
      <c r="M319" s="26"/>
      <c r="N319" s="26"/>
      <c r="O319" s="26"/>
      <c r="P319" s="26"/>
      <c r="Q319" s="26"/>
      <c r="R319" s="26"/>
      <c r="S319" s="26"/>
      <c r="T319" s="26"/>
      <c r="U319" s="26"/>
      <c r="V319" s="26"/>
      <c r="W319" s="26"/>
      <c r="X319" s="26"/>
      <c r="Y319" s="24"/>
      <c r="Z319" s="26"/>
      <c r="AA319" s="24"/>
      <c r="AB319" s="26"/>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row>
    <row r="320" spans="1:55">
      <c r="A320" s="24"/>
      <c r="B320" s="24"/>
      <c r="C320" s="25"/>
      <c r="D320" s="26"/>
      <c r="E320" s="24"/>
      <c r="F320" s="26"/>
      <c r="G320" s="26"/>
      <c r="H320" s="26"/>
      <c r="I320" s="26"/>
      <c r="J320" s="26"/>
      <c r="K320" s="26"/>
      <c r="L320" s="26"/>
      <c r="M320" s="26"/>
      <c r="N320" s="26"/>
      <c r="O320" s="26"/>
      <c r="P320" s="26"/>
      <c r="Q320" s="26"/>
      <c r="R320" s="26"/>
      <c r="S320" s="26"/>
      <c r="T320" s="26"/>
      <c r="U320" s="26"/>
      <c r="V320" s="26"/>
      <c r="W320" s="26"/>
      <c r="X320" s="26"/>
      <c r="Y320" s="24"/>
      <c r="Z320" s="26"/>
      <c r="AA320" s="24"/>
      <c r="AB320" s="26"/>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row>
    <row r="321" spans="1:55">
      <c r="A321" s="24"/>
      <c r="B321" s="24"/>
      <c r="C321" s="25"/>
      <c r="D321" s="26"/>
      <c r="E321" s="24"/>
      <c r="F321" s="26"/>
      <c r="G321" s="26"/>
      <c r="H321" s="26"/>
      <c r="I321" s="26"/>
      <c r="J321" s="26"/>
      <c r="K321" s="26"/>
      <c r="L321" s="26"/>
      <c r="M321" s="26"/>
      <c r="N321" s="26"/>
      <c r="O321" s="26"/>
      <c r="P321" s="26"/>
      <c r="Q321" s="26"/>
      <c r="R321" s="26"/>
      <c r="S321" s="26"/>
      <c r="T321" s="26"/>
      <c r="U321" s="26"/>
      <c r="V321" s="26"/>
      <c r="W321" s="26"/>
      <c r="X321" s="26"/>
      <c r="Y321" s="24"/>
      <c r="Z321" s="26"/>
      <c r="AA321" s="24"/>
      <c r="AB321" s="26"/>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row>
    <row r="322" spans="1:55">
      <c r="A322" s="24"/>
      <c r="B322" s="24"/>
      <c r="C322" s="25"/>
      <c r="D322" s="26"/>
      <c r="E322" s="24"/>
      <c r="F322" s="26"/>
      <c r="G322" s="26"/>
      <c r="H322" s="26"/>
      <c r="I322" s="26"/>
      <c r="J322" s="26"/>
      <c r="K322" s="26"/>
      <c r="L322" s="26"/>
      <c r="M322" s="26"/>
      <c r="N322" s="26"/>
      <c r="O322" s="26"/>
      <c r="P322" s="26"/>
      <c r="Q322" s="26"/>
      <c r="R322" s="26"/>
      <c r="S322" s="26"/>
      <c r="T322" s="26"/>
      <c r="U322" s="26"/>
      <c r="V322" s="26"/>
      <c r="W322" s="26"/>
      <c r="X322" s="26"/>
      <c r="Y322" s="24"/>
      <c r="Z322" s="26"/>
      <c r="AA322" s="24"/>
      <c r="AB322" s="26"/>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row>
    <row r="323" spans="1:55">
      <c r="A323" s="24"/>
      <c r="B323" s="24"/>
      <c r="C323" s="25"/>
      <c r="D323" s="26"/>
      <c r="E323" s="24"/>
      <c r="F323" s="26"/>
      <c r="G323" s="26"/>
      <c r="H323" s="26"/>
      <c r="I323" s="26"/>
      <c r="J323" s="26"/>
      <c r="K323" s="26"/>
      <c r="L323" s="26"/>
      <c r="M323" s="26"/>
      <c r="N323" s="26"/>
      <c r="O323" s="26"/>
      <c r="P323" s="26"/>
      <c r="Q323" s="26"/>
      <c r="R323" s="26"/>
      <c r="S323" s="26"/>
      <c r="T323" s="26"/>
      <c r="U323" s="26"/>
      <c r="V323" s="26"/>
      <c r="W323" s="26"/>
      <c r="X323" s="26"/>
      <c r="Y323" s="24"/>
      <c r="Z323" s="26"/>
      <c r="AA323" s="24"/>
      <c r="AB323" s="26"/>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row>
    <row r="324" spans="1:55">
      <c r="A324" s="24"/>
      <c r="B324" s="24"/>
      <c r="C324" s="25"/>
      <c r="D324" s="26"/>
      <c r="E324" s="24"/>
      <c r="F324" s="26"/>
      <c r="G324" s="26"/>
      <c r="H324" s="26"/>
      <c r="I324" s="26"/>
      <c r="J324" s="26"/>
      <c r="K324" s="26"/>
      <c r="L324" s="26"/>
      <c r="M324" s="26"/>
      <c r="N324" s="26"/>
      <c r="O324" s="26"/>
      <c r="P324" s="26"/>
      <c r="Q324" s="26"/>
      <c r="R324" s="26"/>
      <c r="S324" s="26"/>
      <c r="T324" s="26"/>
      <c r="U324" s="26"/>
      <c r="V324" s="26"/>
      <c r="W324" s="26"/>
      <c r="X324" s="26"/>
      <c r="Y324" s="24"/>
      <c r="Z324" s="26"/>
      <c r="AA324" s="24"/>
      <c r="AB324" s="26"/>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row>
    <row r="325" spans="1:55">
      <c r="A325" s="24"/>
      <c r="B325" s="24"/>
      <c r="C325" s="25"/>
      <c r="D325" s="26"/>
      <c r="E325" s="24"/>
      <c r="F325" s="26"/>
      <c r="G325" s="26"/>
      <c r="H325" s="26"/>
      <c r="I325" s="26"/>
      <c r="J325" s="26"/>
      <c r="K325" s="26"/>
      <c r="L325" s="26"/>
      <c r="M325" s="26"/>
      <c r="N325" s="26"/>
      <c r="O325" s="26"/>
      <c r="P325" s="26"/>
      <c r="Q325" s="26"/>
      <c r="R325" s="26"/>
      <c r="S325" s="26"/>
      <c r="T325" s="26"/>
      <c r="U325" s="26"/>
      <c r="V325" s="26"/>
      <c r="W325" s="26"/>
      <c r="X325" s="26"/>
      <c r="Y325" s="24"/>
      <c r="Z325" s="26"/>
      <c r="AA325" s="24"/>
      <c r="AB325" s="26"/>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row>
    <row r="326" spans="1:55">
      <c r="A326" s="24"/>
      <c r="B326" s="24"/>
      <c r="C326" s="25"/>
      <c r="D326" s="26"/>
      <c r="E326" s="24"/>
      <c r="F326" s="26"/>
      <c r="G326" s="26"/>
      <c r="H326" s="26"/>
      <c r="I326" s="26"/>
      <c r="J326" s="26"/>
      <c r="K326" s="26"/>
      <c r="L326" s="26"/>
      <c r="M326" s="26"/>
      <c r="N326" s="26"/>
      <c r="O326" s="26"/>
      <c r="P326" s="26"/>
      <c r="Q326" s="26"/>
      <c r="R326" s="26"/>
      <c r="S326" s="26"/>
      <c r="T326" s="26"/>
      <c r="U326" s="26"/>
      <c r="V326" s="26"/>
      <c r="W326" s="26"/>
      <c r="X326" s="26"/>
      <c r="Y326" s="24"/>
      <c r="Z326" s="26"/>
      <c r="AA326" s="24"/>
      <c r="AB326" s="26"/>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row>
    <row r="327" spans="1:55">
      <c r="A327" s="24"/>
      <c r="B327" s="24"/>
      <c r="C327" s="25"/>
      <c r="D327" s="26"/>
      <c r="E327" s="24"/>
      <c r="F327" s="26"/>
      <c r="G327" s="26"/>
      <c r="H327" s="26"/>
      <c r="I327" s="26"/>
      <c r="J327" s="26"/>
      <c r="K327" s="26"/>
      <c r="L327" s="26"/>
      <c r="M327" s="26"/>
      <c r="N327" s="26"/>
      <c r="O327" s="26"/>
      <c r="P327" s="26"/>
      <c r="Q327" s="26"/>
      <c r="R327" s="26"/>
      <c r="S327" s="26"/>
      <c r="T327" s="26"/>
      <c r="U327" s="26"/>
      <c r="V327" s="26"/>
      <c r="W327" s="26"/>
      <c r="X327" s="26"/>
      <c r="Y327" s="24"/>
      <c r="Z327" s="26"/>
      <c r="AA327" s="24"/>
      <c r="AB327" s="26"/>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row>
    <row r="328" spans="1:55">
      <c r="A328" s="24"/>
      <c r="B328" s="24"/>
      <c r="C328" s="25"/>
      <c r="D328" s="26"/>
      <c r="E328" s="24"/>
      <c r="F328" s="26"/>
      <c r="G328" s="26"/>
      <c r="H328" s="26"/>
      <c r="I328" s="26"/>
      <c r="J328" s="26"/>
      <c r="K328" s="26"/>
      <c r="L328" s="26"/>
      <c r="M328" s="26"/>
      <c r="N328" s="26"/>
      <c r="O328" s="26"/>
      <c r="P328" s="26"/>
      <c r="Q328" s="26"/>
      <c r="R328" s="26"/>
      <c r="S328" s="26"/>
      <c r="T328" s="26"/>
      <c r="U328" s="26"/>
      <c r="V328" s="26"/>
      <c r="W328" s="26"/>
      <c r="X328" s="26"/>
      <c r="Y328" s="24"/>
      <c r="Z328" s="26"/>
      <c r="AA328" s="24"/>
      <c r="AB328" s="26"/>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row>
    <row r="329" spans="1:55">
      <c r="A329" s="24"/>
      <c r="B329" s="24"/>
      <c r="C329" s="25"/>
      <c r="D329" s="26"/>
      <c r="E329" s="24"/>
      <c r="F329" s="26"/>
      <c r="G329" s="26"/>
      <c r="H329" s="26"/>
      <c r="I329" s="26"/>
      <c r="J329" s="26"/>
      <c r="K329" s="26"/>
      <c r="L329" s="26"/>
      <c r="M329" s="26"/>
      <c r="N329" s="26"/>
      <c r="O329" s="26"/>
      <c r="P329" s="26"/>
      <c r="Q329" s="26"/>
      <c r="R329" s="26"/>
      <c r="S329" s="26"/>
      <c r="T329" s="26"/>
      <c r="U329" s="26"/>
      <c r="V329" s="26"/>
      <c r="W329" s="26"/>
      <c r="X329" s="26"/>
      <c r="Y329" s="24"/>
      <c r="Z329" s="26"/>
      <c r="AA329" s="24"/>
      <c r="AB329" s="26"/>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row>
    <row r="330" spans="1:55">
      <c r="A330" s="24"/>
      <c r="B330" s="24"/>
      <c r="C330" s="25"/>
      <c r="D330" s="26"/>
      <c r="E330" s="24"/>
      <c r="F330" s="26"/>
      <c r="G330" s="26"/>
      <c r="H330" s="26"/>
      <c r="I330" s="26"/>
      <c r="J330" s="26"/>
      <c r="K330" s="26"/>
      <c r="L330" s="26"/>
      <c r="M330" s="26"/>
      <c r="N330" s="26"/>
      <c r="O330" s="26"/>
      <c r="P330" s="26"/>
      <c r="Q330" s="26"/>
      <c r="R330" s="26"/>
      <c r="S330" s="26"/>
      <c r="T330" s="26"/>
      <c r="U330" s="26"/>
      <c r="V330" s="26"/>
      <c r="W330" s="26"/>
      <c r="X330" s="26"/>
      <c r="Y330" s="24"/>
      <c r="Z330" s="26"/>
      <c r="AA330" s="24"/>
      <c r="AB330" s="26"/>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row>
    <row r="331" spans="1:55">
      <c r="A331" s="24"/>
      <c r="B331" s="24"/>
      <c r="C331" s="25"/>
      <c r="D331" s="26"/>
      <c r="E331" s="24"/>
      <c r="F331" s="26"/>
      <c r="G331" s="26"/>
      <c r="H331" s="26"/>
      <c r="I331" s="26"/>
      <c r="J331" s="26"/>
      <c r="K331" s="26"/>
      <c r="L331" s="26"/>
      <c r="M331" s="26"/>
      <c r="N331" s="26"/>
      <c r="O331" s="26"/>
      <c r="P331" s="26"/>
      <c r="Q331" s="26"/>
      <c r="R331" s="26"/>
      <c r="S331" s="26"/>
      <c r="T331" s="26"/>
      <c r="U331" s="26"/>
      <c r="V331" s="26"/>
      <c r="W331" s="26"/>
      <c r="X331" s="26"/>
      <c r="Y331" s="24"/>
      <c r="Z331" s="26"/>
      <c r="AA331" s="24"/>
      <c r="AB331" s="26"/>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row>
    <row r="332" spans="1:55">
      <c r="A332" s="24"/>
      <c r="B332" s="24"/>
      <c r="C332" s="25"/>
      <c r="D332" s="26"/>
      <c r="E332" s="24"/>
      <c r="F332" s="26"/>
      <c r="G332" s="26"/>
      <c r="H332" s="26"/>
      <c r="I332" s="26"/>
      <c r="J332" s="26"/>
      <c r="K332" s="26"/>
      <c r="L332" s="26"/>
      <c r="M332" s="26"/>
      <c r="N332" s="26"/>
      <c r="O332" s="26"/>
      <c r="P332" s="26"/>
      <c r="Q332" s="26"/>
      <c r="R332" s="26"/>
      <c r="S332" s="26"/>
      <c r="T332" s="26"/>
      <c r="U332" s="26"/>
      <c r="V332" s="26"/>
      <c r="W332" s="26"/>
      <c r="X332" s="26"/>
      <c r="Y332" s="24"/>
      <c r="Z332" s="26"/>
      <c r="AA332" s="24"/>
      <c r="AB332" s="26"/>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row>
    <row r="333" spans="1:55">
      <c r="A333" s="24"/>
      <c r="B333" s="24"/>
      <c r="C333" s="25"/>
      <c r="D333" s="26"/>
      <c r="E333" s="24"/>
      <c r="F333" s="26"/>
      <c r="G333" s="26"/>
      <c r="H333" s="26"/>
      <c r="I333" s="26"/>
      <c r="J333" s="26"/>
      <c r="K333" s="26"/>
      <c r="L333" s="26"/>
      <c r="M333" s="26"/>
      <c r="N333" s="26"/>
      <c r="O333" s="26"/>
      <c r="P333" s="26"/>
      <c r="Q333" s="26"/>
      <c r="R333" s="26"/>
      <c r="S333" s="26"/>
      <c r="T333" s="26"/>
      <c r="U333" s="26"/>
      <c r="V333" s="26"/>
      <c r="W333" s="26"/>
      <c r="X333" s="26"/>
      <c r="Y333" s="24"/>
      <c r="Z333" s="26"/>
      <c r="AA333" s="24"/>
      <c r="AB333" s="26"/>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row>
    <row r="334" spans="1:55">
      <c r="A334" s="24"/>
      <c r="B334" s="24"/>
      <c r="C334" s="25"/>
      <c r="D334" s="26"/>
      <c r="E334" s="24"/>
      <c r="F334" s="26"/>
      <c r="G334" s="26"/>
      <c r="H334" s="26"/>
      <c r="I334" s="26"/>
      <c r="J334" s="26"/>
      <c r="K334" s="26"/>
      <c r="L334" s="26"/>
      <c r="M334" s="26"/>
      <c r="N334" s="26"/>
      <c r="O334" s="26"/>
      <c r="P334" s="26"/>
      <c r="Q334" s="26"/>
      <c r="R334" s="26"/>
      <c r="S334" s="26"/>
      <c r="T334" s="26"/>
      <c r="U334" s="26"/>
      <c r="V334" s="26"/>
      <c r="W334" s="26"/>
      <c r="X334" s="26"/>
      <c r="Y334" s="24"/>
      <c r="Z334" s="26"/>
      <c r="AA334" s="24"/>
      <c r="AB334" s="26"/>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row>
    <row r="335" spans="1:55">
      <c r="A335" s="24"/>
      <c r="B335" s="24"/>
      <c r="C335" s="25"/>
      <c r="D335" s="26"/>
      <c r="E335" s="24"/>
      <c r="F335" s="26"/>
      <c r="G335" s="26"/>
      <c r="H335" s="26"/>
      <c r="I335" s="26"/>
      <c r="J335" s="26"/>
      <c r="K335" s="26"/>
      <c r="L335" s="26"/>
      <c r="M335" s="26"/>
      <c r="N335" s="26"/>
      <c r="O335" s="26"/>
      <c r="P335" s="26"/>
      <c r="Q335" s="26"/>
      <c r="R335" s="26"/>
      <c r="S335" s="26"/>
      <c r="T335" s="26"/>
      <c r="U335" s="26"/>
      <c r="V335" s="26"/>
      <c r="W335" s="26"/>
      <c r="X335" s="26"/>
      <c r="Y335" s="24"/>
      <c r="Z335" s="26"/>
      <c r="AA335" s="24"/>
      <c r="AB335" s="26"/>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row>
    <row r="336" spans="1:55">
      <c r="A336" s="24"/>
      <c r="B336" s="24"/>
      <c r="C336" s="25"/>
      <c r="D336" s="26"/>
      <c r="E336" s="24"/>
      <c r="F336" s="26"/>
      <c r="G336" s="26"/>
      <c r="H336" s="26"/>
      <c r="I336" s="26"/>
      <c r="J336" s="26"/>
      <c r="K336" s="26"/>
      <c r="L336" s="26"/>
      <c r="M336" s="26"/>
      <c r="N336" s="26"/>
      <c r="O336" s="26"/>
      <c r="P336" s="26"/>
      <c r="Q336" s="26"/>
      <c r="R336" s="26"/>
      <c r="S336" s="26"/>
      <c r="T336" s="26"/>
      <c r="U336" s="26"/>
      <c r="V336" s="26"/>
      <c r="W336" s="26"/>
      <c r="X336" s="26"/>
      <c r="Y336" s="24"/>
      <c r="Z336" s="26"/>
      <c r="AA336" s="24"/>
      <c r="AB336" s="26"/>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row>
    <row r="337" spans="1:55">
      <c r="A337" s="24"/>
      <c r="B337" s="24"/>
      <c r="C337" s="25"/>
      <c r="D337" s="26"/>
      <c r="E337" s="24"/>
      <c r="F337" s="26"/>
      <c r="G337" s="26"/>
      <c r="H337" s="26"/>
      <c r="I337" s="26"/>
      <c r="J337" s="26"/>
      <c r="K337" s="26"/>
      <c r="L337" s="26"/>
      <c r="M337" s="26"/>
      <c r="N337" s="26"/>
      <c r="O337" s="26"/>
      <c r="P337" s="26"/>
      <c r="Q337" s="26"/>
      <c r="R337" s="26"/>
      <c r="S337" s="26"/>
      <c r="T337" s="26"/>
      <c r="U337" s="26"/>
      <c r="V337" s="26"/>
      <c r="W337" s="26"/>
      <c r="X337" s="26"/>
      <c r="Y337" s="24"/>
      <c r="Z337" s="26"/>
      <c r="AA337" s="24"/>
      <c r="AB337" s="26"/>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row>
    <row r="338" spans="1:55">
      <c r="A338" s="24"/>
      <c r="B338" s="24"/>
      <c r="C338" s="25"/>
      <c r="D338" s="26"/>
      <c r="E338" s="24"/>
      <c r="F338" s="26"/>
      <c r="G338" s="26"/>
      <c r="H338" s="26"/>
      <c r="I338" s="26"/>
      <c r="J338" s="26"/>
      <c r="K338" s="26"/>
      <c r="L338" s="26"/>
      <c r="M338" s="26"/>
      <c r="N338" s="26"/>
      <c r="O338" s="26"/>
      <c r="P338" s="26"/>
      <c r="Q338" s="26"/>
      <c r="R338" s="26"/>
      <c r="S338" s="26"/>
      <c r="T338" s="26"/>
      <c r="U338" s="26"/>
      <c r="V338" s="26"/>
      <c r="W338" s="26"/>
      <c r="X338" s="26"/>
      <c r="Y338" s="24"/>
      <c r="Z338" s="26"/>
      <c r="AA338" s="24"/>
      <c r="AB338" s="26"/>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row>
    <row r="339" spans="1:55">
      <c r="A339" s="24"/>
      <c r="B339" s="24"/>
      <c r="C339" s="25"/>
      <c r="D339" s="26"/>
      <c r="E339" s="24"/>
      <c r="F339" s="26"/>
      <c r="G339" s="26"/>
      <c r="H339" s="26"/>
      <c r="I339" s="26"/>
      <c r="J339" s="26"/>
      <c r="K339" s="26"/>
      <c r="L339" s="26"/>
      <c r="M339" s="26"/>
      <c r="N339" s="26"/>
      <c r="O339" s="26"/>
      <c r="P339" s="26"/>
      <c r="Q339" s="26"/>
      <c r="R339" s="26"/>
      <c r="S339" s="26"/>
      <c r="T339" s="26"/>
      <c r="U339" s="26"/>
      <c r="V339" s="26"/>
      <c r="W339" s="26"/>
      <c r="X339" s="26"/>
      <c r="Y339" s="24"/>
      <c r="Z339" s="26"/>
      <c r="AA339" s="24"/>
      <c r="AB339" s="26"/>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row>
    <row r="340" spans="1:55">
      <c r="A340" s="24"/>
      <c r="B340" s="24"/>
      <c r="C340" s="25"/>
      <c r="D340" s="26"/>
      <c r="E340" s="24"/>
      <c r="F340" s="26"/>
      <c r="G340" s="26"/>
      <c r="H340" s="26"/>
      <c r="I340" s="26"/>
      <c r="J340" s="26"/>
      <c r="K340" s="26"/>
      <c r="L340" s="26"/>
      <c r="M340" s="26"/>
      <c r="N340" s="26"/>
      <c r="O340" s="26"/>
      <c r="P340" s="26"/>
      <c r="Q340" s="26"/>
      <c r="R340" s="26"/>
      <c r="S340" s="26"/>
      <c r="T340" s="26"/>
      <c r="U340" s="26"/>
      <c r="V340" s="26"/>
      <c r="W340" s="26"/>
      <c r="X340" s="26"/>
      <c r="Y340" s="24"/>
      <c r="Z340" s="26"/>
      <c r="AA340" s="24"/>
      <c r="AB340" s="26"/>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row>
    <row r="341" spans="1:55">
      <c r="A341" s="24"/>
      <c r="B341" s="24"/>
      <c r="C341" s="25"/>
      <c r="D341" s="26"/>
      <c r="E341" s="24"/>
      <c r="F341" s="26"/>
      <c r="G341" s="26"/>
      <c r="H341" s="26"/>
      <c r="I341" s="26"/>
      <c r="J341" s="26"/>
      <c r="K341" s="26"/>
      <c r="L341" s="26"/>
      <c r="M341" s="26"/>
      <c r="N341" s="26"/>
      <c r="O341" s="26"/>
      <c r="P341" s="26"/>
      <c r="Q341" s="26"/>
      <c r="R341" s="26"/>
      <c r="S341" s="26"/>
      <c r="T341" s="26"/>
      <c r="U341" s="26"/>
      <c r="V341" s="26"/>
      <c r="W341" s="26"/>
      <c r="X341" s="26"/>
      <c r="Y341" s="24"/>
      <c r="Z341" s="26"/>
      <c r="AA341" s="24"/>
      <c r="AB341" s="26"/>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row>
    <row r="342" spans="1:55">
      <c r="A342" s="24"/>
      <c r="B342" s="24"/>
      <c r="C342" s="25"/>
      <c r="D342" s="26"/>
      <c r="E342" s="24"/>
      <c r="F342" s="26"/>
      <c r="G342" s="26"/>
      <c r="H342" s="26"/>
      <c r="I342" s="26"/>
      <c r="J342" s="26"/>
      <c r="K342" s="26"/>
      <c r="L342" s="26"/>
      <c r="M342" s="26"/>
      <c r="N342" s="26"/>
      <c r="O342" s="26"/>
      <c r="P342" s="26"/>
      <c r="Q342" s="26"/>
      <c r="R342" s="26"/>
      <c r="S342" s="26"/>
      <c r="T342" s="26"/>
      <c r="U342" s="26"/>
      <c r="V342" s="26"/>
      <c r="W342" s="26"/>
      <c r="X342" s="26"/>
      <c r="Y342" s="24"/>
      <c r="Z342" s="26"/>
      <c r="AA342" s="24"/>
      <c r="AB342" s="26"/>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row>
    <row r="343" spans="1:55">
      <c r="A343" s="24"/>
      <c r="B343" s="24"/>
      <c r="C343" s="25"/>
      <c r="D343" s="26"/>
      <c r="E343" s="24"/>
      <c r="F343" s="26"/>
      <c r="G343" s="26"/>
      <c r="H343" s="26"/>
      <c r="I343" s="26"/>
      <c r="J343" s="26"/>
      <c r="K343" s="26"/>
      <c r="L343" s="26"/>
      <c r="M343" s="26"/>
      <c r="N343" s="26"/>
      <c r="O343" s="26"/>
      <c r="P343" s="26"/>
      <c r="Q343" s="26"/>
      <c r="R343" s="26"/>
      <c r="S343" s="26"/>
      <c r="T343" s="26"/>
      <c r="U343" s="26"/>
      <c r="V343" s="26"/>
      <c r="W343" s="26"/>
      <c r="X343" s="26"/>
      <c r="Y343" s="24"/>
      <c r="Z343" s="26"/>
      <c r="AA343" s="24"/>
      <c r="AB343" s="26"/>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row>
    <row r="344" spans="1:55">
      <c r="A344" s="24"/>
      <c r="B344" s="24"/>
      <c r="C344" s="25"/>
      <c r="D344" s="26"/>
      <c r="E344" s="24"/>
      <c r="F344" s="26"/>
      <c r="G344" s="26"/>
      <c r="H344" s="26"/>
      <c r="I344" s="26"/>
      <c r="J344" s="26"/>
      <c r="K344" s="26"/>
      <c r="L344" s="26"/>
      <c r="M344" s="26"/>
      <c r="N344" s="26"/>
      <c r="O344" s="26"/>
      <c r="P344" s="26"/>
      <c r="Q344" s="26"/>
      <c r="R344" s="26"/>
      <c r="S344" s="26"/>
      <c r="T344" s="26"/>
      <c r="U344" s="26"/>
      <c r="V344" s="26"/>
      <c r="W344" s="26"/>
      <c r="X344" s="26"/>
      <c r="Y344" s="24"/>
      <c r="Z344" s="26"/>
      <c r="AA344" s="24"/>
      <c r="AB344" s="26"/>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row>
    <row r="345" spans="1:55">
      <c r="A345" s="24"/>
      <c r="B345" s="24"/>
      <c r="C345" s="25"/>
      <c r="D345" s="26"/>
      <c r="E345" s="24"/>
      <c r="F345" s="26"/>
      <c r="G345" s="26"/>
      <c r="H345" s="26"/>
      <c r="I345" s="26"/>
      <c r="J345" s="26"/>
      <c r="K345" s="26"/>
      <c r="L345" s="26"/>
      <c r="M345" s="26"/>
      <c r="N345" s="26"/>
      <c r="O345" s="26"/>
      <c r="P345" s="26"/>
      <c r="Q345" s="26"/>
      <c r="R345" s="26"/>
      <c r="S345" s="26"/>
      <c r="T345" s="26"/>
      <c r="U345" s="26"/>
      <c r="V345" s="26"/>
      <c r="W345" s="26"/>
      <c r="X345" s="26"/>
      <c r="Y345" s="24"/>
      <c r="Z345" s="26"/>
      <c r="AA345" s="24"/>
      <c r="AB345" s="26"/>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row>
    <row r="346" spans="1:55">
      <c r="A346" s="24"/>
      <c r="B346" s="24"/>
      <c r="C346" s="25"/>
      <c r="D346" s="26"/>
      <c r="E346" s="24"/>
      <c r="F346" s="26"/>
      <c r="G346" s="26"/>
      <c r="H346" s="26"/>
      <c r="I346" s="26"/>
      <c r="J346" s="26"/>
      <c r="K346" s="26"/>
      <c r="L346" s="26"/>
      <c r="M346" s="26"/>
      <c r="N346" s="26"/>
      <c r="O346" s="26"/>
      <c r="P346" s="26"/>
      <c r="Q346" s="26"/>
      <c r="R346" s="26"/>
      <c r="S346" s="26"/>
      <c r="T346" s="26"/>
      <c r="U346" s="26"/>
      <c r="V346" s="26"/>
      <c r="W346" s="26"/>
      <c r="X346" s="26"/>
      <c r="Y346" s="24"/>
      <c r="Z346" s="26"/>
      <c r="AA346" s="24"/>
      <c r="AB346" s="26"/>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row>
    <row r="347" spans="1:55">
      <c r="A347" s="24"/>
      <c r="B347" s="24"/>
      <c r="C347" s="25"/>
      <c r="D347" s="26"/>
      <c r="E347" s="24"/>
      <c r="F347" s="26"/>
      <c r="G347" s="26"/>
      <c r="H347" s="26"/>
      <c r="I347" s="26"/>
      <c r="J347" s="26"/>
      <c r="K347" s="26"/>
      <c r="L347" s="26"/>
      <c r="M347" s="26"/>
      <c r="N347" s="26"/>
      <c r="O347" s="26"/>
      <c r="P347" s="26"/>
      <c r="Q347" s="26"/>
      <c r="R347" s="26"/>
      <c r="S347" s="26"/>
      <c r="T347" s="26"/>
      <c r="U347" s="26"/>
      <c r="V347" s="26"/>
      <c r="W347" s="26"/>
      <c r="X347" s="26"/>
      <c r="Y347" s="24"/>
      <c r="Z347" s="26"/>
      <c r="AA347" s="24"/>
      <c r="AB347" s="26"/>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row>
    <row r="348" spans="1:55">
      <c r="A348" s="24"/>
      <c r="B348" s="24"/>
      <c r="C348" s="25"/>
      <c r="D348" s="26"/>
      <c r="E348" s="24"/>
      <c r="F348" s="26"/>
      <c r="G348" s="26"/>
      <c r="H348" s="26"/>
      <c r="I348" s="26"/>
      <c r="J348" s="26"/>
      <c r="K348" s="26"/>
      <c r="L348" s="26"/>
      <c r="M348" s="26"/>
      <c r="N348" s="26"/>
      <c r="O348" s="26"/>
      <c r="P348" s="26"/>
      <c r="Q348" s="26"/>
      <c r="R348" s="26"/>
      <c r="S348" s="26"/>
      <c r="T348" s="26"/>
      <c r="U348" s="26"/>
      <c r="V348" s="26"/>
      <c r="W348" s="26"/>
      <c r="X348" s="26"/>
      <c r="Y348" s="24"/>
      <c r="Z348" s="26"/>
      <c r="AA348" s="24"/>
      <c r="AB348" s="26"/>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row>
    <row r="349" spans="1:55">
      <c r="A349" s="24"/>
      <c r="B349" s="24"/>
      <c r="C349" s="25"/>
      <c r="D349" s="26"/>
      <c r="E349" s="24"/>
      <c r="F349" s="26"/>
      <c r="G349" s="26"/>
      <c r="H349" s="26"/>
      <c r="I349" s="26"/>
      <c r="J349" s="26"/>
      <c r="K349" s="26"/>
      <c r="L349" s="26"/>
      <c r="M349" s="26"/>
      <c r="N349" s="26"/>
      <c r="O349" s="26"/>
      <c r="P349" s="26"/>
      <c r="Q349" s="26"/>
      <c r="R349" s="26"/>
      <c r="S349" s="26"/>
      <c r="T349" s="26"/>
      <c r="U349" s="26"/>
      <c r="V349" s="26"/>
      <c r="W349" s="26"/>
      <c r="X349" s="26"/>
      <c r="Y349" s="24"/>
      <c r="Z349" s="26"/>
      <c r="AA349" s="24"/>
      <c r="AB349" s="26"/>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row>
    <row r="350" spans="1:55">
      <c r="A350" s="24"/>
      <c r="B350" s="24"/>
      <c r="C350" s="25"/>
      <c r="D350" s="26"/>
      <c r="E350" s="24"/>
      <c r="F350" s="26"/>
      <c r="G350" s="26"/>
      <c r="H350" s="26"/>
      <c r="I350" s="26"/>
      <c r="J350" s="26"/>
      <c r="K350" s="26"/>
      <c r="L350" s="26"/>
      <c r="M350" s="26"/>
      <c r="N350" s="26"/>
      <c r="O350" s="26"/>
      <c r="P350" s="26"/>
      <c r="Q350" s="26"/>
      <c r="R350" s="26"/>
      <c r="S350" s="26"/>
      <c r="T350" s="26"/>
      <c r="U350" s="26"/>
      <c r="V350" s="26"/>
      <c r="W350" s="26"/>
      <c r="X350" s="26"/>
      <c r="Y350" s="24"/>
      <c r="Z350" s="26"/>
      <c r="AA350" s="24"/>
      <c r="AB350" s="26"/>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row>
    <row r="351" spans="1:55">
      <c r="A351" s="24"/>
      <c r="B351" s="24"/>
      <c r="C351" s="25"/>
      <c r="D351" s="26"/>
      <c r="E351" s="24"/>
      <c r="F351" s="26"/>
      <c r="G351" s="26"/>
      <c r="H351" s="26"/>
      <c r="I351" s="26"/>
      <c r="J351" s="26"/>
      <c r="K351" s="26"/>
      <c r="L351" s="26"/>
      <c r="M351" s="26"/>
      <c r="N351" s="26"/>
      <c r="O351" s="26"/>
      <c r="P351" s="26"/>
      <c r="Q351" s="26"/>
      <c r="R351" s="26"/>
      <c r="S351" s="26"/>
      <c r="T351" s="26"/>
      <c r="U351" s="26"/>
      <c r="V351" s="26"/>
      <c r="W351" s="26"/>
      <c r="X351" s="26"/>
      <c r="Y351" s="24"/>
      <c r="Z351" s="26"/>
      <c r="AA351" s="24"/>
      <c r="AB351" s="26"/>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row>
    <row r="352" spans="1:55">
      <c r="A352" s="24"/>
      <c r="B352" s="24"/>
      <c r="C352" s="25"/>
      <c r="D352" s="26"/>
      <c r="E352" s="24"/>
      <c r="F352" s="26"/>
      <c r="G352" s="26"/>
      <c r="H352" s="26"/>
      <c r="I352" s="26"/>
      <c r="J352" s="26"/>
      <c r="K352" s="26"/>
      <c r="L352" s="26"/>
      <c r="M352" s="26"/>
      <c r="N352" s="26"/>
      <c r="O352" s="26"/>
      <c r="P352" s="26"/>
      <c r="Q352" s="26"/>
      <c r="R352" s="26"/>
      <c r="S352" s="26"/>
      <c r="T352" s="26"/>
      <c r="U352" s="26"/>
      <c r="V352" s="26"/>
      <c r="W352" s="26"/>
      <c r="X352" s="26"/>
      <c r="Y352" s="24"/>
      <c r="Z352" s="26"/>
      <c r="AA352" s="24"/>
      <c r="AB352" s="26"/>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row>
    <row r="353" spans="1:55">
      <c r="A353" s="24"/>
      <c r="B353" s="24"/>
      <c r="C353" s="25"/>
      <c r="D353" s="26"/>
      <c r="E353" s="24"/>
      <c r="F353" s="26"/>
      <c r="G353" s="26"/>
      <c r="H353" s="26"/>
      <c r="I353" s="26"/>
      <c r="J353" s="26"/>
      <c r="K353" s="26"/>
      <c r="L353" s="26"/>
      <c r="M353" s="26"/>
      <c r="N353" s="26"/>
      <c r="O353" s="26"/>
      <c r="P353" s="26"/>
      <c r="Q353" s="26"/>
      <c r="R353" s="26"/>
      <c r="S353" s="26"/>
      <c r="T353" s="26"/>
      <c r="U353" s="26"/>
      <c r="V353" s="26"/>
      <c r="W353" s="26"/>
      <c r="X353" s="26"/>
      <c r="Y353" s="24"/>
      <c r="Z353" s="26"/>
      <c r="AA353" s="24"/>
      <c r="AB353" s="26"/>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row>
    <row r="354" spans="1:55">
      <c r="A354" s="24"/>
      <c r="B354" s="24"/>
      <c r="C354" s="25"/>
      <c r="D354" s="26"/>
      <c r="E354" s="24"/>
      <c r="F354" s="26"/>
      <c r="G354" s="26"/>
      <c r="H354" s="26"/>
      <c r="I354" s="26"/>
      <c r="J354" s="26"/>
      <c r="K354" s="26"/>
      <c r="L354" s="26"/>
      <c r="M354" s="26"/>
      <c r="N354" s="26"/>
      <c r="O354" s="26"/>
      <c r="P354" s="26"/>
      <c r="Q354" s="26"/>
      <c r="R354" s="26"/>
      <c r="S354" s="26"/>
      <c r="T354" s="26"/>
      <c r="U354" s="26"/>
      <c r="V354" s="26"/>
      <c r="W354" s="26"/>
      <c r="X354" s="26"/>
      <c r="Y354" s="24"/>
      <c r="Z354" s="26"/>
      <c r="AA354" s="24"/>
      <c r="AB354" s="26"/>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row>
    <row r="355" spans="1:55">
      <c r="A355" s="24"/>
      <c r="B355" s="24"/>
      <c r="C355" s="25"/>
      <c r="D355" s="26"/>
      <c r="E355" s="24"/>
      <c r="F355" s="26"/>
      <c r="G355" s="26"/>
      <c r="H355" s="26"/>
      <c r="I355" s="26"/>
      <c r="J355" s="26"/>
      <c r="K355" s="26"/>
      <c r="L355" s="26"/>
      <c r="M355" s="26"/>
      <c r="N355" s="26"/>
      <c r="O355" s="26"/>
      <c r="P355" s="26"/>
      <c r="Q355" s="26"/>
      <c r="R355" s="26"/>
      <c r="S355" s="26"/>
      <c r="T355" s="26"/>
      <c r="U355" s="26"/>
      <c r="V355" s="26"/>
      <c r="W355" s="26"/>
      <c r="X355" s="26"/>
      <c r="Y355" s="24"/>
      <c r="Z355" s="26"/>
      <c r="AA355" s="24"/>
      <c r="AB355" s="26"/>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row>
    <row r="356" spans="1:55">
      <c r="A356" s="24"/>
      <c r="B356" s="24"/>
      <c r="C356" s="25"/>
      <c r="D356" s="26"/>
      <c r="E356" s="24"/>
      <c r="F356" s="26"/>
      <c r="G356" s="26"/>
      <c r="H356" s="26"/>
      <c r="I356" s="26"/>
      <c r="J356" s="26"/>
      <c r="K356" s="26"/>
      <c r="L356" s="26"/>
      <c r="M356" s="26"/>
      <c r="N356" s="26"/>
      <c r="O356" s="26"/>
      <c r="P356" s="26"/>
      <c r="Q356" s="26"/>
      <c r="R356" s="26"/>
      <c r="S356" s="26"/>
      <c r="T356" s="26"/>
      <c r="U356" s="26"/>
      <c r="V356" s="26"/>
      <c r="W356" s="26"/>
      <c r="X356" s="26"/>
      <c r="Y356" s="24"/>
      <c r="Z356" s="26"/>
      <c r="AA356" s="24"/>
      <c r="AB356" s="26"/>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row>
    <row r="357" spans="1:55">
      <c r="A357" s="24"/>
      <c r="B357" s="24"/>
      <c r="C357" s="25"/>
      <c r="D357" s="26"/>
      <c r="E357" s="24"/>
      <c r="F357" s="26"/>
      <c r="G357" s="26"/>
      <c r="H357" s="26"/>
      <c r="I357" s="26"/>
      <c r="J357" s="26"/>
      <c r="K357" s="26"/>
      <c r="L357" s="26"/>
      <c r="M357" s="26"/>
      <c r="N357" s="26"/>
      <c r="O357" s="26"/>
      <c r="P357" s="26"/>
      <c r="Q357" s="26"/>
      <c r="R357" s="26"/>
      <c r="S357" s="26"/>
      <c r="T357" s="26"/>
      <c r="U357" s="26"/>
      <c r="V357" s="26"/>
      <c r="W357" s="26"/>
      <c r="X357" s="26"/>
      <c r="Y357" s="24"/>
      <c r="Z357" s="26"/>
      <c r="AA357" s="24"/>
      <c r="AB357" s="26"/>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row>
    <row r="358" spans="1:55">
      <c r="A358" s="24"/>
      <c r="B358" s="24"/>
      <c r="C358" s="25"/>
      <c r="D358" s="26"/>
      <c r="E358" s="24"/>
      <c r="F358" s="26"/>
      <c r="G358" s="26"/>
      <c r="H358" s="26"/>
      <c r="I358" s="26"/>
      <c r="J358" s="26"/>
      <c r="K358" s="26"/>
      <c r="L358" s="26"/>
      <c r="M358" s="26"/>
      <c r="N358" s="26"/>
      <c r="O358" s="26"/>
      <c r="P358" s="26"/>
      <c r="Q358" s="26"/>
      <c r="R358" s="26"/>
      <c r="S358" s="26"/>
      <c r="T358" s="26"/>
      <c r="U358" s="26"/>
      <c r="V358" s="26"/>
      <c r="W358" s="26"/>
      <c r="X358" s="26"/>
      <c r="Y358" s="24"/>
      <c r="Z358" s="26"/>
      <c r="AA358" s="24"/>
      <c r="AB358" s="26"/>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row>
    <row r="359" spans="1:55">
      <c r="A359" s="24"/>
      <c r="B359" s="24"/>
      <c r="C359" s="25"/>
      <c r="D359" s="26"/>
      <c r="E359" s="24"/>
      <c r="F359" s="26"/>
      <c r="G359" s="26"/>
      <c r="H359" s="26"/>
      <c r="I359" s="26"/>
      <c r="J359" s="26"/>
      <c r="K359" s="26"/>
      <c r="L359" s="26"/>
      <c r="M359" s="26"/>
      <c r="N359" s="26"/>
      <c r="O359" s="26"/>
      <c r="P359" s="26"/>
      <c r="Q359" s="26"/>
      <c r="R359" s="26"/>
      <c r="S359" s="26"/>
      <c r="T359" s="26"/>
      <c r="U359" s="26"/>
      <c r="V359" s="26"/>
      <c r="W359" s="26"/>
      <c r="X359" s="26"/>
      <c r="Y359" s="24"/>
      <c r="Z359" s="26"/>
      <c r="AA359" s="24"/>
      <c r="AB359" s="26"/>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row>
    <row r="360" spans="1:55">
      <c r="A360" s="24"/>
      <c r="B360" s="24"/>
      <c r="C360" s="25"/>
      <c r="D360" s="26"/>
      <c r="E360" s="24"/>
      <c r="F360" s="26"/>
      <c r="G360" s="26"/>
      <c r="H360" s="26"/>
      <c r="I360" s="26"/>
      <c r="J360" s="26"/>
      <c r="K360" s="26"/>
      <c r="L360" s="26"/>
      <c r="M360" s="26"/>
      <c r="N360" s="26"/>
      <c r="O360" s="26"/>
      <c r="P360" s="26"/>
      <c r="Q360" s="26"/>
      <c r="R360" s="26"/>
      <c r="S360" s="26"/>
      <c r="T360" s="26"/>
      <c r="U360" s="26"/>
      <c r="V360" s="26"/>
      <c r="W360" s="26"/>
      <c r="X360" s="26"/>
      <c r="Y360" s="24"/>
      <c r="Z360" s="26"/>
      <c r="AA360" s="24"/>
      <c r="AB360" s="26"/>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row>
    <row r="361" spans="1:55">
      <c r="A361" s="24"/>
      <c r="B361" s="24"/>
      <c r="C361" s="25"/>
      <c r="D361" s="26"/>
      <c r="E361" s="24"/>
      <c r="F361" s="26"/>
      <c r="G361" s="26"/>
      <c r="H361" s="26"/>
      <c r="I361" s="26"/>
      <c r="J361" s="26"/>
      <c r="K361" s="26"/>
      <c r="L361" s="26"/>
      <c r="M361" s="26"/>
      <c r="N361" s="26"/>
      <c r="O361" s="26"/>
      <c r="P361" s="26"/>
      <c r="Q361" s="26"/>
      <c r="R361" s="26"/>
      <c r="S361" s="26"/>
      <c r="T361" s="26"/>
      <c r="U361" s="26"/>
      <c r="V361" s="26"/>
      <c r="W361" s="26"/>
      <c r="X361" s="26"/>
      <c r="Y361" s="24"/>
      <c r="Z361" s="26"/>
      <c r="AA361" s="24"/>
      <c r="AB361" s="26"/>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row>
    <row r="362" spans="1:55">
      <c r="A362" s="24"/>
      <c r="B362" s="24"/>
      <c r="C362" s="25"/>
      <c r="D362" s="26"/>
      <c r="E362" s="24"/>
      <c r="F362" s="26"/>
      <c r="G362" s="26"/>
      <c r="H362" s="26"/>
      <c r="I362" s="26"/>
      <c r="J362" s="26"/>
      <c r="K362" s="26"/>
      <c r="L362" s="26"/>
      <c r="M362" s="26"/>
      <c r="N362" s="26"/>
      <c r="O362" s="26"/>
      <c r="P362" s="26"/>
      <c r="Q362" s="26"/>
      <c r="R362" s="26"/>
      <c r="S362" s="26"/>
      <c r="T362" s="26"/>
      <c r="U362" s="26"/>
      <c r="V362" s="26"/>
      <c r="W362" s="26"/>
      <c r="X362" s="26"/>
      <c r="Y362" s="24"/>
      <c r="Z362" s="26"/>
      <c r="AA362" s="24"/>
      <c r="AB362" s="26"/>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row>
    <row r="363" spans="1:55">
      <c r="A363" s="24"/>
      <c r="B363" s="24"/>
      <c r="C363" s="25"/>
      <c r="D363" s="26"/>
      <c r="E363" s="24"/>
      <c r="F363" s="26"/>
      <c r="G363" s="26"/>
      <c r="H363" s="26"/>
      <c r="I363" s="26"/>
      <c r="J363" s="26"/>
      <c r="K363" s="26"/>
      <c r="L363" s="26"/>
      <c r="M363" s="26"/>
      <c r="N363" s="26"/>
      <c r="O363" s="26"/>
      <c r="P363" s="26"/>
      <c r="Q363" s="26"/>
      <c r="R363" s="26"/>
      <c r="S363" s="26"/>
      <c r="T363" s="26"/>
      <c r="U363" s="26"/>
      <c r="V363" s="26"/>
      <c r="W363" s="26"/>
      <c r="X363" s="26"/>
      <c r="Y363" s="24"/>
      <c r="Z363" s="26"/>
      <c r="AA363" s="24"/>
      <c r="AB363" s="26"/>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row>
    <row r="364" spans="1:55">
      <c r="A364" s="24"/>
      <c r="B364" s="24"/>
      <c r="C364" s="25"/>
      <c r="D364" s="26"/>
      <c r="E364" s="24"/>
      <c r="F364" s="26"/>
      <c r="G364" s="26"/>
      <c r="H364" s="26"/>
      <c r="I364" s="26"/>
      <c r="J364" s="26"/>
      <c r="K364" s="26"/>
      <c r="L364" s="26"/>
      <c r="M364" s="26"/>
      <c r="N364" s="26"/>
      <c r="O364" s="26"/>
      <c r="P364" s="26"/>
      <c r="Q364" s="26"/>
      <c r="R364" s="26"/>
      <c r="S364" s="26"/>
      <c r="T364" s="26"/>
      <c r="U364" s="26"/>
      <c r="V364" s="26"/>
      <c r="W364" s="26"/>
      <c r="X364" s="26"/>
      <c r="Y364" s="24"/>
      <c r="Z364" s="26"/>
      <c r="AA364" s="24"/>
      <c r="AB364" s="26"/>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row>
    <row r="365" spans="1:55">
      <c r="A365" s="24"/>
      <c r="B365" s="24"/>
      <c r="C365" s="25"/>
      <c r="D365" s="26"/>
      <c r="E365" s="24"/>
      <c r="F365" s="26"/>
      <c r="G365" s="26"/>
      <c r="H365" s="26"/>
      <c r="I365" s="26"/>
      <c r="J365" s="26"/>
      <c r="K365" s="26"/>
      <c r="L365" s="26"/>
      <c r="M365" s="26"/>
      <c r="N365" s="26"/>
      <c r="O365" s="26"/>
      <c r="P365" s="26"/>
      <c r="Q365" s="26"/>
      <c r="R365" s="26"/>
      <c r="S365" s="26"/>
      <c r="T365" s="26"/>
      <c r="U365" s="26"/>
      <c r="V365" s="26"/>
      <c r="W365" s="26"/>
      <c r="X365" s="26"/>
      <c r="Y365" s="24"/>
      <c r="Z365" s="26"/>
      <c r="AA365" s="24"/>
      <c r="AB365" s="26"/>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row>
    <row r="366" spans="1:55">
      <c r="A366" s="24"/>
      <c r="B366" s="24"/>
      <c r="C366" s="25"/>
      <c r="D366" s="26"/>
      <c r="E366" s="24"/>
      <c r="F366" s="26"/>
      <c r="G366" s="26"/>
      <c r="H366" s="26"/>
      <c r="I366" s="26"/>
      <c r="J366" s="26"/>
      <c r="K366" s="26"/>
      <c r="L366" s="26"/>
      <c r="M366" s="26"/>
      <c r="N366" s="26"/>
      <c r="O366" s="26"/>
      <c r="P366" s="26"/>
      <c r="Q366" s="26"/>
      <c r="R366" s="26"/>
      <c r="S366" s="26"/>
      <c r="T366" s="26"/>
      <c r="U366" s="26"/>
      <c r="V366" s="26"/>
      <c r="W366" s="26"/>
      <c r="X366" s="26"/>
      <c r="Y366" s="24"/>
      <c r="Z366" s="26"/>
      <c r="AA366" s="24"/>
      <c r="AB366" s="26"/>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row>
    <row r="367" spans="1:55">
      <c r="A367" s="24"/>
      <c r="B367" s="24"/>
      <c r="C367" s="25"/>
      <c r="D367" s="26"/>
      <c r="E367" s="24"/>
      <c r="F367" s="26"/>
      <c r="G367" s="26"/>
      <c r="H367" s="26"/>
      <c r="I367" s="26"/>
      <c r="J367" s="26"/>
      <c r="K367" s="26"/>
      <c r="L367" s="26"/>
      <c r="M367" s="26"/>
      <c r="N367" s="26"/>
      <c r="O367" s="26"/>
      <c r="P367" s="26"/>
      <c r="Q367" s="26"/>
      <c r="R367" s="26"/>
      <c r="S367" s="26"/>
      <c r="T367" s="26"/>
      <c r="U367" s="26"/>
      <c r="V367" s="26"/>
      <c r="W367" s="26"/>
      <c r="X367" s="26"/>
      <c r="Y367" s="24"/>
      <c r="Z367" s="26"/>
      <c r="AA367" s="24"/>
      <c r="AB367" s="26"/>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row>
    <row r="368" spans="1:55">
      <c r="A368" s="24"/>
      <c r="B368" s="24"/>
      <c r="C368" s="25"/>
      <c r="D368" s="26"/>
      <c r="E368" s="24"/>
      <c r="F368" s="26"/>
      <c r="G368" s="26"/>
      <c r="H368" s="26"/>
      <c r="I368" s="26"/>
      <c r="J368" s="26"/>
      <c r="K368" s="26"/>
      <c r="L368" s="26"/>
      <c r="M368" s="26"/>
      <c r="N368" s="26"/>
      <c r="O368" s="26"/>
      <c r="P368" s="26"/>
      <c r="Q368" s="26"/>
      <c r="R368" s="26"/>
      <c r="S368" s="26"/>
      <c r="T368" s="26"/>
      <c r="U368" s="26"/>
      <c r="V368" s="26"/>
      <c r="W368" s="26"/>
      <c r="X368" s="26"/>
      <c r="Y368" s="24"/>
      <c r="Z368" s="26"/>
      <c r="AA368" s="24"/>
      <c r="AB368" s="26"/>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row>
    <row r="369" spans="1:55">
      <c r="A369" s="24"/>
      <c r="B369" s="24"/>
      <c r="C369" s="25"/>
      <c r="D369" s="26"/>
      <c r="E369" s="24"/>
      <c r="F369" s="26"/>
      <c r="G369" s="26"/>
      <c r="H369" s="26"/>
      <c r="I369" s="26"/>
      <c r="J369" s="26"/>
      <c r="K369" s="26"/>
      <c r="L369" s="26"/>
      <c r="M369" s="26"/>
      <c r="N369" s="26"/>
      <c r="O369" s="26"/>
      <c r="P369" s="26"/>
      <c r="Q369" s="26"/>
      <c r="R369" s="26"/>
      <c r="S369" s="26"/>
      <c r="T369" s="26"/>
      <c r="U369" s="26"/>
      <c r="V369" s="26"/>
      <c r="W369" s="26"/>
      <c r="X369" s="26"/>
      <c r="Y369" s="24"/>
      <c r="Z369" s="26"/>
      <c r="AA369" s="24"/>
      <c r="AB369" s="26"/>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row>
    <row r="370" spans="1:55">
      <c r="A370" s="24"/>
      <c r="B370" s="24"/>
      <c r="C370" s="25"/>
      <c r="D370" s="26"/>
      <c r="E370" s="24"/>
      <c r="F370" s="26"/>
      <c r="G370" s="26"/>
      <c r="H370" s="26"/>
      <c r="I370" s="26"/>
      <c r="J370" s="26"/>
      <c r="K370" s="26"/>
      <c r="L370" s="26"/>
      <c r="M370" s="26"/>
      <c r="N370" s="26"/>
      <c r="O370" s="26"/>
      <c r="P370" s="26"/>
      <c r="Q370" s="26"/>
      <c r="R370" s="26"/>
      <c r="S370" s="26"/>
      <c r="T370" s="26"/>
      <c r="U370" s="26"/>
      <c r="V370" s="26"/>
      <c r="W370" s="26"/>
      <c r="X370" s="26"/>
      <c r="Y370" s="24"/>
      <c r="Z370" s="26"/>
      <c r="AA370" s="24"/>
      <c r="AB370" s="26"/>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row>
    <row r="371" spans="1:55">
      <c r="A371" s="24"/>
      <c r="B371" s="24"/>
      <c r="C371" s="25"/>
      <c r="D371" s="26"/>
      <c r="E371" s="24"/>
      <c r="F371" s="26"/>
      <c r="G371" s="26"/>
      <c r="H371" s="26"/>
      <c r="I371" s="26"/>
      <c r="J371" s="26"/>
      <c r="K371" s="26"/>
      <c r="L371" s="26"/>
      <c r="M371" s="26"/>
      <c r="N371" s="26"/>
      <c r="O371" s="26"/>
      <c r="P371" s="26"/>
      <c r="Q371" s="26"/>
      <c r="R371" s="26"/>
      <c r="S371" s="26"/>
      <c r="T371" s="26"/>
      <c r="U371" s="26"/>
      <c r="V371" s="26"/>
      <c r="W371" s="26"/>
      <c r="X371" s="26"/>
      <c r="Y371" s="24"/>
      <c r="Z371" s="26"/>
      <c r="AA371" s="24"/>
      <c r="AB371" s="26"/>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row>
    <row r="372" spans="1:55">
      <c r="A372" s="24"/>
      <c r="B372" s="24"/>
      <c r="C372" s="25"/>
      <c r="D372" s="26"/>
      <c r="E372" s="24"/>
      <c r="F372" s="26"/>
      <c r="G372" s="26"/>
      <c r="H372" s="26"/>
      <c r="I372" s="26"/>
      <c r="J372" s="26"/>
      <c r="K372" s="26"/>
      <c r="L372" s="26"/>
      <c r="M372" s="26"/>
      <c r="N372" s="26"/>
      <c r="O372" s="26"/>
      <c r="P372" s="26"/>
      <c r="Q372" s="26"/>
      <c r="R372" s="26"/>
      <c r="S372" s="26"/>
      <c r="T372" s="26"/>
      <c r="U372" s="26"/>
      <c r="V372" s="26"/>
      <c r="W372" s="26"/>
      <c r="X372" s="26"/>
      <c r="Y372" s="24"/>
      <c r="Z372" s="26"/>
      <c r="AA372" s="24"/>
      <c r="AB372" s="26"/>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row>
    <row r="373" spans="1:55">
      <c r="A373" s="24"/>
      <c r="B373" s="24"/>
      <c r="C373" s="25"/>
      <c r="D373" s="26"/>
      <c r="E373" s="24"/>
      <c r="F373" s="26"/>
      <c r="G373" s="26"/>
      <c r="H373" s="26"/>
      <c r="I373" s="26"/>
      <c r="J373" s="26"/>
      <c r="K373" s="26"/>
      <c r="L373" s="26"/>
      <c r="M373" s="26"/>
      <c r="N373" s="26"/>
      <c r="O373" s="26"/>
      <c r="P373" s="26"/>
      <c r="Q373" s="26"/>
      <c r="R373" s="26"/>
      <c r="S373" s="26"/>
      <c r="T373" s="26"/>
      <c r="U373" s="26"/>
      <c r="V373" s="26"/>
      <c r="W373" s="26"/>
      <c r="X373" s="26"/>
      <c r="Y373" s="24"/>
      <c r="Z373" s="26"/>
      <c r="AA373" s="24"/>
      <c r="AB373" s="26"/>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row>
    <row r="374" spans="1:55">
      <c r="A374" s="24"/>
      <c r="B374" s="24"/>
      <c r="C374" s="25"/>
      <c r="D374" s="26"/>
      <c r="E374" s="24"/>
      <c r="F374" s="26"/>
      <c r="G374" s="26"/>
      <c r="H374" s="26"/>
      <c r="I374" s="26"/>
      <c r="J374" s="26"/>
      <c r="K374" s="26"/>
      <c r="L374" s="26"/>
      <c r="M374" s="26"/>
      <c r="N374" s="26"/>
      <c r="O374" s="26"/>
      <c r="P374" s="26"/>
      <c r="Q374" s="26"/>
      <c r="R374" s="26"/>
      <c r="S374" s="26"/>
      <c r="T374" s="26"/>
      <c r="U374" s="26"/>
      <c r="V374" s="26"/>
      <c r="W374" s="26"/>
      <c r="X374" s="26"/>
      <c r="Y374" s="24"/>
      <c r="Z374" s="26"/>
      <c r="AA374" s="24"/>
      <c r="AB374" s="26"/>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row>
    <row r="375" spans="1:55">
      <c r="A375" s="24"/>
      <c r="B375" s="24"/>
      <c r="C375" s="25"/>
      <c r="D375" s="26"/>
      <c r="E375" s="24"/>
      <c r="F375" s="26"/>
      <c r="G375" s="26"/>
      <c r="H375" s="26"/>
      <c r="I375" s="26"/>
      <c r="J375" s="26"/>
      <c r="K375" s="26"/>
      <c r="L375" s="26"/>
      <c r="M375" s="26"/>
      <c r="N375" s="26"/>
      <c r="O375" s="26"/>
      <c r="P375" s="26"/>
      <c r="Q375" s="26"/>
      <c r="R375" s="26"/>
      <c r="S375" s="26"/>
      <c r="T375" s="26"/>
      <c r="U375" s="26"/>
      <c r="V375" s="26"/>
      <c r="W375" s="26"/>
      <c r="X375" s="26"/>
      <c r="Y375" s="24"/>
      <c r="Z375" s="26"/>
      <c r="AA375" s="24"/>
      <c r="AB375" s="26"/>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row>
    <row r="376" spans="1:55">
      <c r="A376" s="24"/>
      <c r="B376" s="24"/>
      <c r="C376" s="25"/>
      <c r="D376" s="26"/>
      <c r="E376" s="24"/>
      <c r="F376" s="26"/>
      <c r="G376" s="26"/>
      <c r="H376" s="26"/>
      <c r="I376" s="26"/>
      <c r="J376" s="26"/>
      <c r="K376" s="26"/>
      <c r="L376" s="26"/>
      <c r="M376" s="26"/>
      <c r="N376" s="26"/>
      <c r="O376" s="26"/>
      <c r="P376" s="26"/>
      <c r="Q376" s="26"/>
      <c r="R376" s="26"/>
      <c r="S376" s="26"/>
      <c r="T376" s="26"/>
      <c r="U376" s="26"/>
      <c r="V376" s="26"/>
      <c r="W376" s="26"/>
      <c r="X376" s="26"/>
      <c r="Y376" s="24"/>
      <c r="Z376" s="26"/>
      <c r="AA376" s="24"/>
      <c r="AB376" s="26"/>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row>
    <row r="377" spans="1:55">
      <c r="A377" s="24"/>
      <c r="B377" s="24"/>
      <c r="C377" s="25"/>
      <c r="D377" s="26"/>
      <c r="E377" s="24"/>
      <c r="F377" s="26"/>
      <c r="G377" s="26"/>
      <c r="H377" s="26"/>
      <c r="I377" s="26"/>
      <c r="J377" s="26"/>
      <c r="K377" s="26"/>
      <c r="L377" s="26"/>
      <c r="M377" s="26"/>
      <c r="N377" s="26"/>
      <c r="O377" s="26"/>
      <c r="P377" s="26"/>
      <c r="Q377" s="26"/>
      <c r="R377" s="26"/>
      <c r="S377" s="26"/>
      <c r="T377" s="26"/>
      <c r="U377" s="26"/>
      <c r="V377" s="26"/>
      <c r="W377" s="26"/>
      <c r="X377" s="26"/>
      <c r="Y377" s="24"/>
      <c r="Z377" s="26"/>
      <c r="AA377" s="24"/>
      <c r="AB377" s="26"/>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row>
    <row r="378" spans="1:55">
      <c r="A378" s="24"/>
      <c r="B378" s="24"/>
      <c r="C378" s="25"/>
      <c r="D378" s="26"/>
      <c r="E378" s="24"/>
      <c r="F378" s="26"/>
      <c r="G378" s="26"/>
      <c r="H378" s="26"/>
      <c r="I378" s="26"/>
      <c r="J378" s="26"/>
      <c r="K378" s="26"/>
      <c r="L378" s="26"/>
      <c r="M378" s="26"/>
      <c r="N378" s="26"/>
      <c r="O378" s="26"/>
      <c r="P378" s="26"/>
      <c r="Q378" s="26"/>
      <c r="R378" s="26"/>
      <c r="S378" s="26"/>
      <c r="T378" s="26"/>
      <c r="U378" s="26"/>
      <c r="V378" s="26"/>
      <c r="W378" s="26"/>
      <c r="X378" s="26"/>
      <c r="Y378" s="24"/>
      <c r="Z378" s="26"/>
      <c r="AA378" s="24"/>
      <c r="AB378" s="26"/>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row>
    <row r="379" spans="1:55">
      <c r="A379" s="24"/>
      <c r="B379" s="24"/>
      <c r="C379" s="25"/>
      <c r="D379" s="26"/>
      <c r="E379" s="24"/>
      <c r="F379" s="26"/>
      <c r="G379" s="26"/>
      <c r="H379" s="26"/>
      <c r="I379" s="26"/>
      <c r="J379" s="26"/>
      <c r="K379" s="26"/>
      <c r="L379" s="26"/>
      <c r="M379" s="26"/>
      <c r="N379" s="26"/>
      <c r="O379" s="26"/>
      <c r="P379" s="26"/>
      <c r="Q379" s="26"/>
      <c r="R379" s="26"/>
      <c r="S379" s="26"/>
      <c r="T379" s="26"/>
      <c r="U379" s="26"/>
      <c r="V379" s="26"/>
      <c r="W379" s="26"/>
      <c r="X379" s="26"/>
      <c r="Y379" s="24"/>
      <c r="Z379" s="26"/>
      <c r="AA379" s="24"/>
      <c r="AB379" s="26"/>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row>
    <row r="380" spans="1:55">
      <c r="A380" s="24"/>
      <c r="B380" s="24"/>
      <c r="C380" s="25"/>
      <c r="D380" s="26"/>
      <c r="E380" s="24"/>
      <c r="F380" s="26"/>
      <c r="G380" s="26"/>
      <c r="H380" s="26"/>
      <c r="I380" s="26"/>
      <c r="J380" s="26"/>
      <c r="K380" s="26"/>
      <c r="L380" s="26"/>
      <c r="M380" s="26"/>
      <c r="N380" s="26"/>
      <c r="O380" s="26"/>
      <c r="P380" s="26"/>
      <c r="Q380" s="26"/>
      <c r="R380" s="26"/>
      <c r="S380" s="26"/>
      <c r="T380" s="26"/>
      <c r="U380" s="26"/>
      <c r="V380" s="26"/>
      <c r="W380" s="26"/>
      <c r="X380" s="26"/>
      <c r="Y380" s="24"/>
      <c r="Z380" s="26"/>
      <c r="AA380" s="24"/>
      <c r="AB380" s="26"/>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row>
    <row r="381" spans="1:55">
      <c r="A381" s="24"/>
      <c r="B381" s="24"/>
      <c r="C381" s="25"/>
      <c r="D381" s="26"/>
      <c r="E381" s="24"/>
      <c r="F381" s="26"/>
      <c r="G381" s="26"/>
      <c r="H381" s="26"/>
      <c r="I381" s="26"/>
      <c r="J381" s="26"/>
      <c r="K381" s="26"/>
      <c r="L381" s="26"/>
      <c r="M381" s="26"/>
      <c r="N381" s="26"/>
      <c r="O381" s="26"/>
      <c r="P381" s="26"/>
      <c r="Q381" s="26"/>
      <c r="R381" s="26"/>
      <c r="S381" s="26"/>
      <c r="T381" s="26"/>
      <c r="U381" s="26"/>
      <c r="V381" s="26"/>
      <c r="W381" s="26"/>
      <c r="X381" s="26"/>
      <c r="Y381" s="24"/>
      <c r="Z381" s="26"/>
      <c r="AA381" s="24"/>
      <c r="AB381" s="26"/>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row>
    <row r="382" spans="1:55">
      <c r="A382" s="24"/>
      <c r="B382" s="24"/>
      <c r="C382" s="25"/>
      <c r="D382" s="26"/>
      <c r="E382" s="24"/>
      <c r="F382" s="26"/>
      <c r="G382" s="26"/>
      <c r="H382" s="26"/>
      <c r="I382" s="26"/>
      <c r="J382" s="26"/>
      <c r="K382" s="26"/>
      <c r="L382" s="26"/>
      <c r="M382" s="26"/>
      <c r="N382" s="26"/>
      <c r="O382" s="26"/>
      <c r="P382" s="26"/>
      <c r="Q382" s="26"/>
      <c r="R382" s="26"/>
      <c r="S382" s="26"/>
      <c r="T382" s="26"/>
      <c r="U382" s="26"/>
      <c r="V382" s="26"/>
      <c r="W382" s="26"/>
      <c r="X382" s="26"/>
      <c r="Y382" s="24"/>
      <c r="Z382" s="26"/>
      <c r="AA382" s="24"/>
      <c r="AB382" s="26"/>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row>
    <row r="383" spans="1:55">
      <c r="A383" s="24"/>
      <c r="B383" s="24"/>
      <c r="C383" s="25"/>
      <c r="D383" s="26"/>
      <c r="E383" s="24"/>
      <c r="F383" s="26"/>
      <c r="G383" s="26"/>
      <c r="H383" s="26"/>
      <c r="I383" s="26"/>
      <c r="J383" s="26"/>
      <c r="K383" s="26"/>
      <c r="L383" s="26"/>
      <c r="M383" s="26"/>
      <c r="N383" s="26"/>
      <c r="O383" s="26"/>
      <c r="P383" s="26"/>
      <c r="Q383" s="26"/>
      <c r="R383" s="26"/>
      <c r="S383" s="26"/>
      <c r="T383" s="26"/>
      <c r="U383" s="26"/>
      <c r="V383" s="26"/>
      <c r="W383" s="26"/>
      <c r="X383" s="26"/>
      <c r="Y383" s="24"/>
      <c r="Z383" s="26"/>
      <c r="AA383" s="24"/>
      <c r="AB383" s="26"/>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row>
    <row r="384" spans="1:55">
      <c r="A384" s="24"/>
      <c r="B384" s="24"/>
      <c r="C384" s="25"/>
      <c r="D384" s="26"/>
      <c r="E384" s="24"/>
      <c r="F384" s="26"/>
      <c r="G384" s="26"/>
      <c r="H384" s="26"/>
      <c r="I384" s="26"/>
      <c r="J384" s="26"/>
      <c r="K384" s="26"/>
      <c r="L384" s="26"/>
      <c r="M384" s="26"/>
      <c r="N384" s="26"/>
      <c r="O384" s="26"/>
      <c r="P384" s="26"/>
      <c r="Q384" s="26"/>
      <c r="R384" s="26"/>
      <c r="S384" s="26"/>
      <c r="T384" s="26"/>
      <c r="U384" s="26"/>
      <c r="V384" s="26"/>
      <c r="W384" s="26"/>
      <c r="X384" s="26"/>
      <c r="Y384" s="24"/>
      <c r="Z384" s="26"/>
      <c r="AA384" s="24"/>
      <c r="AB384" s="26"/>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row>
    <row r="385" spans="1:55">
      <c r="A385" s="24"/>
      <c r="B385" s="24"/>
      <c r="C385" s="25"/>
      <c r="D385" s="26"/>
      <c r="E385" s="24"/>
      <c r="F385" s="26"/>
      <c r="G385" s="26"/>
      <c r="H385" s="26"/>
      <c r="I385" s="26"/>
      <c r="J385" s="26"/>
      <c r="K385" s="26"/>
      <c r="L385" s="26"/>
      <c r="M385" s="26"/>
      <c r="N385" s="26"/>
      <c r="O385" s="26"/>
      <c r="P385" s="26"/>
      <c r="Q385" s="26"/>
      <c r="R385" s="26"/>
      <c r="S385" s="26"/>
      <c r="T385" s="26"/>
      <c r="U385" s="26"/>
      <c r="V385" s="26"/>
      <c r="W385" s="26"/>
      <c r="X385" s="26"/>
      <c r="Y385" s="24"/>
      <c r="Z385" s="26"/>
      <c r="AA385" s="24"/>
      <c r="AB385" s="26"/>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row>
    <row r="386" spans="1:55">
      <c r="A386" s="24"/>
      <c r="B386" s="24"/>
      <c r="C386" s="25"/>
      <c r="D386" s="26"/>
      <c r="E386" s="24"/>
      <c r="F386" s="26"/>
      <c r="G386" s="26"/>
      <c r="H386" s="26"/>
      <c r="I386" s="26"/>
      <c r="J386" s="26"/>
      <c r="K386" s="26"/>
      <c r="L386" s="26"/>
      <c r="M386" s="26"/>
      <c r="N386" s="26"/>
      <c r="O386" s="26"/>
      <c r="P386" s="26"/>
      <c r="Q386" s="26"/>
      <c r="R386" s="26"/>
      <c r="S386" s="26"/>
      <c r="T386" s="26"/>
      <c r="U386" s="26"/>
      <c r="V386" s="26"/>
      <c r="W386" s="26"/>
      <c r="X386" s="26"/>
      <c r="Y386" s="24"/>
      <c r="Z386" s="26"/>
      <c r="AA386" s="24"/>
      <c r="AB386" s="26"/>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row>
    <row r="387" spans="1:55">
      <c r="A387" s="24"/>
      <c r="B387" s="24"/>
      <c r="C387" s="25"/>
      <c r="D387" s="26"/>
      <c r="E387" s="24"/>
      <c r="F387" s="26"/>
      <c r="G387" s="26"/>
      <c r="H387" s="26"/>
      <c r="I387" s="26"/>
      <c r="J387" s="26"/>
      <c r="K387" s="26"/>
      <c r="L387" s="26"/>
      <c r="M387" s="26"/>
      <c r="N387" s="26"/>
      <c r="O387" s="26"/>
      <c r="P387" s="26"/>
      <c r="Q387" s="26"/>
      <c r="R387" s="26"/>
      <c r="S387" s="26"/>
      <c r="T387" s="26"/>
      <c r="U387" s="26"/>
      <c r="V387" s="26"/>
      <c r="W387" s="26"/>
      <c r="X387" s="26"/>
      <c r="Y387" s="24"/>
      <c r="Z387" s="26"/>
      <c r="AA387" s="24"/>
      <c r="AB387" s="26"/>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row>
    <row r="388" spans="1:55">
      <c r="A388" s="24"/>
      <c r="B388" s="24"/>
      <c r="C388" s="25"/>
      <c r="D388" s="26"/>
      <c r="E388" s="24"/>
      <c r="F388" s="26"/>
      <c r="G388" s="26"/>
      <c r="H388" s="26"/>
      <c r="I388" s="26"/>
      <c r="J388" s="26"/>
      <c r="K388" s="26"/>
      <c r="L388" s="26"/>
      <c r="M388" s="26"/>
      <c r="N388" s="26"/>
      <c r="O388" s="26"/>
      <c r="P388" s="26"/>
      <c r="Q388" s="26"/>
      <c r="R388" s="26"/>
      <c r="S388" s="26"/>
      <c r="T388" s="26"/>
      <c r="U388" s="26"/>
      <c r="V388" s="26"/>
      <c r="W388" s="26"/>
      <c r="X388" s="26"/>
      <c r="Y388" s="24"/>
      <c r="Z388" s="26"/>
      <c r="AA388" s="24"/>
      <c r="AB388" s="26"/>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row>
    <row r="389" spans="1:55">
      <c r="A389" s="24"/>
      <c r="B389" s="24"/>
      <c r="C389" s="25"/>
      <c r="D389" s="26"/>
      <c r="E389" s="24"/>
      <c r="F389" s="26"/>
      <c r="G389" s="26"/>
      <c r="H389" s="26"/>
      <c r="I389" s="26"/>
      <c r="J389" s="26"/>
      <c r="K389" s="26"/>
      <c r="L389" s="26"/>
      <c r="M389" s="26"/>
      <c r="N389" s="26"/>
      <c r="O389" s="26"/>
      <c r="P389" s="26"/>
      <c r="Q389" s="26"/>
      <c r="R389" s="26"/>
      <c r="S389" s="26"/>
      <c r="T389" s="26"/>
      <c r="U389" s="26"/>
      <c r="V389" s="26"/>
      <c r="W389" s="26"/>
      <c r="X389" s="26"/>
      <c r="Y389" s="24"/>
      <c r="Z389" s="26"/>
      <c r="AA389" s="24"/>
      <c r="AB389" s="26"/>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row>
    <row r="390" spans="1:55">
      <c r="A390" s="24"/>
      <c r="B390" s="24"/>
      <c r="C390" s="25"/>
      <c r="D390" s="26"/>
      <c r="E390" s="24"/>
      <c r="F390" s="26"/>
      <c r="G390" s="26"/>
      <c r="H390" s="26"/>
      <c r="I390" s="26"/>
      <c r="J390" s="26"/>
      <c r="K390" s="26"/>
      <c r="L390" s="26"/>
      <c r="M390" s="26"/>
      <c r="N390" s="26"/>
      <c r="O390" s="26"/>
      <c r="P390" s="26"/>
      <c r="Q390" s="26"/>
      <c r="R390" s="26"/>
      <c r="S390" s="26"/>
      <c r="T390" s="26"/>
      <c r="U390" s="26"/>
      <c r="V390" s="26"/>
      <c r="W390" s="26"/>
      <c r="X390" s="26"/>
      <c r="Y390" s="24"/>
      <c r="Z390" s="26"/>
      <c r="AA390" s="24"/>
      <c r="AB390" s="26"/>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row>
    <row r="391" spans="1:55">
      <c r="A391" s="24"/>
      <c r="B391" s="24"/>
      <c r="C391" s="25"/>
      <c r="D391" s="26"/>
      <c r="E391" s="24"/>
      <c r="F391" s="26"/>
      <c r="G391" s="26"/>
      <c r="H391" s="26"/>
      <c r="I391" s="26"/>
      <c r="J391" s="26"/>
      <c r="K391" s="26"/>
      <c r="L391" s="26"/>
      <c r="M391" s="26"/>
      <c r="N391" s="26"/>
      <c r="O391" s="26"/>
      <c r="P391" s="26"/>
      <c r="Q391" s="26"/>
      <c r="R391" s="26"/>
      <c r="S391" s="26"/>
      <c r="T391" s="26"/>
      <c r="U391" s="26"/>
      <c r="V391" s="26"/>
      <c r="W391" s="26"/>
      <c r="X391" s="26"/>
      <c r="Y391" s="24"/>
      <c r="Z391" s="26"/>
      <c r="AA391" s="24"/>
      <c r="AB391" s="26"/>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row>
    <row r="392" spans="1:55">
      <c r="A392" s="24"/>
      <c r="B392" s="24"/>
      <c r="C392" s="25"/>
      <c r="D392" s="26"/>
      <c r="E392" s="24"/>
      <c r="F392" s="26"/>
      <c r="G392" s="26"/>
      <c r="H392" s="26"/>
      <c r="I392" s="26"/>
      <c r="J392" s="26"/>
      <c r="K392" s="26"/>
      <c r="L392" s="26"/>
      <c r="M392" s="26"/>
      <c r="N392" s="26"/>
      <c r="O392" s="26"/>
      <c r="P392" s="26"/>
      <c r="Q392" s="26"/>
      <c r="R392" s="26"/>
      <c r="S392" s="26"/>
      <c r="T392" s="26"/>
      <c r="U392" s="26"/>
      <c r="V392" s="26"/>
      <c r="W392" s="26"/>
      <c r="X392" s="26"/>
      <c r="Y392" s="24"/>
      <c r="Z392" s="26"/>
      <c r="AA392" s="24"/>
      <c r="AB392" s="26"/>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row>
    <row r="393" spans="1:55">
      <c r="A393" s="24"/>
      <c r="B393" s="24"/>
      <c r="C393" s="25"/>
      <c r="D393" s="26"/>
      <c r="E393" s="24"/>
      <c r="F393" s="26"/>
      <c r="G393" s="26"/>
      <c r="H393" s="26"/>
      <c r="I393" s="26"/>
      <c r="J393" s="26"/>
      <c r="K393" s="26"/>
      <c r="L393" s="26"/>
      <c r="M393" s="26"/>
      <c r="N393" s="26"/>
      <c r="O393" s="26"/>
      <c r="P393" s="26"/>
      <c r="Q393" s="26"/>
      <c r="R393" s="26"/>
      <c r="S393" s="26"/>
      <c r="T393" s="26"/>
      <c r="U393" s="26"/>
      <c r="V393" s="26"/>
      <c r="W393" s="26"/>
      <c r="X393" s="26"/>
      <c r="Y393" s="24"/>
      <c r="Z393" s="26"/>
      <c r="AA393" s="24"/>
      <c r="AB393" s="26"/>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row>
    <row r="394" spans="1:55">
      <c r="A394" s="24"/>
      <c r="B394" s="24"/>
      <c r="C394" s="25"/>
      <c r="D394" s="26"/>
      <c r="E394" s="24"/>
      <c r="F394" s="26"/>
      <c r="G394" s="26"/>
      <c r="H394" s="26"/>
      <c r="I394" s="26"/>
      <c r="J394" s="26"/>
      <c r="K394" s="26"/>
      <c r="L394" s="26"/>
      <c r="M394" s="26"/>
      <c r="N394" s="26"/>
      <c r="O394" s="26"/>
      <c r="P394" s="26"/>
      <c r="Q394" s="26"/>
      <c r="R394" s="26"/>
      <c r="S394" s="26"/>
      <c r="T394" s="26"/>
      <c r="U394" s="26"/>
      <c r="V394" s="26"/>
      <c r="W394" s="26"/>
      <c r="X394" s="26"/>
      <c r="Y394" s="24"/>
      <c r="Z394" s="26"/>
      <c r="AA394" s="24"/>
      <c r="AB394" s="26"/>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row>
    <row r="395" spans="1:55">
      <c r="A395" s="24"/>
      <c r="B395" s="24"/>
      <c r="C395" s="25"/>
      <c r="D395" s="26"/>
      <c r="E395" s="24"/>
      <c r="F395" s="26"/>
      <c r="G395" s="26"/>
      <c r="H395" s="26"/>
      <c r="I395" s="26"/>
      <c r="J395" s="26"/>
      <c r="K395" s="26"/>
      <c r="L395" s="26"/>
      <c r="M395" s="26"/>
      <c r="N395" s="26"/>
      <c r="O395" s="26"/>
      <c r="P395" s="26"/>
      <c r="Q395" s="26"/>
      <c r="R395" s="26"/>
      <c r="S395" s="26"/>
      <c r="T395" s="26"/>
      <c r="U395" s="26"/>
      <c r="V395" s="26"/>
      <c r="W395" s="26"/>
      <c r="X395" s="26"/>
      <c r="Y395" s="24"/>
      <c r="Z395" s="26"/>
      <c r="AA395" s="24"/>
      <c r="AB395" s="26"/>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row>
    <row r="396" spans="1:55">
      <c r="A396" s="24"/>
      <c r="B396" s="24"/>
      <c r="C396" s="25"/>
      <c r="D396" s="26"/>
      <c r="E396" s="24"/>
      <c r="F396" s="26"/>
      <c r="G396" s="26"/>
      <c r="H396" s="26"/>
      <c r="I396" s="26"/>
      <c r="J396" s="26"/>
      <c r="K396" s="26"/>
      <c r="L396" s="26"/>
      <c r="M396" s="26"/>
      <c r="N396" s="26"/>
      <c r="O396" s="26"/>
      <c r="P396" s="26"/>
      <c r="Q396" s="26"/>
      <c r="R396" s="26"/>
      <c r="S396" s="26"/>
      <c r="T396" s="26"/>
      <c r="U396" s="26"/>
      <c r="V396" s="26"/>
      <c r="W396" s="26"/>
      <c r="X396" s="26"/>
      <c r="Y396" s="24"/>
      <c r="Z396" s="26"/>
      <c r="AA396" s="24"/>
      <c r="AB396" s="26"/>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row>
    <row r="397" spans="1:55">
      <c r="A397" s="24"/>
      <c r="B397" s="24"/>
      <c r="C397" s="25"/>
      <c r="D397" s="26"/>
      <c r="E397" s="24"/>
      <c r="F397" s="26"/>
      <c r="G397" s="26"/>
      <c r="H397" s="26"/>
      <c r="I397" s="26"/>
      <c r="J397" s="26"/>
      <c r="K397" s="26"/>
      <c r="L397" s="26"/>
      <c r="M397" s="26"/>
      <c r="N397" s="26"/>
      <c r="O397" s="26"/>
      <c r="P397" s="26"/>
      <c r="Q397" s="26"/>
      <c r="R397" s="26"/>
      <c r="S397" s="26"/>
      <c r="T397" s="26"/>
      <c r="U397" s="26"/>
      <c r="V397" s="26"/>
      <c r="W397" s="26"/>
      <c r="X397" s="26"/>
      <c r="Y397" s="24"/>
      <c r="Z397" s="26"/>
      <c r="AA397" s="24"/>
      <c r="AB397" s="26"/>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row>
    <row r="398" spans="1:55">
      <c r="A398" s="24"/>
      <c r="B398" s="24"/>
      <c r="C398" s="25"/>
      <c r="D398" s="26"/>
      <c r="E398" s="24"/>
      <c r="F398" s="26"/>
      <c r="G398" s="26"/>
      <c r="H398" s="26"/>
      <c r="I398" s="26"/>
      <c r="J398" s="26"/>
      <c r="K398" s="26"/>
      <c r="L398" s="26"/>
      <c r="M398" s="26"/>
      <c r="N398" s="26"/>
      <c r="O398" s="26"/>
      <c r="P398" s="26"/>
      <c r="Q398" s="26"/>
      <c r="R398" s="26"/>
      <c r="S398" s="26"/>
      <c r="T398" s="26"/>
      <c r="U398" s="26"/>
      <c r="V398" s="26"/>
      <c r="W398" s="26"/>
      <c r="X398" s="26"/>
      <c r="Y398" s="24"/>
      <c r="Z398" s="26"/>
      <c r="AA398" s="24"/>
      <c r="AB398" s="26"/>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row>
    <row r="399" spans="1:55">
      <c r="A399" s="24"/>
      <c r="B399" s="24"/>
      <c r="C399" s="25"/>
      <c r="D399" s="26"/>
      <c r="E399" s="24"/>
      <c r="F399" s="26"/>
      <c r="G399" s="26"/>
      <c r="H399" s="26"/>
      <c r="I399" s="26"/>
      <c r="J399" s="26"/>
      <c r="K399" s="26"/>
      <c r="L399" s="26"/>
      <c r="M399" s="26"/>
      <c r="N399" s="26"/>
      <c r="O399" s="26"/>
      <c r="P399" s="26"/>
      <c r="Q399" s="26"/>
      <c r="R399" s="26"/>
      <c r="S399" s="26"/>
      <c r="T399" s="26"/>
      <c r="U399" s="26"/>
      <c r="V399" s="26"/>
      <c r="W399" s="26"/>
      <c r="X399" s="26"/>
      <c r="Y399" s="24"/>
      <c r="Z399" s="26"/>
      <c r="AA399" s="24"/>
      <c r="AB399" s="26"/>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row>
    <row r="400" spans="1:55">
      <c r="A400" s="24"/>
      <c r="B400" s="24"/>
      <c r="C400" s="25"/>
      <c r="D400" s="26"/>
      <c r="E400" s="24"/>
      <c r="F400" s="26"/>
      <c r="G400" s="26"/>
      <c r="H400" s="26"/>
      <c r="I400" s="26"/>
      <c r="J400" s="26"/>
      <c r="K400" s="26"/>
      <c r="L400" s="26"/>
      <c r="M400" s="26"/>
      <c r="N400" s="26"/>
      <c r="O400" s="26"/>
      <c r="P400" s="26"/>
      <c r="Q400" s="26"/>
      <c r="R400" s="26"/>
      <c r="S400" s="26"/>
      <c r="T400" s="26"/>
      <c r="U400" s="26"/>
      <c r="V400" s="26"/>
      <c r="W400" s="26"/>
      <c r="X400" s="26"/>
      <c r="Y400" s="24"/>
      <c r="Z400" s="26"/>
      <c r="AA400" s="24"/>
      <c r="AB400" s="26"/>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row>
    <row r="401" spans="1:55">
      <c r="A401" s="24"/>
      <c r="B401" s="24"/>
      <c r="C401" s="25"/>
      <c r="D401" s="26"/>
      <c r="E401" s="24"/>
      <c r="F401" s="26"/>
      <c r="G401" s="26"/>
      <c r="H401" s="26"/>
      <c r="I401" s="26"/>
      <c r="J401" s="26"/>
      <c r="K401" s="26"/>
      <c r="L401" s="26"/>
      <c r="M401" s="26"/>
      <c r="N401" s="26"/>
      <c r="O401" s="26"/>
      <c r="P401" s="26"/>
      <c r="Q401" s="26"/>
      <c r="R401" s="26"/>
      <c r="S401" s="26"/>
      <c r="T401" s="26"/>
      <c r="U401" s="26"/>
      <c r="V401" s="26"/>
      <c r="W401" s="26"/>
      <c r="X401" s="26"/>
      <c r="Y401" s="24"/>
      <c r="Z401" s="26"/>
      <c r="AA401" s="24"/>
      <c r="AB401" s="26"/>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row>
    <row r="402" spans="1:55">
      <c r="A402" s="24"/>
      <c r="B402" s="24"/>
      <c r="C402" s="25"/>
      <c r="D402" s="26"/>
      <c r="E402" s="24"/>
      <c r="F402" s="26"/>
      <c r="G402" s="26"/>
      <c r="H402" s="26"/>
      <c r="I402" s="26"/>
      <c r="J402" s="26"/>
      <c r="K402" s="26"/>
      <c r="L402" s="26"/>
      <c r="M402" s="26"/>
      <c r="N402" s="26"/>
      <c r="O402" s="26"/>
      <c r="P402" s="26"/>
      <c r="Q402" s="26"/>
      <c r="R402" s="26"/>
      <c r="S402" s="26"/>
      <c r="T402" s="26"/>
      <c r="U402" s="26"/>
      <c r="V402" s="26"/>
      <c r="W402" s="26"/>
      <c r="X402" s="26"/>
      <c r="Y402" s="24"/>
      <c r="Z402" s="26"/>
      <c r="AA402" s="24"/>
      <c r="AB402" s="26"/>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row>
    <row r="403" spans="1:55">
      <c r="A403" s="24"/>
      <c r="B403" s="24"/>
      <c r="C403" s="25"/>
      <c r="D403" s="26"/>
      <c r="E403" s="24"/>
      <c r="F403" s="26"/>
      <c r="G403" s="26"/>
      <c r="H403" s="26"/>
      <c r="I403" s="26"/>
      <c r="J403" s="26"/>
      <c r="K403" s="26"/>
      <c r="L403" s="26"/>
      <c r="M403" s="26"/>
      <c r="N403" s="26"/>
      <c r="O403" s="26"/>
      <c r="P403" s="26"/>
      <c r="Q403" s="26"/>
      <c r="R403" s="26"/>
      <c r="S403" s="26"/>
      <c r="T403" s="26"/>
      <c r="U403" s="26"/>
      <c r="V403" s="26"/>
      <c r="W403" s="26"/>
      <c r="X403" s="26"/>
      <c r="Y403" s="24"/>
      <c r="Z403" s="26"/>
      <c r="AA403" s="24"/>
      <c r="AB403" s="26"/>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row>
    <row r="404" spans="1:55">
      <c r="A404" s="24"/>
      <c r="B404" s="24"/>
      <c r="C404" s="25"/>
      <c r="D404" s="26"/>
      <c r="E404" s="24"/>
      <c r="F404" s="26"/>
      <c r="G404" s="26"/>
      <c r="H404" s="26"/>
      <c r="I404" s="26"/>
      <c r="J404" s="26"/>
      <c r="K404" s="26"/>
      <c r="L404" s="26"/>
      <c r="M404" s="26"/>
      <c r="N404" s="26"/>
      <c r="O404" s="26"/>
      <c r="P404" s="26"/>
      <c r="Q404" s="26"/>
      <c r="R404" s="26"/>
      <c r="S404" s="26"/>
      <c r="T404" s="26"/>
      <c r="U404" s="26"/>
      <c r="V404" s="26"/>
      <c r="W404" s="26"/>
      <c r="X404" s="26"/>
      <c r="Y404" s="24"/>
      <c r="Z404" s="26"/>
      <c r="AA404" s="24"/>
      <c r="AB404" s="26"/>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row>
    <row r="405" spans="1:55">
      <c r="A405" s="24"/>
      <c r="B405" s="24"/>
      <c r="C405" s="25"/>
      <c r="D405" s="26"/>
      <c r="E405" s="24"/>
      <c r="F405" s="26"/>
      <c r="G405" s="26"/>
      <c r="H405" s="26"/>
      <c r="I405" s="26"/>
      <c r="J405" s="26"/>
      <c r="K405" s="26"/>
      <c r="L405" s="26"/>
      <c r="M405" s="26"/>
      <c r="N405" s="26"/>
      <c r="O405" s="26"/>
      <c r="P405" s="26"/>
      <c r="Q405" s="26"/>
      <c r="R405" s="26"/>
      <c r="S405" s="26"/>
      <c r="T405" s="26"/>
      <c r="U405" s="26"/>
      <c r="V405" s="26"/>
      <c r="W405" s="26"/>
      <c r="X405" s="26"/>
      <c r="Y405" s="24"/>
      <c r="Z405" s="26"/>
      <c r="AA405" s="24"/>
      <c r="AB405" s="26"/>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row>
    <row r="406" spans="1:55">
      <c r="A406" s="24"/>
      <c r="B406" s="24"/>
      <c r="C406" s="25"/>
      <c r="D406" s="26"/>
      <c r="E406" s="24"/>
      <c r="F406" s="26"/>
      <c r="G406" s="26"/>
      <c r="H406" s="26"/>
      <c r="I406" s="26"/>
      <c r="J406" s="26"/>
      <c r="K406" s="26"/>
      <c r="L406" s="26"/>
      <c r="M406" s="26"/>
      <c r="N406" s="26"/>
      <c r="O406" s="26"/>
      <c r="P406" s="26"/>
      <c r="Q406" s="26"/>
      <c r="R406" s="26"/>
      <c r="S406" s="26"/>
      <c r="T406" s="26"/>
      <c r="U406" s="26"/>
      <c r="V406" s="26"/>
      <c r="W406" s="26"/>
      <c r="X406" s="26"/>
      <c r="Y406" s="24"/>
      <c r="Z406" s="26"/>
      <c r="AA406" s="24"/>
      <c r="AB406" s="26"/>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row>
    <row r="407" spans="1:55">
      <c r="A407" s="24"/>
      <c r="B407" s="24"/>
      <c r="C407" s="25"/>
      <c r="D407" s="26"/>
      <c r="E407" s="24"/>
      <c r="F407" s="26"/>
      <c r="G407" s="26"/>
      <c r="H407" s="26"/>
      <c r="I407" s="26"/>
      <c r="J407" s="26"/>
      <c r="K407" s="26"/>
      <c r="L407" s="26"/>
      <c r="M407" s="26"/>
      <c r="N407" s="26"/>
      <c r="O407" s="26"/>
      <c r="P407" s="26"/>
      <c r="Q407" s="26"/>
      <c r="R407" s="26"/>
      <c r="S407" s="26"/>
      <c r="T407" s="26"/>
      <c r="U407" s="26"/>
      <c r="V407" s="26"/>
      <c r="W407" s="26"/>
      <c r="X407" s="26"/>
      <c r="Y407" s="24"/>
      <c r="Z407" s="26"/>
      <c r="AA407" s="24"/>
      <c r="AB407" s="26"/>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row>
    <row r="408" spans="1:55">
      <c r="A408" s="24"/>
      <c r="B408" s="24"/>
      <c r="C408" s="25"/>
      <c r="D408" s="26"/>
      <c r="E408" s="24"/>
      <c r="F408" s="26"/>
      <c r="G408" s="26"/>
      <c r="H408" s="26"/>
      <c r="I408" s="26"/>
      <c r="J408" s="26"/>
      <c r="K408" s="26"/>
      <c r="L408" s="26"/>
      <c r="M408" s="26"/>
      <c r="N408" s="26"/>
      <c r="O408" s="26"/>
      <c r="P408" s="26"/>
      <c r="Q408" s="26"/>
      <c r="R408" s="26"/>
      <c r="S408" s="26"/>
      <c r="T408" s="26"/>
      <c r="U408" s="26"/>
      <c r="V408" s="26"/>
      <c r="W408" s="26"/>
      <c r="X408" s="26"/>
      <c r="Y408" s="24"/>
      <c r="Z408" s="26"/>
      <c r="AA408" s="24"/>
      <c r="AB408" s="26"/>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row>
    <row r="409" spans="1:55">
      <c r="A409" s="24"/>
      <c r="B409" s="24"/>
      <c r="C409" s="25"/>
      <c r="D409" s="26"/>
      <c r="E409" s="24"/>
      <c r="F409" s="26"/>
      <c r="G409" s="26"/>
      <c r="H409" s="26"/>
      <c r="I409" s="26"/>
      <c r="J409" s="26"/>
      <c r="K409" s="26"/>
      <c r="L409" s="26"/>
      <c r="M409" s="26"/>
      <c r="N409" s="26"/>
      <c r="O409" s="26"/>
      <c r="P409" s="26"/>
      <c r="Q409" s="26"/>
      <c r="R409" s="26"/>
      <c r="S409" s="26"/>
      <c r="T409" s="26"/>
      <c r="U409" s="26"/>
      <c r="V409" s="26"/>
      <c r="W409" s="26"/>
      <c r="X409" s="26"/>
      <c r="Y409" s="24"/>
      <c r="Z409" s="26"/>
      <c r="AA409" s="24"/>
      <c r="AB409" s="26"/>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row>
    <row r="410" spans="1:55">
      <c r="A410" s="24"/>
      <c r="B410" s="24"/>
      <c r="C410" s="25"/>
      <c r="D410" s="26"/>
      <c r="E410" s="24"/>
      <c r="F410" s="26"/>
      <c r="G410" s="26"/>
      <c r="H410" s="26"/>
      <c r="I410" s="26"/>
      <c r="J410" s="26"/>
      <c r="K410" s="26"/>
      <c r="L410" s="26"/>
      <c r="M410" s="26"/>
      <c r="N410" s="26"/>
      <c r="O410" s="26"/>
      <c r="P410" s="26"/>
      <c r="Q410" s="26"/>
      <c r="R410" s="26"/>
      <c r="S410" s="26"/>
      <c r="T410" s="26"/>
      <c r="U410" s="26"/>
      <c r="V410" s="26"/>
      <c r="W410" s="26"/>
      <c r="X410" s="26"/>
      <c r="Y410" s="24"/>
      <c r="Z410" s="26"/>
      <c r="AA410" s="24"/>
      <c r="AB410" s="26"/>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row>
    <row r="411" spans="1:55">
      <c r="A411" s="24"/>
      <c r="B411" s="24"/>
      <c r="C411" s="25"/>
      <c r="D411" s="26"/>
      <c r="E411" s="24"/>
      <c r="F411" s="26"/>
      <c r="G411" s="26"/>
      <c r="H411" s="26"/>
      <c r="I411" s="26"/>
      <c r="J411" s="26"/>
      <c r="K411" s="26"/>
      <c r="L411" s="26"/>
      <c r="M411" s="26"/>
      <c r="N411" s="26"/>
      <c r="O411" s="26"/>
      <c r="P411" s="26"/>
      <c r="Q411" s="26"/>
      <c r="R411" s="26"/>
      <c r="S411" s="26"/>
      <c r="T411" s="26"/>
      <c r="U411" s="26"/>
      <c r="V411" s="26"/>
      <c r="W411" s="26"/>
      <c r="X411" s="26"/>
      <c r="Y411" s="24"/>
      <c r="Z411" s="26"/>
      <c r="AA411" s="24"/>
      <c r="AB411" s="26"/>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row>
    <row r="412" spans="1:55">
      <c r="A412" s="24"/>
      <c r="B412" s="24"/>
      <c r="C412" s="25"/>
      <c r="D412" s="26"/>
      <c r="E412" s="24"/>
      <c r="F412" s="26"/>
      <c r="G412" s="26"/>
      <c r="H412" s="26"/>
      <c r="I412" s="26"/>
      <c r="J412" s="26"/>
      <c r="K412" s="26"/>
      <c r="L412" s="26"/>
      <c r="M412" s="26"/>
      <c r="N412" s="26"/>
      <c r="O412" s="26"/>
      <c r="P412" s="26"/>
      <c r="Q412" s="26"/>
      <c r="R412" s="26"/>
      <c r="S412" s="26"/>
      <c r="T412" s="26"/>
      <c r="U412" s="26"/>
      <c r="V412" s="26"/>
      <c r="W412" s="26"/>
      <c r="X412" s="26"/>
      <c r="Y412" s="24"/>
      <c r="Z412" s="26"/>
      <c r="AA412" s="24"/>
      <c r="AB412" s="26"/>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row>
    <row r="413" spans="1:55">
      <c r="A413" s="24"/>
      <c r="B413" s="24"/>
      <c r="C413" s="25"/>
      <c r="D413" s="26"/>
      <c r="E413" s="24"/>
      <c r="F413" s="26"/>
      <c r="G413" s="26"/>
      <c r="H413" s="26"/>
      <c r="I413" s="26"/>
      <c r="J413" s="26"/>
      <c r="K413" s="26"/>
      <c r="L413" s="26"/>
      <c r="M413" s="26"/>
      <c r="N413" s="26"/>
      <c r="O413" s="26"/>
      <c r="P413" s="26"/>
      <c r="Q413" s="26"/>
      <c r="R413" s="26"/>
      <c r="S413" s="26"/>
      <c r="T413" s="26"/>
      <c r="U413" s="26"/>
      <c r="V413" s="26"/>
      <c r="W413" s="26"/>
      <c r="X413" s="26"/>
      <c r="Y413" s="24"/>
      <c r="Z413" s="26"/>
      <c r="AA413" s="24"/>
      <c r="AB413" s="26"/>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row>
    <row r="414" spans="1:55">
      <c r="A414" s="24"/>
      <c r="B414" s="24"/>
      <c r="C414" s="25"/>
      <c r="D414" s="26"/>
      <c r="E414" s="24"/>
      <c r="F414" s="26"/>
      <c r="G414" s="26"/>
      <c r="H414" s="26"/>
      <c r="I414" s="26"/>
      <c r="J414" s="26"/>
      <c r="K414" s="26"/>
      <c r="L414" s="26"/>
      <c r="M414" s="26"/>
      <c r="N414" s="26"/>
      <c r="O414" s="26"/>
      <c r="P414" s="26"/>
      <c r="Q414" s="26"/>
      <c r="R414" s="26"/>
      <c r="S414" s="26"/>
      <c r="T414" s="26"/>
      <c r="U414" s="26"/>
      <c r="V414" s="26"/>
      <c r="W414" s="26"/>
      <c r="X414" s="26"/>
      <c r="Y414" s="24"/>
      <c r="Z414" s="26"/>
      <c r="AA414" s="24"/>
      <c r="AB414" s="26"/>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row>
    <row r="415" spans="1:55">
      <c r="A415" s="24"/>
      <c r="B415" s="24"/>
      <c r="C415" s="25"/>
      <c r="D415" s="26"/>
      <c r="E415" s="24"/>
      <c r="F415" s="26"/>
      <c r="G415" s="26"/>
      <c r="H415" s="26"/>
      <c r="I415" s="26"/>
      <c r="J415" s="26"/>
      <c r="K415" s="26"/>
      <c r="L415" s="26"/>
      <c r="M415" s="26"/>
      <c r="N415" s="26"/>
      <c r="O415" s="26"/>
      <c r="P415" s="26"/>
      <c r="Q415" s="26"/>
      <c r="R415" s="26"/>
      <c r="S415" s="26"/>
      <c r="T415" s="26"/>
      <c r="U415" s="26"/>
      <c r="V415" s="26"/>
      <c r="W415" s="26"/>
      <c r="X415" s="26"/>
      <c r="Y415" s="24"/>
      <c r="Z415" s="26"/>
      <c r="AA415" s="24"/>
      <c r="AB415" s="26"/>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row>
    <row r="416" spans="1:55">
      <c r="A416" s="24"/>
      <c r="B416" s="24"/>
      <c r="C416" s="25"/>
      <c r="D416" s="26"/>
      <c r="E416" s="24"/>
      <c r="F416" s="26"/>
      <c r="G416" s="26"/>
      <c r="H416" s="26"/>
      <c r="I416" s="26"/>
      <c r="J416" s="26"/>
      <c r="K416" s="26"/>
      <c r="L416" s="26"/>
      <c r="M416" s="26"/>
      <c r="N416" s="26"/>
      <c r="O416" s="26"/>
      <c r="P416" s="26"/>
      <c r="Q416" s="26"/>
      <c r="R416" s="26"/>
      <c r="S416" s="26"/>
      <c r="T416" s="26"/>
      <c r="U416" s="26"/>
      <c r="V416" s="26"/>
      <c r="W416" s="26"/>
      <c r="X416" s="26"/>
      <c r="Y416" s="24"/>
      <c r="Z416" s="26"/>
      <c r="AA416" s="24"/>
      <c r="AB416" s="26"/>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row>
    <row r="417" spans="1:55">
      <c r="A417" s="24"/>
      <c r="B417" s="24"/>
      <c r="C417" s="25"/>
      <c r="D417" s="26"/>
      <c r="E417" s="24"/>
      <c r="F417" s="26"/>
      <c r="G417" s="26"/>
      <c r="H417" s="26"/>
      <c r="I417" s="26"/>
      <c r="J417" s="26"/>
      <c r="K417" s="26"/>
      <c r="L417" s="26"/>
      <c r="M417" s="26"/>
      <c r="N417" s="26"/>
      <c r="O417" s="26"/>
      <c r="P417" s="26"/>
      <c r="Q417" s="26"/>
      <c r="R417" s="26"/>
      <c r="S417" s="26"/>
      <c r="T417" s="26"/>
      <c r="U417" s="26"/>
      <c r="V417" s="26"/>
      <c r="W417" s="26"/>
      <c r="X417" s="26"/>
      <c r="Y417" s="24"/>
      <c r="Z417" s="26"/>
      <c r="AA417" s="24"/>
      <c r="AB417" s="26"/>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row>
    <row r="418" spans="1:55">
      <c r="A418" s="24"/>
      <c r="B418" s="24"/>
      <c r="C418" s="25"/>
      <c r="D418" s="26"/>
      <c r="E418" s="24"/>
      <c r="F418" s="26"/>
      <c r="G418" s="26"/>
      <c r="H418" s="26"/>
      <c r="I418" s="26"/>
      <c r="J418" s="26"/>
      <c r="K418" s="26"/>
      <c r="L418" s="26"/>
      <c r="M418" s="26"/>
      <c r="N418" s="26"/>
      <c r="O418" s="26"/>
      <c r="P418" s="26"/>
      <c r="Q418" s="26"/>
      <c r="R418" s="26"/>
      <c r="S418" s="26"/>
      <c r="T418" s="26"/>
      <c r="U418" s="26"/>
      <c r="V418" s="26"/>
      <c r="W418" s="26"/>
      <c r="X418" s="26"/>
      <c r="Y418" s="24"/>
      <c r="Z418" s="26"/>
      <c r="AA418" s="24"/>
      <c r="AB418" s="26"/>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row>
    <row r="419" spans="1:55">
      <c r="A419" s="24"/>
      <c r="B419" s="24"/>
      <c r="C419" s="25"/>
      <c r="D419" s="26"/>
      <c r="E419" s="24"/>
      <c r="F419" s="26"/>
      <c r="G419" s="26"/>
      <c r="H419" s="26"/>
      <c r="I419" s="26"/>
      <c r="J419" s="26"/>
      <c r="K419" s="26"/>
      <c r="L419" s="26"/>
      <c r="M419" s="26"/>
      <c r="N419" s="26"/>
      <c r="O419" s="26"/>
      <c r="P419" s="26"/>
      <c r="Q419" s="26"/>
      <c r="R419" s="26"/>
      <c r="S419" s="26"/>
      <c r="T419" s="26"/>
      <c r="U419" s="26"/>
      <c r="V419" s="26"/>
      <c r="W419" s="26"/>
      <c r="X419" s="26"/>
      <c r="Y419" s="24"/>
      <c r="Z419" s="26"/>
      <c r="AA419" s="24"/>
      <c r="AB419" s="26"/>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row>
    <row r="420" spans="1:55">
      <c r="A420" s="24"/>
      <c r="B420" s="24"/>
      <c r="C420" s="25"/>
      <c r="D420" s="26"/>
      <c r="E420" s="24"/>
      <c r="F420" s="26"/>
      <c r="G420" s="26"/>
      <c r="H420" s="26"/>
      <c r="I420" s="26"/>
      <c r="J420" s="26"/>
      <c r="K420" s="26"/>
      <c r="L420" s="26"/>
      <c r="M420" s="26"/>
      <c r="N420" s="26"/>
      <c r="O420" s="26"/>
      <c r="P420" s="26"/>
      <c r="Q420" s="26"/>
      <c r="R420" s="26"/>
      <c r="S420" s="26"/>
      <c r="T420" s="26"/>
      <c r="U420" s="26"/>
      <c r="V420" s="26"/>
      <c r="W420" s="26"/>
      <c r="X420" s="26"/>
      <c r="Y420" s="24"/>
      <c r="Z420" s="26"/>
      <c r="AA420" s="24"/>
      <c r="AB420" s="26"/>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row>
    <row r="421" spans="1:55">
      <c r="A421" s="24"/>
      <c r="B421" s="24"/>
      <c r="C421" s="25"/>
      <c r="D421" s="26"/>
      <c r="E421" s="24"/>
      <c r="F421" s="26"/>
      <c r="G421" s="26"/>
      <c r="H421" s="26"/>
      <c r="I421" s="26"/>
      <c r="J421" s="26"/>
      <c r="K421" s="26"/>
      <c r="L421" s="26"/>
      <c r="M421" s="26"/>
      <c r="N421" s="26"/>
      <c r="O421" s="26"/>
      <c r="P421" s="26"/>
      <c r="Q421" s="26"/>
      <c r="R421" s="26"/>
      <c r="S421" s="26"/>
      <c r="T421" s="26"/>
      <c r="U421" s="26"/>
      <c r="V421" s="26"/>
      <c r="W421" s="26"/>
      <c r="X421" s="26"/>
      <c r="Y421" s="24"/>
      <c r="Z421" s="26"/>
      <c r="AA421" s="24"/>
      <c r="AB421" s="26"/>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row>
    <row r="422" spans="1:55">
      <c r="A422" s="24"/>
      <c r="B422" s="24"/>
      <c r="C422" s="25"/>
      <c r="D422" s="26"/>
      <c r="E422" s="24"/>
      <c r="F422" s="26"/>
      <c r="G422" s="26"/>
      <c r="H422" s="26"/>
      <c r="I422" s="26"/>
      <c r="J422" s="26"/>
      <c r="K422" s="26"/>
      <c r="L422" s="26"/>
      <c r="M422" s="26"/>
      <c r="N422" s="26"/>
      <c r="O422" s="26"/>
      <c r="P422" s="26"/>
      <c r="Q422" s="26"/>
      <c r="R422" s="26"/>
      <c r="S422" s="26"/>
      <c r="T422" s="26"/>
      <c r="U422" s="26"/>
      <c r="V422" s="26"/>
      <c r="W422" s="26"/>
      <c r="X422" s="26"/>
      <c r="Y422" s="24"/>
      <c r="Z422" s="26"/>
      <c r="AA422" s="24"/>
      <c r="AB422" s="26"/>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row>
    <row r="423" spans="1:55">
      <c r="A423" s="24"/>
      <c r="B423" s="24"/>
      <c r="C423" s="25"/>
      <c r="D423" s="26"/>
      <c r="E423" s="24"/>
      <c r="F423" s="26"/>
      <c r="G423" s="26"/>
      <c r="H423" s="26"/>
      <c r="I423" s="26"/>
      <c r="J423" s="26"/>
      <c r="K423" s="26"/>
      <c r="L423" s="26"/>
      <c r="M423" s="26"/>
      <c r="N423" s="26"/>
      <c r="O423" s="26"/>
      <c r="P423" s="26"/>
      <c r="Q423" s="26"/>
      <c r="R423" s="26"/>
      <c r="S423" s="26"/>
      <c r="T423" s="26"/>
      <c r="U423" s="26"/>
      <c r="V423" s="26"/>
      <c r="W423" s="26"/>
      <c r="X423" s="26"/>
      <c r="Y423" s="24"/>
      <c r="Z423" s="26"/>
      <c r="AA423" s="24"/>
      <c r="AB423" s="26"/>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row>
    <row r="424" spans="1:55">
      <c r="A424" s="24"/>
      <c r="B424" s="24"/>
      <c r="C424" s="25"/>
      <c r="D424" s="26"/>
      <c r="E424" s="24"/>
      <c r="F424" s="26"/>
      <c r="G424" s="26"/>
      <c r="H424" s="26"/>
      <c r="I424" s="26"/>
      <c r="J424" s="26"/>
      <c r="K424" s="26"/>
      <c r="L424" s="26"/>
      <c r="M424" s="26"/>
      <c r="N424" s="26"/>
      <c r="O424" s="26"/>
      <c r="P424" s="26"/>
      <c r="Q424" s="26"/>
      <c r="R424" s="26"/>
      <c r="S424" s="26"/>
      <c r="T424" s="26"/>
      <c r="U424" s="26"/>
      <c r="V424" s="26"/>
      <c r="W424" s="26"/>
      <c r="X424" s="26"/>
      <c r="Y424" s="24"/>
      <c r="Z424" s="26"/>
      <c r="AA424" s="24"/>
      <c r="AB424" s="26"/>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row>
    <row r="425" spans="1:55">
      <c r="A425" s="24"/>
      <c r="B425" s="24"/>
      <c r="C425" s="25"/>
      <c r="D425" s="26"/>
      <c r="E425" s="24"/>
      <c r="F425" s="26"/>
      <c r="G425" s="26"/>
      <c r="H425" s="26"/>
      <c r="I425" s="26"/>
      <c r="J425" s="26"/>
      <c r="K425" s="26"/>
      <c r="L425" s="26"/>
      <c r="M425" s="26"/>
      <c r="N425" s="26"/>
      <c r="O425" s="26"/>
      <c r="P425" s="26"/>
      <c r="Q425" s="26"/>
      <c r="R425" s="26"/>
      <c r="S425" s="26"/>
      <c r="T425" s="26"/>
      <c r="U425" s="26"/>
      <c r="V425" s="26"/>
      <c r="W425" s="26"/>
      <c r="X425" s="26"/>
      <c r="Y425" s="24"/>
      <c r="Z425" s="26"/>
      <c r="AA425" s="24"/>
      <c r="AB425" s="26"/>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row>
    <row r="426" spans="1:55">
      <c r="A426" s="24"/>
      <c r="B426" s="24"/>
      <c r="C426" s="25"/>
      <c r="D426" s="26"/>
      <c r="E426" s="24"/>
      <c r="F426" s="26"/>
      <c r="G426" s="26"/>
      <c r="H426" s="26"/>
      <c r="I426" s="26"/>
      <c r="J426" s="26"/>
      <c r="K426" s="26"/>
      <c r="L426" s="26"/>
      <c r="M426" s="26"/>
      <c r="N426" s="26"/>
      <c r="O426" s="26"/>
      <c r="P426" s="26"/>
      <c r="Q426" s="26"/>
      <c r="R426" s="26"/>
      <c r="S426" s="26"/>
      <c r="T426" s="26"/>
      <c r="U426" s="26"/>
      <c r="V426" s="26"/>
      <c r="W426" s="26"/>
      <c r="X426" s="26"/>
      <c r="Y426" s="24"/>
      <c r="Z426" s="26"/>
      <c r="AA426" s="24"/>
      <c r="AB426" s="26"/>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row>
    <row r="427" spans="1:55">
      <c r="A427" s="24"/>
      <c r="B427" s="24"/>
      <c r="C427" s="25"/>
      <c r="D427" s="26"/>
      <c r="E427" s="24"/>
      <c r="F427" s="26"/>
      <c r="G427" s="26"/>
      <c r="H427" s="26"/>
      <c r="I427" s="26"/>
      <c r="J427" s="26"/>
      <c r="K427" s="26"/>
      <c r="L427" s="26"/>
      <c r="M427" s="26"/>
      <c r="N427" s="26"/>
      <c r="O427" s="26"/>
      <c r="P427" s="26"/>
      <c r="Q427" s="26"/>
      <c r="R427" s="26"/>
      <c r="S427" s="26"/>
      <c r="T427" s="26"/>
      <c r="U427" s="26"/>
      <c r="V427" s="26"/>
      <c r="W427" s="26"/>
      <c r="X427" s="26"/>
      <c r="Y427" s="24"/>
      <c r="Z427" s="26"/>
      <c r="AA427" s="24"/>
      <c r="AB427" s="26"/>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row>
    <row r="428" spans="1:55">
      <c r="A428" s="24"/>
      <c r="B428" s="24"/>
      <c r="C428" s="25"/>
      <c r="D428" s="26"/>
      <c r="E428" s="24"/>
      <c r="F428" s="26"/>
      <c r="G428" s="26"/>
      <c r="H428" s="26"/>
      <c r="I428" s="26"/>
      <c r="J428" s="26"/>
      <c r="K428" s="26"/>
      <c r="L428" s="26"/>
      <c r="M428" s="26"/>
      <c r="N428" s="26"/>
      <c r="O428" s="26"/>
      <c r="P428" s="26"/>
      <c r="Q428" s="26"/>
      <c r="R428" s="26"/>
      <c r="S428" s="26"/>
      <c r="T428" s="26"/>
      <c r="U428" s="26"/>
      <c r="V428" s="26"/>
      <c r="W428" s="26"/>
      <c r="X428" s="26"/>
      <c r="Y428" s="24"/>
      <c r="Z428" s="26"/>
      <c r="AA428" s="24"/>
      <c r="AB428" s="26"/>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row>
    <row r="429" spans="1:55">
      <c r="A429" s="24"/>
      <c r="B429" s="24"/>
      <c r="C429" s="25"/>
      <c r="D429" s="26"/>
      <c r="E429" s="24"/>
      <c r="F429" s="26"/>
      <c r="G429" s="26"/>
      <c r="H429" s="26"/>
      <c r="I429" s="26"/>
      <c r="J429" s="26"/>
      <c r="K429" s="26"/>
      <c r="L429" s="26"/>
      <c r="M429" s="26"/>
      <c r="N429" s="26"/>
      <c r="O429" s="26"/>
      <c r="P429" s="26"/>
      <c r="Q429" s="26"/>
      <c r="R429" s="26"/>
      <c r="S429" s="26"/>
      <c r="T429" s="26"/>
      <c r="U429" s="26"/>
      <c r="V429" s="26"/>
      <c r="W429" s="26"/>
      <c r="X429" s="26"/>
      <c r="Y429" s="24"/>
      <c r="Z429" s="26"/>
      <c r="AA429" s="24"/>
      <c r="AB429" s="26"/>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row>
    <row r="430" spans="1:55">
      <c r="A430" s="24"/>
      <c r="B430" s="24"/>
      <c r="C430" s="25"/>
      <c r="D430" s="26"/>
      <c r="E430" s="24"/>
      <c r="F430" s="26"/>
      <c r="G430" s="26"/>
      <c r="H430" s="26"/>
      <c r="I430" s="26"/>
      <c r="J430" s="26"/>
      <c r="K430" s="26"/>
      <c r="L430" s="26"/>
      <c r="M430" s="26"/>
      <c r="N430" s="26"/>
      <c r="O430" s="26"/>
      <c r="P430" s="26"/>
      <c r="Q430" s="26"/>
      <c r="R430" s="26"/>
      <c r="S430" s="26"/>
      <c r="T430" s="26"/>
      <c r="U430" s="26"/>
      <c r="V430" s="26"/>
      <c r="W430" s="26"/>
      <c r="X430" s="26"/>
      <c r="Y430" s="24"/>
      <c r="Z430" s="26"/>
      <c r="AA430" s="24"/>
      <c r="AB430" s="26"/>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row>
    <row r="431" spans="1:55">
      <c r="A431" s="24"/>
      <c r="B431" s="24"/>
      <c r="C431" s="25"/>
      <c r="D431" s="26"/>
      <c r="F431" s="26"/>
      <c r="G431" s="26"/>
      <c r="H431" s="26"/>
      <c r="I431" s="26"/>
      <c r="J431" s="26"/>
      <c r="K431" s="26"/>
      <c r="L431" s="26"/>
      <c r="M431" s="26"/>
      <c r="N431" s="26"/>
      <c r="O431" s="26"/>
      <c r="P431" s="26"/>
      <c r="Q431" s="26"/>
      <c r="R431" s="26"/>
      <c r="S431" s="26"/>
      <c r="T431" s="26"/>
      <c r="U431" s="26"/>
      <c r="V431" s="26"/>
      <c r="W431" s="26"/>
      <c r="X431" s="26"/>
      <c r="Y431" s="24"/>
      <c r="Z431" s="26"/>
      <c r="AA431" s="24"/>
      <c r="AB431" s="26"/>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row>
    <row r="432" spans="1:55">
      <c r="AA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row>
    <row r="433" spans="27:55">
      <c r="AA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row>
    <row r="434" spans="27:55">
      <c r="AA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row>
    <row r="435" spans="27:55">
      <c r="AA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row>
    <row r="436" spans="27:55">
      <c r="AA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row>
    <row r="437" spans="27:55">
      <c r="AA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row>
    <row r="438" spans="27:55">
      <c r="AA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row>
    <row r="439" spans="27:55">
      <c r="AA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row>
    <row r="440" spans="27:55">
      <c r="BA440" s="24"/>
      <c r="BB440" s="24"/>
      <c r="BC440" s="24"/>
    </row>
    <row r="441" spans="27:55">
      <c r="BA441" s="24"/>
      <c r="BB441" s="24"/>
      <c r="BC441" s="24"/>
    </row>
    <row r="442" spans="27:55">
      <c r="BA442" s="24"/>
      <c r="BB442" s="24"/>
      <c r="BC442" s="24"/>
    </row>
    <row r="443" spans="27:55">
      <c r="BA443" s="24"/>
      <c r="BB443" s="24"/>
      <c r="BC443" s="24"/>
    </row>
    <row r="444" spans="27:55">
      <c r="BA444" s="24"/>
      <c r="BB444" s="24"/>
      <c r="BC444" s="24"/>
    </row>
  </sheetData>
  <protectedRanges>
    <protectedRange sqref="D5:F8 D10:G13 E15:E22 D23 H5:O8" name="DDR2Clk_1"/>
  </protectedRanges>
  <mergeCells count="1">
    <mergeCell ref="C1:P1"/>
  </mergeCells>
  <phoneticPr fontId="4" type="noConversion"/>
  <conditionalFormatting sqref="U23:AI23 AE5:AT8 Z10:Z13 Z5:AA8 AO15:AP22 AA10:AO14 V15:AI22 AJ15:AN23 AP10:AT13">
    <cfRule type="cellIs" dxfId="135" priority="1" stopIfTrue="1" operator="equal">
      <formula>"Pass"</formula>
    </cfRule>
    <cfRule type="cellIs" dxfId="134" priority="2" stopIfTrue="1" operator="notEqual">
      <formula>"pass"</formula>
    </cfRule>
  </conditionalFormatting>
  <conditionalFormatting sqref="AQ15:AT22 AP14:AT14 AO23:AT23">
    <cfRule type="cellIs" dxfId="133" priority="3" stopIfTrue="1" operator="equal">
      <formula>"Pass"</formula>
    </cfRule>
    <cfRule type="cellIs" dxfId="132" priority="4" stopIfTrue="1" operator="notEqual">
      <formula>"pass"</formula>
    </cfRule>
  </conditionalFormatting>
  <conditionalFormatting sqref="P15:U22 O23:T23 U14:Z14">
    <cfRule type="cellIs" priority="5" stopIfTrue="1" operator="equal">
      <formula>""""""</formula>
    </cfRule>
  </conditionalFormatting>
  <conditionalFormatting sqref="AC5:AD8">
    <cfRule type="cellIs" dxfId="131" priority="6" stopIfTrue="1" operator="equal">
      <formula>"Pass"</formula>
    </cfRule>
    <cfRule type="cellIs" dxfId="130" priority="7" stopIfTrue="1" operator="notEqual">
      <formula>"Pass"</formula>
    </cfRule>
  </conditionalFormatting>
  <conditionalFormatting sqref="X5:Y8 U5:V8">
    <cfRule type="cellIs" dxfId="129" priority="8" stopIfTrue="1" operator="equal">
      <formula>"Pass"</formula>
    </cfRule>
    <cfRule type="cellIs" dxfId="128" priority="9" stopIfTrue="1" operator="equal">
      <formula>"""Pass"""</formula>
    </cfRule>
  </conditionalFormatting>
  <conditionalFormatting sqref="U10:V13">
    <cfRule type="cellIs" dxfId="127" priority="10" stopIfTrue="1" operator="equal">
      <formula>"Pass"</formula>
    </cfRule>
    <cfRule type="cellIs" dxfId="126" priority="11" stopIfTrue="1" operator="notEqual">
      <formula>"Pass"</formula>
    </cfRule>
  </conditionalFormatting>
  <conditionalFormatting sqref="A1:AT1">
    <cfRule type="expression" dxfId="125" priority="12" stopIfTrue="1">
      <formula>$C$1 = "Fail"</formula>
    </cfRule>
    <cfRule type="expression" dxfId="124" priority="13" stopIfTrue="1">
      <formula>$C$1 = "Pass"</formula>
    </cfRule>
  </conditionalFormatting>
  <pageMargins left="0.75" right="0.75" top="1" bottom="1" header="0.5" footer="0.5"/>
  <pageSetup orientation="landscape" r:id="rId1"/>
  <headerFooter alignWithMargins="0"/>
  <drawing r:id="rId2"/>
  <legacyDrawing r:id="rId3"/>
  <oleObjects>
    <mc:AlternateContent xmlns:mc="http://schemas.openxmlformats.org/markup-compatibility/2006">
      <mc:Choice Requires="x14">
        <oleObject progId="Visio.Drawing.11" shapeId="3260" r:id="rId4">
          <objectPr defaultSize="0" autoPict="0" r:id="rId5">
            <anchor moveWithCells="1">
              <from>
                <xdr:col>3</xdr:col>
                <xdr:colOff>1171575</xdr:colOff>
                <xdr:row>45</xdr:row>
                <xdr:rowOff>38100</xdr:rowOff>
              </from>
              <to>
                <xdr:col>11</xdr:col>
                <xdr:colOff>123825</xdr:colOff>
                <xdr:row>58</xdr:row>
                <xdr:rowOff>123825</xdr:rowOff>
              </to>
            </anchor>
          </objectPr>
        </oleObject>
      </mc:Choice>
      <mc:Fallback>
        <oleObject progId="Visio.Drawing.11" shapeId="3260" r:id="rId4"/>
      </mc:Fallback>
    </mc:AlternateContent>
    <mc:AlternateContent xmlns:mc="http://schemas.openxmlformats.org/markup-compatibility/2006">
      <mc:Choice Requires="x14">
        <oleObject progId="Visio.Drawing.11" shapeId="3261" r:id="rId6">
          <objectPr defaultSize="0" autoPict="0" r:id="rId7">
            <anchor moveWithCells="1">
              <from>
                <xdr:col>4</xdr:col>
                <xdr:colOff>85725</xdr:colOff>
                <xdr:row>25</xdr:row>
                <xdr:rowOff>57150</xdr:rowOff>
              </from>
              <to>
                <xdr:col>11</xdr:col>
                <xdr:colOff>47625</xdr:colOff>
                <xdr:row>44</xdr:row>
                <xdr:rowOff>28575</xdr:rowOff>
              </to>
            </anchor>
          </objectPr>
        </oleObject>
      </mc:Choice>
      <mc:Fallback>
        <oleObject progId="Visio.Drawing.11" shapeId="3261" r:id="rId6"/>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V57"/>
  <sheetViews>
    <sheetView zoomScale="75" workbookViewId="0">
      <selection activeCell="AS27" sqref="AS27"/>
    </sheetView>
  </sheetViews>
  <sheetFormatPr defaultRowHeight="12.75"/>
  <cols>
    <col min="1" max="1" width="14" customWidth="1"/>
    <col min="2" max="2" width="10.42578125" customWidth="1"/>
    <col min="3" max="3" width="10" bestFit="1" customWidth="1"/>
    <col min="4" max="4" width="10.5703125" bestFit="1" customWidth="1"/>
    <col min="5" max="6" width="11" bestFit="1" customWidth="1"/>
    <col min="7" max="7" width="10.85546875" bestFit="1" customWidth="1"/>
    <col min="8" max="10" width="12.28515625" bestFit="1" customWidth="1"/>
    <col min="11" max="11" width="16" customWidth="1"/>
    <col min="12" max="13" width="11.5703125" customWidth="1"/>
    <col min="14" max="14" width="20.28515625" customWidth="1"/>
    <col min="15" max="15" width="23.140625" customWidth="1"/>
    <col min="16" max="16" width="19.7109375" customWidth="1"/>
    <col min="17" max="17" width="19.5703125" customWidth="1"/>
    <col min="18" max="18" width="19" style="1" customWidth="1"/>
    <col min="19" max="19" width="12.140625" customWidth="1"/>
    <col min="20" max="20" width="14.7109375" customWidth="1"/>
    <col min="21" max="22" width="16" customWidth="1"/>
    <col min="23" max="23" width="13.28515625" customWidth="1"/>
    <col min="24" max="24" width="21.42578125" customWidth="1"/>
    <col min="25" max="25" width="15.140625" customWidth="1"/>
    <col min="26" max="26" width="13.28515625" customWidth="1"/>
    <col min="27" max="28" width="14.42578125" customWidth="1"/>
    <col min="29" max="29" width="22.5703125" bestFit="1" customWidth="1"/>
    <col min="30" max="30" width="17.28515625" customWidth="1"/>
    <col min="31" max="31" width="16" customWidth="1"/>
    <col min="32" max="32" width="18.28515625" customWidth="1"/>
    <col min="33" max="33" width="17.42578125" customWidth="1"/>
    <col min="34" max="34" width="17.85546875" bestFit="1" customWidth="1"/>
    <col min="35" max="35" width="14.85546875" hidden="1" customWidth="1"/>
    <col min="36" max="36" width="14" hidden="1" customWidth="1"/>
    <col min="37" max="37" width="13.28515625" hidden="1" customWidth="1"/>
    <col min="38" max="38" width="12.140625" bestFit="1" customWidth="1"/>
    <col min="39" max="39" width="12.7109375" bestFit="1" customWidth="1"/>
  </cols>
  <sheetData>
    <row r="1" spans="1:37" s="3" customFormat="1" ht="26.25">
      <c r="A1" s="442" t="s">
        <v>13</v>
      </c>
      <c r="B1" s="443"/>
      <c r="C1" s="443"/>
      <c r="D1" s="443"/>
      <c r="E1" s="444" t="e">
        <f ca="1">IF(AND(AJ5="Pass",AJ22="Pass"),"Pass","Fail")</f>
        <v>#REF!</v>
      </c>
      <c r="F1" s="443"/>
      <c r="G1" s="443"/>
      <c r="H1" s="443"/>
      <c r="I1" s="443"/>
      <c r="J1" s="443"/>
      <c r="K1" s="443"/>
      <c r="L1" s="443"/>
      <c r="M1" s="443"/>
      <c r="N1" s="443"/>
      <c r="O1" s="444"/>
      <c r="P1" s="444"/>
      <c r="Q1" s="444"/>
      <c r="R1" s="444"/>
      <c r="S1" s="444"/>
      <c r="T1" s="444"/>
      <c r="U1" s="444"/>
      <c r="V1" s="444"/>
      <c r="W1" s="444"/>
      <c r="X1" s="445"/>
      <c r="Y1" s="446"/>
      <c r="Z1" s="446"/>
      <c r="AA1" s="447"/>
      <c r="AB1" s="447"/>
      <c r="AC1" s="447"/>
      <c r="AD1" s="447"/>
      <c r="AE1" s="447"/>
      <c r="AF1" s="447"/>
      <c r="AG1" s="447"/>
      <c r="AH1" s="448"/>
      <c r="AI1" s="6"/>
      <c r="AJ1" s="6"/>
      <c r="AK1" s="6"/>
    </row>
    <row r="2" spans="1:37" s="3" customFormat="1" ht="26.25">
      <c r="A2" s="449" t="s">
        <v>10</v>
      </c>
      <c r="B2" s="297" t="e">
        <f>#REF!</f>
        <v>#REF!</v>
      </c>
      <c r="C2" s="93"/>
      <c r="D2" s="91"/>
      <c r="E2" s="94"/>
      <c r="F2" s="94"/>
      <c r="G2" s="450"/>
      <c r="H2" s="450"/>
      <c r="I2" s="450"/>
      <c r="J2" s="450"/>
      <c r="K2" s="450"/>
      <c r="L2" s="450"/>
      <c r="M2" s="450"/>
      <c r="N2" s="450"/>
      <c r="O2" s="450"/>
      <c r="P2" s="450"/>
      <c r="Q2" s="450"/>
      <c r="R2" s="451"/>
      <c r="S2" s="452"/>
      <c r="T2" s="450"/>
      <c r="U2" s="450"/>
      <c r="V2" s="450"/>
      <c r="W2" s="452"/>
      <c r="X2" s="452"/>
      <c r="Y2" s="452"/>
      <c r="Z2" s="452"/>
      <c r="AA2" s="452"/>
      <c r="AB2" s="452"/>
      <c r="AC2" s="452"/>
      <c r="AD2" s="452"/>
      <c r="AE2" s="452"/>
      <c r="AF2" s="452"/>
      <c r="AG2" s="452"/>
      <c r="AH2" s="453"/>
    </row>
    <row r="3" spans="1:37" s="3" customFormat="1" ht="116.25" customHeight="1">
      <c r="A3" s="101" t="s">
        <v>408</v>
      </c>
      <c r="B3" s="101" t="s">
        <v>474</v>
      </c>
      <c r="C3" s="102" t="s">
        <v>421</v>
      </c>
      <c r="D3" s="102" t="e">
        <f>"EscapeLength L1 [" &amp; B2&amp;"]"</f>
        <v>#REF!</v>
      </c>
      <c r="E3" s="102" t="e">
        <f>"BreakoutLength L2[" &amp;B2 &amp;"]"</f>
        <v>#REF!</v>
      </c>
      <c r="F3" s="102" t="e">
        <f>"MainLength L3[" &amp;B2 &amp;"]"</f>
        <v>#REF!</v>
      </c>
      <c r="G3" s="102" t="e">
        <f>"Length L3S[" &amp;B2 &amp;"]"</f>
        <v>#REF!</v>
      </c>
      <c r="H3" s="124" t="e">
        <f>"Stripline Length to SDRAM L4 [" &amp; B2 &amp; "]"</f>
        <v>#REF!</v>
      </c>
      <c r="I3" s="124" t="e">
        <f>"Route to SDRAM L5 ["&amp;B2&amp;"]"</f>
        <v>#REF!</v>
      </c>
      <c r="J3" s="124" t="e">
        <f>"Breakin to SDRAM L6  ["&amp;B2&amp;"]"</f>
        <v>#REF!</v>
      </c>
      <c r="K3" s="124" t="e">
        <f>"Route to Rload L7 ["&amp;B2&amp;"]"</f>
        <v>#REF!</v>
      </c>
      <c r="L3" s="124" t="e">
        <f>"Breakin to Rload L8 ["&amp;B2&amp;"]"</f>
        <v>#REF!</v>
      </c>
      <c r="M3" s="124" t="e">
        <f>"Microstrip segment to Cap L9 ["&amp;B2&amp;"]"</f>
        <v>#REF!</v>
      </c>
      <c r="N3" s="104" t="e">
        <f>"Total MB Length(SODIMM -&gt; L0+L1+L2+S1) or (SDRAM -&gt; L1+L2+L3+L3S+L4+L5+L6)[" &amp;B2 &amp;"]"</f>
        <v>#REF!</v>
      </c>
      <c r="O3" s="103" t="e">
        <f>"Total channel length including GMCH package length (SODIMM -&gt; P1+L1+L2+L3+S1) or (SDRAM -&gt; P1+L1+L2+L3+L3S+L4+L5+L6)[" &amp;B2 &amp;"]"</f>
        <v>#REF!</v>
      </c>
      <c r="P3" s="103" t="e">
        <f>"Target CSFF Pad-to-SODIMM or SDRAM Pin Length [" &amp;B2 &amp;"]"</f>
        <v>#REF!</v>
      </c>
      <c r="Q3" s="103" t="e">
        <f>"Routed Too Short [" &amp;B2 &amp;"]"</f>
        <v>#REF!</v>
      </c>
      <c r="R3" s="103" t="e">
        <f>"Routed Too Long [" &amp;B2 &amp;"]"</f>
        <v>#REF!</v>
      </c>
      <c r="S3" s="103" t="e">
        <f>"L1 Length Test(&lt;="&amp; IF(B2="mil",1,0.0254)*50 &amp; B2 &amp;")"</f>
        <v>#REF!</v>
      </c>
      <c r="T3" s="103" t="e">
        <f>"L2 Length Test  (&lt;="&amp;IF($B$2="mil",1,0.0254)*500&amp;$B$2&amp;")"</f>
        <v>#REF!</v>
      </c>
      <c r="U3" s="103" t="e">
        <f>"S1 Length Test(&lt;="&amp;IF($B$2="mil",1,0.0254)*200&amp;$B$2&amp;")"</f>
        <v>#REF!</v>
      </c>
      <c r="V3" s="103" t="e">
        <f>"L4 Length Test  (&lt;="&amp;IF($B$2="mil",1,0.0254)*500&amp;$B$2&amp;")"</f>
        <v>#REF!</v>
      </c>
      <c r="W3" s="103" t="e">
        <f>"L5 Length Test  (&lt;="&amp;IF($B$2="mil",1,0.0254)*500&amp;$B$2&amp;")"</f>
        <v>#REF!</v>
      </c>
      <c r="X3" s="103" t="e">
        <f>"L5 Matching Test (Maximum L5(a=a b=b) - Minimum L5(a=a b=b) &lt;="&amp;IF($B$2="mil",1,0.0254)*50&amp;IF($B$2="mil","mil","mm")&amp;") Note: Neg is too long, Pos is too short"</f>
        <v>#REF!</v>
      </c>
      <c r="Y3" s="103" t="e">
        <f>"L6 Length Test  (L6 &lt;= "&amp;IF($B$2="mil",1,0.0254)*200&amp;$B$2&amp;") or (L4+L5+L6&lt;= "&amp;IF($B$2="mil",1,0.0254)*1200&amp;$B$2&amp;")"</f>
        <v>#REF!</v>
      </c>
      <c r="Z3" s="103" t="e">
        <f>"L7 Length Test  (&lt;="&amp;IF($B$2="mil",1,0.0254)*500&amp;$B$2&amp;")"</f>
        <v>#REF!</v>
      </c>
      <c r="AA3" s="103" t="e">
        <f>"L8  Length Test  (&lt;="&amp;IF($B$2="mil",1,0.0254)*250&amp;$B$2&amp;")"&amp;" or (L7+L8&lt;="&amp;IF($B$2="mil",1,0.0254)*750&amp;$B$2&amp;")"</f>
        <v>#REF!</v>
      </c>
      <c r="AB3" s="103" t="e">
        <f>"L9 Length Test (&lt;=" &amp; IF($B$2="mil",1,0.0254)*250&amp;$B$2&amp;")"</f>
        <v>#REF!</v>
      </c>
      <c r="AC3" s="103" t="e">
        <f>"Total MB Length to Top SDRAM(L1+L2+L3+L3S+L4+L5+L6) Test (" &amp; IF($B$2="mil",1,25.4)*0.5&amp;IF($B$2="mil","in","mm") &amp;"-"&amp; IF($B$2="mil",1,25.4)*5&amp;IF($B$2="mil","in","mm")&amp;")"</f>
        <v>#REF!</v>
      </c>
      <c r="AD3" s="103" t="e">
        <f>"Total Length to Top SDRAM(P1+L1+L2+L3+L3S+L4+L5+L6)Test(&lt;="&amp;IF($B$2="mil",1,25.4)*5.5&amp;IF($B$2="mil","in","mm")&amp;")"</f>
        <v>#REF!</v>
      </c>
      <c r="AE3" s="103" t="e">
        <f>"Total MB Length to SODIMM(L0+L1+L2+S1) Test (" &amp; IF($B$2="mil",1,25.4)*0.5&amp;IF($B$2="mil","in","mm") &amp;"-"&amp; IF($B$2="mil",1,25.4)*3.25&amp;IF($B$2="mil","in","mm")&amp;")"</f>
        <v>#REF!</v>
      </c>
      <c r="AF3" s="103" t="e">
        <f>"Total Length to SODIMM(P1+L0+L1+L2+S1)Test(&lt;="&amp;IF($B$2="mil",1,25.4)*4&amp;IF($B$2="mil","in","mm")&amp;")"</f>
        <v>#REF!</v>
      </c>
      <c r="AG3" s="103" t="e">
        <f>"SCK-SCK# Length Test  to SODIMM or Top SDRAM(&lt;="&amp;IF($B$2="mil",1,25.4)*5&amp;IF($B$2="mil","mil","mm")&amp;")"</f>
        <v>#REF!</v>
      </c>
      <c r="AH3" s="103" t="e">
        <f>"Clock Pair to Clock Pair Length Test at SODIMM (&lt;="&amp;IF($B$2="mil",1,25.4)*20&amp;IF($B$2="mil","mil","mm")&amp;")"</f>
        <v>#REF!</v>
      </c>
    </row>
    <row r="4" spans="1:37" s="3" customFormat="1">
      <c r="A4" s="109" t="s">
        <v>207</v>
      </c>
      <c r="B4" s="109"/>
      <c r="C4" s="9"/>
      <c r="D4" s="11"/>
      <c r="E4" s="11"/>
      <c r="F4" s="131"/>
      <c r="G4" s="131"/>
      <c r="H4" s="13"/>
      <c r="I4" s="13"/>
      <c r="J4" s="13"/>
      <c r="K4" s="13"/>
      <c r="L4" s="13"/>
      <c r="M4" s="13"/>
      <c r="N4" s="13"/>
      <c r="O4" s="10"/>
      <c r="P4" s="14"/>
      <c r="Q4" s="14"/>
      <c r="R4" s="421"/>
      <c r="S4" s="14"/>
      <c r="T4" s="14"/>
      <c r="U4" s="14"/>
      <c r="V4" s="14"/>
      <c r="W4" s="14"/>
      <c r="X4" s="14"/>
      <c r="Y4" s="14"/>
      <c r="Z4" s="14"/>
      <c r="AA4" s="14"/>
      <c r="AB4" s="14"/>
      <c r="AC4" s="14"/>
      <c r="AD4" s="14"/>
      <c r="AE4" s="141"/>
      <c r="AF4" s="141"/>
      <c r="AG4" s="14"/>
      <c r="AH4" s="267"/>
    </row>
    <row r="5" spans="1:37" s="3" customFormat="1">
      <c r="A5" s="633" t="s">
        <v>255</v>
      </c>
      <c r="B5" s="634" t="s">
        <v>424</v>
      </c>
      <c r="C5" s="635">
        <v>911.14173228346465</v>
      </c>
      <c r="D5" s="619">
        <v>22.63</v>
      </c>
      <c r="E5" s="19">
        <v>0</v>
      </c>
      <c r="F5" s="303">
        <v>2974.63</v>
      </c>
      <c r="G5" s="303">
        <v>0</v>
      </c>
      <c r="H5" s="303">
        <v>341.44</v>
      </c>
      <c r="I5" s="303">
        <v>0</v>
      </c>
      <c r="J5" s="303">
        <v>140.25</v>
      </c>
      <c r="K5" s="305">
        <v>342.71</v>
      </c>
      <c r="L5" s="305">
        <v>31.04</v>
      </c>
      <c r="M5" s="303">
        <v>29.54</v>
      </c>
      <c r="N5" s="488">
        <f xml:space="preserve"> SUM(D5:F5,H5,I5:J5)</f>
        <v>3478.9500000000003</v>
      </c>
      <c r="O5" s="489" t="e">
        <f t="shared" ref="O5:O14" si="0">IF($B$2="mil",1,0.0254)*C5+N5</f>
        <v>#REF!</v>
      </c>
      <c r="P5" s="490">
        <f>$E$27</f>
        <v>4400</v>
      </c>
      <c r="Q5" s="491" t="e">
        <f>IF($P5-$O5&lt;IF($B$2="mil",1,0.0254)*10,"Pass",$P5-$O5-IF($B$2="mil",1,0.0254)*10)</f>
        <v>#REF!</v>
      </c>
      <c r="R5" s="492" t="e">
        <f>IF($O5-$P5&lt;IF($B$2="mil",1,0.0254)*10,"Pass",$O5-$P5-IF($B$2="mil",1,0.0254)*10)</f>
        <v>#REF!</v>
      </c>
      <c r="S5" s="493" t="e">
        <f>IF($D5&lt;=IF($B$2="mil",1,0.0254)*50,"Pass",IF($B$2="mil",1,0.0254)*50-$D5)</f>
        <v>#REF!</v>
      </c>
      <c r="T5" s="493" t="e">
        <f>IF($E5&lt;=IF($B$2="mil",1,0.0254)*500,"Pass",IF($B$2="mil",1,0.0254)*500-$E5)</f>
        <v>#REF!</v>
      </c>
      <c r="U5" s="494"/>
      <c r="V5" s="493" t="e">
        <f>IF($H5&lt;=IF($B$2="mil",1,0.0254)*500,"Pass",IF($B$2="mil",1,0.0254)*500-$H5)</f>
        <v>#REF!</v>
      </c>
      <c r="W5" s="493" t="e">
        <f>IF($I5&lt;=IF($B$2="mil",1,0.0254)*500,"Pass",IF($B$2="mil",1,0.0254)*500-$I5)</f>
        <v>#REF!</v>
      </c>
      <c r="X5" s="493" t="e">
        <f>IF(MAX(I$5:I$6,I$9:I$10)-MIN(I$5:I$6,I$9:I$10)&lt;=IF($B$2="mil",1,0.0254)*50,"Pass",MAX(I$5:I$6,I$9:I$10)-MIN(I5)-IF($B$2="mil",1,0.0254)*50)</f>
        <v>#REF!</v>
      </c>
      <c r="Y5" s="495" t="e">
        <f ca="1">CheckLength2(IF($B$2="mil",1,0.0254)*1200,H5,I5,J5)</f>
        <v>#NAME?</v>
      </c>
      <c r="Z5" s="493" t="e">
        <f>IF($K5&lt;=IF($B$2="mil",1,0.0254)*500,"Pass",IF($B$2="mil",1,0.0254)*500-$K5)</f>
        <v>#REF!</v>
      </c>
      <c r="AA5" s="493" t="e">
        <f ca="1">CheckLength2(IF($B$2="mil",1,0.0254)*750,K5,L5,0)</f>
        <v>#NAME?</v>
      </c>
      <c r="AB5" s="493" t="e">
        <f>IF($M5&lt;=IF($B$2="mil",1,0.0254)*250,"Pass",IF($B$2="mil",1,0.0254)*250-$K6)</f>
        <v>#REF!</v>
      </c>
      <c r="AC5" s="495" t="e">
        <f>IF(AND($N5&gt;=IF($B$2="mil",1,0.0254)*500, $N5&lt;=IF($B$2="mil",1,0.0254)*5000),"Pass",IF(($N5&gt;=IF($B$2="mil",1,0.0254)*500), IF($B$2="mil",1,0.0254)*5000-$N5, IF($B$2="mil",1,0.0254)*500-$N5))</f>
        <v>#REF!</v>
      </c>
      <c r="AD5" s="495" t="e">
        <f>IF( $O5&lt;=IF($B$2="mil",1,0.0254)*5500,"Pass", IF($B$2="mil",1,0.0254)*5500-$O5)</f>
        <v>#REF!</v>
      </c>
      <c r="AE5" s="496"/>
      <c r="AF5" s="269"/>
      <c r="AG5" s="497" t="e">
        <f>IF((ABS($O5-$O6)&lt;=IF($B$2="mil",1,0.0254)*5),"Pass",ABS($O5-$O6))</f>
        <v>#REF!</v>
      </c>
      <c r="AH5" s="498"/>
      <c r="AI5" s="3" t="e">
        <f ca="1">IF(AND(S5="Pass",T5="Pass",W5="Pass",V5="Pass",X5="Pass",Y5="Pass",Z5="Pass",AA5="Pass",AC5="Pass",AD5="Pass",AG5="Pass",Q5="Pass",R5="Pass"),"Pass","Fail")</f>
        <v>#REF!</v>
      </c>
      <c r="AJ5" s="3" t="e">
        <f ca="1">IF(AND(AI5="Pass",AI6="Pass",AI7="Pass",AI8="Pass",AI9="Pass",AI10="Pass",AI11="Pass",AI12="Pass",AI13="Pass",AI14="Pass",AI15="Pass",AI16="Pass",AI17="Pass",AI18="Pass",AI19="Pass",AI20="Pass"),"Pass","Fail")</f>
        <v>#REF!</v>
      </c>
    </row>
    <row r="6" spans="1:37" s="3" customFormat="1">
      <c r="A6" s="633" t="s">
        <v>256</v>
      </c>
      <c r="B6" s="634" t="s">
        <v>427</v>
      </c>
      <c r="C6" s="635">
        <v>911.18110236220468</v>
      </c>
      <c r="D6" s="619">
        <v>22.63</v>
      </c>
      <c r="E6" s="19">
        <v>0</v>
      </c>
      <c r="F6" s="303">
        <v>2938.07</v>
      </c>
      <c r="G6" s="303">
        <v>0</v>
      </c>
      <c r="H6" s="303">
        <v>386.19</v>
      </c>
      <c r="I6" s="303">
        <v>0</v>
      </c>
      <c r="J6" s="303">
        <v>133.82</v>
      </c>
      <c r="K6" s="305">
        <v>325.58999999999997</v>
      </c>
      <c r="L6" s="620">
        <v>33.04</v>
      </c>
      <c r="M6" s="303">
        <v>28.71</v>
      </c>
      <c r="N6" s="488">
        <f t="shared" ref="N6:N14" si="1" xml:space="preserve"> SUM(D6:F6,H6,I6:J6)</f>
        <v>3480.7100000000005</v>
      </c>
      <c r="O6" s="489" t="e">
        <f t="shared" si="0"/>
        <v>#REF!</v>
      </c>
      <c r="P6" s="490">
        <f>$E$27</f>
        <v>4400</v>
      </c>
      <c r="Q6" s="491" t="e">
        <f t="shared" ref="Q6:Q20" si="2">IF($P6-$O6&lt;IF($B$2="mil",1,0.0254)*10,"Pass",$P6-$O6-IF($B$2="mil",1,0.0254)*10)</f>
        <v>#REF!</v>
      </c>
      <c r="R6" s="492" t="e">
        <f t="shared" ref="R6:R20" si="3">IF($O6-$P6&lt;IF($B$2="mil",1,0.0254)*10,"Pass",$O6-$P6-IF($B$2="mil",1,0.0254)*10)</f>
        <v>#REF!</v>
      </c>
      <c r="S6" s="493" t="e">
        <f>IF($D6&lt;=IF($B$2="mil",1,0.0254)*35,"Pass",IF($B$2="mil",1,0.0254)*35-$D6)</f>
        <v>#REF!</v>
      </c>
      <c r="T6" s="493" t="e">
        <f>IF($E6&lt;=IF($B$2="mil",1,0.0254)*500,"Pass",IF($B$2="mil",1,0.0254)*500-$E6)</f>
        <v>#REF!</v>
      </c>
      <c r="U6" s="499"/>
      <c r="V6" s="493" t="e">
        <f>IF($H6&lt;=IF($B$2="mil",1,0.0254)*500,"Pass",IF($B$2="mil",1,0.0254)*500-$H6)</f>
        <v>#REF!</v>
      </c>
      <c r="W6" s="493" t="e">
        <f t="shared" ref="W6:W20" si="4">IF($I6&lt;=IF($B$2="mil",1,0.0254)*500,"Pass",IF($B$2="mil",1,0.0254)*500-$I6)</f>
        <v>#REF!</v>
      </c>
      <c r="X6" s="493" t="e">
        <f>IF(MAX(I$5:I$6,I$9:I$10)-MIN(I$5:I$6,I$9:I$10)&lt;=IF($B$2="mil",1,0.0254)*50,"Pass",MAX(I$5:I$6,I$9:I$10)-MIN(I6)-IF($B$2="mil",1,0.0254)*50)</f>
        <v>#REF!</v>
      </c>
      <c r="Y6" s="495" t="e">
        <f t="shared" ref="Y6:Y20" ca="1" si="5">CheckLength2(IF($B$2="mil",1,0.0254)*1200,H6,I6,J6)</f>
        <v>#NAME?</v>
      </c>
      <c r="Z6" s="493" t="e">
        <f>IF($K6&lt;=IF($B$2="mil",1,0.0254)*500,"Pass",IF($B$2="mil",1,0.0254)*500-$K6)</f>
        <v>#REF!</v>
      </c>
      <c r="AA6" s="493" t="e">
        <f ca="1">CheckLength2(IF($B$2="mil",1,0.0254)*750,K6,L6,0)</f>
        <v>#NAME?</v>
      </c>
      <c r="AB6" s="493" t="e">
        <f t="shared" ref="AB6:AB20" si="6">IF($M6&lt;=IF($B$2="mil",1,0.0254)*250,"Pass",IF($B$2="mil",1,0.0254)*250-$K7)</f>
        <v>#REF!</v>
      </c>
      <c r="AC6" s="495" t="e">
        <f t="shared" ref="AC6:AC20" si="7">IF(AND($N6&gt;=IF($B$2="mil",1,0.0254)*500, $N6&lt;=IF($B$2="mil",1,0.0254)*5000),"Pass",IF(($N6&gt;=IF($B$2="mil",1,0.0254)*500), IF($B$2="mil",1,0.0254)*5000-$N6, IF($B$2="mil",1,0.0254)*500-$N6))</f>
        <v>#REF!</v>
      </c>
      <c r="AD6" s="495" t="e">
        <f t="shared" ref="AD6:AD20" si="8">IF( $O6&lt;=IF($B$2="mil",1,0.0254)*5500,"Pass", IF($B$2="mil",1,0.0254)*5500-$O6)</f>
        <v>#REF!</v>
      </c>
      <c r="AE6" s="500"/>
      <c r="AF6" s="374"/>
      <c r="AG6" s="497" t="e">
        <f>IF((ABS($O6-$O5)&lt;=IF($B$2="mil",1,0.0254)*5),"Pass",ABS($O6-$O5))</f>
        <v>#REF!</v>
      </c>
      <c r="AH6" s="501"/>
      <c r="AI6" s="3" t="e">
        <f ca="1">IF(AND(S6="Pass",T6="Pass",W6="Pass",V6="Pass",X6="Pass",Y6="Pass",Z6="Pass",AA6="Pass",AC6="Pass",AD6="Pass",AG6="Pass",Q6="Pass",R6="Pass"),"Pass","Fail")</f>
        <v>#REF!</v>
      </c>
    </row>
    <row r="7" spans="1:37" s="3" customFormat="1">
      <c r="A7" s="633" t="s">
        <v>259</v>
      </c>
      <c r="B7" s="634" t="s">
        <v>424</v>
      </c>
      <c r="C7" s="635">
        <v>911.14173228346465</v>
      </c>
      <c r="D7" s="687">
        <f>D$5</f>
        <v>22.63</v>
      </c>
      <c r="E7" s="687">
        <f t="shared" ref="E7:G11" si="9">E$5</f>
        <v>0</v>
      </c>
      <c r="F7" s="687">
        <f t="shared" si="9"/>
        <v>2974.63</v>
      </c>
      <c r="G7" s="687">
        <f t="shared" si="9"/>
        <v>0</v>
      </c>
      <c r="H7" s="687">
        <f>H$5</f>
        <v>341.44</v>
      </c>
      <c r="I7" s="303">
        <v>0</v>
      </c>
      <c r="J7" s="303">
        <v>138.44999999999999</v>
      </c>
      <c r="K7" s="687">
        <f>K$5</f>
        <v>342.71</v>
      </c>
      <c r="L7" s="687">
        <f>L$5</f>
        <v>31.04</v>
      </c>
      <c r="M7" s="676">
        <v>29.54</v>
      </c>
      <c r="N7" s="488">
        <f xml:space="preserve"> SUM(D7:F7,H7,I7:J7)</f>
        <v>3477.15</v>
      </c>
      <c r="O7" s="489" t="e">
        <f t="shared" si="0"/>
        <v>#REF!</v>
      </c>
      <c r="P7" s="490">
        <f>$E$31</f>
        <v>4395</v>
      </c>
      <c r="Q7" s="491" t="e">
        <f t="shared" si="2"/>
        <v>#REF!</v>
      </c>
      <c r="R7" s="492" t="e">
        <f t="shared" si="3"/>
        <v>#REF!</v>
      </c>
      <c r="S7" s="502"/>
      <c r="T7" s="503"/>
      <c r="U7" s="499"/>
      <c r="V7" s="499"/>
      <c r="W7" s="493" t="e">
        <f t="shared" si="4"/>
        <v>#REF!</v>
      </c>
      <c r="X7" s="493" t="e">
        <f>IF(MAX(I$7:I$8,I$11:I$12)-MIN(I$7:I$8,I$11:I$12)&lt;=IF($B$2="mil",1,0.0254)*50,"Pass",MAX(I$7:I$8,I$11:I$12)-MIN(I7)-IF($B$2="mil",1,0.0254)*50)</f>
        <v>#REF!</v>
      </c>
      <c r="Y7" s="495" t="e">
        <f t="shared" ca="1" si="5"/>
        <v>#NAME?</v>
      </c>
      <c r="Z7" s="499"/>
      <c r="AA7" s="499"/>
      <c r="AB7" s="493" t="e">
        <f t="shared" si="6"/>
        <v>#REF!</v>
      </c>
      <c r="AC7" s="495" t="e">
        <f t="shared" si="7"/>
        <v>#REF!</v>
      </c>
      <c r="AD7" s="495" t="e">
        <f t="shared" si="8"/>
        <v>#REF!</v>
      </c>
      <c r="AE7" s="500"/>
      <c r="AF7" s="374"/>
      <c r="AG7" s="497" t="e">
        <f>IF((ABS($O7-$O8)&lt;=IF($B$2="mil",1,0.0254)*5),"Pass",ABS($O7-$O8))</f>
        <v>#REF!</v>
      </c>
      <c r="AH7" s="501"/>
      <c r="AI7" s="3" t="e">
        <f ca="1">IF(AND(W7="Pass",X7="Pass",Y7="Pass",AC7="Pass",AD7="Pass",AG7="Pass",Q7="Pass",R7="Pass"),"Pass","Fail")</f>
        <v>#REF!</v>
      </c>
    </row>
    <row r="8" spans="1:37" s="3" customFormat="1">
      <c r="A8" s="633" t="s">
        <v>260</v>
      </c>
      <c r="B8" s="634" t="s">
        <v>427</v>
      </c>
      <c r="C8" s="635">
        <v>911.18110236220468</v>
      </c>
      <c r="D8" s="687">
        <f>D$6</f>
        <v>22.63</v>
      </c>
      <c r="E8" s="687">
        <f t="shared" ref="E8:G12" si="10">E$6</f>
        <v>0</v>
      </c>
      <c r="F8" s="687">
        <f t="shared" si="10"/>
        <v>2938.07</v>
      </c>
      <c r="G8" s="687">
        <f t="shared" si="10"/>
        <v>0</v>
      </c>
      <c r="H8" s="687">
        <f>H$6</f>
        <v>386.19</v>
      </c>
      <c r="I8" s="303">
        <v>0</v>
      </c>
      <c r="J8" s="303">
        <v>128.32</v>
      </c>
      <c r="K8" s="687">
        <f>K$6</f>
        <v>325.58999999999997</v>
      </c>
      <c r="L8" s="687">
        <f>L$6</f>
        <v>33.04</v>
      </c>
      <c r="M8" s="676">
        <v>28.71</v>
      </c>
      <c r="N8" s="488">
        <f t="shared" si="1"/>
        <v>3475.2100000000005</v>
      </c>
      <c r="O8" s="489" t="e">
        <f t="shared" si="0"/>
        <v>#REF!</v>
      </c>
      <c r="P8" s="490">
        <f>$E$31</f>
        <v>4395</v>
      </c>
      <c r="Q8" s="491" t="e">
        <f t="shared" si="2"/>
        <v>#REF!</v>
      </c>
      <c r="R8" s="492" t="e">
        <f t="shared" si="3"/>
        <v>#REF!</v>
      </c>
      <c r="S8" s="504"/>
      <c r="T8" s="505"/>
      <c r="U8" s="499"/>
      <c r="V8" s="499"/>
      <c r="W8" s="493" t="e">
        <f t="shared" si="4"/>
        <v>#REF!</v>
      </c>
      <c r="X8" s="493" t="e">
        <f>IF(MAX(I$7:I$8,I$11:I$12)-MIN(I$7:I$8,I$11:I$12)&lt;=IF($B$2="mil",1,0.0254)*50,"Pass",MAX(I$7:I$8,I$11:I$12)-MIN(I8)-IF($B$2="mil",1,0.0254)*50)</f>
        <v>#REF!</v>
      </c>
      <c r="Y8" s="495" t="e">
        <f t="shared" ca="1" si="5"/>
        <v>#NAME?</v>
      </c>
      <c r="Z8" s="499"/>
      <c r="AA8" s="499"/>
      <c r="AB8" s="493" t="e">
        <f t="shared" si="6"/>
        <v>#REF!</v>
      </c>
      <c r="AC8" s="495" t="e">
        <f t="shared" si="7"/>
        <v>#REF!</v>
      </c>
      <c r="AD8" s="495" t="e">
        <f t="shared" si="8"/>
        <v>#REF!</v>
      </c>
      <c r="AE8" s="500"/>
      <c r="AF8" s="374"/>
      <c r="AG8" s="497" t="e">
        <f>IF((ABS($O8-$O7)&lt;=IF($B$2="mil",1,0.0254)*5),"Pass",ABS($O8-$O7))</f>
        <v>#REF!</v>
      </c>
      <c r="AH8" s="501"/>
      <c r="AI8" s="3" t="e">
        <f ca="1">IF(AND(W8="Pass",X8="Pass",Y8="Pass",AC8="Pass",AD8="Pass",AG8="Pass",Q8="Pass",R8="Pass"),"Pass","Fail")</f>
        <v>#REF!</v>
      </c>
    </row>
    <row r="9" spans="1:37" s="3" customFormat="1">
      <c r="A9" s="633" t="s">
        <v>257</v>
      </c>
      <c r="B9" s="634" t="s">
        <v>424</v>
      </c>
      <c r="C9" s="635">
        <v>911.14173228346465</v>
      </c>
      <c r="D9" s="687">
        <f>D$5</f>
        <v>22.63</v>
      </c>
      <c r="E9" s="687">
        <f t="shared" si="9"/>
        <v>0</v>
      </c>
      <c r="F9" s="687">
        <f t="shared" si="9"/>
        <v>2974.63</v>
      </c>
      <c r="G9" s="687">
        <f t="shared" si="9"/>
        <v>0</v>
      </c>
      <c r="H9" s="303">
        <v>284.88</v>
      </c>
      <c r="I9" s="303">
        <v>0</v>
      </c>
      <c r="J9" s="303">
        <v>147.83000000000001</v>
      </c>
      <c r="K9" s="305">
        <v>349.44</v>
      </c>
      <c r="L9" s="305">
        <v>27.91</v>
      </c>
      <c r="M9" s="676">
        <v>29.54</v>
      </c>
      <c r="N9" s="488">
        <f t="shared" si="1"/>
        <v>3429.9700000000003</v>
      </c>
      <c r="O9" s="489" t="e">
        <f t="shared" si="0"/>
        <v>#REF!</v>
      </c>
      <c r="P9" s="490">
        <f>$E$28</f>
        <v>4350</v>
      </c>
      <c r="Q9" s="491" t="e">
        <f>IF($P9-$O9&lt;IF($B$2="mil",1,0.0254)*10,"Pass",$P9-$O9-IF($B$2="mil",1,0.0254)*10)</f>
        <v>#REF!</v>
      </c>
      <c r="R9" s="492" t="e">
        <f>IF($O9-$P9&lt;IF($B$2="mil",1,0.0254)*10,"Pass",$O9-$P9-IF($B$2="mil",1,0.0254)*10)</f>
        <v>#REF!</v>
      </c>
      <c r="S9" s="504"/>
      <c r="T9" s="505"/>
      <c r="U9" s="499"/>
      <c r="V9" s="493" t="e">
        <f>IF($H9&lt;=IF($B$2="mil",1,0.0254)*500,"Pass",IF($B$2="mil",1,0.0254)*500-$H9)</f>
        <v>#REF!</v>
      </c>
      <c r="W9" s="493" t="e">
        <f t="shared" si="4"/>
        <v>#REF!</v>
      </c>
      <c r="X9" s="493" t="e">
        <f>IF(MAX(I$5:I$6,I$9:I$10)-MIN(I$5:I$6,I$9:I$10)&lt;=IF($B$2="mil",1,0.0254)*50,"Pass",MAX(I$5:I$6,I$9:I$10)-MIN(I9)-IF($B$2="mil",1,0.0254)*50)</f>
        <v>#REF!</v>
      </c>
      <c r="Y9" s="495" t="e">
        <f t="shared" ca="1" si="5"/>
        <v>#NAME?</v>
      </c>
      <c r="Z9" s="493" t="e">
        <f>IF($K9&lt;=IF($B$2="mil",1,0.0254)*500,"Pass",IF($B$2="mil",1,0.0254)*500-$K9)</f>
        <v>#REF!</v>
      </c>
      <c r="AA9" s="493" t="e">
        <f ca="1">CheckLength2(IF($B$2="mil",1,0.0254)*750,K9,L9,0)</f>
        <v>#NAME?</v>
      </c>
      <c r="AB9" s="493" t="e">
        <f t="shared" si="6"/>
        <v>#REF!</v>
      </c>
      <c r="AC9" s="495" t="e">
        <f t="shared" si="7"/>
        <v>#REF!</v>
      </c>
      <c r="AD9" s="495" t="e">
        <f t="shared" si="8"/>
        <v>#REF!</v>
      </c>
      <c r="AE9" s="500"/>
      <c r="AF9" s="374"/>
      <c r="AG9" s="497" t="e">
        <f>IF((ABS($O9-$O10)&lt;=IF($B$2="mil",1,0.0254)*5),"Pass",ABS($O9-$O10))</f>
        <v>#REF!</v>
      </c>
      <c r="AH9" s="501"/>
      <c r="AI9" s="3" t="e">
        <f ca="1">IF(AND(W9="Pass",V9="Pass",X9="Pass",Y9="Pass",Z9="Pass",AA9="Pass",AC9="Pass",AD9="Pass",AG9="Pass",Q9="Pass",R9="Pass"),"Pass","Fail")</f>
        <v>#REF!</v>
      </c>
    </row>
    <row r="10" spans="1:37" s="3" customFormat="1">
      <c r="A10" s="633" t="s">
        <v>258</v>
      </c>
      <c r="B10" s="634" t="s">
        <v>427</v>
      </c>
      <c r="C10" s="635">
        <v>911.18110236220468</v>
      </c>
      <c r="D10" s="687">
        <f>D$6</f>
        <v>22.63</v>
      </c>
      <c r="E10" s="687">
        <f t="shared" si="10"/>
        <v>0</v>
      </c>
      <c r="F10" s="687">
        <f t="shared" si="10"/>
        <v>2938.07</v>
      </c>
      <c r="G10" s="687">
        <f t="shared" si="10"/>
        <v>0</v>
      </c>
      <c r="H10" s="303">
        <v>317.44</v>
      </c>
      <c r="I10" s="303">
        <v>0</v>
      </c>
      <c r="J10" s="303">
        <v>151.55000000000001</v>
      </c>
      <c r="K10" s="305">
        <v>387.12</v>
      </c>
      <c r="L10" s="305">
        <v>27.91</v>
      </c>
      <c r="M10" s="676">
        <v>28.71</v>
      </c>
      <c r="N10" s="488">
        <f xml:space="preserve"> SUM(D10:F10,H10,I10:J10)</f>
        <v>3429.6900000000005</v>
      </c>
      <c r="O10" s="489" t="e">
        <f>IF($B$2="mil",1,0.0254)*C10+N10</f>
        <v>#REF!</v>
      </c>
      <c r="P10" s="490">
        <f>$E$28</f>
        <v>4350</v>
      </c>
      <c r="Q10" s="491" t="e">
        <f t="shared" si="2"/>
        <v>#REF!</v>
      </c>
      <c r="R10" s="492" t="e">
        <f t="shared" si="3"/>
        <v>#REF!</v>
      </c>
      <c r="S10" s="504"/>
      <c r="T10" s="505"/>
      <c r="U10" s="499"/>
      <c r="V10" s="493" t="e">
        <f>IF($I10&lt;=IF($B$2="mil",1,0.0254)*500,"Pass",IF($B$2="mil",1,0.0254)*500-$I10)</f>
        <v>#REF!</v>
      </c>
      <c r="W10" s="493" t="e">
        <f t="shared" si="4"/>
        <v>#REF!</v>
      </c>
      <c r="X10" s="493" t="e">
        <f>IF(MAX(I$5:I$6,I$9:I$10)-MIN(I$5:I$6,I$9:I$10)&lt;=IF($B$2="mil",1,0.0254)*50,"Pass",MAX(I$5:I$6,I$9:I$10)-MIN(I10)-IF($B$2="mil",1,0.0254)*50)</f>
        <v>#REF!</v>
      </c>
      <c r="Y10" s="495" t="e">
        <f t="shared" ca="1" si="5"/>
        <v>#NAME?</v>
      </c>
      <c r="Z10" s="493" t="e">
        <f>IF($K10&lt;=IF($B$2="mil",1,0.0254)*500,"Pass",IF($B$2="mil",1,0.0254)*500-$K10)</f>
        <v>#REF!</v>
      </c>
      <c r="AA10" s="493" t="e">
        <f ca="1">CheckLength2(IF($B$2="mil",1,0.0254)*750,K10,L10,0)</f>
        <v>#NAME?</v>
      </c>
      <c r="AB10" s="493" t="e">
        <f t="shared" si="6"/>
        <v>#REF!</v>
      </c>
      <c r="AC10" s="495" t="e">
        <f t="shared" si="7"/>
        <v>#REF!</v>
      </c>
      <c r="AD10" s="495" t="e">
        <f t="shared" si="8"/>
        <v>#REF!</v>
      </c>
      <c r="AE10" s="500"/>
      <c r="AF10" s="374"/>
      <c r="AG10" s="497" t="e">
        <f>IF((ABS($O10-$O9)&lt;=IF($B$2="mil",1,0.0254)*5),"Pass",ABS($O10-$O9))</f>
        <v>#REF!</v>
      </c>
      <c r="AH10" s="501"/>
      <c r="AI10" s="3" t="e">
        <f ca="1">IF(AND(W10="Pass",V10="Pass",X10="Pass",Y10="Pass",Z10="Pass",AA10="Pass",AC10="Pass",AD10="Pass",AG10="Pass",Q10="Pass",R10="Pass"),"Pass","Fail")</f>
        <v>#REF!</v>
      </c>
    </row>
    <row r="11" spans="1:37" s="3" customFormat="1">
      <c r="A11" s="633" t="s">
        <v>261</v>
      </c>
      <c r="B11" s="634" t="s">
        <v>424</v>
      </c>
      <c r="C11" s="635">
        <v>911.14173228346465</v>
      </c>
      <c r="D11" s="687">
        <f>D$5</f>
        <v>22.63</v>
      </c>
      <c r="E11" s="687">
        <f t="shared" si="9"/>
        <v>0</v>
      </c>
      <c r="F11" s="687">
        <f t="shared" si="9"/>
        <v>2974.63</v>
      </c>
      <c r="G11" s="687">
        <f t="shared" si="9"/>
        <v>0</v>
      </c>
      <c r="H11" s="687">
        <f>H$9</f>
        <v>284.88</v>
      </c>
      <c r="I11" s="303">
        <v>0</v>
      </c>
      <c r="J11" s="303">
        <v>175.53</v>
      </c>
      <c r="K11" s="687">
        <f>K$9</f>
        <v>349.44</v>
      </c>
      <c r="L11" s="687">
        <f>L$9</f>
        <v>27.91</v>
      </c>
      <c r="M11" s="676">
        <v>29.54</v>
      </c>
      <c r="N11" s="488">
        <f t="shared" si="1"/>
        <v>3457.6700000000005</v>
      </c>
      <c r="O11" s="489" t="e">
        <f t="shared" si="0"/>
        <v>#REF!</v>
      </c>
      <c r="P11" s="490">
        <f>$E$32</f>
        <v>4375</v>
      </c>
      <c r="Q11" s="491" t="e">
        <f t="shared" si="2"/>
        <v>#REF!</v>
      </c>
      <c r="R11" s="492" t="e">
        <f t="shared" si="3"/>
        <v>#REF!</v>
      </c>
      <c r="S11" s="504"/>
      <c r="T11" s="505"/>
      <c r="U11" s="499"/>
      <c r="V11" s="499"/>
      <c r="W11" s="493" t="e">
        <f t="shared" si="4"/>
        <v>#REF!</v>
      </c>
      <c r="X11" s="493" t="e">
        <f>IF(MAX(I$7:I$8,I$11:I$12)-MIN(I$7:I$8,I$11:I$12)&lt;=IF($B$2="mil",1,0.0254)*50,"Pass",MAX(I$7:I$8,I$11:I$12)-MIN(I11)-IF($B$2="mil",1,0.0254)*50)</f>
        <v>#REF!</v>
      </c>
      <c r="Y11" s="495" t="e">
        <f t="shared" ca="1" si="5"/>
        <v>#NAME?</v>
      </c>
      <c r="Z11" s="499"/>
      <c r="AA11" s="499"/>
      <c r="AB11" s="493" t="e">
        <f t="shared" si="6"/>
        <v>#REF!</v>
      </c>
      <c r="AC11" s="495" t="e">
        <f t="shared" si="7"/>
        <v>#REF!</v>
      </c>
      <c r="AD11" s="495" t="e">
        <f t="shared" si="8"/>
        <v>#REF!</v>
      </c>
      <c r="AE11" s="500"/>
      <c r="AF11" s="374"/>
      <c r="AG11" s="497" t="e">
        <f>IF((ABS($O11-$O12)&lt;=IF($B$2="mil",1,0.0254)*5),"Pass",ABS($O11-$O12))</f>
        <v>#REF!</v>
      </c>
      <c r="AH11" s="501"/>
      <c r="AI11" s="3" t="e">
        <f ca="1">IF(AND(W11="Pass",X11="Pass",Y11="Pass",AC11="Pass",AD11="Pass",AG11="Pass",Q11="Pass",R11="Pass"),"Pass","Fail")</f>
        <v>#REF!</v>
      </c>
    </row>
    <row r="12" spans="1:37" s="3" customFormat="1">
      <c r="A12" s="633" t="s">
        <v>262</v>
      </c>
      <c r="B12" s="634" t="s">
        <v>427</v>
      </c>
      <c r="C12" s="635">
        <v>911.18110236220468</v>
      </c>
      <c r="D12" s="687">
        <f>D$6</f>
        <v>22.63</v>
      </c>
      <c r="E12" s="687">
        <f t="shared" si="10"/>
        <v>0</v>
      </c>
      <c r="F12" s="687">
        <f t="shared" si="10"/>
        <v>2938.07</v>
      </c>
      <c r="G12" s="687">
        <f t="shared" si="10"/>
        <v>0</v>
      </c>
      <c r="H12" s="687">
        <f>H$10</f>
        <v>317.44</v>
      </c>
      <c r="I12" s="303">
        <v>0</v>
      </c>
      <c r="J12" s="303">
        <v>177.17</v>
      </c>
      <c r="K12" s="687">
        <f>K$10</f>
        <v>387.12</v>
      </c>
      <c r="L12" s="687">
        <f>L$10</f>
        <v>27.91</v>
      </c>
      <c r="M12" s="676">
        <v>28.71</v>
      </c>
      <c r="N12" s="488">
        <f t="shared" si="1"/>
        <v>3455.3100000000004</v>
      </c>
      <c r="O12" s="489" t="e">
        <f t="shared" si="0"/>
        <v>#REF!</v>
      </c>
      <c r="P12" s="490">
        <f>$E$32</f>
        <v>4375</v>
      </c>
      <c r="Q12" s="491" t="e">
        <f t="shared" si="2"/>
        <v>#REF!</v>
      </c>
      <c r="R12" s="492" t="e">
        <f t="shared" si="3"/>
        <v>#REF!</v>
      </c>
      <c r="S12" s="506"/>
      <c r="T12" s="507"/>
      <c r="U12" s="499"/>
      <c r="V12" s="499"/>
      <c r="W12" s="493" t="e">
        <f t="shared" si="4"/>
        <v>#REF!</v>
      </c>
      <c r="X12" s="493" t="e">
        <f>IF(MAX(I$7:I$8,I$11:I$12)-MIN(I$7:I$8,I$11:I$12)&lt;=IF($B$2="mil",1,0.0254)*50,"Pass",MAX(I$7:I$8,I$11:I$12)-MIN(I12)-IF($B$2="mil",1,0.0254)*50)</f>
        <v>#REF!</v>
      </c>
      <c r="Y12" s="495" t="e">
        <f t="shared" ca="1" si="5"/>
        <v>#NAME?</v>
      </c>
      <c r="Z12" s="499"/>
      <c r="AA12" s="499"/>
      <c r="AB12" s="493" t="e">
        <f t="shared" si="6"/>
        <v>#REF!</v>
      </c>
      <c r="AC12" s="495" t="e">
        <f t="shared" si="7"/>
        <v>#REF!</v>
      </c>
      <c r="AD12" s="495" t="e">
        <f t="shared" si="8"/>
        <v>#REF!</v>
      </c>
      <c r="AE12" s="500"/>
      <c r="AF12" s="374"/>
      <c r="AG12" s="497" t="e">
        <f>IF((ABS($O12-$O11)&lt;=IF($B$2="mil",1,0.0254)*5),"Pass",ABS($O12-$O11))</f>
        <v>#REF!</v>
      </c>
      <c r="AH12" s="501"/>
      <c r="AI12" s="3" t="e">
        <f ca="1">IF(AND(W12="Pass",X12="Pass",Y12="Pass",AC12="Pass",AD12="Pass",AG12="Pass",Q12="Pass",R12="Pass"),"Pass","Fail")</f>
        <v>#REF!</v>
      </c>
    </row>
    <row r="13" spans="1:37" s="3" customFormat="1">
      <c r="A13" s="633" t="s">
        <v>263</v>
      </c>
      <c r="B13" s="634" t="s">
        <v>114</v>
      </c>
      <c r="C13" s="635">
        <v>1036.1417322834648</v>
      </c>
      <c r="D13" s="619">
        <v>22.63</v>
      </c>
      <c r="E13" s="19">
        <v>0</v>
      </c>
      <c r="F13" s="303">
        <v>3136.79</v>
      </c>
      <c r="G13" s="303">
        <v>0</v>
      </c>
      <c r="H13" s="303">
        <v>310.72000000000003</v>
      </c>
      <c r="I13" s="303">
        <v>0</v>
      </c>
      <c r="J13" s="303">
        <v>192.22</v>
      </c>
      <c r="K13" s="305">
        <v>495.59</v>
      </c>
      <c r="L13" s="305">
        <v>43.11</v>
      </c>
      <c r="M13" s="303">
        <v>31.04</v>
      </c>
      <c r="N13" s="488">
        <f xml:space="preserve"> SUM(D13:F13,H13,I13:J13)</f>
        <v>3662.36</v>
      </c>
      <c r="O13" s="489" t="e">
        <f t="shared" si="0"/>
        <v>#REF!</v>
      </c>
      <c r="P13" s="490">
        <f>$E$29</f>
        <v>4690</v>
      </c>
      <c r="Q13" s="491" t="e">
        <f t="shared" si="2"/>
        <v>#REF!</v>
      </c>
      <c r="R13" s="492" t="e">
        <f t="shared" si="3"/>
        <v>#REF!</v>
      </c>
      <c r="S13" s="493" t="e">
        <f>IF($D13&lt;=IF($B$2="mil",1,0.0254)*50,"Pass",IF($B$2="mil",1,0.0254)*50-$D13)</f>
        <v>#REF!</v>
      </c>
      <c r="T13" s="493" t="e">
        <f>IF($E13&lt;=IF($B$2="mil",1,0.0254)*500,"Pass",IF($B$2="mil",1,0.0254)*500-$E13)</f>
        <v>#REF!</v>
      </c>
      <c r="U13" s="499"/>
      <c r="V13" s="493" t="e">
        <f>IF($H13&lt;=IF($B$2="mil",1,0.0254)*500,"Pass",IF($B$2="mil",1,0.0254)*500-$H13)</f>
        <v>#REF!</v>
      </c>
      <c r="W13" s="493" t="e">
        <f t="shared" si="4"/>
        <v>#REF!</v>
      </c>
      <c r="X13" s="493" t="e">
        <f>IF(MAX(I$13:I$14,I$17:I$18)-MIN(I$13:I$14,I$17:I$18)&lt;=IF($B$2="mil",1,0.0254)*50,"Pass",MAX(I$13:I$14,I$17:I$18)-MIN(I13)-IF($B$2="mil",1,0.0254)*50)</f>
        <v>#REF!</v>
      </c>
      <c r="Y13" s="495" t="e">
        <f t="shared" ca="1" si="5"/>
        <v>#NAME?</v>
      </c>
      <c r="Z13" s="493" t="e">
        <f>IF($K13&lt;=IF($B$2="mil",1,0.0254)*500,"Pass",IF($B$2="mil",1,0.0254)*500-$K13)</f>
        <v>#REF!</v>
      </c>
      <c r="AA13" s="493" t="e">
        <f ca="1">CheckLength2(IF($B$2="mil",1,0.0254)*750,K13,L13,0)</f>
        <v>#NAME?</v>
      </c>
      <c r="AB13" s="493" t="e">
        <f t="shared" si="6"/>
        <v>#REF!</v>
      </c>
      <c r="AC13" s="495" t="e">
        <f t="shared" si="7"/>
        <v>#REF!</v>
      </c>
      <c r="AD13" s="495" t="e">
        <f t="shared" si="8"/>
        <v>#REF!</v>
      </c>
      <c r="AE13" s="500"/>
      <c r="AF13" s="374"/>
      <c r="AG13" s="497" t="e">
        <f>IF((ABS($O13-$O14)&lt;=IF($B$2="mil",1,0.0254)*5),"Pass",ABS($O13-$O14))</f>
        <v>#REF!</v>
      </c>
      <c r="AH13" s="501"/>
      <c r="AI13" s="3" t="e">
        <f ca="1">IF(AND(S13="Pass",T13="Pass",W13="Pass",V13="Pass",X13="Pass",Y13="Pass",Z13="Pass",AA13="Pass",AC13="Pass",AD13="Pass",AG13="Pass",Q13="Pass",R13="Pass"),"Pass","Fail")</f>
        <v>#REF!</v>
      </c>
    </row>
    <row r="14" spans="1:37" s="3" customFormat="1">
      <c r="A14" s="633" t="s">
        <v>264</v>
      </c>
      <c r="B14" s="634" t="s">
        <v>427</v>
      </c>
      <c r="C14" s="635">
        <v>1036.1417322834648</v>
      </c>
      <c r="D14" s="619">
        <v>22.63</v>
      </c>
      <c r="E14" s="19">
        <v>0</v>
      </c>
      <c r="F14" s="303">
        <v>3171.28</v>
      </c>
      <c r="G14" s="303">
        <v>0</v>
      </c>
      <c r="H14" s="303">
        <v>330.11</v>
      </c>
      <c r="I14" s="303">
        <v>0</v>
      </c>
      <c r="J14" s="303">
        <v>136.97</v>
      </c>
      <c r="K14" s="305">
        <v>389.88</v>
      </c>
      <c r="L14" s="305">
        <v>45.18</v>
      </c>
      <c r="M14" s="303">
        <v>31.04</v>
      </c>
      <c r="N14" s="488">
        <f t="shared" si="1"/>
        <v>3660.9900000000002</v>
      </c>
      <c r="O14" s="489" t="e">
        <f t="shared" si="0"/>
        <v>#REF!</v>
      </c>
      <c r="P14" s="490">
        <f>$E$29</f>
        <v>4690</v>
      </c>
      <c r="Q14" s="491" t="e">
        <f t="shared" si="2"/>
        <v>#REF!</v>
      </c>
      <c r="R14" s="492" t="e">
        <f t="shared" si="3"/>
        <v>#REF!</v>
      </c>
      <c r="S14" s="493" t="e">
        <f>IF($D14&lt;=IF($B$2="mil",1,0.0254)*50,"Pass",IF($B$2="mil",1,0.0254)*50-$D14)</f>
        <v>#REF!</v>
      </c>
      <c r="T14" s="493" t="e">
        <f>IF($E14&lt;=IF($B$2="mil",1,0.0254)*500,"Pass",IF($B$2="mil",1,0.0254)*500-$E14)</f>
        <v>#REF!</v>
      </c>
      <c r="U14" s="499"/>
      <c r="V14" s="493" t="e">
        <f>IF($H14&lt;=IF($B$2="mil",1,0.0254)*500,"Pass",IF($B$2="mil",1,0.0254)*500-$H14)</f>
        <v>#REF!</v>
      </c>
      <c r="W14" s="493" t="e">
        <f t="shared" si="4"/>
        <v>#REF!</v>
      </c>
      <c r="X14" s="493" t="e">
        <f>IF(MAX(I$13:I$14,I$17:I$18)-MIN(I$13:I$14,I$17:I$18)&lt;=IF($B$2="mil",1,0.0254)*50,"Pass",MAX(I$13:I$14,I$17:I$18)-MIN(I14)-IF($B$2="mil",1,0.0254)*50)</f>
        <v>#REF!</v>
      </c>
      <c r="Y14" s="495" t="e">
        <f t="shared" ca="1" si="5"/>
        <v>#NAME?</v>
      </c>
      <c r="Z14" s="493" t="e">
        <f>IF($K14&lt;=IF($B$2="mil",1,0.0254)*500,"Pass",IF($B$2="mil",1,0.0254)*500-$K14)</f>
        <v>#REF!</v>
      </c>
      <c r="AA14" s="493" t="e">
        <f ca="1">CheckLength2(IF($B$2="mil",1,0.0254)*750,K14,L14,0)</f>
        <v>#NAME?</v>
      </c>
      <c r="AB14" s="493" t="e">
        <f t="shared" si="6"/>
        <v>#REF!</v>
      </c>
      <c r="AC14" s="495" t="e">
        <f t="shared" si="7"/>
        <v>#REF!</v>
      </c>
      <c r="AD14" s="495" t="e">
        <f t="shared" si="8"/>
        <v>#REF!</v>
      </c>
      <c r="AE14" s="500"/>
      <c r="AF14" s="374"/>
      <c r="AG14" s="497" t="e">
        <f>IF((ABS($O14-$O13)&lt;=IF($B$2="mil",1,0.0254)*5),"Pass",ABS($O14-$O13))</f>
        <v>#REF!</v>
      </c>
      <c r="AH14" s="501"/>
      <c r="AI14" s="3" t="e">
        <f ca="1">IF(AND(S14="Pass",T14="Pass",W14="Pass",V14="Pass",X14="Pass",Y14="Pass",Z14="Pass",AA14="Pass",AC14="Pass",AD14="Pass",AG14="Pass",Q14="Pass",R14="Pass"),"Pass","Fail")</f>
        <v>#REF!</v>
      </c>
    </row>
    <row r="15" spans="1:37" s="3" customFormat="1" ht="13.5" customHeight="1">
      <c r="A15" s="633" t="s">
        <v>267</v>
      </c>
      <c r="B15" s="634" t="s">
        <v>114</v>
      </c>
      <c r="C15" s="635">
        <v>1036.1417322834648</v>
      </c>
      <c r="D15" s="687">
        <f>D$13</f>
        <v>22.63</v>
      </c>
      <c r="E15" s="687">
        <f t="shared" ref="E15:G19" si="11">E$13</f>
        <v>0</v>
      </c>
      <c r="F15" s="687">
        <f t="shared" si="11"/>
        <v>3136.79</v>
      </c>
      <c r="G15" s="687">
        <f t="shared" si="11"/>
        <v>0</v>
      </c>
      <c r="H15" s="687">
        <f>H$13</f>
        <v>310.72000000000003</v>
      </c>
      <c r="I15" s="303">
        <v>0</v>
      </c>
      <c r="J15" s="303">
        <v>202.5</v>
      </c>
      <c r="K15" s="687">
        <f>K$13</f>
        <v>495.59</v>
      </c>
      <c r="L15" s="687">
        <f>L$13</f>
        <v>43.11</v>
      </c>
      <c r="M15" s="676">
        <v>31.04</v>
      </c>
      <c r="N15" s="488">
        <f t="shared" ref="N15:N20" si="12" xml:space="preserve"> SUM(D15:F15,H15,I15:J15)</f>
        <v>3672.6400000000003</v>
      </c>
      <c r="O15" s="489" t="e">
        <f t="shared" ref="O15:O20" si="13">IF($B$2="mil",1,0.0254)*C15+N15</f>
        <v>#REF!</v>
      </c>
      <c r="P15" s="490">
        <f>$E$33</f>
        <v>4700</v>
      </c>
      <c r="Q15" s="491" t="e">
        <f t="shared" si="2"/>
        <v>#REF!</v>
      </c>
      <c r="R15" s="492" t="e">
        <f t="shared" si="3"/>
        <v>#REF!</v>
      </c>
      <c r="S15" s="502"/>
      <c r="T15" s="503"/>
      <c r="U15" s="499"/>
      <c r="V15" s="499"/>
      <c r="W15" s="493" t="e">
        <f t="shared" si="4"/>
        <v>#REF!</v>
      </c>
      <c r="X15" s="493" t="e">
        <f>IF(MAX(I$15:I$16,I$19:I$20)-MIN(I$15:I$16,I$19:I$20)&lt;=IF($B$2="mil",1,0.0254)*50,"Pass",MAX(I$15:I$16,I$19:I$20)-MIN(I15)-IF($B$2="mil",1,0.0254)*50)</f>
        <v>#REF!</v>
      </c>
      <c r="Y15" s="495" t="e">
        <f t="shared" ca="1" si="5"/>
        <v>#NAME?</v>
      </c>
      <c r="Z15" s="499"/>
      <c r="AA15" s="499"/>
      <c r="AB15" s="493" t="e">
        <f t="shared" si="6"/>
        <v>#REF!</v>
      </c>
      <c r="AC15" s="495" t="e">
        <f t="shared" si="7"/>
        <v>#REF!</v>
      </c>
      <c r="AD15" s="495" t="e">
        <f t="shared" si="8"/>
        <v>#REF!</v>
      </c>
      <c r="AE15" s="500"/>
      <c r="AF15" s="374"/>
      <c r="AG15" s="497" t="e">
        <f>IF((ABS($O15-$O16)&lt;=IF($B$2="mil",1,0.0254)*5),"Pass",ABS($O15-$O16))</f>
        <v>#REF!</v>
      </c>
      <c r="AH15" s="501"/>
      <c r="AI15" s="3" t="e">
        <f ca="1">IF(AND(W15="Pass",X15="Pass",Y15="Pass",AC15="Pass",AD15="Pass",AG15="Pass",Q15="Pass",R15="Pass"),"Pass","Fail")</f>
        <v>#REF!</v>
      </c>
    </row>
    <row r="16" spans="1:37" s="3" customFormat="1">
      <c r="A16" s="633" t="s">
        <v>268</v>
      </c>
      <c r="B16" s="634" t="s">
        <v>427</v>
      </c>
      <c r="C16" s="635">
        <v>1036.1417322834648</v>
      </c>
      <c r="D16" s="687">
        <f>D$14</f>
        <v>22.63</v>
      </c>
      <c r="E16" s="687">
        <f t="shared" ref="E16:G20" si="14">E$14</f>
        <v>0</v>
      </c>
      <c r="F16" s="687">
        <f t="shared" si="14"/>
        <v>3171.28</v>
      </c>
      <c r="G16" s="687">
        <f t="shared" si="14"/>
        <v>0</v>
      </c>
      <c r="H16" s="687">
        <f>H$14</f>
        <v>330.11</v>
      </c>
      <c r="I16" s="303">
        <v>0</v>
      </c>
      <c r="J16" s="303">
        <v>147.61000000000001</v>
      </c>
      <c r="K16" s="687">
        <f>K$14</f>
        <v>389.88</v>
      </c>
      <c r="L16" s="687">
        <f>L$14</f>
        <v>45.18</v>
      </c>
      <c r="M16" s="676">
        <v>31.04</v>
      </c>
      <c r="N16" s="488">
        <f t="shared" si="12"/>
        <v>3671.6300000000006</v>
      </c>
      <c r="O16" s="489" t="e">
        <f t="shared" si="13"/>
        <v>#REF!</v>
      </c>
      <c r="P16" s="490">
        <f>$E$33</f>
        <v>4700</v>
      </c>
      <c r="Q16" s="491" t="e">
        <f t="shared" si="2"/>
        <v>#REF!</v>
      </c>
      <c r="R16" s="492" t="e">
        <f t="shared" si="3"/>
        <v>#REF!</v>
      </c>
      <c r="S16" s="504"/>
      <c r="T16" s="505"/>
      <c r="U16" s="499"/>
      <c r="V16" s="499"/>
      <c r="W16" s="493" t="e">
        <f t="shared" si="4"/>
        <v>#REF!</v>
      </c>
      <c r="X16" s="493" t="e">
        <f>IF(MAX(I$15:I$16,I$19:I$20)-MIN(I$15:I$16,I$19:I$20)&lt;=IF($B$2="mil",1,0.0254)*50,"Pass",MAX(I$15:I$16,I$19:I$20)-MIN(I16)-IF($B$2="mil",1,0.0254)*50)</f>
        <v>#REF!</v>
      </c>
      <c r="Y16" s="495" t="e">
        <f t="shared" ca="1" si="5"/>
        <v>#NAME?</v>
      </c>
      <c r="Z16" s="499"/>
      <c r="AA16" s="499"/>
      <c r="AB16" s="493" t="e">
        <f t="shared" si="6"/>
        <v>#REF!</v>
      </c>
      <c r="AC16" s="495" t="e">
        <f t="shared" si="7"/>
        <v>#REF!</v>
      </c>
      <c r="AD16" s="495" t="e">
        <f t="shared" si="8"/>
        <v>#REF!</v>
      </c>
      <c r="AE16" s="500"/>
      <c r="AF16" s="374"/>
      <c r="AG16" s="497" t="e">
        <f>IF((ABS($O16-$O15)&lt;=IF($B$2="mil",1,0.0254)*5),"Pass",ABS($O16-$O15))</f>
        <v>#REF!</v>
      </c>
      <c r="AH16" s="501"/>
      <c r="AI16" s="3" t="e">
        <f ca="1">IF(AND(W16="Pass",X16="Pass",Y16="Pass",AC16="Pass",AD16="Pass",AG16="Pass",Q16="Pass",R16="Pass"),"Pass","Fail")</f>
        <v>#REF!</v>
      </c>
    </row>
    <row r="17" spans="1:36" s="3" customFormat="1">
      <c r="A17" s="633" t="s">
        <v>265</v>
      </c>
      <c r="B17" s="634" t="s">
        <v>114</v>
      </c>
      <c r="C17" s="635">
        <v>1036.1417322834648</v>
      </c>
      <c r="D17" s="687">
        <f>D$13</f>
        <v>22.63</v>
      </c>
      <c r="E17" s="687">
        <f t="shared" si="11"/>
        <v>0</v>
      </c>
      <c r="F17" s="687">
        <f t="shared" si="11"/>
        <v>3136.79</v>
      </c>
      <c r="G17" s="687">
        <f t="shared" si="11"/>
        <v>0</v>
      </c>
      <c r="H17" s="303">
        <v>430.29</v>
      </c>
      <c r="I17" s="303">
        <v>0</v>
      </c>
      <c r="J17" s="303">
        <v>197.65</v>
      </c>
      <c r="K17" s="305">
        <v>308.85000000000002</v>
      </c>
      <c r="L17" s="305">
        <v>35.04</v>
      </c>
      <c r="M17" s="676">
        <v>31.04</v>
      </c>
      <c r="N17" s="488">
        <f xml:space="preserve"> SUM(D17:F17,H17,I17:J17)</f>
        <v>3787.36</v>
      </c>
      <c r="O17" s="489" t="e">
        <f>IF($B$2="mil",1,0.0254)*C17+N17</f>
        <v>#REF!</v>
      </c>
      <c r="P17" s="490">
        <f>$E$30</f>
        <v>4816</v>
      </c>
      <c r="Q17" s="491" t="e">
        <f>IF($P17-$O17&lt;IF($B$2="mil",1,0.0254)*10,"Pass",$P17-$O17-IF($B$2="mil",1,0.0254)*10)</f>
        <v>#REF!</v>
      </c>
      <c r="R17" s="492" t="e">
        <f t="shared" si="3"/>
        <v>#REF!</v>
      </c>
      <c r="S17" s="504"/>
      <c r="T17" s="505"/>
      <c r="U17" s="499"/>
      <c r="V17" s="493" t="e">
        <f>IF($H17&lt;=IF($B$2="mil",1,0.0254)*500,"Pass",IF($B$2="mil",1,0.0254)*500-$H17)</f>
        <v>#REF!</v>
      </c>
      <c r="W17" s="493" t="e">
        <f t="shared" si="4"/>
        <v>#REF!</v>
      </c>
      <c r="X17" s="493" t="e">
        <f>IF(MAX(I$13:I$14,I$17:I$18)-MIN(I$13:I$14,I$17:I$18)&lt;=IF($B$2="mil",1,0.0254)*50,"Pass",MAX(I$13:I$14,I$17:I$18)-MIN(I17)-IF($B$2="mil",1,0.0254)*50)</f>
        <v>#REF!</v>
      </c>
      <c r="Y17" s="495" t="e">
        <f t="shared" ca="1" si="5"/>
        <v>#NAME?</v>
      </c>
      <c r="Z17" s="493" t="e">
        <f>IF($K17&lt;=IF($B$2="mil",1,0.0254)*500,"Pass",IF($B$2="mil",1,0.0254)*500-$K17)</f>
        <v>#REF!</v>
      </c>
      <c r="AA17" s="493" t="e">
        <f ca="1">CheckLength2(IF($B$2="mil",1,0.0254)*750,K17,L17,0)</f>
        <v>#NAME?</v>
      </c>
      <c r="AB17" s="493" t="e">
        <f t="shared" si="6"/>
        <v>#REF!</v>
      </c>
      <c r="AC17" s="495" t="e">
        <f t="shared" si="7"/>
        <v>#REF!</v>
      </c>
      <c r="AD17" s="495" t="e">
        <f t="shared" si="8"/>
        <v>#REF!</v>
      </c>
      <c r="AE17" s="500"/>
      <c r="AF17" s="374"/>
      <c r="AG17" s="497" t="e">
        <f>IF((ABS($O17-$O18)&lt;=IF($B$2="mil",1,0.0254)*5),"Pass",ABS($O17-$O18))</f>
        <v>#REF!</v>
      </c>
      <c r="AH17" s="501"/>
      <c r="AI17" s="3" t="e">
        <f ca="1">IF(AND(W17="Pass",V17="Pass",X17="Pass",Y17="Pass",Z17="Pass",AA17="Pass",AC17="Pass",AD17="Pass",AG17="Pass",Q17="Pass",R17="Pass"),"Pass","Fail")</f>
        <v>#REF!</v>
      </c>
    </row>
    <row r="18" spans="1:36" s="3" customFormat="1">
      <c r="A18" s="633" t="s">
        <v>266</v>
      </c>
      <c r="B18" s="634" t="s">
        <v>427</v>
      </c>
      <c r="C18" s="635">
        <v>1036.1417322834648</v>
      </c>
      <c r="D18" s="687">
        <f>D$14</f>
        <v>22.63</v>
      </c>
      <c r="E18" s="687">
        <f t="shared" si="14"/>
        <v>0</v>
      </c>
      <c r="F18" s="687">
        <f t="shared" si="14"/>
        <v>3171.28</v>
      </c>
      <c r="G18" s="687">
        <f t="shared" si="14"/>
        <v>0</v>
      </c>
      <c r="H18" s="303">
        <v>462.48</v>
      </c>
      <c r="I18" s="303">
        <v>0</v>
      </c>
      <c r="J18" s="303">
        <v>132.57</v>
      </c>
      <c r="K18" s="305">
        <v>266.01</v>
      </c>
      <c r="L18" s="305">
        <v>34.21</v>
      </c>
      <c r="M18" s="676">
        <v>31.04</v>
      </c>
      <c r="N18" s="488">
        <f t="shared" si="12"/>
        <v>3788.9600000000005</v>
      </c>
      <c r="O18" s="489" t="e">
        <f t="shared" si="13"/>
        <v>#REF!</v>
      </c>
      <c r="P18" s="490">
        <f>$E$30</f>
        <v>4816</v>
      </c>
      <c r="Q18" s="491" t="e">
        <f t="shared" si="2"/>
        <v>#REF!</v>
      </c>
      <c r="R18" s="492" t="e">
        <f t="shared" si="3"/>
        <v>#REF!</v>
      </c>
      <c r="S18" s="504"/>
      <c r="T18" s="505"/>
      <c r="U18" s="499"/>
      <c r="V18" s="493" t="e">
        <f>IF($H18&lt;=IF($B$2="mil",1,0.0254)*500,"Pass",IF($B$2="mil",1,0.0254)*500-$H18)</f>
        <v>#REF!</v>
      </c>
      <c r="W18" s="493" t="e">
        <f t="shared" si="4"/>
        <v>#REF!</v>
      </c>
      <c r="X18" s="493" t="e">
        <f>IF(MAX(I$13:I$14,I$17:I$18)-MIN(I$13:I$14,I$17:I$18)&lt;=IF($B$2="mil",1,0.0254)*50,"Pass",MAX(I$13:I$14,I$17:I$18)-MIN(I18)-IF($B$2="mil",1,0.0254)*50)</f>
        <v>#REF!</v>
      </c>
      <c r="Y18" s="495" t="e">
        <f t="shared" ca="1" si="5"/>
        <v>#NAME?</v>
      </c>
      <c r="Z18" s="493" t="e">
        <f>IF($K18&lt;=IF($B$2="mil",1,0.0254)*500,"Pass",IF($B$2="mil",1,0.0254)*500-$K18)</f>
        <v>#REF!</v>
      </c>
      <c r="AA18" s="493" t="e">
        <f ca="1">CheckLength2(IF($B$2="mil",1,0.0254)*750,K18,L18,0)</f>
        <v>#NAME?</v>
      </c>
      <c r="AB18" s="493" t="e">
        <f t="shared" si="6"/>
        <v>#REF!</v>
      </c>
      <c r="AC18" s="495" t="e">
        <f t="shared" si="7"/>
        <v>#REF!</v>
      </c>
      <c r="AD18" s="495" t="e">
        <f t="shared" si="8"/>
        <v>#REF!</v>
      </c>
      <c r="AE18" s="500"/>
      <c r="AF18" s="374"/>
      <c r="AG18" s="497" t="e">
        <f>IF((ABS($O18-$O17)&lt;=IF($B$2="mil",1,0.0254)*5),"Pass",ABS($O18-$O17))</f>
        <v>#REF!</v>
      </c>
      <c r="AH18" s="501"/>
      <c r="AI18" s="3" t="e">
        <f ca="1">IF(AND(W18="Pass",V18="Pass",X18="Pass",Y18="Pass",Z18="Pass",AA18="Pass",AC18="Pass",AD18="Pass",AG18="Pass",Q18="Pass",R18="Pass"),"Pass","Fail")</f>
        <v>#REF!</v>
      </c>
    </row>
    <row r="19" spans="1:36" s="3" customFormat="1">
      <c r="A19" s="633" t="s">
        <v>269</v>
      </c>
      <c r="B19" s="634" t="s">
        <v>114</v>
      </c>
      <c r="C19" s="635">
        <v>1036.1417322834648</v>
      </c>
      <c r="D19" s="687">
        <f>D$13</f>
        <v>22.63</v>
      </c>
      <c r="E19" s="687">
        <f t="shared" si="11"/>
        <v>0</v>
      </c>
      <c r="F19" s="687">
        <f t="shared" si="11"/>
        <v>3136.79</v>
      </c>
      <c r="G19" s="687">
        <f t="shared" si="11"/>
        <v>0</v>
      </c>
      <c r="H19" s="687">
        <f>H$17</f>
        <v>430.29</v>
      </c>
      <c r="I19" s="303">
        <v>0</v>
      </c>
      <c r="J19" s="303">
        <v>175.23</v>
      </c>
      <c r="K19" s="687">
        <f>K$17</f>
        <v>308.85000000000002</v>
      </c>
      <c r="L19" s="687">
        <f>L$17</f>
        <v>35.04</v>
      </c>
      <c r="M19" s="676">
        <v>31.04</v>
      </c>
      <c r="N19" s="488">
        <f t="shared" si="12"/>
        <v>3764.94</v>
      </c>
      <c r="O19" s="489" t="e">
        <f t="shared" si="13"/>
        <v>#REF!</v>
      </c>
      <c r="P19" s="490">
        <f>$E$34</f>
        <v>4800</v>
      </c>
      <c r="Q19" s="491" t="e">
        <f t="shared" si="2"/>
        <v>#REF!</v>
      </c>
      <c r="R19" s="492" t="e">
        <f t="shared" si="3"/>
        <v>#REF!</v>
      </c>
      <c r="S19" s="504"/>
      <c r="T19" s="505"/>
      <c r="U19" s="499"/>
      <c r="V19" s="499"/>
      <c r="W19" s="493" t="e">
        <f t="shared" si="4"/>
        <v>#REF!</v>
      </c>
      <c r="X19" s="493" t="e">
        <f>IF(MAX(I$15:I$16,I$19:I$20)-MIN(I$15:I$16,I$19:I$20)&lt;=IF($B$2="mil",1,0.0254)*50,"Pass",MAX(I$15:I$16,I$19:I$20)-MIN(I19)-IF($B$2="mil",1,0.0254)*50)</f>
        <v>#REF!</v>
      </c>
      <c r="Y19" s="495" t="e">
        <f t="shared" ca="1" si="5"/>
        <v>#NAME?</v>
      </c>
      <c r="Z19" s="499"/>
      <c r="AA19" s="499"/>
      <c r="AB19" s="493" t="e">
        <f t="shared" si="6"/>
        <v>#REF!</v>
      </c>
      <c r="AC19" s="495" t="e">
        <f t="shared" si="7"/>
        <v>#REF!</v>
      </c>
      <c r="AD19" s="495" t="e">
        <f t="shared" si="8"/>
        <v>#REF!</v>
      </c>
      <c r="AE19" s="500"/>
      <c r="AF19" s="374"/>
      <c r="AG19" s="497" t="e">
        <f>IF((ABS($O19-$O20)&lt;=IF($B$2="mil",1,0.0254)*5),"Pass",ABS($O19-$O20))</f>
        <v>#REF!</v>
      </c>
      <c r="AH19" s="501"/>
      <c r="AI19" s="3" t="e">
        <f ca="1">IF(AND(W19="Pass",X19="Pass",Y19="Pass",AC19="Pass",AD19="Pass",AG19="Pass",Q19="Pass",R19="Pass"),"Pass","Fail")</f>
        <v>#REF!</v>
      </c>
    </row>
    <row r="20" spans="1:36" s="3" customFormat="1">
      <c r="A20" s="633" t="s">
        <v>270</v>
      </c>
      <c r="B20" s="634" t="s">
        <v>427</v>
      </c>
      <c r="C20" s="635">
        <v>1036.1417322834648</v>
      </c>
      <c r="D20" s="687">
        <f>D$14</f>
        <v>22.63</v>
      </c>
      <c r="E20" s="687">
        <f t="shared" si="14"/>
        <v>0</v>
      </c>
      <c r="F20" s="687">
        <f t="shared" si="14"/>
        <v>3171.28</v>
      </c>
      <c r="G20" s="687">
        <f t="shared" si="14"/>
        <v>0</v>
      </c>
      <c r="H20" s="687">
        <f>H$18</f>
        <v>462.48</v>
      </c>
      <c r="I20" s="303">
        <v>0</v>
      </c>
      <c r="J20" s="303">
        <v>112.78</v>
      </c>
      <c r="K20" s="687">
        <f>K$18</f>
        <v>266.01</v>
      </c>
      <c r="L20" s="687">
        <f>L$18</f>
        <v>34.21</v>
      </c>
      <c r="M20" s="676">
        <v>31.04</v>
      </c>
      <c r="N20" s="488">
        <f t="shared" si="12"/>
        <v>3769.1700000000005</v>
      </c>
      <c r="O20" s="489" t="e">
        <f t="shared" si="13"/>
        <v>#REF!</v>
      </c>
      <c r="P20" s="490">
        <f>$E$34</f>
        <v>4800</v>
      </c>
      <c r="Q20" s="491" t="e">
        <f t="shared" si="2"/>
        <v>#REF!</v>
      </c>
      <c r="R20" s="492" t="e">
        <f t="shared" si="3"/>
        <v>#REF!</v>
      </c>
      <c r="S20" s="506"/>
      <c r="T20" s="507"/>
      <c r="U20" s="508"/>
      <c r="V20" s="499"/>
      <c r="W20" s="493" t="e">
        <f t="shared" si="4"/>
        <v>#REF!</v>
      </c>
      <c r="X20" s="493" t="e">
        <f>IF(MAX(I$15:I$16,I$19:I$20)-MIN(I$15:I$16,I$19:I$20)&lt;=IF($B$2="mil",1,0.0254)*50,"Pass",MAX(I$15:I$16,I$19:I$20)-MIN(I20)-IF($B$2="mil",1,0.0254)*50)</f>
        <v>#REF!</v>
      </c>
      <c r="Y20" s="495" t="e">
        <f t="shared" ca="1" si="5"/>
        <v>#NAME?</v>
      </c>
      <c r="Z20" s="499"/>
      <c r="AA20" s="499"/>
      <c r="AB20" s="493" t="e">
        <f t="shared" si="6"/>
        <v>#REF!</v>
      </c>
      <c r="AC20" s="495" t="e">
        <f t="shared" si="7"/>
        <v>#REF!</v>
      </c>
      <c r="AD20" s="495" t="e">
        <f t="shared" si="8"/>
        <v>#REF!</v>
      </c>
      <c r="AE20" s="509"/>
      <c r="AF20" s="270"/>
      <c r="AG20" s="497" t="e">
        <f>IF((ABS($O20-$O19)&lt;=IF($B$2="mil",1,0.0254)*5),"Pass",ABS($O20-$O19))</f>
        <v>#REF!</v>
      </c>
      <c r="AH20" s="510"/>
      <c r="AI20" s="3" t="e">
        <f ca="1">IF(AND(W20="Pass",X20="Pass",Y20="Pass",AC20="Pass",AD20="Pass",AG20="Pass",Q20="Pass",R20="Pass"),"Pass","Fail")</f>
        <v>#REF!</v>
      </c>
    </row>
    <row r="21" spans="1:36" s="3" customFormat="1">
      <c r="A21" s="636" t="s">
        <v>206</v>
      </c>
      <c r="B21" s="637"/>
      <c r="C21" s="638"/>
      <c r="D21" s="102" t="e">
        <f>"EscapeLength L0 [" &amp; B2&amp;"]"</f>
        <v>#REF!</v>
      </c>
      <c r="E21" s="102" t="e">
        <f>"BreakoutLength L1[" &amp;B2&amp;"]"</f>
        <v>#REF!</v>
      </c>
      <c r="F21" s="102" t="e">
        <f>"MainLength L2[" &amp;B2 &amp;"]"</f>
        <v>#REF!</v>
      </c>
      <c r="G21" s="102" t="e">
        <f>"BreakinLength S1[" &amp;B2 &amp;"]"</f>
        <v>#REF!</v>
      </c>
      <c r="H21" s="13"/>
      <c r="I21" s="13"/>
      <c r="J21" s="13"/>
      <c r="K21" s="13"/>
      <c r="L21" s="13"/>
      <c r="M21" s="13"/>
      <c r="N21" s="13"/>
      <c r="O21" s="13"/>
      <c r="P21" s="10"/>
      <c r="Q21" s="10"/>
      <c r="R21" s="16"/>
      <c r="S21" s="7" t="e">
        <f>"L1 Length Test(&lt;="&amp; IF(B2="mil",1,0.0254)*500 &amp;B2 &amp;")"</f>
        <v>#REF!</v>
      </c>
      <c r="T21" s="7" t="e">
        <f>"L2 Length Test  (&lt;="&amp;IF($B$2="mil",1,0.0254)*2550&amp;$B$2&amp;")"</f>
        <v>#REF!</v>
      </c>
      <c r="U21" s="7" t="e">
        <f>"S1 Length Test(&lt;="&amp;IF($B$2="mil",1,0.0254)*200&amp;$B$2&amp;")"</f>
        <v>#REF!</v>
      </c>
      <c r="V21" s="511"/>
      <c r="W21" s="512"/>
      <c r="X21" s="512"/>
      <c r="Y21" s="10"/>
      <c r="Z21" s="13"/>
      <c r="AA21" s="13"/>
      <c r="AB21" s="13"/>
      <c r="AC21" s="13"/>
      <c r="AD21" s="13"/>
      <c r="AE21" s="13"/>
      <c r="AF21" s="13"/>
      <c r="AG21" s="13"/>
      <c r="AH21" s="513"/>
    </row>
    <row r="22" spans="1:36" s="3" customFormat="1">
      <c r="A22" s="633" t="s">
        <v>422</v>
      </c>
      <c r="B22" s="634" t="s">
        <v>425</v>
      </c>
      <c r="C22" s="635">
        <v>863.93700787401576</v>
      </c>
      <c r="D22" s="619">
        <v>22.63</v>
      </c>
      <c r="E22" s="19">
        <v>0</v>
      </c>
      <c r="F22" s="676">
        <v>1600.08</v>
      </c>
      <c r="G22" s="677">
        <v>86.81</v>
      </c>
      <c r="H22" s="133"/>
      <c r="I22" s="134"/>
      <c r="J22" s="134"/>
      <c r="K22" s="134"/>
      <c r="L22" s="134"/>
      <c r="M22" s="134"/>
      <c r="N22" s="488">
        <f xml:space="preserve"> D22+E22+F22+G22</f>
        <v>1709.52</v>
      </c>
      <c r="O22" s="488" t="e">
        <f>N22+IF($B$2="mil",1,0.0254)*C22</f>
        <v>#REF!</v>
      </c>
      <c r="P22" s="490">
        <f>$D$35</f>
        <v>2575</v>
      </c>
      <c r="Q22" s="491" t="e">
        <f>IF($P22-$O22&lt;IF($B$2="mil",1,0.0254)*10,"Pass",$P22-$O22-IF($B$2="mil",1,0.0254)*10)</f>
        <v>#REF!</v>
      </c>
      <c r="R22" s="492" t="e">
        <f>IF($O22-$P22&lt;IF($B$2="mil",1,0.0254)*10,"Pass",$O22-$P22-IF($B$2="mil",1,0.0254)*10)</f>
        <v>#REF!</v>
      </c>
      <c r="S22" s="493" t="e">
        <f>IF($D22&lt;=IF($B$2="mil",1,0.0254)*500,"Pass",IF($B$2="mil",1,0.0254)*500-$D22)</f>
        <v>#REF!</v>
      </c>
      <c r="T22" s="493" t="e">
        <f>IF($E22&lt;=IF($B$2="mil",1,0.0254)*2550,"Pass",IF($B$2="mil",1,0.0254)*2550-$E22)</f>
        <v>#REF!</v>
      </c>
      <c r="U22" s="493" t="e">
        <f>IF($G22&lt;=IF($B$2="mil",1,0.0254)*200,"Pass",IF($B$2="mil",1,0.0254)*200-$G22)</f>
        <v>#REF!</v>
      </c>
      <c r="V22" s="38"/>
      <c r="W22" s="38"/>
      <c r="X22" s="38"/>
      <c r="Y22" s="38"/>
      <c r="Z22" s="38"/>
      <c r="AA22" s="38"/>
      <c r="AB22" s="38"/>
      <c r="AC22" s="38"/>
      <c r="AD22" s="38"/>
      <c r="AE22" s="495" t="e">
        <f>IF(AND($N22&gt;=IF($B$2="mil",1,0.0254)*500, $N22&lt;=IF($B$2="mil",1,0.0254)*3250),"Pass",IF(($N22&gt;=IF($B$2="mil",1,0.0254)*500), IF($B$2="mil",1,0.0254)*3250-$N22, IF($B$2="mil",1,0.0254)*500-$N22))</f>
        <v>#REF!</v>
      </c>
      <c r="AF22" s="495" t="e">
        <f>IF($O22&lt;=IF( $B$2="mil",1,0.0254)*4000,"Pass", IF($B$2="mil",1,0.0254)*4000-$O22)</f>
        <v>#REF!</v>
      </c>
      <c r="AG22" s="495" t="e">
        <f>IF((ABS(O22-O23)&lt;=IF($B$2="mil",1,0.0254)*5),"Pass",ABS(O22-O23))</f>
        <v>#REF!</v>
      </c>
      <c r="AH22" s="495" t="e">
        <f>IF(MAX($O22:$O25)-O22&gt;IF($B$2="mil",1,0.0254)*20, MAX($O22:$O25)-$O22,"Pass")</f>
        <v>#REF!</v>
      </c>
      <c r="AI22" s="3" t="e">
        <f>IF(AND(Q22="Pass",R22="Pass",U22="Pass",AE22="Pass",AF22="Pass",AG22="Pass",AH22="Pass",S22="Pass",T22="Pass"),"Pass","Fail")</f>
        <v>#REF!</v>
      </c>
      <c r="AJ22" s="3" t="e">
        <f>IF(AND(AI22="Pass",AI23="Pass",AI24="Pass",AI25="Pass"),"Pass","Fail")</f>
        <v>#REF!</v>
      </c>
    </row>
    <row r="23" spans="1:36" s="3" customFormat="1">
      <c r="A23" s="633" t="s">
        <v>423</v>
      </c>
      <c r="B23" s="634" t="s">
        <v>428</v>
      </c>
      <c r="C23" s="635">
        <v>863.97637795275591</v>
      </c>
      <c r="D23" s="619">
        <v>22.63</v>
      </c>
      <c r="E23" s="19">
        <v>0</v>
      </c>
      <c r="F23" s="676">
        <v>1597.68</v>
      </c>
      <c r="G23" s="677">
        <v>87.64</v>
      </c>
      <c r="H23" s="136"/>
      <c r="I23" s="132"/>
      <c r="J23" s="132"/>
      <c r="K23" s="132"/>
      <c r="L23" s="132"/>
      <c r="M23" s="132"/>
      <c r="N23" s="488">
        <f xml:space="preserve"> D23+E23+F23+G23</f>
        <v>1707.9500000000003</v>
      </c>
      <c r="O23" s="488" t="e">
        <f>N23+IF($B$2="mil",1,0.0254)*C23</f>
        <v>#REF!</v>
      </c>
      <c r="P23" s="490">
        <f>$D$35</f>
        <v>2575</v>
      </c>
      <c r="Q23" s="491" t="e">
        <f>IF($P23-$O23&lt;IF($B$2="mil",1,0.0254)*10,"Pass",$P23-$O23-IF($B$2="mil",1,0.0254)*10)</f>
        <v>#REF!</v>
      </c>
      <c r="R23" s="492" t="e">
        <f>IF($O23-$P23&lt;IF($B$2="mil",1,0.0254)*10,"Pass",$O23-$P23-IF($B$2="mil",1,0.0254)*10)</f>
        <v>#REF!</v>
      </c>
      <c r="S23" s="493" t="e">
        <f>IF($D23&lt;=IF($B$2="mil",1,0.0254)*500,"Pass",IF($B$2="mil",1,0.0254)*500-$D23)</f>
        <v>#REF!</v>
      </c>
      <c r="T23" s="493" t="e">
        <f>IF($E23&lt;=IF($B$2="mil",1,0.0254)*2550,"Pass",IF($B$2="mil",1,0.0254)*2550-$E23)</f>
        <v>#REF!</v>
      </c>
      <c r="U23" s="493" t="e">
        <f>IF($G23&lt;=IF($B$2="mil",1,0.0254)*200,"Pass",IF($B$2="mil",1,0.0254)*200-$G23)</f>
        <v>#REF!</v>
      </c>
      <c r="V23" s="370"/>
      <c r="W23" s="370"/>
      <c r="X23" s="370"/>
      <c r="Y23" s="370"/>
      <c r="Z23" s="370"/>
      <c r="AA23" s="370"/>
      <c r="AB23" s="370"/>
      <c r="AC23" s="370"/>
      <c r="AD23" s="370"/>
      <c r="AE23" s="495" t="e">
        <f>IF(AND($N23&gt;=IF($B$2="mil",1,0.0254)*500, $N23&lt;=IF($B$2="mil",1,0.0254)*3250),"Pass",IF(($N23&gt;=IF($B$2="mil",1,0.0254)*500), IF($B$2="mil",1,0.0254)*3250-$N23, IF($B$2="mil",1,0.0254)*500-$N23))</f>
        <v>#REF!</v>
      </c>
      <c r="AF23" s="495" t="e">
        <f>IF($O23&lt;=IF( $B$2="mil",1,0.0254)*4000,"Pass", IF($B$2="mil",1,0.0254)*4000-$O23)</f>
        <v>#REF!</v>
      </c>
      <c r="AG23" s="495" t="e">
        <f>IF((ABS(O22-O23)&lt;=IF($B$2="mil",1,0.0254)*5),"Pass",ABS(O22-O23))</f>
        <v>#REF!</v>
      </c>
      <c r="AH23" s="495" t="e">
        <f>IF(MAX($O23:$O26)-O23&gt;IF($B$2="mil",1,0.0254)*20, MAX($O23:$O26)-$O23,"Pass")</f>
        <v>#REF!</v>
      </c>
      <c r="AI23" s="3" t="e">
        <f>IF(AND(Q23="Pass",R23="Pass",U23="Pass",AE23="Pass",AF23="Pass",AG23="Pass",AH23="Pass",S23="Pass",T23="Pass"),"Pass","Fail")</f>
        <v>#REF!</v>
      </c>
    </row>
    <row r="24" spans="1:36" s="3" customFormat="1">
      <c r="A24" s="633" t="s">
        <v>15</v>
      </c>
      <c r="B24" s="634" t="s">
        <v>426</v>
      </c>
      <c r="C24" s="635">
        <v>764</v>
      </c>
      <c r="D24" s="19">
        <v>22.63</v>
      </c>
      <c r="E24" s="19">
        <v>0</v>
      </c>
      <c r="F24" s="303">
        <v>1680.57</v>
      </c>
      <c r="G24" s="306">
        <v>100.29</v>
      </c>
      <c r="H24" s="136"/>
      <c r="I24" s="132"/>
      <c r="J24" s="132"/>
      <c r="K24" s="132"/>
      <c r="L24" s="132"/>
      <c r="M24" s="132"/>
      <c r="N24" s="488">
        <f xml:space="preserve"> D24+E24+F24+G24</f>
        <v>1803.49</v>
      </c>
      <c r="O24" s="488" t="e">
        <f>N24+IF($B$2="mil",1,0.0254)*C24</f>
        <v>#REF!</v>
      </c>
      <c r="P24" s="490">
        <f>$D$35</f>
        <v>2575</v>
      </c>
      <c r="Q24" s="491" t="e">
        <f>IF($P24-$O24&lt;IF($B$2="mil",1,0.0254)*10,"Pass",$P24-$O24-IF($B$2="mil",1,0.0254)*10)</f>
        <v>#REF!</v>
      </c>
      <c r="R24" s="492" t="e">
        <f>IF($O24-$P24&lt;IF($B$2="mil",1,0.0254)*10,"Pass",$O24-$P24-IF($B$2="mil",1,0.0254)*10)</f>
        <v>#REF!</v>
      </c>
      <c r="S24" s="493" t="e">
        <f>IF($D24&lt;=IF($B$2="mil",1,0.0254)*500,"Pass",IF($B$2="mil",1,0.0254)*500-$D24)</f>
        <v>#REF!</v>
      </c>
      <c r="T24" s="493" t="e">
        <f>IF($E24&lt;=IF($B$2="mil",1,0.0254)*2550,"Pass",IF($B$2="mil",1,0.0254)*2550-$E24)</f>
        <v>#REF!</v>
      </c>
      <c r="U24" s="493" t="e">
        <f>IF($G24&lt;=IF($B$2="mil",1,0.0254)*200,"Pass",IF($B$2="mil",1,0.0254)*200-$G24)</f>
        <v>#REF!</v>
      </c>
      <c r="V24" s="370"/>
      <c r="W24" s="370"/>
      <c r="X24" s="370"/>
      <c r="Y24" s="370"/>
      <c r="Z24" s="370"/>
      <c r="AA24" s="370"/>
      <c r="AB24" s="370"/>
      <c r="AC24" s="370"/>
      <c r="AD24" s="370"/>
      <c r="AE24" s="495" t="e">
        <f>IF(AND($N24&gt;=IF($B$2="mil",1,0.0254)*500, $N24&lt;=IF($B$2="mil",1,0.0254)*3250),"Pass",IF(($N24&gt;=IF($B$2="mil",1,0.0254)*500), IF($B$2="mil",1,0.0254)*3250-$N24, IF($B$2="mil",1,0.0254)*500-$N24))</f>
        <v>#REF!</v>
      </c>
      <c r="AF24" s="495" t="e">
        <f>IF($O24&lt;=IF( $B$2="mil",1,0.0254)*4000,"Pass", IF($B$2="mil",1,0.0254)*4000-$O24)</f>
        <v>#REF!</v>
      </c>
      <c r="AG24" s="495" t="e">
        <f>IF((ABS(O24-O25)&lt;=IF($B$2="mil",1,0.0254)*5),"Pass",ABS(O24-O25))</f>
        <v>#REF!</v>
      </c>
      <c r="AH24" s="495" t="e">
        <f>IF(MAX($O24:$O27)-O24&gt;IF($B$2="mil",1,0.0254)*20, MAX($O24:$O27)-$O24,"Pass")</f>
        <v>#REF!</v>
      </c>
      <c r="AI24" s="3" t="e">
        <f>IF(AND(Q24="Pass",R24="Pass",U24="Pass",AE24="Pass",AF24="Pass",AG24="Pass",AH24="Pass",S24="Pass",T24="Pass"),"Pass","Fail")</f>
        <v>#REF!</v>
      </c>
    </row>
    <row r="25" spans="1:36" s="3" customFormat="1">
      <c r="A25" s="633" t="s">
        <v>16</v>
      </c>
      <c r="B25" s="634" t="s">
        <v>429</v>
      </c>
      <c r="C25" s="635">
        <v>764</v>
      </c>
      <c r="D25" s="19">
        <v>22.63</v>
      </c>
      <c r="E25" s="19">
        <v>0</v>
      </c>
      <c r="F25" s="303">
        <v>1680.22</v>
      </c>
      <c r="G25" s="306">
        <v>100.79</v>
      </c>
      <c r="H25" s="138"/>
      <c r="I25" s="139"/>
      <c r="J25" s="139"/>
      <c r="K25" s="139"/>
      <c r="L25" s="139"/>
      <c r="M25" s="139"/>
      <c r="N25" s="488">
        <f xml:space="preserve"> D25+E25+F25+G25</f>
        <v>1803.64</v>
      </c>
      <c r="O25" s="488" t="e">
        <f>N25+IF($B$2="mil",1,0.0254)*C25</f>
        <v>#REF!</v>
      </c>
      <c r="P25" s="490">
        <f>$D$35</f>
        <v>2575</v>
      </c>
      <c r="Q25" s="491" t="e">
        <f>IF($P25-$O25&lt;IF($B$2="mil",1,0.0254)*10,"Pass",$P25-$O25-IF($B$2="mil",1,0.0254)*10)</f>
        <v>#REF!</v>
      </c>
      <c r="R25" s="492" t="e">
        <f>IF($O25-$P25&lt;IF($B$2="mil",1,0.0254)*10,"Pass",$O25-$P25-IF($B$2="mil",1,0.0254)*10)</f>
        <v>#REF!</v>
      </c>
      <c r="S25" s="493" t="e">
        <f>IF($D25&lt;=IF($B$2="mil",1,0.0254)*500,"Pass",IF($B$2="mil",1,0.0254)*500-$D25)</f>
        <v>#REF!</v>
      </c>
      <c r="T25" s="493" t="e">
        <f>IF($E25&lt;=IF($B$2="mil",1,0.0254)*2550,"Pass",IF($B$2="mil",1,0.0254)*2550-$E25)</f>
        <v>#REF!</v>
      </c>
      <c r="U25" s="493" t="e">
        <f>IF($G25&lt;=IF($B$2="mil",1,0.0254)*200,"Pass",IF($B$2="mil",1,0.0254)*200-$G25)</f>
        <v>#REF!</v>
      </c>
      <c r="V25" s="43"/>
      <c r="W25" s="43"/>
      <c r="X25" s="43"/>
      <c r="Y25" s="43"/>
      <c r="Z25" s="43"/>
      <c r="AA25" s="43"/>
      <c r="AB25" s="43"/>
      <c r="AC25" s="43"/>
      <c r="AD25" s="43"/>
      <c r="AE25" s="495" t="e">
        <f>IF(AND($N25&gt;=IF($B$2="mil",1,0.0254)*500, $N25&lt;=IF($B$2="mil",1,0.0254)*3250),"Pass",IF(($N25&gt;=IF($B$2="mil",1,0.0254)*500), IF($B$2="mil",1,0.0254)*3250-$N25, IF($B$2="mil",1,0.0254)*500-$N25))</f>
        <v>#REF!</v>
      </c>
      <c r="AF25" s="495" t="e">
        <f>IF($O25&lt;=IF( $B$2="mil",1,0.0254)*4000,"Pass", IF($B$2="mil",1,0.0254)*4000-$O25)</f>
        <v>#REF!</v>
      </c>
      <c r="AG25" s="495" t="e">
        <f>IF((ABS(O24-O25)&lt;=IF($B$2="mil",1,0.0254)*5),"Pass",ABS(O24-O25))</f>
        <v>#REF!</v>
      </c>
      <c r="AH25" s="495" t="e">
        <f>IF(MAX($O25:$O28)-O25&gt;IF($B$2="mil",1,0.0254)*20, MAX($O25:$O28)-$O25,"Pass")</f>
        <v>#REF!</v>
      </c>
      <c r="AI25" s="3" t="e">
        <f>IF(AND(Q25="Pass",R25="Pass",U25="Pass",AE25="Pass",AF25="Pass",AG25="Pass",AH25="Pass",S25="Pass",T25="Pass"),"Pass","Fail")</f>
        <v>#REF!</v>
      </c>
    </row>
    <row r="26" spans="1:36" s="22" customFormat="1">
      <c r="A26" s="111" t="s">
        <v>237</v>
      </c>
      <c r="B26" s="112"/>
      <c r="C26" s="113"/>
      <c r="D26" s="33"/>
      <c r="E26" s="33"/>
      <c r="F26" s="33"/>
      <c r="G26" s="33"/>
      <c r="H26" s="33"/>
      <c r="I26" s="33"/>
      <c r="J26" s="33"/>
      <c r="K26" s="33"/>
      <c r="L26" s="33"/>
      <c r="M26" s="33"/>
      <c r="N26" s="514"/>
      <c r="O26" s="514"/>
      <c r="P26" s="514"/>
      <c r="Q26" s="514"/>
      <c r="R26" s="515"/>
      <c r="S26" s="32"/>
      <c r="T26" s="32"/>
      <c r="U26" s="32"/>
      <c r="V26" s="32"/>
      <c r="W26" s="32"/>
      <c r="X26" s="32"/>
      <c r="Y26" s="36"/>
      <c r="Z26" s="36"/>
      <c r="AA26" s="36"/>
      <c r="AB26" s="36"/>
      <c r="AC26" s="36"/>
      <c r="AD26" s="36"/>
      <c r="AE26" s="36"/>
      <c r="AF26" s="36"/>
      <c r="AG26" s="36"/>
      <c r="AH26" s="36"/>
    </row>
    <row r="27" spans="1:36" s="22" customFormat="1">
      <c r="A27" s="114" t="s">
        <v>18</v>
      </c>
      <c r="B27" s="115" t="s">
        <v>216</v>
      </c>
      <c r="C27" s="352"/>
      <c r="D27" s="106" t="s">
        <v>245</v>
      </c>
      <c r="E27" s="20">
        <v>4400</v>
      </c>
      <c r="F27" s="414"/>
      <c r="G27" s="37"/>
      <c r="H27" s="37"/>
      <c r="I27" s="37"/>
      <c r="J27" s="37"/>
      <c r="K27" s="37"/>
      <c r="L27" s="37"/>
      <c r="M27" s="37"/>
      <c r="N27" s="38"/>
      <c r="O27" s="38"/>
      <c r="P27" s="38"/>
      <c r="Q27" s="39"/>
      <c r="R27" s="422"/>
      <c r="S27" s="39"/>
      <c r="T27" s="40"/>
      <c r="U27" s="41"/>
      <c r="V27" s="41"/>
      <c r="W27" s="41"/>
      <c r="X27" s="41"/>
      <c r="Y27" s="41"/>
      <c r="Z27" s="41"/>
      <c r="AA27" s="41"/>
      <c r="AB27" s="41"/>
      <c r="AC27" s="41"/>
      <c r="AD27" s="41"/>
      <c r="AE27" s="41"/>
      <c r="AF27" s="41"/>
      <c r="AG27" s="41"/>
      <c r="AH27" s="41"/>
    </row>
    <row r="28" spans="1:36" s="22" customFormat="1">
      <c r="A28" s="114"/>
      <c r="B28" s="115"/>
      <c r="C28" s="352"/>
      <c r="D28" s="106" t="s">
        <v>246</v>
      </c>
      <c r="E28" s="20">
        <v>4350</v>
      </c>
      <c r="F28" s="415"/>
      <c r="G28" s="369"/>
      <c r="H28" s="369"/>
      <c r="I28" s="369"/>
      <c r="J28" s="369"/>
      <c r="K28" s="369"/>
      <c r="L28" s="369"/>
      <c r="M28" s="369"/>
      <c r="N28" s="370"/>
      <c r="O28" s="370"/>
      <c r="P28" s="370"/>
      <c r="Q28" s="371"/>
      <c r="R28" s="423"/>
      <c r="S28" s="371"/>
      <c r="T28" s="372"/>
      <c r="U28" s="373"/>
      <c r="V28" s="373"/>
      <c r="W28" s="373"/>
      <c r="X28" s="373"/>
      <c r="Y28" s="373"/>
      <c r="Z28" s="373"/>
      <c r="AA28" s="373"/>
      <c r="AB28" s="373"/>
      <c r="AC28" s="373"/>
      <c r="AD28" s="373"/>
      <c r="AE28" s="373"/>
      <c r="AF28" s="373"/>
      <c r="AG28" s="373"/>
      <c r="AH28" s="373"/>
    </row>
    <row r="29" spans="1:36" s="22" customFormat="1">
      <c r="A29" s="114"/>
      <c r="B29" s="115"/>
      <c r="C29" s="352"/>
      <c r="D29" s="106" t="s">
        <v>248</v>
      </c>
      <c r="E29" s="20">
        <v>4690</v>
      </c>
      <c r="F29" s="415"/>
      <c r="G29" s="369"/>
      <c r="H29" s="369"/>
      <c r="I29" s="369"/>
      <c r="J29" s="369"/>
      <c r="K29" s="369"/>
      <c r="L29" s="369"/>
      <c r="M29" s="369"/>
      <c r="N29" s="370"/>
      <c r="O29" s="370"/>
      <c r="P29" s="370"/>
      <c r="Q29" s="371"/>
      <c r="R29" s="423"/>
      <c r="S29" s="371"/>
      <c r="T29" s="372"/>
      <c r="U29" s="373"/>
      <c r="V29" s="373"/>
      <c r="W29" s="373"/>
      <c r="X29" s="373"/>
      <c r="Y29" s="373"/>
      <c r="Z29" s="373"/>
      <c r="AA29" s="373"/>
      <c r="AB29" s="373"/>
      <c r="AC29" s="373"/>
      <c r="AD29" s="373"/>
      <c r="AE29" s="373"/>
      <c r="AF29" s="373"/>
      <c r="AG29" s="373"/>
      <c r="AH29" s="373"/>
    </row>
    <row r="30" spans="1:36" s="22" customFormat="1">
      <c r="A30" s="114"/>
      <c r="B30" s="115"/>
      <c r="C30" s="352"/>
      <c r="D30" s="106" t="s">
        <v>247</v>
      </c>
      <c r="E30" s="20">
        <v>4816</v>
      </c>
      <c r="F30" s="415"/>
      <c r="G30" s="369"/>
      <c r="H30" s="369"/>
      <c r="I30" s="369"/>
      <c r="J30" s="369"/>
      <c r="K30" s="369"/>
      <c r="L30" s="369"/>
      <c r="M30" s="369"/>
      <c r="N30" s="370"/>
      <c r="O30" s="370"/>
      <c r="P30" s="370"/>
      <c r="Q30" s="371"/>
      <c r="R30" s="423"/>
      <c r="S30" s="371"/>
      <c r="T30" s="372"/>
      <c r="U30" s="373"/>
      <c r="V30" s="373"/>
      <c r="W30" s="373"/>
      <c r="X30" s="373"/>
      <c r="Y30" s="373"/>
      <c r="Z30" s="373"/>
      <c r="AA30" s="373"/>
      <c r="AB30" s="373"/>
      <c r="AC30" s="373"/>
      <c r="AD30" s="373"/>
      <c r="AE30" s="373"/>
      <c r="AF30" s="373"/>
      <c r="AG30" s="373"/>
      <c r="AH30" s="373"/>
    </row>
    <row r="31" spans="1:36" s="22" customFormat="1">
      <c r="A31" s="114"/>
      <c r="B31" s="115"/>
      <c r="C31" s="352"/>
      <c r="D31" s="106" t="s">
        <v>251</v>
      </c>
      <c r="E31" s="20">
        <v>4395</v>
      </c>
      <c r="F31" s="415"/>
      <c r="G31" s="369"/>
      <c r="H31" s="369"/>
      <c r="I31" s="369"/>
      <c r="J31" s="369"/>
      <c r="K31" s="369"/>
      <c r="L31" s="369"/>
      <c r="M31" s="369"/>
      <c r="N31" s="370"/>
      <c r="O31" s="370"/>
      <c r="P31" s="370"/>
      <c r="Q31" s="371"/>
      <c r="R31" s="423"/>
      <c r="S31" s="371"/>
      <c r="T31" s="372"/>
      <c r="U31" s="373"/>
      <c r="V31" s="373"/>
      <c r="W31" s="373"/>
      <c r="X31" s="373"/>
      <c r="Y31" s="373"/>
      <c r="Z31" s="373"/>
      <c r="AA31" s="373"/>
      <c r="AB31" s="373"/>
      <c r="AC31" s="373"/>
      <c r="AD31" s="373"/>
      <c r="AE31" s="373"/>
      <c r="AF31" s="373"/>
      <c r="AG31" s="373"/>
      <c r="AH31" s="373"/>
    </row>
    <row r="32" spans="1:36" s="22" customFormat="1">
      <c r="A32" s="114"/>
      <c r="B32" s="115"/>
      <c r="C32" s="352"/>
      <c r="D32" s="106" t="s">
        <v>252</v>
      </c>
      <c r="E32" s="20">
        <v>4375</v>
      </c>
      <c r="F32" s="415"/>
      <c r="G32" s="369"/>
      <c r="H32" s="369"/>
      <c r="I32" s="369"/>
      <c r="J32" s="369"/>
      <c r="K32" s="369"/>
      <c r="L32" s="369"/>
      <c r="M32" s="369"/>
      <c r="N32" s="370"/>
      <c r="O32" s="370"/>
      <c r="P32" s="370"/>
      <c r="Q32" s="371"/>
      <c r="R32" s="423"/>
      <c r="S32" s="371"/>
      <c r="T32" s="372"/>
      <c r="U32" s="373"/>
      <c r="V32" s="373"/>
      <c r="W32" s="373"/>
      <c r="X32" s="373"/>
      <c r="Y32" s="373"/>
      <c r="Z32" s="373"/>
      <c r="AA32" s="373"/>
      <c r="AB32" s="373"/>
      <c r="AC32" s="373"/>
      <c r="AD32" s="373"/>
      <c r="AE32" s="373"/>
      <c r="AF32" s="373"/>
      <c r="AG32" s="373"/>
      <c r="AH32" s="373"/>
    </row>
    <row r="33" spans="1:48" s="22" customFormat="1">
      <c r="A33" s="114"/>
      <c r="B33" s="115"/>
      <c r="C33" s="352"/>
      <c r="D33" s="106" t="s">
        <v>253</v>
      </c>
      <c r="E33" s="20">
        <v>4700</v>
      </c>
      <c r="F33" s="415"/>
      <c r="G33" s="369"/>
      <c r="H33" s="369"/>
      <c r="I33" s="369"/>
      <c r="J33" s="369"/>
      <c r="K33" s="369"/>
      <c r="L33" s="369"/>
      <c r="M33" s="369"/>
      <c r="N33" s="370"/>
      <c r="O33" s="370"/>
      <c r="P33" s="370"/>
      <c r="Q33" s="371"/>
      <c r="R33" s="423"/>
      <c r="S33" s="371"/>
      <c r="T33" s="372"/>
      <c r="U33" s="373"/>
      <c r="V33" s="373"/>
      <c r="W33" s="373"/>
      <c r="X33" s="373"/>
      <c r="Y33" s="373"/>
      <c r="Z33" s="373"/>
      <c r="AA33" s="373"/>
      <c r="AB33" s="373"/>
      <c r="AC33" s="373"/>
      <c r="AD33" s="373"/>
      <c r="AE33" s="373"/>
      <c r="AF33" s="373"/>
      <c r="AG33" s="373"/>
      <c r="AH33" s="373"/>
    </row>
    <row r="34" spans="1:48" s="22" customFormat="1">
      <c r="A34" s="114"/>
      <c r="B34" s="115"/>
      <c r="C34" s="352"/>
      <c r="D34" s="106" t="s">
        <v>254</v>
      </c>
      <c r="E34" s="20">
        <v>4800</v>
      </c>
      <c r="F34" s="415"/>
      <c r="G34" s="369"/>
      <c r="H34" s="369"/>
      <c r="I34" s="369"/>
      <c r="J34" s="369"/>
      <c r="K34" s="369"/>
      <c r="L34" s="369"/>
      <c r="M34" s="369"/>
      <c r="N34" s="370"/>
      <c r="O34" s="370"/>
      <c r="P34" s="370"/>
      <c r="Q34" s="371"/>
      <c r="R34" s="423"/>
      <c r="S34" s="371"/>
      <c r="T34" s="372"/>
      <c r="U34" s="373"/>
      <c r="V34" s="373"/>
      <c r="W34" s="373"/>
      <c r="X34" s="373"/>
      <c r="Y34" s="373"/>
      <c r="Z34" s="373"/>
      <c r="AA34" s="373"/>
      <c r="AB34" s="373"/>
      <c r="AC34" s="373"/>
      <c r="AD34" s="373"/>
      <c r="AE34" s="373"/>
      <c r="AF34" s="373"/>
      <c r="AG34" s="373"/>
      <c r="AH34" s="373"/>
    </row>
    <row r="35" spans="1:48" s="22" customFormat="1">
      <c r="A35" s="108" t="s">
        <v>19</v>
      </c>
      <c r="B35" s="115" t="s">
        <v>217</v>
      </c>
      <c r="C35" s="352"/>
      <c r="D35" s="20">
        <v>2575</v>
      </c>
      <c r="E35" s="47"/>
      <c r="F35" s="42"/>
      <c r="G35" s="42"/>
      <c r="H35" s="42"/>
      <c r="I35" s="42"/>
      <c r="J35" s="42"/>
      <c r="K35" s="42"/>
      <c r="L35" s="43"/>
      <c r="M35" s="43"/>
      <c r="N35" s="43"/>
      <c r="O35" s="44"/>
      <c r="P35" s="44"/>
      <c r="Q35" s="44"/>
      <c r="R35" s="424"/>
      <c r="S35" s="45"/>
      <c r="T35" s="46"/>
      <c r="U35" s="46"/>
      <c r="V35" s="46"/>
      <c r="W35" s="46"/>
      <c r="X35" s="46"/>
      <c r="Y35" s="46"/>
      <c r="Z35" s="46"/>
      <c r="AA35" s="46"/>
      <c r="AB35" s="46"/>
      <c r="AC35" s="46"/>
      <c r="AD35" s="46"/>
      <c r="AE35" s="46"/>
      <c r="AF35" s="46"/>
      <c r="AG35" s="46"/>
      <c r="AH35" s="46"/>
    </row>
    <row r="36" spans="1:48" s="3" customFormat="1" ht="25.5">
      <c r="A36" s="48" t="s">
        <v>9</v>
      </c>
      <c r="B36" s="24"/>
      <c r="C36" s="25"/>
      <c r="D36" s="26"/>
      <c r="E36" s="24"/>
      <c r="F36" s="26"/>
      <c r="G36" s="26"/>
      <c r="H36" s="26"/>
      <c r="I36" s="26"/>
      <c r="J36" s="26"/>
      <c r="K36" s="26"/>
      <c r="L36" s="26"/>
      <c r="M36" s="26"/>
      <c r="N36" s="26"/>
      <c r="O36" s="26"/>
      <c r="P36" s="26" t="s">
        <v>273</v>
      </c>
      <c r="Q36" s="26"/>
      <c r="R36" s="425"/>
      <c r="S36" s="26"/>
      <c r="T36" s="26"/>
      <c r="U36" s="26"/>
      <c r="V36" s="26"/>
      <c r="W36" s="26"/>
      <c r="X36" s="26"/>
      <c r="Y36" s="26"/>
      <c r="Z36" s="24"/>
      <c r="AA36" s="27"/>
      <c r="AB36" s="27"/>
      <c r="AC36" s="27"/>
      <c r="AD36" s="27"/>
      <c r="AE36" s="27"/>
      <c r="AF36" s="27"/>
      <c r="AG36" s="27"/>
      <c r="AH36" s="27"/>
      <c r="AI36" s="27"/>
      <c r="AJ36" s="27"/>
      <c r="AK36" s="27"/>
      <c r="AL36" s="27"/>
      <c r="AM36" s="27"/>
      <c r="AN36" s="27"/>
      <c r="AO36" s="27"/>
      <c r="AP36" s="27"/>
      <c r="AQ36" s="27"/>
      <c r="AR36" s="27"/>
      <c r="AS36" s="27"/>
      <c r="AT36" s="24"/>
      <c r="AU36" s="24"/>
      <c r="AV36" s="24"/>
    </row>
    <row r="37" spans="1:48">
      <c r="P37" s="376" t="s">
        <v>271</v>
      </c>
      <c r="Q37" s="378" t="s">
        <v>272</v>
      </c>
    </row>
    <row r="38" spans="1:48">
      <c r="P38" s="377" t="s">
        <v>245</v>
      </c>
      <c r="Q38" s="379" t="s">
        <v>248</v>
      </c>
    </row>
    <row r="39" spans="1:48">
      <c r="P39" s="377"/>
      <c r="Q39" s="379"/>
      <c r="R39" s="426" t="s">
        <v>271</v>
      </c>
      <c r="S39" s="377" t="s">
        <v>245</v>
      </c>
      <c r="T39" s="377" t="s">
        <v>251</v>
      </c>
      <c r="U39" s="272" t="s">
        <v>274</v>
      </c>
    </row>
    <row r="40" spans="1:48">
      <c r="P40" s="377"/>
      <c r="Q40" s="379"/>
      <c r="S40" s="377" t="s">
        <v>246</v>
      </c>
      <c r="T40" s="377" t="s">
        <v>252</v>
      </c>
    </row>
    <row r="41" spans="1:48">
      <c r="P41" s="377"/>
      <c r="Q41" s="379"/>
      <c r="R41" s="427" t="s">
        <v>272</v>
      </c>
      <c r="S41" s="379" t="s">
        <v>248</v>
      </c>
      <c r="T41" s="379" t="s">
        <v>253</v>
      </c>
    </row>
    <row r="42" spans="1:48">
      <c r="P42" s="377"/>
      <c r="Q42" s="379"/>
      <c r="S42" s="379" t="s">
        <v>247</v>
      </c>
      <c r="T42" s="379" t="s">
        <v>254</v>
      </c>
    </row>
    <row r="43" spans="1:48">
      <c r="P43" s="377"/>
      <c r="Q43" s="379"/>
    </row>
    <row r="44" spans="1:48">
      <c r="P44" s="377" t="s">
        <v>251</v>
      </c>
      <c r="Q44" s="379" t="s">
        <v>253</v>
      </c>
    </row>
    <row r="45" spans="1:48">
      <c r="P45" s="377"/>
      <c r="Q45" s="379"/>
      <c r="R45" s="426" t="s">
        <v>271</v>
      </c>
      <c r="S45" s="377" t="s">
        <v>245</v>
      </c>
      <c r="T45" s="381" t="s">
        <v>251</v>
      </c>
      <c r="U45" s="272" t="s">
        <v>275</v>
      </c>
    </row>
    <row r="46" spans="1:48">
      <c r="P46" s="377"/>
      <c r="Q46" s="379"/>
      <c r="S46" s="377" t="s">
        <v>246</v>
      </c>
      <c r="T46" s="381" t="s">
        <v>252</v>
      </c>
    </row>
    <row r="47" spans="1:48">
      <c r="P47" s="377"/>
      <c r="Q47" s="379"/>
      <c r="R47" s="427" t="s">
        <v>272</v>
      </c>
      <c r="S47" s="379" t="s">
        <v>248</v>
      </c>
      <c r="T47" s="380" t="s">
        <v>253</v>
      </c>
    </row>
    <row r="48" spans="1:48">
      <c r="P48" s="377"/>
      <c r="Q48" s="379"/>
      <c r="S48" s="379" t="s">
        <v>247</v>
      </c>
      <c r="T48" s="380" t="s">
        <v>254</v>
      </c>
    </row>
    <row r="49" spans="16:20">
      <c r="P49" s="377"/>
      <c r="Q49" s="379"/>
      <c r="S49" t="s">
        <v>276</v>
      </c>
      <c r="T49" s="382" t="s">
        <v>277</v>
      </c>
    </row>
    <row r="50" spans="16:20">
      <c r="P50" s="377" t="s">
        <v>246</v>
      </c>
      <c r="Q50" s="379" t="s">
        <v>247</v>
      </c>
    </row>
    <row r="51" spans="16:20">
      <c r="P51" s="377"/>
      <c r="Q51" s="379"/>
    </row>
    <row r="52" spans="16:20">
      <c r="P52" s="377"/>
      <c r="Q52" s="379"/>
    </row>
    <row r="53" spans="16:20">
      <c r="P53" s="377"/>
      <c r="Q53" s="379"/>
    </row>
    <row r="54" spans="16:20">
      <c r="P54" s="377"/>
      <c r="Q54" s="379"/>
    </row>
    <row r="55" spans="16:20" ht="15.75">
      <c r="P55" s="377"/>
      <c r="Q55" s="379"/>
      <c r="S55" s="416"/>
    </row>
    <row r="56" spans="16:20" ht="15.75">
      <c r="P56" s="377" t="s">
        <v>252</v>
      </c>
      <c r="Q56" s="379" t="s">
        <v>254</v>
      </c>
      <c r="S56" s="416"/>
    </row>
    <row r="57" spans="16:20" ht="15.75">
      <c r="P57" s="377"/>
      <c r="Q57" s="379"/>
      <c r="S57" s="416"/>
    </row>
  </sheetData>
  <protectedRanges>
    <protectedRange sqref="D35 D22:G25 E27:E34" name="DDR2Clk_1"/>
    <protectedRange sqref="K9:L10 M5:M20 I7:I8 K13:L14 I11:I12 K17:L18 I15:I16 J5:J20 I19:I20 H17:I18 H9:I10 K5:L6 D5:I6 D13:I14" name="DDR2Clk_1_1"/>
  </protectedRanges>
  <phoneticPr fontId="25" type="noConversion"/>
  <conditionalFormatting sqref="AH27:AH34 AE27:AG35 S22:U25 Y26:AH26 W5:X20 Z9:AA10 V9:V10 Z17:AA18 S13:T14 V17:V18 AB5:AH20 S35:AD35 T27:AD34 S5:T6 V5:V6 V13:V14 Z5:AA6 Z13:AA14 AE22:AH25">
    <cfRule type="cellIs" dxfId="123" priority="1" stopIfTrue="1" operator="equal">
      <formula>"Pass"</formula>
    </cfRule>
    <cfRule type="cellIs" dxfId="122" priority="2" stopIfTrue="1" operator="notEqual">
      <formula>"pass"</formula>
    </cfRule>
  </conditionalFormatting>
  <conditionalFormatting sqref="AH35">
    <cfRule type="cellIs" dxfId="121" priority="3" stopIfTrue="1" operator="equal">
      <formula>"Pass"</formula>
    </cfRule>
    <cfRule type="cellIs" dxfId="120" priority="4" stopIfTrue="1" operator="notEqual">
      <formula>"pass"</formula>
    </cfRule>
  </conditionalFormatting>
  <conditionalFormatting sqref="Y5:Y20">
    <cfRule type="cellIs" dxfId="119" priority="5" stopIfTrue="1" operator="equal">
      <formula>"Pass"</formula>
    </cfRule>
    <cfRule type="cellIs" dxfId="118" priority="6" stopIfTrue="1" operator="notEqual">
      <formula>"Pass"</formula>
    </cfRule>
  </conditionalFormatting>
  <conditionalFormatting sqref="Q22:R25">
    <cfRule type="cellIs" dxfId="117" priority="7" stopIfTrue="1" operator="equal">
      <formula>"Pass"</formula>
    </cfRule>
    <cfRule type="cellIs" dxfId="116" priority="8" stopIfTrue="1" operator="notEqual">
      <formula>"Pass"</formula>
    </cfRule>
  </conditionalFormatting>
  <conditionalFormatting sqref="S26:X26 Q27:S34 O35:R35">
    <cfRule type="cellIs" priority="9" stopIfTrue="1" operator="equal">
      <formula>""""""</formula>
    </cfRule>
  </conditionalFormatting>
  <conditionalFormatting sqref="Q5:R20">
    <cfRule type="cellIs" dxfId="115" priority="10" stopIfTrue="1" operator="equal">
      <formula>"Pass"</formula>
    </cfRule>
    <cfRule type="cellIs" dxfId="114" priority="11" stopIfTrue="1" operator="equal">
      <formula>"""Pass"""</formula>
    </cfRule>
  </conditionalFormatting>
  <conditionalFormatting sqref="A1:AH1">
    <cfRule type="expression" dxfId="113" priority="12" stopIfTrue="1">
      <formula>$E$1 = "Fail"</formula>
    </cfRule>
    <cfRule type="expression" dxfId="112" priority="13" stopIfTrue="1">
      <formula>$E$1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16978" r:id="rId4">
          <objectPr defaultSize="0" autoPict="0" r:id="rId5">
            <anchor moveWithCells="1">
              <from>
                <xdr:col>3</xdr:col>
                <xdr:colOff>695325</xdr:colOff>
                <xdr:row>39</xdr:row>
                <xdr:rowOff>95250</xdr:rowOff>
              </from>
              <to>
                <xdr:col>13</xdr:col>
                <xdr:colOff>581025</xdr:colOff>
                <xdr:row>55</xdr:row>
                <xdr:rowOff>57150</xdr:rowOff>
              </to>
            </anchor>
          </objectPr>
        </oleObject>
      </mc:Choice>
      <mc:Fallback>
        <oleObject progId="Visio.Drawing.11" shapeId="16978" r:id="rId4"/>
      </mc:Fallback>
    </mc:AlternateContent>
    <mc:AlternateContent xmlns:mc="http://schemas.openxmlformats.org/markup-compatibility/2006">
      <mc:Choice Requires="x14">
        <oleObject progId="Visio.Drawing.11" shapeId="16979" r:id="rId6">
          <objectPr defaultSize="0" autoPict="0" r:id="rId7">
            <anchor moveWithCells="1">
              <from>
                <xdr:col>3</xdr:col>
                <xdr:colOff>47625</xdr:colOff>
                <xdr:row>59</xdr:row>
                <xdr:rowOff>47625</xdr:rowOff>
              </from>
              <to>
                <xdr:col>12</xdr:col>
                <xdr:colOff>933450</xdr:colOff>
                <xdr:row>80</xdr:row>
                <xdr:rowOff>180975</xdr:rowOff>
              </to>
            </anchor>
          </objectPr>
        </oleObject>
      </mc:Choice>
      <mc:Fallback>
        <oleObject progId="Visio.Drawing.11" shapeId="16979" r:id="rId6"/>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AY138"/>
  <sheetViews>
    <sheetView zoomScale="75" workbookViewId="0">
      <selection activeCell="AS27" sqref="AS27"/>
    </sheetView>
  </sheetViews>
  <sheetFormatPr defaultColWidth="9.140625"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9" style="3" customWidth="1"/>
    <col min="9" max="9" width="0.85546875" style="3" customWidth="1"/>
    <col min="10" max="10" width="13.140625" style="3" customWidth="1"/>
    <col min="11" max="11" width="19.140625" style="3" customWidth="1"/>
    <col min="12" max="12" width="0.85546875" style="3" customWidth="1"/>
    <col min="13" max="13" width="14" style="3" bestFit="1" customWidth="1"/>
    <col min="14" max="14" width="17.28515625" style="3" customWidth="1"/>
    <col min="15" max="15" width="0.85546875" style="3" customWidth="1"/>
    <col min="16" max="16" width="10.7109375" style="3" customWidth="1"/>
    <col min="17" max="17" width="10.5703125" style="3" customWidth="1"/>
    <col min="18" max="18" width="14.7109375" style="3" customWidth="1"/>
    <col min="19" max="19" width="16.7109375" style="3" customWidth="1"/>
    <col min="20" max="20" width="13.28515625" style="3" customWidth="1"/>
    <col min="21" max="21" width="22" style="3" customWidth="1"/>
    <col min="22" max="22" width="25.140625" style="3" customWidth="1"/>
    <col min="23" max="23" width="14.5703125" style="3" customWidth="1"/>
    <col min="24" max="24" width="16.85546875" style="3" customWidth="1"/>
    <col min="25" max="25" width="20" style="3" customWidth="1"/>
    <col min="26" max="26" width="14.85546875" style="3" customWidth="1"/>
    <col min="27" max="27" width="17.85546875" style="3" customWidth="1"/>
    <col min="28" max="28" width="12.5703125" style="3" customWidth="1"/>
    <col min="29" max="29" width="11.140625" style="3" customWidth="1"/>
    <col min="30" max="30" width="13.28515625" style="3" customWidth="1"/>
    <col min="31" max="31" width="11.7109375" style="3" customWidth="1"/>
    <col min="32" max="32" width="11.140625" style="3" customWidth="1"/>
    <col min="33" max="33" width="16.28515625" style="3" customWidth="1"/>
    <col min="34" max="35" width="22.85546875" style="3" customWidth="1"/>
    <col min="36" max="36" width="22.85546875" style="3" hidden="1" customWidth="1"/>
    <col min="37" max="37" width="12.5703125" style="3" hidden="1" customWidth="1"/>
    <col min="38" max="38" width="15.28515625" style="3" hidden="1" customWidth="1"/>
    <col min="39" max="39" width="13.5703125" style="3" customWidth="1"/>
    <col min="40" max="40" width="26.42578125" style="3" customWidth="1"/>
    <col min="41" max="41" width="24.85546875" style="3" customWidth="1"/>
    <col min="42" max="42" width="22.5703125" style="3" customWidth="1"/>
    <col min="43" max="48" width="14.7109375" style="3" customWidth="1"/>
    <col min="49" max="49" width="9" style="3" customWidth="1"/>
    <col min="50" max="50" width="8.85546875" style="3" customWidth="1"/>
    <col min="51" max="51" width="9.28515625" style="3" customWidth="1"/>
    <col min="52" max="52" width="9.140625" style="3"/>
    <col min="53" max="53" width="18" style="3" customWidth="1"/>
    <col min="54" max="54" width="13.85546875" style="3" customWidth="1"/>
    <col min="55" max="55" width="15.5703125" style="3" customWidth="1"/>
    <col min="56" max="56" width="10.7109375" style="3" customWidth="1"/>
    <col min="57" max="16384" width="9.140625" style="3"/>
  </cols>
  <sheetData>
    <row r="1" spans="1:39" ht="26.25">
      <c r="A1" s="1319" t="s">
        <v>228</v>
      </c>
      <c r="B1" s="1320"/>
      <c r="C1" s="1320"/>
      <c r="D1" s="1320"/>
      <c r="E1" s="1320"/>
      <c r="F1" s="1321" t="e">
        <f ca="1">IF(AND(AK7="Pass",AK8="Pass",AK34="Pass",AK35="Pass",AK60="Pass",AK61="Pass",AK86="Pass",AK87="Pass",AK112="Pass",AK113="Pass"),"Pass","Fail")</f>
        <v>#REF!</v>
      </c>
      <c r="G1" s="1321"/>
      <c r="H1" s="457"/>
      <c r="I1" s="457"/>
      <c r="J1" s="457"/>
      <c r="K1" s="457"/>
      <c r="L1" s="457"/>
      <c r="M1" s="457"/>
      <c r="N1" s="457"/>
      <c r="O1" s="457"/>
      <c r="P1" s="457"/>
      <c r="Q1" s="457"/>
      <c r="R1" s="457"/>
      <c r="S1" s="457"/>
      <c r="T1" s="457"/>
      <c r="U1" s="457"/>
      <c r="V1" s="457"/>
      <c r="W1" s="457"/>
      <c r="X1" s="457"/>
      <c r="Y1" s="457"/>
      <c r="Z1" s="458"/>
    </row>
    <row r="2" spans="1:39" s="97" customFormat="1">
      <c r="A2" s="459" t="s">
        <v>10</v>
      </c>
      <c r="B2" s="298" t="e">
        <f>'DDR2 Clocks - 2L'!B2</f>
        <v>#REF!</v>
      </c>
      <c r="C2" s="467"/>
      <c r="D2" s="467"/>
      <c r="E2" s="467"/>
      <c r="F2" s="468"/>
      <c r="G2" s="468"/>
      <c r="H2" s="469"/>
      <c r="I2" s="469"/>
      <c r="J2" s="469"/>
      <c r="K2" s="469"/>
      <c r="L2" s="469"/>
      <c r="M2" s="469"/>
      <c r="N2" s="469"/>
      <c r="O2" s="469"/>
      <c r="P2" s="469"/>
      <c r="Q2" s="469"/>
      <c r="R2" s="469"/>
      <c r="S2" s="469"/>
      <c r="T2" s="469"/>
      <c r="U2" s="469"/>
      <c r="V2" s="469"/>
      <c r="W2" s="469"/>
      <c r="X2" s="469"/>
      <c r="Y2" s="469"/>
      <c r="Z2" s="470"/>
    </row>
    <row r="3" spans="1:39" s="154" customFormat="1" ht="54.75" customHeight="1">
      <c r="A3" s="330" t="s">
        <v>457</v>
      </c>
      <c r="B3" s="330" t="s">
        <v>420</v>
      </c>
      <c r="C3" s="145" t="s">
        <v>22</v>
      </c>
      <c r="D3" s="146"/>
      <c r="E3" s="147" t="e">
        <f>"EscapeLength L0 ["&amp;$B$2&amp;"]"</f>
        <v>#REF!</v>
      </c>
      <c r="F3" s="147" t="e">
        <f>"BreakoutLength L1["&amp; $B$2&amp;"]"</f>
        <v>#REF!</v>
      </c>
      <c r="G3" s="147" t="e">
        <f>"MainLength L2[" &amp;$B$2&amp; " ]"</f>
        <v>#REF!</v>
      </c>
      <c r="H3" s="147" t="e">
        <f>"BreakinLength S1  [" &amp;$B$2&amp;"]"</f>
        <v>#REF!</v>
      </c>
      <c r="I3" s="463"/>
      <c r="J3" s="146" t="e">
        <f>"Via-to-via (SODIMM-to-Rt) L3 [" &amp;$B$2&amp;"]"</f>
        <v>#REF!</v>
      </c>
      <c r="K3" s="146" t="e">
        <f>"Via-to-Rt L4 [" &amp;$B$2&amp;"]"</f>
        <v>#REF!</v>
      </c>
      <c r="L3" s="463"/>
      <c r="M3" s="464" t="e">
        <f>"Total MB Length(L0+L1+L2+S1)[" &amp;$B$2&amp;"]"</f>
        <v>#REF!</v>
      </c>
      <c r="N3" s="463" t="e">
        <f>"Total Pad-to-Pin Length (P1+L0+L1+L2+S1)[" &amp;$B$2&amp;"]"</f>
        <v>#REF!</v>
      </c>
      <c r="O3" s="146"/>
      <c r="P3" s="146" t="e">
        <f>"Target Min Length ["&amp;$B$2&amp;"]"</f>
        <v>#REF!</v>
      </c>
      <c r="Q3" s="463" t="e">
        <f>"Target Max Length ["&amp;$B$2&amp;"]"</f>
        <v>#REF!</v>
      </c>
      <c r="R3" s="465" t="e">
        <f>"Routed Too Short [" &amp;$B$2&amp;"]"</f>
        <v>#REF!</v>
      </c>
      <c r="S3" s="146" t="e">
        <f>"Routed Too Long [" &amp;$B$2&amp;"]"</f>
        <v>#REF!</v>
      </c>
      <c r="T3" s="466" t="e">
        <f>"L0 Length Test (&lt;=" &amp; IF($B$2="mil",1,0.0254)*50&amp;$B$2&amp;")"</f>
        <v>#REF!</v>
      </c>
      <c r="U3" s="466" t="e">
        <f>"L1 Length Test (&lt;=" &amp; IF($B$2="mil",1,0.0254)*500&amp;$B$2&amp;")"</f>
        <v>#REF!</v>
      </c>
      <c r="V3" s="466" t="e">
        <f>"S1 Length test (&lt;=" &amp; IF($B$2="mil",1,0.0254)*200 &amp;$B$2&amp;")"</f>
        <v>#REF!</v>
      </c>
      <c r="W3" s="463" t="e">
        <f>"Total Length    (L0+L1+L2+S1) Test ("&amp;IF($B$2="mil",1,0.0254)*500&amp;"-"&amp;IF($B$2="mil",1,0.0254)*4500&amp;IF($B$2="mil","mil","mm")&amp;")"</f>
        <v>#REF!</v>
      </c>
      <c r="X3" s="463" t="e">
        <f>"Total Length    (P1+L0+L1+L2+S1) Test (&lt;="&amp;IF($B$2="mil",1,25.4)*5000&amp;IF($B$2="mil","mil","mm")&amp;")"</f>
        <v>#REF!</v>
      </c>
      <c r="Y3" s="463" t="e">
        <f>"L3 Length Test (&lt;="&amp;IF($B$2="mil",1,0.0254)*1300&amp;$B$2&amp; ")"</f>
        <v>#REF!</v>
      </c>
      <c r="Z3" s="463" t="e">
        <f>"L4 Length Test (&lt;=" &amp; IF($B$2="mil",1,0.0254)*200&amp;$B$2&amp;") or (L3+L4&lt;= "&amp;IF($B$2="mil",1,0.0254)*1500&amp;$B$2&amp;")"</f>
        <v>#REF!</v>
      </c>
    </row>
    <row r="4" spans="1:39" s="162" customFormat="1" ht="12.75" customHeight="1">
      <c r="A4" s="460" t="s">
        <v>211</v>
      </c>
      <c r="B4" s="155"/>
      <c r="C4" s="155"/>
      <c r="D4" s="156"/>
      <c r="E4" s="156"/>
      <c r="F4" s="156"/>
      <c r="G4" s="156"/>
      <c r="H4" s="156"/>
      <c r="I4" s="156"/>
      <c r="J4" s="156"/>
      <c r="K4" s="156"/>
      <c r="L4" s="156"/>
      <c r="M4" s="156"/>
      <c r="N4" s="157"/>
      <c r="O4" s="156"/>
      <c r="P4" s="156"/>
      <c r="Q4" s="156"/>
      <c r="R4" s="156"/>
      <c r="S4" s="156"/>
      <c r="T4" s="156"/>
      <c r="U4" s="156"/>
      <c r="V4" s="156"/>
      <c r="W4" s="156"/>
      <c r="X4" s="156"/>
      <c r="Y4" s="158"/>
      <c r="Z4" s="271"/>
      <c r="AA4" s="159"/>
      <c r="AB4" s="160"/>
      <c r="AC4" s="160"/>
      <c r="AD4" s="161"/>
      <c r="AE4" s="461"/>
      <c r="AF4" s="461"/>
      <c r="AG4" s="461"/>
      <c r="AH4" s="461"/>
      <c r="AI4" s="461"/>
    </row>
    <row r="5" spans="1:39" s="162" customFormat="1" ht="11.25">
      <c r="A5" s="360" t="s">
        <v>215</v>
      </c>
      <c r="B5" s="164"/>
      <c r="C5" s="164"/>
      <c r="D5" s="165"/>
      <c r="E5" s="166"/>
      <c r="F5" s="166"/>
      <c r="G5" s="166"/>
      <c r="H5" s="166"/>
      <c r="I5" s="167"/>
      <c r="J5" s="167"/>
      <c r="K5" s="166"/>
      <c r="L5" s="167"/>
      <c r="M5" s="166"/>
      <c r="N5" s="168"/>
      <c r="O5" s="165"/>
      <c r="P5" s="536" t="e">
        <f>MIN('DDR2 Clocks - 2L'!$R$10:$R$13)</f>
        <v>#REF!</v>
      </c>
      <c r="Q5" s="536" t="e">
        <f>MAX('DDR2 Clocks - 2L'!$R$10:$R$13)</f>
        <v>#REF!</v>
      </c>
      <c r="R5" s="168"/>
      <c r="S5" s="168"/>
      <c r="T5" s="168"/>
      <c r="U5" s="537"/>
      <c r="V5" s="538"/>
      <c r="W5" s="538"/>
      <c r="X5" s="538"/>
      <c r="Y5" s="539"/>
      <c r="Z5" s="539"/>
      <c r="AA5" s="394"/>
      <c r="AB5" s="394"/>
      <c r="AC5" s="394"/>
      <c r="AD5" s="394"/>
      <c r="AE5" s="394"/>
      <c r="AF5" s="394"/>
      <c r="AG5" s="394"/>
      <c r="AH5" s="394"/>
      <c r="AI5" s="394"/>
      <c r="AJ5" s="161"/>
      <c r="AK5" s="178"/>
      <c r="AL5" s="178"/>
      <c r="AM5" s="161"/>
    </row>
    <row r="6" spans="1:39" s="162" customFormat="1" ht="11.25">
      <c r="A6" s="460" t="s">
        <v>238</v>
      </c>
      <c r="B6" s="155"/>
      <c r="C6" s="155"/>
      <c r="D6" s="179"/>
      <c r="E6" s="180"/>
      <c r="F6" s="180"/>
      <c r="G6" s="180"/>
      <c r="H6" s="180"/>
      <c r="I6" s="180"/>
      <c r="J6" s="181"/>
      <c r="K6" s="181"/>
      <c r="L6" s="180"/>
      <c r="M6" s="180"/>
      <c r="N6" s="180"/>
      <c r="O6" s="179"/>
      <c r="P6" s="179"/>
      <c r="Q6" s="531"/>
      <c r="R6" s="179"/>
      <c r="S6" s="179"/>
      <c r="T6" s="179"/>
      <c r="U6" s="179"/>
      <c r="V6" s="179"/>
      <c r="W6" s="179"/>
      <c r="X6" s="179"/>
      <c r="Y6" s="179"/>
      <c r="Z6" s="533"/>
      <c r="AA6" s="462"/>
      <c r="AB6" s="462"/>
      <c r="AC6" s="462"/>
      <c r="AD6" s="462"/>
      <c r="AE6" s="462"/>
      <c r="AF6" s="462"/>
      <c r="AG6" s="462"/>
      <c r="AH6" s="462"/>
      <c r="AI6" s="462"/>
    </row>
    <row r="7" spans="1:39" s="162" customFormat="1">
      <c r="A7" s="185" t="s">
        <v>61</v>
      </c>
      <c r="B7" s="479" t="s">
        <v>430</v>
      </c>
      <c r="C7" s="635">
        <v>378.93700787401576</v>
      </c>
      <c r="D7" s="226"/>
      <c r="E7" s="189">
        <v>29.7</v>
      </c>
      <c r="F7" s="189">
        <v>0</v>
      </c>
      <c r="G7" s="303">
        <v>1600</v>
      </c>
      <c r="H7" s="306">
        <v>108.78</v>
      </c>
      <c r="I7" s="204"/>
      <c r="J7" s="313">
        <v>0</v>
      </c>
      <c r="K7" s="315">
        <v>47.6</v>
      </c>
      <c r="L7" s="192"/>
      <c r="M7" s="522">
        <f t="shared" ref="M7:M20" si="0" xml:space="preserve"> E7+F7+G7+H7</f>
        <v>1738.48</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394"/>
      <c r="AB7" s="394"/>
      <c r="AC7" s="394"/>
      <c r="AD7" s="394"/>
      <c r="AE7" s="394"/>
      <c r="AF7" s="394"/>
      <c r="AG7" s="394"/>
      <c r="AH7" s="394"/>
      <c r="AI7" s="394"/>
      <c r="AJ7" s="162" t="e">
        <f t="shared" ref="AJ7:AJ20" ca="1" si="5">IF(AND(R7="Pass",S7="Pass",T7="Pass",U7="Pass",V7="Pass",W7="Pass",X7="Pass",Y7="Pass",Z7="Pass"),"Pass","Fail")</f>
        <v>#REF!</v>
      </c>
      <c r="AK7" s="162" t="e">
        <f ca="1">IF(AND(AJ7="Pass",AJ8="Pass",AJ9="Pass",AJ10="Pass",AJ11="Pass",AJ12="Pass",AJ13="Pass",AJ14="Pass",AJ15="Pass"),"Pass","Fail")</f>
        <v>#REF!</v>
      </c>
    </row>
    <row r="8" spans="1:39" s="162" customFormat="1">
      <c r="A8" s="185" t="s">
        <v>62</v>
      </c>
      <c r="B8" s="480" t="s">
        <v>57</v>
      </c>
      <c r="C8" s="635">
        <v>526.1811023622048</v>
      </c>
      <c r="D8" s="227"/>
      <c r="E8" s="189">
        <v>29.7</v>
      </c>
      <c r="F8" s="189">
        <v>0</v>
      </c>
      <c r="G8" s="303">
        <v>1500</v>
      </c>
      <c r="H8" s="306">
        <v>98.82</v>
      </c>
      <c r="I8" s="204"/>
      <c r="J8" s="313">
        <v>0</v>
      </c>
      <c r="K8" s="315">
        <v>73.38</v>
      </c>
      <c r="L8" s="192"/>
      <c r="M8" s="522">
        <f t="shared" si="0"/>
        <v>1628.52</v>
      </c>
      <c r="N8" s="522" t="e">
        <f t="shared" si="1"/>
        <v>#REF!</v>
      </c>
      <c r="O8" s="530"/>
      <c r="P8" s="524" t="e">
        <f>MAX($P$5:$Q$5)+IF($B$2="mil",1,0.0254)*DDR2Specs!$B$9</f>
        <v>#REF!</v>
      </c>
      <c r="Q8" s="524" t="e">
        <f>MIN($P$5:$Q$5)+IF($B$2="mil",1,0.0254)*DDR2Specs!$C$9</f>
        <v>#REF!</v>
      </c>
      <c r="R8" s="525" t="e">
        <f t="shared" si="2"/>
        <v>#REF!</v>
      </c>
      <c r="S8" s="526" t="e">
        <f t="shared" si="3"/>
        <v>#REF!</v>
      </c>
      <c r="T8" s="527" t="e">
        <f t="shared" ref="T8:T20" si="6">IF($E8&lt;=IF($B$2="mil",1,0.0254)*50,"Pass",IF($B$2="mil",1,0.0254)*50-$E8)</f>
        <v>#REF!</v>
      </c>
      <c r="U8" s="528" t="e">
        <f t="shared" si="4"/>
        <v>#REF!</v>
      </c>
      <c r="V8" s="528" t="e">
        <f t="shared" ref="V8:V28" si="7">IF($H8&lt;=IF($B$2="mil",1,0.0254)*200,"Pass",IF($B$2="mil",1,0.0254)*200-$H8)</f>
        <v>#REF!</v>
      </c>
      <c r="W8" s="528" t="e">
        <f t="shared" ref="W8:W20" si="8">IF(AND($M8&gt;=IF($B$2="mil",1,0.0254)*500, $M8&lt;=IF($B$2="mil",1,0.0254)*4500),"Pass",IF($B$2="mil",1,0.0254)*4500-$M8)</f>
        <v>#REF!</v>
      </c>
      <c r="X8" s="528" t="e">
        <f t="shared" ref="X8:X28" si="9">IF(AND($N8&gt;=IF($B$2="mil",1,0.0254)*500, $N8&lt;=IF($B$2="mil",1,0.0254)*5000),"Pass",IF($B$2="mil",1,0.0254)*5000-$N8)</f>
        <v>#REF!</v>
      </c>
      <c r="Y8" s="528" t="e">
        <f t="shared" ref="Y8:Y28" si="10">IF((J8&lt;=IF($B$2="mil",1,0.0254)*1300),"Pass",IF($B$2="mil",1,0.0254)*1300-J8)</f>
        <v>#REF!</v>
      </c>
      <c r="Z8" s="529" t="e">
        <f t="shared" ref="Z8:Z20" ca="1" si="11">CheckLength2(IF($B$2="mil",1,0.0254)*1500,J8,K8,0)</f>
        <v>#NAME?</v>
      </c>
      <c r="AA8" s="394"/>
      <c r="AB8" s="394"/>
      <c r="AC8" s="394"/>
      <c r="AD8" s="394"/>
      <c r="AE8" s="394"/>
      <c r="AF8" s="394"/>
      <c r="AG8" s="394"/>
      <c r="AH8" s="394"/>
      <c r="AI8" s="394"/>
      <c r="AJ8" s="162" t="e">
        <f t="shared" ca="1" si="5"/>
        <v>#REF!</v>
      </c>
      <c r="AK8" s="162" t="e">
        <f ca="1">IF(AND(AJ16="Pass",AJ17="Pass",AJ18="Pass",AJ19="Pass",AJ20="Pass",AJ22="Pass",AJ23="Pass",AJ24="Pass",AJ26="Pass",AJ27="Pass",AJ28="Pass"),"Pass","Fail")</f>
        <v>#REF!</v>
      </c>
    </row>
    <row r="9" spans="1:39" s="162" customFormat="1">
      <c r="A9" s="185" t="s">
        <v>63</v>
      </c>
      <c r="B9" s="480" t="s">
        <v>431</v>
      </c>
      <c r="C9" s="635">
        <v>448.14960629921256</v>
      </c>
      <c r="D9" s="237"/>
      <c r="E9" s="189">
        <v>29.7</v>
      </c>
      <c r="F9" s="189">
        <v>0</v>
      </c>
      <c r="G9" s="303">
        <v>1600</v>
      </c>
      <c r="H9" s="306">
        <v>61.6</v>
      </c>
      <c r="I9" s="238"/>
      <c r="J9" s="313">
        <v>0</v>
      </c>
      <c r="K9" s="315">
        <v>101.57</v>
      </c>
      <c r="L9" s="239"/>
      <c r="M9" s="522">
        <f t="shared" si="0"/>
        <v>1691.3</v>
      </c>
      <c r="N9" s="522" t="e">
        <f t="shared" si="1"/>
        <v>#REF!</v>
      </c>
      <c r="O9" s="239"/>
      <c r="P9" s="524" t="e">
        <f>MAX($P$5:$Q$5)+IF($B$2="mil",1,0.0254)*DDR2Specs!$B$9</f>
        <v>#REF!</v>
      </c>
      <c r="Q9" s="524" t="e">
        <f>MIN($P$5:$Q$5)+IF($B$2="mil",1,0.0254)*DDR2Specs!$C$9</f>
        <v>#REF!</v>
      </c>
      <c r="R9" s="525" t="e">
        <f t="shared" si="2"/>
        <v>#REF!</v>
      </c>
      <c r="S9" s="526" t="e">
        <f t="shared" si="3"/>
        <v>#REF!</v>
      </c>
      <c r="T9" s="527" t="e">
        <f t="shared" si="6"/>
        <v>#REF!</v>
      </c>
      <c r="U9" s="528" t="e">
        <f t="shared" si="4"/>
        <v>#REF!</v>
      </c>
      <c r="V9" s="528" t="e">
        <f t="shared" si="7"/>
        <v>#REF!</v>
      </c>
      <c r="W9" s="528" t="e">
        <f t="shared" si="8"/>
        <v>#REF!</v>
      </c>
      <c r="X9" s="528" t="e">
        <f t="shared" si="9"/>
        <v>#REF!</v>
      </c>
      <c r="Y9" s="528" t="e">
        <f t="shared" si="10"/>
        <v>#REF!</v>
      </c>
      <c r="Z9" s="529" t="e">
        <f t="shared" ca="1" si="11"/>
        <v>#NAME?</v>
      </c>
      <c r="AA9" s="394"/>
      <c r="AB9" s="394"/>
      <c r="AC9" s="394"/>
      <c r="AD9" s="394"/>
      <c r="AE9" s="394"/>
      <c r="AF9" s="394"/>
      <c r="AG9" s="394"/>
      <c r="AH9" s="394"/>
      <c r="AI9" s="394"/>
      <c r="AJ9" s="162" t="e">
        <f t="shared" ca="1" si="5"/>
        <v>#REF!</v>
      </c>
    </row>
    <row r="10" spans="1:39" s="162" customFormat="1">
      <c r="A10" s="185" t="s">
        <v>64</v>
      </c>
      <c r="B10" s="480" t="s">
        <v>432</v>
      </c>
      <c r="C10" s="635">
        <v>435.90551181102359</v>
      </c>
      <c r="D10" s="237"/>
      <c r="E10" s="189">
        <v>29.7</v>
      </c>
      <c r="F10" s="189">
        <v>0</v>
      </c>
      <c r="G10" s="303">
        <v>1600</v>
      </c>
      <c r="H10" s="306">
        <v>58</v>
      </c>
      <c r="I10" s="238"/>
      <c r="J10" s="313">
        <v>0</v>
      </c>
      <c r="K10" s="315">
        <v>123.99</v>
      </c>
      <c r="L10" s="239"/>
      <c r="M10" s="522">
        <f t="shared" si="0"/>
        <v>1687.7</v>
      </c>
      <c r="N10" s="522" t="e">
        <f t="shared" si="1"/>
        <v>#REF!</v>
      </c>
      <c r="O10" s="239"/>
      <c r="P10" s="524" t="e">
        <f>MAX($P$5:$Q$5)+IF($B$2="mil",1,0.0254)*DDR2Specs!$B$9</f>
        <v>#REF!</v>
      </c>
      <c r="Q10" s="524" t="e">
        <f>MIN($P$5:$Q$5)+IF($B$2="mil",1,0.0254)*DDR2Specs!$C$9</f>
        <v>#REF!</v>
      </c>
      <c r="R10" s="525" t="e">
        <f t="shared" si="2"/>
        <v>#REF!</v>
      </c>
      <c r="S10" s="526" t="e">
        <f t="shared" si="3"/>
        <v>#REF!</v>
      </c>
      <c r="T10" s="527" t="e">
        <f t="shared" si="6"/>
        <v>#REF!</v>
      </c>
      <c r="U10" s="528" t="e">
        <f t="shared" si="4"/>
        <v>#REF!</v>
      </c>
      <c r="V10" s="528" t="e">
        <f t="shared" si="7"/>
        <v>#REF!</v>
      </c>
      <c r="W10" s="528" t="e">
        <f t="shared" si="8"/>
        <v>#REF!</v>
      </c>
      <c r="X10" s="528" t="e">
        <f t="shared" si="9"/>
        <v>#REF!</v>
      </c>
      <c r="Y10" s="528" t="e">
        <f t="shared" si="10"/>
        <v>#REF!</v>
      </c>
      <c r="Z10" s="529" t="e">
        <f t="shared" ca="1" si="11"/>
        <v>#NAME?</v>
      </c>
      <c r="AA10" s="394"/>
      <c r="AB10" s="394"/>
      <c r="AC10" s="394"/>
      <c r="AD10" s="394"/>
      <c r="AE10" s="394"/>
      <c r="AF10" s="394"/>
      <c r="AG10" s="394"/>
      <c r="AH10" s="394"/>
      <c r="AI10" s="394"/>
      <c r="AJ10" s="162" t="e">
        <f t="shared" ca="1" si="5"/>
        <v>#REF!</v>
      </c>
    </row>
    <row r="11" spans="1:39" s="162" customFormat="1">
      <c r="A11" s="185" t="s">
        <v>65</v>
      </c>
      <c r="B11" s="480" t="s">
        <v>433</v>
      </c>
      <c r="C11" s="635">
        <v>381.06299212598429</v>
      </c>
      <c r="D11" s="237"/>
      <c r="E11" s="189">
        <v>29.7</v>
      </c>
      <c r="F11" s="189">
        <v>0</v>
      </c>
      <c r="G11" s="303">
        <v>1600</v>
      </c>
      <c r="H11" s="306">
        <v>117.39</v>
      </c>
      <c r="I11" s="238"/>
      <c r="J11" s="313">
        <v>0</v>
      </c>
      <c r="K11" s="315">
        <v>52.53</v>
      </c>
      <c r="L11" s="239"/>
      <c r="M11" s="522">
        <f t="shared" si="0"/>
        <v>1747.0900000000001</v>
      </c>
      <c r="N11" s="522" t="e">
        <f t="shared" si="1"/>
        <v>#REF!</v>
      </c>
      <c r="O11" s="239"/>
      <c r="P11" s="524" t="e">
        <f>MAX($P$5:$Q$5)+IF($B$2="mil",1,0.0254)*DDR2Specs!$B$9</f>
        <v>#REF!</v>
      </c>
      <c r="Q11" s="524" t="e">
        <f>MIN($P$5:$Q$5)+IF($B$2="mil",1,0.0254)*DDR2Specs!$C$9</f>
        <v>#REF!</v>
      </c>
      <c r="R11" s="525" t="e">
        <f t="shared" si="2"/>
        <v>#REF!</v>
      </c>
      <c r="S11" s="526" t="e">
        <f t="shared" si="3"/>
        <v>#REF!</v>
      </c>
      <c r="T11" s="527" t="e">
        <f t="shared" si="6"/>
        <v>#REF!</v>
      </c>
      <c r="U11" s="528" t="e">
        <f t="shared" si="4"/>
        <v>#REF!</v>
      </c>
      <c r="V11" s="528" t="e">
        <f t="shared" si="7"/>
        <v>#REF!</v>
      </c>
      <c r="W11" s="528" t="e">
        <f t="shared" si="8"/>
        <v>#REF!</v>
      </c>
      <c r="X11" s="528" t="e">
        <f t="shared" si="9"/>
        <v>#REF!</v>
      </c>
      <c r="Y11" s="528" t="e">
        <f t="shared" si="10"/>
        <v>#REF!</v>
      </c>
      <c r="Z11" s="529" t="e">
        <f ca="1">CheckLength2(IF($B$2="mil",1,0.0254)*1500,J11,K11,0)</f>
        <v>#NAME?</v>
      </c>
      <c r="AA11" s="394"/>
      <c r="AB11" s="394"/>
      <c r="AC11" s="394"/>
      <c r="AD11" s="394"/>
      <c r="AE11" s="394"/>
      <c r="AF11" s="394"/>
      <c r="AG11" s="394"/>
      <c r="AH11" s="394"/>
      <c r="AI11" s="394"/>
      <c r="AJ11" s="162" t="e">
        <f t="shared" ca="1" si="5"/>
        <v>#REF!</v>
      </c>
    </row>
    <row r="12" spans="1:39" s="162" customFormat="1">
      <c r="A12" s="185" t="s">
        <v>66</v>
      </c>
      <c r="B12" s="480" t="s">
        <v>434</v>
      </c>
      <c r="C12" s="635">
        <v>420.03937007874021</v>
      </c>
      <c r="D12" s="237"/>
      <c r="E12" s="189">
        <v>29.7</v>
      </c>
      <c r="F12" s="189">
        <v>0</v>
      </c>
      <c r="G12" s="303">
        <v>1600</v>
      </c>
      <c r="H12" s="306">
        <v>111.23</v>
      </c>
      <c r="I12" s="238"/>
      <c r="J12" s="313">
        <v>0</v>
      </c>
      <c r="K12" s="315">
        <v>83.88</v>
      </c>
      <c r="L12" s="239"/>
      <c r="M12" s="522">
        <f t="shared" si="0"/>
        <v>1740.93</v>
      </c>
      <c r="N12" s="522" t="e">
        <f t="shared" si="1"/>
        <v>#REF!</v>
      </c>
      <c r="O12" s="239"/>
      <c r="P12" s="524" t="e">
        <f>MAX($P$5:$Q$5)+IF($B$2="mil",1,0.0254)*DDR2Specs!$B$9</f>
        <v>#REF!</v>
      </c>
      <c r="Q12" s="524" t="e">
        <f>MIN($P$5:$Q$5)+IF($B$2="mil",1,0.0254)*DDR2Specs!$C$9</f>
        <v>#REF!</v>
      </c>
      <c r="R12" s="525" t="e">
        <f t="shared" si="2"/>
        <v>#REF!</v>
      </c>
      <c r="S12" s="526" t="e">
        <f t="shared" si="3"/>
        <v>#REF!</v>
      </c>
      <c r="T12" s="527" t="e">
        <f t="shared" si="6"/>
        <v>#REF!</v>
      </c>
      <c r="U12" s="528" t="e">
        <f t="shared" si="4"/>
        <v>#REF!</v>
      </c>
      <c r="V12" s="528" t="e">
        <f t="shared" si="7"/>
        <v>#REF!</v>
      </c>
      <c r="W12" s="528" t="e">
        <f t="shared" si="8"/>
        <v>#REF!</v>
      </c>
      <c r="X12" s="528" t="e">
        <f t="shared" si="9"/>
        <v>#REF!</v>
      </c>
      <c r="Y12" s="528" t="e">
        <f t="shared" si="10"/>
        <v>#REF!</v>
      </c>
      <c r="Z12" s="529" t="e">
        <f t="shared" ca="1" si="11"/>
        <v>#NAME?</v>
      </c>
      <c r="AA12" s="394"/>
      <c r="AB12" s="394"/>
      <c r="AC12" s="394"/>
      <c r="AD12" s="394"/>
      <c r="AE12" s="394"/>
      <c r="AF12" s="394"/>
      <c r="AG12" s="394"/>
      <c r="AH12" s="394"/>
      <c r="AI12" s="394"/>
      <c r="AJ12" s="162" t="e">
        <f t="shared" ca="1" si="5"/>
        <v>#REF!</v>
      </c>
    </row>
    <row r="13" spans="1:39" s="162" customFormat="1">
      <c r="A13" s="185" t="s">
        <v>68</v>
      </c>
      <c r="B13" s="480" t="s">
        <v>435</v>
      </c>
      <c r="C13" s="635">
        <v>468.89763779527561</v>
      </c>
      <c r="D13" s="237"/>
      <c r="E13" s="189">
        <v>29.7</v>
      </c>
      <c r="F13" s="189">
        <v>0</v>
      </c>
      <c r="G13" s="303">
        <v>1600</v>
      </c>
      <c r="H13" s="306">
        <v>62.51</v>
      </c>
      <c r="I13" s="238"/>
      <c r="J13" s="313">
        <v>0</v>
      </c>
      <c r="K13" s="315">
        <v>104.42</v>
      </c>
      <c r="L13" s="239"/>
      <c r="M13" s="522">
        <f t="shared" si="0"/>
        <v>1692.21</v>
      </c>
      <c r="N13" s="522" t="e">
        <f t="shared" si="1"/>
        <v>#REF!</v>
      </c>
      <c r="O13" s="239"/>
      <c r="P13" s="524" t="e">
        <f>MAX($P$5:$Q$5)+IF($B$2="mil",1,0.0254)*DDR2Specs!$B$9</f>
        <v>#REF!</v>
      </c>
      <c r="Q13" s="524" t="e">
        <f>MIN($P$5:$Q$5)+IF($B$2="mil",1,0.0254)*DDR2Specs!$C$9</f>
        <v>#REF!</v>
      </c>
      <c r="R13" s="525" t="e">
        <f t="shared" si="2"/>
        <v>#REF!</v>
      </c>
      <c r="S13" s="526" t="e">
        <f t="shared" si="3"/>
        <v>#REF!</v>
      </c>
      <c r="T13" s="527" t="e">
        <f t="shared" si="6"/>
        <v>#REF!</v>
      </c>
      <c r="U13" s="528" t="e">
        <f t="shared" si="4"/>
        <v>#REF!</v>
      </c>
      <c r="V13" s="528" t="e">
        <f t="shared" si="7"/>
        <v>#REF!</v>
      </c>
      <c r="W13" s="528" t="e">
        <f t="shared" si="8"/>
        <v>#REF!</v>
      </c>
      <c r="X13" s="528" t="e">
        <f t="shared" si="9"/>
        <v>#REF!</v>
      </c>
      <c r="Y13" s="528" t="e">
        <f t="shared" si="10"/>
        <v>#REF!</v>
      </c>
      <c r="Z13" s="529" t="e">
        <f t="shared" ca="1" si="11"/>
        <v>#NAME?</v>
      </c>
      <c r="AA13" s="394"/>
      <c r="AB13" s="394"/>
      <c r="AC13" s="394"/>
      <c r="AD13" s="394"/>
      <c r="AE13" s="394"/>
      <c r="AF13" s="394"/>
      <c r="AG13" s="394"/>
      <c r="AH13" s="394"/>
      <c r="AI13" s="394"/>
      <c r="AJ13" s="162" t="e">
        <f t="shared" ca="1" si="5"/>
        <v>#REF!</v>
      </c>
    </row>
    <row r="14" spans="1:39" s="162" customFormat="1">
      <c r="A14" s="185" t="s">
        <v>69</v>
      </c>
      <c r="B14" s="480" t="s">
        <v>309</v>
      </c>
      <c r="C14" s="635">
        <v>508.74015748031502</v>
      </c>
      <c r="D14" s="237"/>
      <c r="E14" s="189">
        <v>29.7</v>
      </c>
      <c r="F14" s="189">
        <v>0</v>
      </c>
      <c r="G14" s="303">
        <v>1600</v>
      </c>
      <c r="H14" s="306">
        <v>115.4</v>
      </c>
      <c r="I14" s="238"/>
      <c r="J14" s="313">
        <v>0</v>
      </c>
      <c r="K14" s="315">
        <v>72.38</v>
      </c>
      <c r="L14" s="239"/>
      <c r="M14" s="522">
        <f t="shared" si="0"/>
        <v>1745.1000000000001</v>
      </c>
      <c r="N14" s="522" t="e">
        <f t="shared" si="1"/>
        <v>#REF!</v>
      </c>
      <c r="O14" s="239"/>
      <c r="P14" s="524" t="e">
        <f>MAX($P$5:$Q$5)+IF($B$2="mil",1,0.0254)*DDR2Specs!$B$9</f>
        <v>#REF!</v>
      </c>
      <c r="Q14" s="524" t="e">
        <f>MIN($P$5:$Q$5)+IF($B$2="mil",1,0.0254)*DDR2Specs!$C$9</f>
        <v>#REF!</v>
      </c>
      <c r="R14" s="525" t="e">
        <f t="shared" si="2"/>
        <v>#REF!</v>
      </c>
      <c r="S14" s="526" t="e">
        <f t="shared" si="3"/>
        <v>#REF!</v>
      </c>
      <c r="T14" s="527" t="e">
        <f t="shared" si="6"/>
        <v>#REF!</v>
      </c>
      <c r="U14" s="528" t="e">
        <f t="shared" si="4"/>
        <v>#REF!</v>
      </c>
      <c r="V14" s="528" t="e">
        <f t="shared" si="7"/>
        <v>#REF!</v>
      </c>
      <c r="W14" s="528" t="e">
        <f t="shared" si="8"/>
        <v>#REF!</v>
      </c>
      <c r="X14" s="528" t="e">
        <f t="shared" si="9"/>
        <v>#REF!</v>
      </c>
      <c r="Y14" s="528" t="e">
        <f t="shared" si="10"/>
        <v>#REF!</v>
      </c>
      <c r="Z14" s="529" t="e">
        <f t="shared" ca="1" si="11"/>
        <v>#NAME?</v>
      </c>
      <c r="AA14" s="394"/>
      <c r="AB14" s="394"/>
      <c r="AC14" s="394"/>
      <c r="AD14" s="394"/>
      <c r="AE14" s="394"/>
      <c r="AF14" s="394"/>
      <c r="AG14" s="394"/>
      <c r="AH14" s="394"/>
      <c r="AI14" s="394"/>
      <c r="AJ14" s="162" t="e">
        <f t="shared" ca="1" si="5"/>
        <v>#REF!</v>
      </c>
    </row>
    <row r="15" spans="1:39" s="162" customFormat="1">
      <c r="A15" s="185" t="s">
        <v>70</v>
      </c>
      <c r="B15" s="480" t="s">
        <v>436</v>
      </c>
      <c r="C15" s="635">
        <v>529.40944881889766</v>
      </c>
      <c r="D15" s="237"/>
      <c r="E15" s="189">
        <v>29.7</v>
      </c>
      <c r="F15" s="189">
        <v>0</v>
      </c>
      <c r="G15" s="303">
        <v>1600</v>
      </c>
      <c r="H15" s="306">
        <v>119.25</v>
      </c>
      <c r="I15" s="238"/>
      <c r="J15" s="313">
        <v>0</v>
      </c>
      <c r="K15" s="315">
        <v>104.68</v>
      </c>
      <c r="L15" s="239"/>
      <c r="M15" s="522">
        <f t="shared" si="0"/>
        <v>1748.95</v>
      </c>
      <c r="N15" s="522" t="e">
        <f t="shared" si="1"/>
        <v>#REF!</v>
      </c>
      <c r="O15" s="239"/>
      <c r="P15" s="524" t="e">
        <f>MAX($P$5:$Q$5)+IF($B$2="mil",1,0.0254)*DDR2Specs!$B$9</f>
        <v>#REF!</v>
      </c>
      <c r="Q15" s="524" t="e">
        <f>MIN($P$5:$Q$5)+IF($B$2="mil",1,0.0254)*DDR2Specs!$C$9</f>
        <v>#REF!</v>
      </c>
      <c r="R15" s="525" t="e">
        <f t="shared" si="2"/>
        <v>#REF!</v>
      </c>
      <c r="S15" s="526" t="e">
        <f t="shared" si="3"/>
        <v>#REF!</v>
      </c>
      <c r="T15" s="527" t="e">
        <f t="shared" si="6"/>
        <v>#REF!</v>
      </c>
      <c r="U15" s="528" t="e">
        <f t="shared" si="4"/>
        <v>#REF!</v>
      </c>
      <c r="V15" s="528" t="e">
        <f t="shared" si="7"/>
        <v>#REF!</v>
      </c>
      <c r="W15" s="528" t="e">
        <f t="shared" si="8"/>
        <v>#REF!</v>
      </c>
      <c r="X15" s="528" t="e">
        <f t="shared" si="9"/>
        <v>#REF!</v>
      </c>
      <c r="Y15" s="528" t="e">
        <f t="shared" si="10"/>
        <v>#REF!</v>
      </c>
      <c r="Z15" s="529" t="e">
        <f t="shared" ca="1" si="11"/>
        <v>#NAME?</v>
      </c>
      <c r="AA15" s="394"/>
      <c r="AB15" s="394"/>
      <c r="AC15" s="394"/>
      <c r="AD15" s="394"/>
      <c r="AE15" s="394"/>
      <c r="AF15" s="394"/>
      <c r="AG15" s="394"/>
      <c r="AH15" s="394"/>
      <c r="AI15" s="394"/>
      <c r="AJ15" s="162" t="e">
        <f t="shared" ca="1" si="5"/>
        <v>#REF!</v>
      </c>
    </row>
    <row r="16" spans="1:39" s="162" customFormat="1">
      <c r="A16" s="185" t="s">
        <v>72</v>
      </c>
      <c r="B16" s="480" t="s">
        <v>310</v>
      </c>
      <c r="C16" s="635">
        <v>442.40157480314963</v>
      </c>
      <c r="D16" s="237"/>
      <c r="E16" s="189">
        <v>29.7</v>
      </c>
      <c r="F16" s="189">
        <v>0</v>
      </c>
      <c r="G16" s="303">
        <v>1600</v>
      </c>
      <c r="H16" s="306">
        <v>155.77000000000001</v>
      </c>
      <c r="I16" s="238"/>
      <c r="J16" s="313">
        <v>0</v>
      </c>
      <c r="K16" s="315">
        <v>83.15</v>
      </c>
      <c r="L16" s="239"/>
      <c r="M16" s="522">
        <f t="shared" si="0"/>
        <v>1785.47</v>
      </c>
      <c r="N16" s="522" t="e">
        <f t="shared" si="1"/>
        <v>#REF!</v>
      </c>
      <c r="O16" s="239"/>
      <c r="P16" s="524" t="e">
        <f>MAX($P$5:$Q$5)+IF($B$2="mil",1,0.0254)*DDR2Specs!$B$9</f>
        <v>#REF!</v>
      </c>
      <c r="Q16" s="524" t="e">
        <f>MIN($P$5:$Q$5)+IF($B$2="mil",1,0.0254)*DDR2Specs!$C$9</f>
        <v>#REF!</v>
      </c>
      <c r="R16" s="525" t="e">
        <f t="shared" si="2"/>
        <v>#REF!</v>
      </c>
      <c r="S16" s="526" t="e">
        <f t="shared" si="3"/>
        <v>#REF!</v>
      </c>
      <c r="T16" s="527" t="e">
        <f t="shared" si="6"/>
        <v>#REF!</v>
      </c>
      <c r="U16" s="528" t="e">
        <f t="shared" si="4"/>
        <v>#REF!</v>
      </c>
      <c r="V16" s="528" t="e">
        <f t="shared" si="7"/>
        <v>#REF!</v>
      </c>
      <c r="W16" s="528" t="e">
        <f t="shared" si="8"/>
        <v>#REF!</v>
      </c>
      <c r="X16" s="528" t="e">
        <f t="shared" si="9"/>
        <v>#REF!</v>
      </c>
      <c r="Y16" s="528" t="e">
        <f t="shared" si="10"/>
        <v>#REF!</v>
      </c>
      <c r="Z16" s="529" t="e">
        <f t="shared" ca="1" si="11"/>
        <v>#NAME?</v>
      </c>
      <c r="AA16" s="394"/>
      <c r="AB16" s="394"/>
      <c r="AC16" s="394"/>
      <c r="AD16" s="394"/>
      <c r="AE16" s="394"/>
      <c r="AF16" s="394"/>
      <c r="AG16" s="394"/>
      <c r="AH16" s="394"/>
      <c r="AI16" s="394"/>
      <c r="AJ16" s="162" t="e">
        <f t="shared" ca="1" si="5"/>
        <v>#REF!</v>
      </c>
    </row>
    <row r="17" spans="1:38" s="162" customFormat="1">
      <c r="A17" s="185" t="s">
        <v>74</v>
      </c>
      <c r="B17" s="480" t="s">
        <v>49</v>
      </c>
      <c r="C17" s="635">
        <v>397.71653543307087</v>
      </c>
      <c r="D17" s="237"/>
      <c r="E17" s="189">
        <v>29.7</v>
      </c>
      <c r="F17" s="189">
        <v>0</v>
      </c>
      <c r="G17" s="303">
        <v>1700</v>
      </c>
      <c r="H17" s="306">
        <v>58</v>
      </c>
      <c r="I17" s="238"/>
      <c r="J17" s="313">
        <v>0</v>
      </c>
      <c r="K17" s="315">
        <v>128.94999999999999</v>
      </c>
      <c r="L17" s="239"/>
      <c r="M17" s="522">
        <f t="shared" si="0"/>
        <v>1787.7</v>
      </c>
      <c r="N17" s="522" t="e">
        <f t="shared" si="1"/>
        <v>#REF!</v>
      </c>
      <c r="O17" s="239"/>
      <c r="P17" s="524" t="e">
        <f>MAX($P$5:$Q$5)+IF($B$2="mil",1,0.0254)*DDR2Specs!$B$9</f>
        <v>#REF!</v>
      </c>
      <c r="Q17" s="524" t="e">
        <f>MIN($P$5:$Q$5)+IF($B$2="mil",1,0.0254)*DDR2Specs!$C$9</f>
        <v>#REF!</v>
      </c>
      <c r="R17" s="525" t="e">
        <f t="shared" si="2"/>
        <v>#REF!</v>
      </c>
      <c r="S17" s="526" t="e">
        <f t="shared" si="3"/>
        <v>#REF!</v>
      </c>
      <c r="T17" s="527" t="e">
        <f t="shared" si="6"/>
        <v>#REF!</v>
      </c>
      <c r="U17" s="528" t="e">
        <f t="shared" si="4"/>
        <v>#REF!</v>
      </c>
      <c r="V17" s="528" t="e">
        <f t="shared" si="7"/>
        <v>#REF!</v>
      </c>
      <c r="W17" s="528" t="e">
        <f t="shared" si="8"/>
        <v>#REF!</v>
      </c>
      <c r="X17" s="528" t="e">
        <f t="shared" si="9"/>
        <v>#REF!</v>
      </c>
      <c r="Y17" s="528" t="e">
        <f t="shared" si="10"/>
        <v>#REF!</v>
      </c>
      <c r="Z17" s="529" t="e">
        <f t="shared" ca="1" si="11"/>
        <v>#NAME?</v>
      </c>
      <c r="AA17" s="394"/>
      <c r="AB17" s="394"/>
      <c r="AC17" s="394"/>
      <c r="AD17" s="394"/>
      <c r="AE17" s="394"/>
      <c r="AF17" s="394"/>
      <c r="AG17" s="394"/>
      <c r="AH17" s="394"/>
      <c r="AI17" s="394"/>
      <c r="AJ17" s="162" t="e">
        <f t="shared" ca="1" si="5"/>
        <v>#REF!</v>
      </c>
    </row>
    <row r="18" spans="1:38" s="162" customFormat="1">
      <c r="A18" s="185" t="s">
        <v>75</v>
      </c>
      <c r="B18" s="480" t="s">
        <v>437</v>
      </c>
      <c r="C18" s="635">
        <v>543.54330708661416</v>
      </c>
      <c r="D18" s="237"/>
      <c r="E18" s="189">
        <v>29.7</v>
      </c>
      <c r="F18" s="189">
        <v>0</v>
      </c>
      <c r="G18" s="303">
        <v>1600</v>
      </c>
      <c r="H18" s="306">
        <v>82.56</v>
      </c>
      <c r="I18" s="238"/>
      <c r="J18" s="313">
        <v>0</v>
      </c>
      <c r="K18" s="315">
        <v>121.39</v>
      </c>
      <c r="L18" s="239"/>
      <c r="M18" s="522">
        <f t="shared" si="0"/>
        <v>1712.26</v>
      </c>
      <c r="N18" s="522" t="e">
        <f t="shared" si="1"/>
        <v>#REF!</v>
      </c>
      <c r="O18" s="239"/>
      <c r="P18" s="524" t="e">
        <f>MAX($P$5:$Q$5)+IF($B$2="mil",1,0.0254)*DDR2Specs!$B$9</f>
        <v>#REF!</v>
      </c>
      <c r="Q18" s="524" t="e">
        <f>MIN($P$5:$Q$5)+IF($B$2="mil",1,0.0254)*DDR2Specs!$C$9</f>
        <v>#REF!</v>
      </c>
      <c r="R18" s="525" t="e">
        <f t="shared" si="2"/>
        <v>#REF!</v>
      </c>
      <c r="S18" s="526" t="e">
        <f t="shared" si="3"/>
        <v>#REF!</v>
      </c>
      <c r="T18" s="527" t="e">
        <f t="shared" si="6"/>
        <v>#REF!</v>
      </c>
      <c r="U18" s="528" t="e">
        <f t="shared" si="4"/>
        <v>#REF!</v>
      </c>
      <c r="V18" s="528" t="e">
        <f t="shared" si="7"/>
        <v>#REF!</v>
      </c>
      <c r="W18" s="528" t="e">
        <f t="shared" si="8"/>
        <v>#REF!</v>
      </c>
      <c r="X18" s="528" t="e">
        <f t="shared" si="9"/>
        <v>#REF!</v>
      </c>
      <c r="Y18" s="528" t="e">
        <f t="shared" si="10"/>
        <v>#REF!</v>
      </c>
      <c r="Z18" s="529" t="e">
        <f t="shared" ca="1" si="11"/>
        <v>#NAME?</v>
      </c>
      <c r="AA18" s="394"/>
      <c r="AB18" s="394"/>
      <c r="AC18" s="394"/>
      <c r="AD18" s="394"/>
      <c r="AE18" s="394"/>
      <c r="AF18" s="394"/>
      <c r="AG18" s="394"/>
      <c r="AH18" s="394"/>
      <c r="AI18" s="394"/>
      <c r="AJ18" s="162" t="e">
        <f t="shared" ca="1" si="5"/>
        <v>#REF!</v>
      </c>
    </row>
    <row r="19" spans="1:38" s="162" customFormat="1">
      <c r="A19" s="185" t="s">
        <v>76</v>
      </c>
      <c r="B19" s="480" t="s">
        <v>438</v>
      </c>
      <c r="C19" s="635">
        <v>492.79527559055117</v>
      </c>
      <c r="D19" s="237"/>
      <c r="E19" s="189">
        <v>29.7</v>
      </c>
      <c r="F19" s="189">
        <v>0</v>
      </c>
      <c r="G19" s="303">
        <v>1600</v>
      </c>
      <c r="H19" s="306">
        <v>119.05</v>
      </c>
      <c r="I19" s="238"/>
      <c r="J19" s="313">
        <v>0</v>
      </c>
      <c r="K19" s="315">
        <v>135.99</v>
      </c>
      <c r="L19" s="239"/>
      <c r="M19" s="522">
        <f t="shared" si="0"/>
        <v>1748.75</v>
      </c>
      <c r="N19" s="522" t="e">
        <f t="shared" si="1"/>
        <v>#REF!</v>
      </c>
      <c r="O19" s="239"/>
      <c r="P19" s="524" t="e">
        <f>MAX($P$5:$Q$5)+IF($B$2="mil",1,0.0254)*DDR2Specs!$B$9</f>
        <v>#REF!</v>
      </c>
      <c r="Q19" s="524" t="e">
        <f>MIN($P$5:$Q$5)+IF($B$2="mil",1,0.0254)*DDR2Specs!$C$9</f>
        <v>#REF!</v>
      </c>
      <c r="R19" s="525" t="e">
        <f t="shared" si="2"/>
        <v>#REF!</v>
      </c>
      <c r="S19" s="526" t="e">
        <f t="shared" si="3"/>
        <v>#REF!</v>
      </c>
      <c r="T19" s="527" t="e">
        <f t="shared" si="6"/>
        <v>#REF!</v>
      </c>
      <c r="U19" s="528" t="e">
        <f t="shared" si="4"/>
        <v>#REF!</v>
      </c>
      <c r="V19" s="528" t="e">
        <f t="shared" si="7"/>
        <v>#REF!</v>
      </c>
      <c r="W19" s="528" t="e">
        <f t="shared" si="8"/>
        <v>#REF!</v>
      </c>
      <c r="X19" s="528" t="e">
        <f t="shared" si="9"/>
        <v>#REF!</v>
      </c>
      <c r="Y19" s="528" t="e">
        <f t="shared" si="10"/>
        <v>#REF!</v>
      </c>
      <c r="Z19" s="529" t="e">
        <f t="shared" ca="1" si="11"/>
        <v>#NAME?</v>
      </c>
      <c r="AA19" s="394"/>
      <c r="AB19" s="394"/>
      <c r="AC19" s="394"/>
      <c r="AD19" s="394"/>
      <c r="AE19" s="394"/>
      <c r="AF19" s="394"/>
      <c r="AG19" s="394"/>
      <c r="AH19" s="394"/>
      <c r="AI19" s="394"/>
      <c r="AJ19" s="162" t="e">
        <f t="shared" ca="1" si="5"/>
        <v>#REF!</v>
      </c>
    </row>
    <row r="20" spans="1:38" s="162" customFormat="1">
      <c r="A20" s="185" t="s">
        <v>78</v>
      </c>
      <c r="B20" s="480" t="s">
        <v>307</v>
      </c>
      <c r="C20" s="635">
        <v>514.48818897637796</v>
      </c>
      <c r="D20" s="237"/>
      <c r="E20" s="189">
        <v>29.7</v>
      </c>
      <c r="F20" s="189">
        <v>0</v>
      </c>
      <c r="G20" s="303">
        <v>1600</v>
      </c>
      <c r="H20" s="306">
        <v>58.41</v>
      </c>
      <c r="I20" s="238"/>
      <c r="J20" s="313">
        <v>0</v>
      </c>
      <c r="K20" s="315">
        <v>124.92</v>
      </c>
      <c r="L20" s="239"/>
      <c r="M20" s="522">
        <f t="shared" si="0"/>
        <v>1688.1100000000001</v>
      </c>
      <c r="N20" s="522" t="e">
        <f t="shared" si="1"/>
        <v>#REF!</v>
      </c>
      <c r="O20" s="239"/>
      <c r="P20" s="524" t="e">
        <f>MAX($P$5:$Q$5)+IF($B$2="mil",1,0.0254)*DDR2Specs!$B$9</f>
        <v>#REF!</v>
      </c>
      <c r="Q20" s="524" t="e">
        <f>MIN($P$5:$Q$5)+IF($B$2="mil",1,0.0254)*DDR2Specs!$C$9</f>
        <v>#REF!</v>
      </c>
      <c r="R20" s="525" t="e">
        <f t="shared" si="2"/>
        <v>#REF!</v>
      </c>
      <c r="S20" s="526" t="e">
        <f t="shared" si="3"/>
        <v>#REF!</v>
      </c>
      <c r="T20" s="527" t="e">
        <f t="shared" si="6"/>
        <v>#REF!</v>
      </c>
      <c r="U20" s="528" t="e">
        <f t="shared" si="4"/>
        <v>#REF!</v>
      </c>
      <c r="V20" s="528" t="e">
        <f t="shared" si="7"/>
        <v>#REF!</v>
      </c>
      <c r="W20" s="528" t="e">
        <f t="shared" si="8"/>
        <v>#REF!</v>
      </c>
      <c r="X20" s="528" t="e">
        <f t="shared" si="9"/>
        <v>#REF!</v>
      </c>
      <c r="Y20" s="528" t="e">
        <f t="shared" si="10"/>
        <v>#REF!</v>
      </c>
      <c r="Z20" s="529" t="e">
        <f t="shared" ca="1" si="11"/>
        <v>#NAME?</v>
      </c>
      <c r="AA20" s="394"/>
      <c r="AB20" s="394"/>
      <c r="AC20" s="394"/>
      <c r="AD20" s="394"/>
      <c r="AE20" s="394"/>
      <c r="AF20" s="394"/>
      <c r="AG20" s="394"/>
      <c r="AH20" s="394"/>
      <c r="AI20" s="394"/>
      <c r="AJ20" s="162" t="e">
        <f t="shared" ca="1" si="5"/>
        <v>#REF!</v>
      </c>
    </row>
    <row r="21" spans="1:38" s="162" customFormat="1" ht="11.25">
      <c r="A21" s="460" t="s">
        <v>239</v>
      </c>
      <c r="B21" s="155"/>
      <c r="C21" s="639"/>
      <c r="D21" s="179"/>
      <c r="E21" s="273"/>
      <c r="F21" s="273"/>
      <c r="G21" s="307"/>
      <c r="H21" s="307"/>
      <c r="I21" s="180"/>
      <c r="J21" s="181"/>
      <c r="K21" s="273"/>
      <c r="L21" s="180"/>
      <c r="M21" s="279"/>
      <c r="N21" s="279"/>
      <c r="O21" s="179"/>
      <c r="P21" s="179"/>
      <c r="Q21" s="531"/>
      <c r="R21" s="532"/>
      <c r="S21" s="532"/>
      <c r="T21" s="179"/>
      <c r="U21" s="179"/>
      <c r="V21" s="179"/>
      <c r="W21" s="179"/>
      <c r="X21" s="179"/>
      <c r="Y21" s="179"/>
      <c r="Z21" s="179"/>
      <c r="AA21" s="462"/>
      <c r="AB21" s="462"/>
      <c r="AC21" s="462"/>
      <c r="AD21" s="462"/>
      <c r="AE21" s="462"/>
      <c r="AF21" s="462"/>
      <c r="AG21" s="462"/>
      <c r="AH21" s="462"/>
      <c r="AI21" s="462"/>
    </row>
    <row r="22" spans="1:38" s="162" customFormat="1">
      <c r="A22" s="185" t="s">
        <v>80</v>
      </c>
      <c r="B22" s="480" t="s">
        <v>33</v>
      </c>
      <c r="C22" s="635">
        <v>428.58267716535431</v>
      </c>
      <c r="D22" s="237"/>
      <c r="E22" s="189">
        <v>29.7</v>
      </c>
      <c r="F22" s="189">
        <v>0</v>
      </c>
      <c r="G22" s="303">
        <v>1600</v>
      </c>
      <c r="H22" s="306">
        <v>101.4</v>
      </c>
      <c r="I22" s="238"/>
      <c r="J22" s="313">
        <v>0</v>
      </c>
      <c r="K22" s="315">
        <v>78.7</v>
      </c>
      <c r="L22" s="239"/>
      <c r="M22" s="522">
        <f xml:space="preserve"> E22+F22+G22+H22</f>
        <v>1731.1000000000001</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 t="shared" si="7"/>
        <v>#REF!</v>
      </c>
      <c r="W22" s="528" t="e">
        <f>IF(AND($M22&gt;=IF($B$2="mil",1,0.0254)*500, $M22&lt;=IF($B$2="mil",1,0.0254)*4500),"Pass",IF($B$2="mil",1,0.0254)*4500-$M22)</f>
        <v>#REF!</v>
      </c>
      <c r="X22" s="528" t="e">
        <f t="shared" si="9"/>
        <v>#REF!</v>
      </c>
      <c r="Y22" s="528" t="e">
        <f t="shared" si="10"/>
        <v>#REF!</v>
      </c>
      <c r="Z22" s="529" t="e">
        <f ca="1">CheckLength2(IF($B$2="mil",1,0.0254)*1500,J22,K22,0)</f>
        <v>#NAME?</v>
      </c>
      <c r="AA22" s="394"/>
      <c r="AB22" s="394"/>
      <c r="AC22" s="394"/>
      <c r="AD22" s="394"/>
      <c r="AE22" s="394"/>
      <c r="AF22" s="394"/>
      <c r="AG22" s="394"/>
      <c r="AH22" s="394"/>
      <c r="AI22" s="394"/>
      <c r="AJ22" s="162" t="e">
        <f ca="1">IF(AND(R22="Pass",S22="Pass",T22="Pass",U22="Pass",V22="Pass",W22="Pass",X22="Pass",Y22="Pass",Z22="Pass"),"Pass","Fail")</f>
        <v>#REF!</v>
      </c>
    </row>
    <row r="23" spans="1:38" s="162" customFormat="1">
      <c r="A23" s="241" t="s">
        <v>82</v>
      </c>
      <c r="B23" s="480" t="s">
        <v>71</v>
      </c>
      <c r="C23" s="635">
        <v>331.69291338582678</v>
      </c>
      <c r="D23" s="237"/>
      <c r="E23" s="189">
        <v>29.7</v>
      </c>
      <c r="F23" s="189">
        <v>0</v>
      </c>
      <c r="G23" s="303">
        <v>1700</v>
      </c>
      <c r="H23" s="306">
        <v>61.6</v>
      </c>
      <c r="I23" s="238"/>
      <c r="J23" s="313">
        <v>0</v>
      </c>
      <c r="K23" s="315">
        <v>81.19</v>
      </c>
      <c r="L23" s="239"/>
      <c r="M23" s="522">
        <f xml:space="preserve"> E23+F23+G23+H23</f>
        <v>1791.3</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 t="shared" si="7"/>
        <v>#REF!</v>
      </c>
      <c r="W23" s="528" t="e">
        <f t="shared" ref="W23:W28" si="12">IF(AND($M23&gt;=IF($B$2="mil",1,0.0254)*500, $M23&lt;=IF($B$2="mil",1,0.0254)*4500),"Pass",IF($B$2="mil",1,0.0254)*4500-$M23)</f>
        <v>#REF!</v>
      </c>
      <c r="X23" s="528" t="e">
        <f t="shared" si="9"/>
        <v>#REF!</v>
      </c>
      <c r="Y23" s="528" t="e">
        <f t="shared" si="10"/>
        <v>#REF!</v>
      </c>
      <c r="Z23" s="529" t="e">
        <f ca="1">CheckLength2(IF($B$2="mil",1,0.0254)*1500,J23,K23,0)</f>
        <v>#NAME?</v>
      </c>
      <c r="AA23" s="394"/>
      <c r="AB23" s="394"/>
      <c r="AC23" s="394"/>
      <c r="AD23" s="394"/>
      <c r="AE23" s="394"/>
      <c r="AF23" s="394"/>
      <c r="AG23" s="394"/>
      <c r="AH23" s="394"/>
      <c r="AI23" s="394"/>
      <c r="AJ23" s="162" t="e">
        <f ca="1">IF(AND(R23="Pass",S23="Pass",T23="Pass",U23="Pass",V23="Pass",W23="Pass",X23="Pass",Y23="Pass",Z23="Pass"),"Pass","Fail")</f>
        <v>#REF!</v>
      </c>
    </row>
    <row r="24" spans="1:38" s="162" customFormat="1">
      <c r="A24" s="241" t="s">
        <v>83</v>
      </c>
      <c r="B24" s="480" t="s">
        <v>352</v>
      </c>
      <c r="C24" s="635">
        <v>384.5275590551181</v>
      </c>
      <c r="D24" s="237"/>
      <c r="E24" s="189">
        <v>29.7</v>
      </c>
      <c r="F24" s="189">
        <v>0</v>
      </c>
      <c r="G24" s="303">
        <v>1600</v>
      </c>
      <c r="H24" s="306">
        <v>161.81</v>
      </c>
      <c r="I24" s="238"/>
      <c r="J24" s="313">
        <v>0</v>
      </c>
      <c r="K24" s="315">
        <v>86.15</v>
      </c>
      <c r="L24" s="239"/>
      <c r="M24" s="522">
        <f xml:space="preserve"> E24+F24+G24+H24</f>
        <v>1791.51</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 t="shared" si="7"/>
        <v>#REF!</v>
      </c>
      <c r="W24" s="528" t="e">
        <f t="shared" si="12"/>
        <v>#REF!</v>
      </c>
      <c r="X24" s="528" t="e">
        <f t="shared" si="9"/>
        <v>#REF!</v>
      </c>
      <c r="Y24" s="528" t="e">
        <f t="shared" si="10"/>
        <v>#REF!</v>
      </c>
      <c r="Z24" s="529" t="e">
        <f ca="1">CheckLength2(IF($B$2="mil",1,0.0254)*1500,J24,K24,0)</f>
        <v>#NAME?</v>
      </c>
      <c r="AA24" s="394"/>
      <c r="AB24" s="394"/>
      <c r="AC24" s="394"/>
      <c r="AD24" s="394"/>
      <c r="AE24" s="394"/>
      <c r="AF24" s="394"/>
      <c r="AG24" s="394"/>
      <c r="AH24" s="394"/>
      <c r="AI24" s="394"/>
      <c r="AJ24" s="162" t="e">
        <f ca="1">IF(AND(R24="Pass",S24="Pass",T24="Pass",U24="Pass",V24="Pass",W24="Pass",X24="Pass",Y24="Pass",Z24="Pass"),"Pass","Fail")</f>
        <v>#REF!</v>
      </c>
    </row>
    <row r="25" spans="1:38" s="244" customFormat="1" ht="12">
      <c r="A25" s="460" t="s">
        <v>240</v>
      </c>
      <c r="B25" s="155"/>
      <c r="C25" s="640"/>
      <c r="D25" s="155"/>
      <c r="E25" s="274"/>
      <c r="F25" s="274"/>
      <c r="G25" s="309"/>
      <c r="H25" s="309"/>
      <c r="I25" s="155"/>
      <c r="J25" s="155"/>
      <c r="K25" s="316"/>
      <c r="L25" s="155"/>
      <c r="M25" s="280"/>
      <c r="N25" s="280"/>
      <c r="O25" s="155"/>
      <c r="P25" s="155"/>
      <c r="Q25" s="155"/>
      <c r="R25" s="280"/>
      <c r="S25" s="280"/>
      <c r="T25" s="155"/>
      <c r="U25" s="155"/>
      <c r="V25" s="179"/>
      <c r="W25" s="155"/>
      <c r="X25" s="179"/>
      <c r="Y25" s="179"/>
      <c r="Z25" s="179"/>
    </row>
    <row r="26" spans="1:38" s="162" customFormat="1">
      <c r="A26" s="185" t="s">
        <v>84</v>
      </c>
      <c r="B26" s="480" t="s">
        <v>456</v>
      </c>
      <c r="C26" s="635">
        <v>462.71653543307087</v>
      </c>
      <c r="D26" s="237"/>
      <c r="E26" s="189">
        <v>29.7</v>
      </c>
      <c r="F26" s="189">
        <v>0</v>
      </c>
      <c r="G26" s="303">
        <v>1600</v>
      </c>
      <c r="H26" s="306">
        <v>107.82</v>
      </c>
      <c r="I26" s="238"/>
      <c r="J26" s="313">
        <v>0</v>
      </c>
      <c r="K26" s="315">
        <v>47.81</v>
      </c>
      <c r="L26" s="239"/>
      <c r="M26" s="522">
        <f xml:space="preserve"> E26+F26+G26+H26</f>
        <v>1737.52</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 t="shared" si="7"/>
        <v>#REF!</v>
      </c>
      <c r="W26" s="528" t="e">
        <f t="shared" si="12"/>
        <v>#REF!</v>
      </c>
      <c r="X26" s="528" t="e">
        <f t="shared" si="9"/>
        <v>#REF!</v>
      </c>
      <c r="Y26" s="528" t="e">
        <f t="shared" si="10"/>
        <v>#REF!</v>
      </c>
      <c r="Z26" s="529" t="e">
        <f ca="1">CheckLength2(IF($B$2="mil",1,0.0254)*1500,J26,K26,0)</f>
        <v>#NAME?</v>
      </c>
      <c r="AA26" s="394"/>
      <c r="AB26" s="394"/>
      <c r="AC26" s="394"/>
      <c r="AD26" s="394"/>
      <c r="AE26" s="394"/>
      <c r="AF26" s="394"/>
      <c r="AG26" s="394"/>
      <c r="AH26" s="394"/>
      <c r="AI26" s="394"/>
      <c r="AJ26" s="162" t="e">
        <f ca="1">IF(AND(R26="Pass",S26="Pass",T26="Pass",U26="Pass",V26="Pass",W26="Pass",X26="Pass",Y26="Pass",Z26="Pass"),"Pass","Fail")</f>
        <v>#REF!</v>
      </c>
    </row>
    <row r="27" spans="1:38" s="162" customFormat="1">
      <c r="A27" s="240" t="s">
        <v>86</v>
      </c>
      <c r="B27" s="480" t="s">
        <v>325</v>
      </c>
      <c r="C27" s="635">
        <v>452.16535433070862</v>
      </c>
      <c r="D27" s="237"/>
      <c r="E27" s="189">
        <v>29.7</v>
      </c>
      <c r="F27" s="189">
        <v>0</v>
      </c>
      <c r="G27" s="303">
        <v>1600</v>
      </c>
      <c r="H27" s="306">
        <v>125.94</v>
      </c>
      <c r="I27" s="238"/>
      <c r="J27" s="313">
        <v>0</v>
      </c>
      <c r="K27" s="315">
        <v>36.69</v>
      </c>
      <c r="L27" s="239"/>
      <c r="M27" s="522">
        <f xml:space="preserve"> E27+F27+G27+H27</f>
        <v>1755.64</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 t="shared" si="7"/>
        <v>#REF!</v>
      </c>
      <c r="W27" s="528" t="e">
        <f t="shared" si="12"/>
        <v>#REF!</v>
      </c>
      <c r="X27" s="528" t="e">
        <f t="shared" si="9"/>
        <v>#REF!</v>
      </c>
      <c r="Y27" s="528" t="e">
        <f t="shared" si="10"/>
        <v>#REF!</v>
      </c>
      <c r="Z27" s="529" t="e">
        <f ca="1">CheckLength2(IF($B$2="mil",1,0.0254)*1500,J27,K27,0)</f>
        <v>#NAME?</v>
      </c>
      <c r="AA27" s="394"/>
      <c r="AB27" s="394"/>
      <c r="AC27" s="394"/>
      <c r="AD27" s="394"/>
      <c r="AE27" s="394"/>
      <c r="AF27" s="394"/>
      <c r="AG27" s="394"/>
      <c r="AH27" s="394"/>
      <c r="AI27" s="394"/>
      <c r="AJ27" s="162" t="e">
        <f ca="1">IF(AND(R27="Pass",S27="Pass",T27="Pass",U27="Pass",V27="Pass",W27="Pass",X27="Pass",Y27="Pass",Z27="Pass"),"Pass","Fail")</f>
        <v>#REF!</v>
      </c>
    </row>
    <row r="28" spans="1:38" s="162" customFormat="1" ht="15" customHeight="1">
      <c r="A28" s="240" t="s">
        <v>88</v>
      </c>
      <c r="B28" s="480" t="s">
        <v>77</v>
      </c>
      <c r="C28" s="635">
        <v>581.1811023622048</v>
      </c>
      <c r="D28" s="237"/>
      <c r="E28" s="189">
        <v>29.7</v>
      </c>
      <c r="F28" s="189">
        <v>0</v>
      </c>
      <c r="G28" s="303">
        <v>1600</v>
      </c>
      <c r="H28" s="306">
        <v>58</v>
      </c>
      <c r="I28" s="238"/>
      <c r="J28" s="313">
        <v>0</v>
      </c>
      <c r="K28" s="315">
        <v>103.63</v>
      </c>
      <c r="L28" s="239"/>
      <c r="M28" s="522">
        <f xml:space="preserve"> E28+F28+G28+H28</f>
        <v>1687.7</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 t="shared" si="7"/>
        <v>#REF!</v>
      </c>
      <c r="W28" s="528" t="e">
        <f t="shared" si="12"/>
        <v>#REF!</v>
      </c>
      <c r="X28" s="528" t="e">
        <f t="shared" si="9"/>
        <v>#REF!</v>
      </c>
      <c r="Y28" s="528" t="e">
        <f t="shared" si="10"/>
        <v>#REF!</v>
      </c>
      <c r="Z28" s="529" t="e">
        <f ca="1">CheckLength2(IF($B$2="mil",1,0.0254)*1500,J28,K28,0)</f>
        <v>#NAME?</v>
      </c>
      <c r="AA28" s="394"/>
      <c r="AB28" s="394"/>
      <c r="AC28" s="394"/>
      <c r="AD28" s="394"/>
      <c r="AE28" s="394"/>
      <c r="AF28" s="394"/>
      <c r="AG28" s="394"/>
      <c r="AH28" s="394"/>
      <c r="AI28" s="394"/>
      <c r="AJ28" s="162" t="e">
        <f ca="1">IF(AND(R28="Pass",S28="Pass",T28="Pass",U28="Pass",V28="Pass",W28="Pass",X28="Pass",Y28="Pass",Z28="Pass"),"Pass","Fail")</f>
        <v>#REF!</v>
      </c>
      <c r="AL28" s="413"/>
    </row>
    <row r="29" spans="1:38" ht="40.5" customHeight="1">
      <c r="A29" s="56"/>
      <c r="B29" s="56"/>
      <c r="C29" s="642"/>
      <c r="D29" s="56"/>
      <c r="E29" s="56"/>
      <c r="F29" s="57"/>
      <c r="G29" s="56"/>
      <c r="H29" s="56"/>
      <c r="I29" s="56"/>
      <c r="J29" s="56"/>
      <c r="K29" s="56"/>
      <c r="L29" s="56"/>
      <c r="M29" s="56"/>
      <c r="N29" s="56"/>
      <c r="O29" s="120"/>
      <c r="P29" s="120"/>
      <c r="Q29" s="120"/>
      <c r="R29" s="120"/>
      <c r="S29" s="120"/>
      <c r="T29" s="120"/>
      <c r="U29" s="121"/>
      <c r="V29" s="120"/>
      <c r="W29" s="441"/>
      <c r="X29" s="123"/>
      <c r="Y29" s="123"/>
      <c r="Z29" s="317"/>
    </row>
    <row r="30" spans="1:38" s="154" customFormat="1" ht="22.5">
      <c r="A30" s="218" t="s">
        <v>457</v>
      </c>
      <c r="B30" s="144" t="s">
        <v>420</v>
      </c>
      <c r="C30" s="643" t="s">
        <v>22</v>
      </c>
      <c r="D30" s="151"/>
      <c r="E30" s="148" t="e">
        <f>"EscapeLength L0 ["&amp;$B$2&amp;"]"</f>
        <v>#REF!</v>
      </c>
      <c r="F30" s="148" t="e">
        <f>"BreakoutLength L1["&amp; $B$2&amp;"]"</f>
        <v>#REF!</v>
      </c>
      <c r="G30" s="148" t="e">
        <f>"MainLength L2[" &amp;$B$2&amp; " ]"</f>
        <v>#REF!</v>
      </c>
      <c r="H30" s="148"/>
      <c r="I30" s="150"/>
      <c r="J30" s="150" t="e">
        <f>"Via-to-via (SODIMM-to-Rt) L3 ["&amp;$B$2&amp;"]"</f>
        <v>#REF!</v>
      </c>
      <c r="K30" s="144" t="e">
        <f>"Via-to-RtL4 ["&amp;$B$2&amp;"]"</f>
        <v>#REF!</v>
      </c>
      <c r="L30" s="150"/>
      <c r="M30" s="144" t="e">
        <f>"Trace L5 ["&amp;$B$2&amp;"]"</f>
        <v>#REF!</v>
      </c>
      <c r="N30" s="144" t="e">
        <f>"Trace L6-1 ["&amp;$B$2&amp;"]"</f>
        <v>#REF!</v>
      </c>
      <c r="O30" s="144"/>
      <c r="P30" s="144" t="e">
        <f>"Trace L7-1 ["&amp;$B$2&amp;"]"</f>
        <v>#REF!</v>
      </c>
      <c r="Q30" s="144" t="e">
        <f>"Trace L8-1 ["&amp;$B$2&amp;"]"</f>
        <v>#REF!</v>
      </c>
      <c r="R30" s="144" t="e">
        <f>"Total MB Length to U1 (L0+L1+L2+L5+L6-1+L7-1+L8-1) ["&amp;$B$2&amp;"]"</f>
        <v>#REF!</v>
      </c>
      <c r="S30" s="144" t="e">
        <f>"Total Pad to Pin U1 (P1+L0+L1+L2+L5+L6-1+L7-1+L8-1) ["&amp;$B$2&amp;"]"</f>
        <v>#REF!</v>
      </c>
      <c r="T30" s="151" t="e">
        <f>"Target Min Length to U1["&amp;$B$2&amp;"]"</f>
        <v>#REF!</v>
      </c>
      <c r="U30" s="150" t="e">
        <f>"Target Max Length  to U1 ["&amp;$B$2&amp;"]"</f>
        <v>#REF!</v>
      </c>
      <c r="V30" s="152" t="e">
        <f>"Routed Too Short  to U1 [" &amp;$B$2&amp;"]"</f>
        <v>#REF!</v>
      </c>
      <c r="W30" s="151" t="e">
        <f>"Routed Too Long  to U1 [" &amp;$B$2&amp;"]"</f>
        <v>#REF!</v>
      </c>
      <c r="X30" s="153" t="e">
        <f>"L0 Length Test (&lt;=" &amp; IF($B$2="mil",1,0.0254)*50&amp;$B$2&amp;")"</f>
        <v>#REF!</v>
      </c>
      <c r="Y30" s="153" t="e">
        <f>"L1 Length Test (&lt;=" &amp; IF($B$2="mil",1,0.0254)*500&amp;$B$2&amp;")"</f>
        <v>#REF!</v>
      </c>
      <c r="Z30" s="153" t="e">
        <f>"L3 Length Test (&lt;=" &amp; IF($B$2="mil",1,0.0254)*1000&amp;$B$2&amp;")"</f>
        <v>#REF!</v>
      </c>
      <c r="AA30" s="153" t="e">
        <f>"L4 Length Test (&lt;=" &amp; IF($B$2="mil",1,0.0254)*200&amp;$B$2&amp;") or (L3+L4&lt;= "&amp;IF($B$2="mil",1,0.0254)*1200&amp;$B$2&amp;")"</f>
        <v>#REF!</v>
      </c>
      <c r="AB30" s="153" t="e">
        <f>"L5 Length Test (&lt;=" &amp; IF($B$2="mil",1,0.0254)*2000&amp;$B$2&amp;")"</f>
        <v>#REF!</v>
      </c>
      <c r="AC30" s="153" t="e">
        <f>"L6-1 Length Test (&lt;=" &amp; IF($B$2="mil",1,0.0254)*1000&amp;$B$2&amp;")"</f>
        <v>#REF!</v>
      </c>
      <c r="AD30" s="153" t="s">
        <v>387</v>
      </c>
      <c r="AE30" s="153" t="e">
        <f>"L7-1 Length Test (&lt;=" &amp; IF($B$2="mil",1,0.0254)*1000&amp;$B$2&amp;")"</f>
        <v>#REF!</v>
      </c>
      <c r="AF30" s="153" t="e">
        <f>"Diff L7-1 &amp; L7-2 (&lt;="&amp;IF($B$2="mil",1,0.0254)*50&amp;$B$2&amp;")"</f>
        <v>#REF!</v>
      </c>
      <c r="AG30" s="153" t="e">
        <f>"L8-1 Length Test (&lt;=" &amp; IF($B$2="mil",1,0.0254)*200&amp;$B$2&amp;") or (L7-1+L8-1&lt;= "&amp;IF($B$2="mil",1,0.0254)*1200&amp;$B$2&amp;")"</f>
        <v>#REF!</v>
      </c>
      <c r="AH30" s="150" t="e">
        <f>"Total Length to U1 (L0+L1+L2+L5+L6-1+L7-1+L8-1) Test ("&amp;IF($B$2="mil",1,0.0254)*500&amp;"-"&amp;IF($B$2="mil",1,0.0254)*6500&amp;IF($B$2="mil","mil","mm")&amp;")"</f>
        <v>#REF!</v>
      </c>
      <c r="AI30" s="150" t="e">
        <f>"Total Length to U1 (P1+L0+L1+L2+L5+L6-1+L7-1+L8-1) Test (&lt;="&amp;IF($B$2="mil",1,25.4)*7000&amp;IF($B$2="mil","mil","mm")&amp;")"</f>
        <v>#REF!</v>
      </c>
      <c r="AJ30" s="162"/>
    </row>
    <row r="31" spans="1:38" s="162" customFormat="1" ht="12.75" customHeight="1">
      <c r="A31" s="155" t="s">
        <v>210</v>
      </c>
      <c r="B31" s="155"/>
      <c r="C31" s="639"/>
      <c r="D31" s="156"/>
      <c r="E31" s="156"/>
      <c r="F31" s="220"/>
      <c r="G31" s="156"/>
      <c r="H31" s="156"/>
      <c r="I31" s="156"/>
      <c r="J31" s="156"/>
      <c r="K31" s="156"/>
      <c r="L31" s="156"/>
      <c r="M31" s="156"/>
      <c r="N31" s="156"/>
      <c r="O31" s="156"/>
      <c r="P31" s="156"/>
      <c r="Q31" s="156"/>
      <c r="R31" s="221"/>
      <c r="S31" s="221"/>
      <c r="T31" s="221"/>
      <c r="U31" s="221"/>
      <c r="V31" s="221"/>
      <c r="W31" s="221"/>
      <c r="X31" s="212"/>
      <c r="Y31" s="221"/>
      <c r="Z31" s="221"/>
      <c r="AA31" s="221"/>
      <c r="AB31" s="221"/>
      <c r="AC31" s="221"/>
      <c r="AD31" s="221"/>
      <c r="AE31" s="221"/>
      <c r="AF31" s="436"/>
      <c r="AG31" s="221"/>
      <c r="AH31" s="221"/>
      <c r="AI31" s="271"/>
    </row>
    <row r="32" spans="1:38" s="162" customFormat="1" ht="11.25">
      <c r="A32" s="263" t="s">
        <v>214</v>
      </c>
      <c r="B32" s="164"/>
      <c r="C32" s="641"/>
      <c r="D32" s="165"/>
      <c r="E32" s="166"/>
      <c r="F32" s="222"/>
      <c r="G32" s="166"/>
      <c r="H32" s="166"/>
      <c r="I32" s="167"/>
      <c r="J32" s="167"/>
      <c r="K32" s="166"/>
      <c r="L32" s="167"/>
      <c r="M32" s="166"/>
      <c r="N32" s="166"/>
      <c r="O32" s="166"/>
      <c r="P32" s="166"/>
      <c r="Q32" s="166"/>
      <c r="R32" s="166"/>
      <c r="S32" s="540" t="s">
        <v>224</v>
      </c>
      <c r="T32" s="168" t="e">
        <f>MIN('DDR2 Clocks - 2L'!$R$5:$R$6)</f>
        <v>#REF!</v>
      </c>
      <c r="U32" s="541" t="e">
        <f>MAX('DDR2 Clocks - 2L'!$R$5:$R$6)</f>
        <v>#REF!</v>
      </c>
      <c r="V32" s="542"/>
      <c r="W32" s="168"/>
      <c r="X32" s="543"/>
      <c r="Y32" s="543"/>
      <c r="Z32" s="538"/>
      <c r="AA32" s="538"/>
      <c r="AB32" s="538"/>
      <c r="AC32" s="538"/>
      <c r="AD32" s="538"/>
      <c r="AE32" s="538"/>
      <c r="AF32" s="538"/>
      <c r="AG32" s="538"/>
      <c r="AH32" s="538"/>
      <c r="AI32" s="539"/>
    </row>
    <row r="33" spans="1:37" s="162" customFormat="1" ht="11.25">
      <c r="A33" s="205" t="s">
        <v>229</v>
      </c>
      <c r="B33" s="155"/>
      <c r="C33" s="639"/>
      <c r="D33" s="179"/>
      <c r="E33" s="180"/>
      <c r="F33" s="224"/>
      <c r="G33" s="180"/>
      <c r="H33" s="180"/>
      <c r="I33" s="180"/>
      <c r="J33" s="181"/>
      <c r="K33" s="181"/>
      <c r="L33" s="180"/>
      <c r="M33" s="181"/>
      <c r="N33" s="181"/>
      <c r="O33" s="181"/>
      <c r="P33" s="181"/>
      <c r="Q33" s="181"/>
      <c r="R33" s="181"/>
      <c r="S33" s="179"/>
      <c r="T33" s="179"/>
      <c r="U33" s="531"/>
      <c r="V33" s="531"/>
      <c r="W33" s="179"/>
      <c r="X33" s="430"/>
      <c r="Y33" s="179"/>
      <c r="Z33" s="179"/>
      <c r="AA33" s="179"/>
      <c r="AB33" s="179"/>
      <c r="AC33" s="179"/>
      <c r="AD33" s="179"/>
      <c r="AE33" s="179"/>
      <c r="AF33" s="544"/>
      <c r="AG33" s="179"/>
      <c r="AH33" s="179"/>
      <c r="AI33" s="533"/>
    </row>
    <row r="34" spans="1:37" s="162" customFormat="1">
      <c r="A34" s="185" t="s">
        <v>196</v>
      </c>
      <c r="B34" s="480" t="s">
        <v>81</v>
      </c>
      <c r="C34" s="635">
        <v>378.93700787401576</v>
      </c>
      <c r="D34" s="188"/>
      <c r="E34" s="225">
        <v>29.7</v>
      </c>
      <c r="F34" s="325">
        <v>0</v>
      </c>
      <c r="G34" s="303">
        <v>2264.34</v>
      </c>
      <c r="H34" s="335"/>
      <c r="I34" s="335"/>
      <c r="J34" s="334">
        <v>0</v>
      </c>
      <c r="K34" s="303">
        <v>42.88</v>
      </c>
      <c r="L34" s="336"/>
      <c r="M34" s="337">
        <v>700</v>
      </c>
      <c r="N34" s="407">
        <v>400</v>
      </c>
      <c r="O34" s="407"/>
      <c r="P34" s="303">
        <v>565.69000000000005</v>
      </c>
      <c r="Q34" s="303">
        <v>100.03</v>
      </c>
      <c r="R34" s="545">
        <f>SUM($E34:$G34,$M34,$P34,$N34,$Q34)</f>
        <v>4059.76</v>
      </c>
      <c r="S34" s="524" t="e">
        <f>$R34+IF($B$2="mil",1,0.0254)*$C34</f>
        <v>#REF!</v>
      </c>
      <c r="T34" s="524" t="e">
        <f>$U$32 + IF($B$2="mil",1,0.0254)*DDR2Specs!$E$9</f>
        <v>#REF!</v>
      </c>
      <c r="U34" s="524" t="e">
        <f>$T$32 + IF($B$2="mil",1,0.0254)*DDR2Specs!$F$9</f>
        <v>#REF!</v>
      </c>
      <c r="V34" s="546" t="e">
        <f>IF($S34&lt;$T34,$T34-$S34,"Pass")</f>
        <v>#REF!</v>
      </c>
      <c r="W34" s="547" t="e">
        <f>IF($S34&gt;$U34,$S34-$U34,"Pass")</f>
        <v>#REF!</v>
      </c>
      <c r="X34" s="527" t="e">
        <f>IF($E34&lt;=IF($B$2="mil",1,0.0254)*50,"Pass",IF($B$2="mil",1,0.0254)*50-$E34)</f>
        <v>#REF!</v>
      </c>
      <c r="Y34" s="528" t="e">
        <f>IF($F34&lt;=IF($B$2="mil",1,0.0254)*500,"Pass",IF($B$2="mil",1,0.0254)*500-$F34)</f>
        <v>#REF!</v>
      </c>
      <c r="Z34" s="528" t="e">
        <f>IF($J34&lt;=IF($B$2="mil",1,0.0254)*1000,"Pass",IF($B$2="mil",1,0.0254)*1000-$J34)</f>
        <v>#REF!</v>
      </c>
      <c r="AA34" s="528" t="e">
        <f ca="1">CheckLength2(IF($B$2="mil",1,0.0254)*1200,J34,K34,0)</f>
        <v>#NAME?</v>
      </c>
      <c r="AB34" s="528" t="e">
        <f>IF(M34&lt;=IF($B$2="mil",1,0.0254)*2000,"Pass",IF($B$2="mil",1,0.0254)*2000-M34)</f>
        <v>#REF!</v>
      </c>
      <c r="AC34" s="528" t="e">
        <f>IF(N34&lt;=IF($B$2="mil",1,0.0254)*1000,"Pass",IF($B$2="mil",1,0.0254)*1000-N34)</f>
        <v>#REF!</v>
      </c>
      <c r="AD34" s="528" t="e">
        <f>IF(MAX(N34,P86)-MIN(N34,P86)&lt;=IF($B$2="mil",1,0.0254)*50,"Pass",MAX(N34,P86)-MIN(N34,P86)-IF($B$2="mil",1,0.0254)*50)</f>
        <v>#REF!</v>
      </c>
      <c r="AE34" s="528" t="e">
        <f>IF($P34&lt;=IF($B$2="mil",1,0.0254)*1000,"Pass",IF($B$2="mil",1,0.0254)*1000-$P34)</f>
        <v>#REF!</v>
      </c>
      <c r="AF34" s="528" t="e">
        <f>IF(MAX(P34,P112)-MIN(P34,P112)&lt;=IF($B$2="mil",1,0.0254)*50,"Pass",MAX(P34,P112)-MIN(P34,P112)-IF($B$2="mil",1,0.0254)*50)</f>
        <v>#REF!</v>
      </c>
      <c r="AG34" s="528" t="e">
        <f ca="1">CheckLength2(IF($B$2="mil",1,0.0254)*1200,P34,Q34,0)</f>
        <v>#NAME?</v>
      </c>
      <c r="AH34" s="528" t="e">
        <f>IF(AND($R34&gt;=IF($B$2="mil",1,0.0254)*500, $R34&lt;=IF($B$2="mil",1,0.0254)*6500),"Pass",IF($B$2="mil",1,0.0254)*6500-$R34)</f>
        <v>#REF!</v>
      </c>
      <c r="AI34" s="529" t="e">
        <f>IF(AND($S34&gt;=IF($B$2="mil",1,0.0254)*500, $S34&lt;=IF($B$2="mil",1,0.0254)*7000),"Pass",IF($B$2="mil",1,0.0254)*7000-$S34)</f>
        <v>#REF!</v>
      </c>
      <c r="AJ34" s="162" t="e">
        <f ca="1">IF(AND(V34="Pass",W34="Pass",X34="Pass",Y34="Pass",Z34="Pass",AA34="Pass",AB34="Pass",AC34="Pass",AD34="Pass",AE34="Pass",AF34="Pass",AG34="Pass",AH34="Pass",AI34="Pass"),"Pass","Fail")</f>
        <v>#REF!</v>
      </c>
      <c r="AK34" s="162" t="e">
        <f ca="1">IF(AND(AJ46="Pass",AJ47="Pass",AJ49="Pass",AJ50="Pass",AJ51="Pass",AJ53="Pass",AJ54="Pass",AJ55="Pass"),"Pass","Fail")</f>
        <v>#REF!</v>
      </c>
    </row>
    <row r="35" spans="1:37" s="162" customFormat="1">
      <c r="A35" s="240" t="s">
        <v>39</v>
      </c>
      <c r="B35" s="480" t="s">
        <v>441</v>
      </c>
      <c r="C35" s="635">
        <v>526.1811023622048</v>
      </c>
      <c r="D35" s="188"/>
      <c r="E35" s="225">
        <v>29.7</v>
      </c>
      <c r="F35" s="325">
        <v>0</v>
      </c>
      <c r="G35" s="303">
        <v>2001.91</v>
      </c>
      <c r="H35" s="335"/>
      <c r="I35" s="335"/>
      <c r="J35" s="334">
        <v>0</v>
      </c>
      <c r="K35" s="303">
        <v>32.5</v>
      </c>
      <c r="L35" s="336"/>
      <c r="M35" s="337">
        <v>700</v>
      </c>
      <c r="N35" s="407">
        <v>500</v>
      </c>
      <c r="O35" s="407"/>
      <c r="P35" s="303">
        <v>587.88</v>
      </c>
      <c r="Q35" s="303">
        <v>85.04</v>
      </c>
      <c r="R35" s="545">
        <f t="shared" ref="R35:R55" si="13">SUM($E35:$G35,$M35,$P35,$N35,$Q35)</f>
        <v>3904.53</v>
      </c>
      <c r="S35" s="524" t="e">
        <f t="shared" ref="S35:S55" si="14">$R35+IF($B$2="mil",1,0.0254)*$C35</f>
        <v>#REF!</v>
      </c>
      <c r="T35" s="524" t="e">
        <f>$U$32 + IF($B$2="mil",1,0.0254)*DDR2Specs!$E$9</f>
        <v>#REF!</v>
      </c>
      <c r="U35" s="524" t="e">
        <f>$T$32 + IF($B$2="mil",1,0.0254)*DDR2Specs!$F$9</f>
        <v>#REF!</v>
      </c>
      <c r="V35" s="546" t="e">
        <f t="shared" ref="V35:V55" si="15">IF($S35&lt;$T35,$T35-$S35,"Pass")</f>
        <v>#REF!</v>
      </c>
      <c r="W35" s="547" t="e">
        <f t="shared" ref="W35:W55" si="16">IF($S35&gt;$U35,$S35-$U35,"Pass")</f>
        <v>#REF!</v>
      </c>
      <c r="X35" s="527" t="e">
        <f t="shared" ref="X35:X47" si="17">IF($E35&lt;=IF($B$2="mil",1,0.0254)*50,"Pass",IF($B$2="mil",1,0.0254)*50-$E35)</f>
        <v>#REF!</v>
      </c>
      <c r="Y35" s="528" t="e">
        <f t="shared" ref="Y35:Y55" si="18">IF($F35&lt;=IF($B$2="mil",1,0.0254)*500,"Pass",IF($B$2="mil",1,0.0254)*500-$F35)</f>
        <v>#REF!</v>
      </c>
      <c r="Z35" s="528" t="e">
        <f>IF($J35&lt;=IF($B$2="mil",1,0.0254)*1000,"Pass",IF($B$2="mil",1,0.0254)*1000-$J35)</f>
        <v>#REF!</v>
      </c>
      <c r="AA35" s="528" t="e">
        <f t="shared" ref="AA35:AA47" ca="1" si="19">CheckLength2(IF($B$2="mil",1,0.0254)*1200,J35,K35,0)</f>
        <v>#NAME?</v>
      </c>
      <c r="AB35" s="528" t="e">
        <f t="shared" ref="AB35:AB47" si="20">IF(M35&lt;=IF($B$2="mil",1,0.0254)*2000,"Pass",IF($B$2="mil",1,0.0254)*2000-M35)</f>
        <v>#REF!</v>
      </c>
      <c r="AC35" s="528" t="e">
        <f t="shared" ref="AC35:AC47" si="21">IF(N35&lt;=IF($B$2="mil",1,0.0254)*1000,"Pass",IF($B$2="mil",1,0.0254)*1000-N35)</f>
        <v>#REF!</v>
      </c>
      <c r="AD35" s="528" t="e">
        <f t="shared" ref="AD35:AD47" si="22">IF(MAX(N35,P87)-MIN(N35,P87)&lt;=IF($B$2="mil",1,0.0254)*50,"Pass",MAX(N35,P87)-MIN(N35,P87)-IF($B$2="mil",1,0.0254)*50)</f>
        <v>#REF!</v>
      </c>
      <c r="AE35" s="528" t="e">
        <f t="shared" ref="AE35:AE47" si="23">IF($P35&lt;=IF($B$2="mil",1,0.0254)*1000,"Pass",IF($B$2="mil",1,0.0254)*1000-$P35)</f>
        <v>#REF!</v>
      </c>
      <c r="AF35" s="528" t="e">
        <f t="shared" ref="AF35:AF47" si="24">IF(MAX(P35,P113)-MIN(P35,P113)&lt;=IF($B$2="mil",1,0.0254)*50,"Pass",MAX(P35,P113)-MIN(P35,P113)-IF($B$2="mil",1,0.0254)*50)</f>
        <v>#REF!</v>
      </c>
      <c r="AG35" s="528" t="e">
        <f t="shared" ref="AG35:AG47" ca="1" si="25">CheckLength2(IF($B$2="mil",1,0.0254)*1200,P35,Q35,0)</f>
        <v>#NAME?</v>
      </c>
      <c r="AH35" s="528" t="e">
        <f t="shared" ref="AH35:AH47" si="26">IF(AND($R35&gt;=IF($B$2="mil",1,0.0254)*500, $R35&lt;=IF($B$2="mil",1,0.0254)*6500),"Pass",IF($B$2="mil",1,0.0254)*6500-$R35)</f>
        <v>#REF!</v>
      </c>
      <c r="AI35" s="529" t="e">
        <f t="shared" ref="AI35:AI47" si="27">IF(AND($S35&gt;=IF($B$2="mil",1,0.0254)*500, $S35&lt;=IF($B$2="mil",1,0.0254)*7000),"Pass",IF($B$2="mil",1,0.0254)*7000-$S35)</f>
        <v>#REF!</v>
      </c>
      <c r="AJ35" s="162" t="e">
        <f t="shared" ref="AJ35:AJ55" ca="1" si="28">IF(AND(V35="Pass",W35="Pass",X35="Pass",Y35="Pass",Z35="Pass",AA35="Pass",AB35="Pass",AC35="Pass",AD35="Pass",AE35="Pass",AF35="Pass",AG35="Pass",AH35="Pass",AI35="Pass"),"Pass","Fail")</f>
        <v>#REF!</v>
      </c>
      <c r="AK35" s="162" t="e">
        <f ca="1">IF(AND(AJ35="Pass",AJ36="Pass",AJ37="Pass",AJ38="Pass",AJ39="Pass",AJ40="Pass",AJ41="Pass",AJ42="Pass",AJ43="Pass",AJ44="Pass",AJ45="Pass",AJ34="Pass"),"Pass","Fail")</f>
        <v>#REF!</v>
      </c>
    </row>
    <row r="36" spans="1:37" s="162" customFormat="1">
      <c r="A36" s="240" t="s">
        <v>40</v>
      </c>
      <c r="B36" s="480" t="s">
        <v>442</v>
      </c>
      <c r="C36" s="635">
        <v>448.14960629921256</v>
      </c>
      <c r="D36" s="188"/>
      <c r="E36" s="225">
        <v>29.7</v>
      </c>
      <c r="F36" s="325">
        <v>0</v>
      </c>
      <c r="G36" s="303">
        <v>1907.19</v>
      </c>
      <c r="H36" s="335"/>
      <c r="I36" s="335"/>
      <c r="J36" s="334">
        <v>0</v>
      </c>
      <c r="K36" s="303">
        <v>41.64</v>
      </c>
      <c r="L36" s="336"/>
      <c r="M36" s="337">
        <v>700</v>
      </c>
      <c r="N36" s="407">
        <v>500</v>
      </c>
      <c r="O36" s="407"/>
      <c r="P36" s="303">
        <v>565.69000000000005</v>
      </c>
      <c r="Q36" s="303">
        <v>99.56</v>
      </c>
      <c r="R36" s="545">
        <f t="shared" si="13"/>
        <v>3802.1400000000003</v>
      </c>
      <c r="S36" s="524" t="e">
        <f t="shared" si="14"/>
        <v>#REF!</v>
      </c>
      <c r="T36" s="524" t="e">
        <f>$U$32 + IF($B$2="mil",1,0.0254)*DDR2Specs!$E$9</f>
        <v>#REF!</v>
      </c>
      <c r="U36" s="524" t="e">
        <f>$T$32 + IF($B$2="mil",1,0.0254)*DDR2Specs!$F$9</f>
        <v>#REF!</v>
      </c>
      <c r="V36" s="546" t="e">
        <f t="shared" si="15"/>
        <v>#REF!</v>
      </c>
      <c r="W36" s="547" t="e">
        <f t="shared" si="16"/>
        <v>#REF!</v>
      </c>
      <c r="X36" s="527" t="e">
        <f t="shared" si="17"/>
        <v>#REF!</v>
      </c>
      <c r="Y36" s="528" t="e">
        <f t="shared" si="18"/>
        <v>#REF!</v>
      </c>
      <c r="Z36" s="528" t="e">
        <f t="shared" ref="Z36:Z55" si="29">IF($J36&lt;=IF($B$2="mil",1,0.0254)*1000,"Pass",IF($B$2="mil",1,0.0254)*1000-$J36)</f>
        <v>#REF!</v>
      </c>
      <c r="AA36" s="528" t="e">
        <f t="shared" ca="1" si="19"/>
        <v>#NAME?</v>
      </c>
      <c r="AB36" s="528" t="e">
        <f t="shared" si="20"/>
        <v>#REF!</v>
      </c>
      <c r="AC36" s="528" t="e">
        <f t="shared" si="21"/>
        <v>#REF!</v>
      </c>
      <c r="AD36" s="528" t="e">
        <f t="shared" si="22"/>
        <v>#REF!</v>
      </c>
      <c r="AE36" s="528" t="e">
        <f t="shared" si="23"/>
        <v>#REF!</v>
      </c>
      <c r="AF36" s="528" t="e">
        <f t="shared" si="24"/>
        <v>#REF!</v>
      </c>
      <c r="AG36" s="528" t="e">
        <f t="shared" ca="1" si="25"/>
        <v>#NAME?</v>
      </c>
      <c r="AH36" s="528" t="e">
        <f t="shared" si="26"/>
        <v>#REF!</v>
      </c>
      <c r="AI36" s="529" t="e">
        <f t="shared" si="27"/>
        <v>#REF!</v>
      </c>
      <c r="AJ36" s="162" t="e">
        <f t="shared" ca="1" si="28"/>
        <v>#REF!</v>
      </c>
    </row>
    <row r="37" spans="1:37" s="162" customFormat="1">
      <c r="A37" s="240" t="s">
        <v>41</v>
      </c>
      <c r="B37" s="480" t="s">
        <v>443</v>
      </c>
      <c r="C37" s="635">
        <v>435.90551181102359</v>
      </c>
      <c r="D37" s="188"/>
      <c r="E37" s="225">
        <v>29.7</v>
      </c>
      <c r="F37" s="325">
        <v>0</v>
      </c>
      <c r="G37" s="303">
        <v>2159.11</v>
      </c>
      <c r="H37" s="335"/>
      <c r="I37" s="335"/>
      <c r="J37" s="334">
        <v>0</v>
      </c>
      <c r="K37" s="303">
        <v>41.03</v>
      </c>
      <c r="L37" s="336"/>
      <c r="M37" s="337">
        <v>700</v>
      </c>
      <c r="N37" s="407">
        <v>300</v>
      </c>
      <c r="O37" s="407"/>
      <c r="P37" s="303">
        <v>579.26</v>
      </c>
      <c r="Q37" s="303">
        <v>145.9</v>
      </c>
      <c r="R37" s="545">
        <f t="shared" si="13"/>
        <v>3913.97</v>
      </c>
      <c r="S37" s="524" t="e">
        <f t="shared" si="14"/>
        <v>#REF!</v>
      </c>
      <c r="T37" s="524" t="e">
        <f>$U$32 + IF($B$2="mil",1,0.0254)*DDR2Specs!$E$9</f>
        <v>#REF!</v>
      </c>
      <c r="U37" s="524" t="e">
        <f>$T$32 + IF($B$2="mil",1,0.0254)*DDR2Specs!$F$9</f>
        <v>#REF!</v>
      </c>
      <c r="V37" s="546" t="e">
        <f t="shared" si="15"/>
        <v>#REF!</v>
      </c>
      <c r="W37" s="547" t="e">
        <f t="shared" si="16"/>
        <v>#REF!</v>
      </c>
      <c r="X37" s="527" t="e">
        <f t="shared" si="17"/>
        <v>#REF!</v>
      </c>
      <c r="Y37" s="528" t="e">
        <f t="shared" si="18"/>
        <v>#REF!</v>
      </c>
      <c r="Z37" s="528" t="e">
        <f t="shared" si="29"/>
        <v>#REF!</v>
      </c>
      <c r="AA37" s="528" t="e">
        <f t="shared" ca="1" si="19"/>
        <v>#NAME?</v>
      </c>
      <c r="AB37" s="528" t="e">
        <f t="shared" si="20"/>
        <v>#REF!</v>
      </c>
      <c r="AC37" s="528" t="e">
        <f t="shared" si="21"/>
        <v>#REF!</v>
      </c>
      <c r="AD37" s="528" t="e">
        <f t="shared" si="22"/>
        <v>#REF!</v>
      </c>
      <c r="AE37" s="528" t="e">
        <f t="shared" si="23"/>
        <v>#REF!</v>
      </c>
      <c r="AF37" s="528" t="e">
        <f t="shared" si="24"/>
        <v>#REF!</v>
      </c>
      <c r="AG37" s="528" t="e">
        <f t="shared" ca="1" si="25"/>
        <v>#NAME?</v>
      </c>
      <c r="AH37" s="528" t="e">
        <f t="shared" si="26"/>
        <v>#REF!</v>
      </c>
      <c r="AI37" s="529" t="e">
        <f t="shared" si="27"/>
        <v>#REF!</v>
      </c>
      <c r="AJ37" s="162" t="e">
        <f t="shared" ca="1" si="28"/>
        <v>#REF!</v>
      </c>
    </row>
    <row r="38" spans="1:37" s="162" customFormat="1">
      <c r="A38" s="240" t="s">
        <v>42</v>
      </c>
      <c r="B38" s="480" t="s">
        <v>444</v>
      </c>
      <c r="C38" s="635">
        <v>381.06299212598429</v>
      </c>
      <c r="D38" s="188"/>
      <c r="E38" s="225">
        <v>29.7</v>
      </c>
      <c r="F38" s="325">
        <v>0</v>
      </c>
      <c r="G38" s="303">
        <v>1739.31</v>
      </c>
      <c r="H38" s="335"/>
      <c r="I38" s="335"/>
      <c r="J38" s="334">
        <v>0</v>
      </c>
      <c r="K38" s="303">
        <v>36.74</v>
      </c>
      <c r="L38" s="336"/>
      <c r="M38" s="337">
        <v>700</v>
      </c>
      <c r="N38" s="407">
        <v>600</v>
      </c>
      <c r="O38" s="407"/>
      <c r="P38" s="303">
        <v>624.74</v>
      </c>
      <c r="Q38" s="303">
        <v>103.51</v>
      </c>
      <c r="R38" s="545">
        <f t="shared" si="13"/>
        <v>3797.26</v>
      </c>
      <c r="S38" s="524" t="e">
        <f t="shared" si="14"/>
        <v>#REF!</v>
      </c>
      <c r="T38" s="524" t="e">
        <f>$U$32 + IF($B$2="mil",1,0.0254)*DDR2Specs!$E$9</f>
        <v>#REF!</v>
      </c>
      <c r="U38" s="524" t="e">
        <f>$T$32 + IF($B$2="mil",1,0.0254)*DDR2Specs!$F$9</f>
        <v>#REF!</v>
      </c>
      <c r="V38" s="546" t="e">
        <f t="shared" si="15"/>
        <v>#REF!</v>
      </c>
      <c r="W38" s="547" t="e">
        <f t="shared" si="16"/>
        <v>#REF!</v>
      </c>
      <c r="X38" s="527" t="e">
        <f t="shared" si="17"/>
        <v>#REF!</v>
      </c>
      <c r="Y38" s="528" t="e">
        <f t="shared" si="18"/>
        <v>#REF!</v>
      </c>
      <c r="Z38" s="528" t="e">
        <f t="shared" si="29"/>
        <v>#REF!</v>
      </c>
      <c r="AA38" s="528" t="e">
        <f t="shared" ca="1" si="19"/>
        <v>#NAME?</v>
      </c>
      <c r="AB38" s="528" t="e">
        <f t="shared" si="20"/>
        <v>#REF!</v>
      </c>
      <c r="AC38" s="528" t="e">
        <f t="shared" si="21"/>
        <v>#REF!</v>
      </c>
      <c r="AD38" s="528" t="e">
        <f t="shared" si="22"/>
        <v>#REF!</v>
      </c>
      <c r="AE38" s="528" t="e">
        <f t="shared" si="23"/>
        <v>#REF!</v>
      </c>
      <c r="AF38" s="528" t="e">
        <f t="shared" si="24"/>
        <v>#REF!</v>
      </c>
      <c r="AG38" s="528" t="e">
        <f t="shared" ca="1" si="25"/>
        <v>#NAME?</v>
      </c>
      <c r="AH38" s="528" t="e">
        <f t="shared" si="26"/>
        <v>#REF!</v>
      </c>
      <c r="AI38" s="529" t="e">
        <f t="shared" si="27"/>
        <v>#REF!</v>
      </c>
      <c r="AJ38" s="162" t="e">
        <f t="shared" ca="1" si="28"/>
        <v>#REF!</v>
      </c>
    </row>
    <row r="39" spans="1:37" s="162" customFormat="1">
      <c r="A39" s="240" t="s">
        <v>43</v>
      </c>
      <c r="B39" s="481" t="s">
        <v>445</v>
      </c>
      <c r="C39" s="635">
        <v>420.03937007874021</v>
      </c>
      <c r="D39" s="188"/>
      <c r="E39" s="225">
        <v>29.7</v>
      </c>
      <c r="F39" s="325">
        <v>0</v>
      </c>
      <c r="G39" s="303">
        <v>2311.37</v>
      </c>
      <c r="H39" s="335"/>
      <c r="I39" s="335"/>
      <c r="J39" s="334">
        <v>0</v>
      </c>
      <c r="K39" s="303">
        <v>38.71</v>
      </c>
      <c r="L39" s="336"/>
      <c r="M39" s="337">
        <v>700</v>
      </c>
      <c r="N39" s="407">
        <v>200</v>
      </c>
      <c r="O39" s="407"/>
      <c r="P39" s="303">
        <v>610.85</v>
      </c>
      <c r="Q39" s="303">
        <v>75.709999999999994</v>
      </c>
      <c r="R39" s="545">
        <f t="shared" si="13"/>
        <v>3927.6299999999997</v>
      </c>
      <c r="S39" s="524" t="e">
        <f t="shared" si="14"/>
        <v>#REF!</v>
      </c>
      <c r="T39" s="524" t="e">
        <f>$U$32 + IF($B$2="mil",1,0.0254)*DDR2Specs!$E$9</f>
        <v>#REF!</v>
      </c>
      <c r="U39" s="524" t="e">
        <f>$T$32 + IF($B$2="mil",1,0.0254)*DDR2Specs!$F$9</f>
        <v>#REF!</v>
      </c>
      <c r="V39" s="546" t="e">
        <f t="shared" si="15"/>
        <v>#REF!</v>
      </c>
      <c r="W39" s="547" t="e">
        <f t="shared" si="16"/>
        <v>#REF!</v>
      </c>
      <c r="X39" s="527" t="e">
        <f t="shared" si="17"/>
        <v>#REF!</v>
      </c>
      <c r="Y39" s="528" t="e">
        <f t="shared" si="18"/>
        <v>#REF!</v>
      </c>
      <c r="Z39" s="528" t="e">
        <f t="shared" si="29"/>
        <v>#REF!</v>
      </c>
      <c r="AA39" s="528" t="e">
        <f t="shared" ca="1" si="19"/>
        <v>#NAME?</v>
      </c>
      <c r="AB39" s="528" t="e">
        <f t="shared" si="20"/>
        <v>#REF!</v>
      </c>
      <c r="AC39" s="528" t="e">
        <f t="shared" si="21"/>
        <v>#REF!</v>
      </c>
      <c r="AD39" s="528" t="e">
        <f t="shared" si="22"/>
        <v>#REF!</v>
      </c>
      <c r="AE39" s="528" t="e">
        <f t="shared" si="23"/>
        <v>#REF!</v>
      </c>
      <c r="AF39" s="528" t="e">
        <f t="shared" si="24"/>
        <v>#REF!</v>
      </c>
      <c r="AG39" s="528" t="e">
        <f t="shared" ca="1" si="25"/>
        <v>#NAME?</v>
      </c>
      <c r="AH39" s="528" t="e">
        <f t="shared" si="26"/>
        <v>#REF!</v>
      </c>
      <c r="AI39" s="529" t="e">
        <f t="shared" si="27"/>
        <v>#REF!</v>
      </c>
      <c r="AJ39" s="162" t="e">
        <f t="shared" ca="1" si="28"/>
        <v>#REF!</v>
      </c>
    </row>
    <row r="40" spans="1:37" s="162" customFormat="1">
      <c r="A40" s="240" t="s">
        <v>44</v>
      </c>
      <c r="B40" s="480" t="s">
        <v>446</v>
      </c>
      <c r="C40" s="635">
        <v>468.89763779527561</v>
      </c>
      <c r="D40" s="188"/>
      <c r="E40" s="225">
        <v>29.7</v>
      </c>
      <c r="F40" s="325">
        <v>0</v>
      </c>
      <c r="G40" s="303">
        <v>2336.23</v>
      </c>
      <c r="H40" s="335"/>
      <c r="I40" s="335"/>
      <c r="J40" s="334">
        <v>0</v>
      </c>
      <c r="K40" s="303">
        <v>37.5</v>
      </c>
      <c r="L40" s="336"/>
      <c r="M40" s="337">
        <v>700</v>
      </c>
      <c r="N40" s="407">
        <v>200</v>
      </c>
      <c r="O40" s="407"/>
      <c r="P40" s="303">
        <v>604.02</v>
      </c>
      <c r="Q40" s="303">
        <v>101.05</v>
      </c>
      <c r="R40" s="545">
        <f t="shared" si="13"/>
        <v>3971</v>
      </c>
      <c r="S40" s="524" t="e">
        <f t="shared" si="14"/>
        <v>#REF!</v>
      </c>
      <c r="T40" s="524" t="e">
        <f>$U$32 + IF($B$2="mil",1,0.0254)*DDR2Specs!$E$9</f>
        <v>#REF!</v>
      </c>
      <c r="U40" s="524" t="e">
        <f>$T$32 + IF($B$2="mil",1,0.0254)*DDR2Specs!$F$9</f>
        <v>#REF!</v>
      </c>
      <c r="V40" s="546" t="e">
        <f t="shared" si="15"/>
        <v>#REF!</v>
      </c>
      <c r="W40" s="547" t="e">
        <f t="shared" si="16"/>
        <v>#REF!</v>
      </c>
      <c r="X40" s="527" t="e">
        <f t="shared" si="17"/>
        <v>#REF!</v>
      </c>
      <c r="Y40" s="528" t="e">
        <f t="shared" si="18"/>
        <v>#REF!</v>
      </c>
      <c r="Z40" s="528" t="e">
        <f t="shared" si="29"/>
        <v>#REF!</v>
      </c>
      <c r="AA40" s="528" t="e">
        <f t="shared" ca="1" si="19"/>
        <v>#NAME?</v>
      </c>
      <c r="AB40" s="528" t="e">
        <f t="shared" si="20"/>
        <v>#REF!</v>
      </c>
      <c r="AC40" s="528" t="e">
        <f t="shared" si="21"/>
        <v>#REF!</v>
      </c>
      <c r="AD40" s="528" t="e">
        <f t="shared" si="22"/>
        <v>#REF!</v>
      </c>
      <c r="AE40" s="528" t="e">
        <f t="shared" si="23"/>
        <v>#REF!</v>
      </c>
      <c r="AF40" s="528" t="e">
        <f t="shared" si="24"/>
        <v>#REF!</v>
      </c>
      <c r="AG40" s="528" t="e">
        <f t="shared" ca="1" si="25"/>
        <v>#NAME?</v>
      </c>
      <c r="AH40" s="528" t="e">
        <f t="shared" si="26"/>
        <v>#REF!</v>
      </c>
      <c r="AI40" s="529" t="e">
        <f t="shared" si="27"/>
        <v>#REF!</v>
      </c>
      <c r="AJ40" s="162" t="e">
        <f t="shared" ca="1" si="28"/>
        <v>#REF!</v>
      </c>
    </row>
    <row r="41" spans="1:37" s="162" customFormat="1">
      <c r="A41" s="240" t="s">
        <v>46</v>
      </c>
      <c r="B41" s="480" t="s">
        <v>447</v>
      </c>
      <c r="C41" s="635">
        <v>508.74015748031502</v>
      </c>
      <c r="D41" s="188"/>
      <c r="E41" s="225">
        <v>29.7</v>
      </c>
      <c r="F41" s="325">
        <v>0</v>
      </c>
      <c r="G41" s="303">
        <v>2228.25</v>
      </c>
      <c r="H41" s="335"/>
      <c r="I41" s="335"/>
      <c r="J41" s="334">
        <v>0</v>
      </c>
      <c r="K41" s="303">
        <v>37.5</v>
      </c>
      <c r="L41" s="336"/>
      <c r="M41" s="337">
        <v>700</v>
      </c>
      <c r="N41" s="407">
        <v>200</v>
      </c>
      <c r="O41" s="407"/>
      <c r="P41" s="303">
        <v>596.35</v>
      </c>
      <c r="Q41" s="303">
        <v>144.30000000000001</v>
      </c>
      <c r="R41" s="545">
        <f t="shared" si="13"/>
        <v>3898.6</v>
      </c>
      <c r="S41" s="524" t="e">
        <f t="shared" si="14"/>
        <v>#REF!</v>
      </c>
      <c r="T41" s="524" t="e">
        <f>$U$32 + IF($B$2="mil",1,0.0254)*DDR2Specs!$E$9</f>
        <v>#REF!</v>
      </c>
      <c r="U41" s="524" t="e">
        <f>$T$32 + IF($B$2="mil",1,0.0254)*DDR2Specs!$F$9</f>
        <v>#REF!</v>
      </c>
      <c r="V41" s="546" t="e">
        <f t="shared" si="15"/>
        <v>#REF!</v>
      </c>
      <c r="W41" s="547" t="e">
        <f t="shared" si="16"/>
        <v>#REF!</v>
      </c>
      <c r="X41" s="527" t="e">
        <f t="shared" si="17"/>
        <v>#REF!</v>
      </c>
      <c r="Y41" s="528" t="e">
        <f t="shared" si="18"/>
        <v>#REF!</v>
      </c>
      <c r="Z41" s="528" t="e">
        <f t="shared" si="29"/>
        <v>#REF!</v>
      </c>
      <c r="AA41" s="528" t="e">
        <f t="shared" ca="1" si="19"/>
        <v>#NAME?</v>
      </c>
      <c r="AB41" s="528" t="e">
        <f t="shared" si="20"/>
        <v>#REF!</v>
      </c>
      <c r="AC41" s="528" t="e">
        <f t="shared" si="21"/>
        <v>#REF!</v>
      </c>
      <c r="AD41" s="528" t="e">
        <f t="shared" si="22"/>
        <v>#REF!</v>
      </c>
      <c r="AE41" s="528" t="e">
        <f t="shared" si="23"/>
        <v>#REF!</v>
      </c>
      <c r="AF41" s="528" t="e">
        <f t="shared" si="24"/>
        <v>#REF!</v>
      </c>
      <c r="AG41" s="528" t="e">
        <f t="shared" ca="1" si="25"/>
        <v>#NAME?</v>
      </c>
      <c r="AH41" s="528" t="e">
        <f t="shared" si="26"/>
        <v>#REF!</v>
      </c>
      <c r="AI41" s="529" t="e">
        <f t="shared" si="27"/>
        <v>#REF!</v>
      </c>
      <c r="AJ41" s="162" t="e">
        <f t="shared" ca="1" si="28"/>
        <v>#REF!</v>
      </c>
    </row>
    <row r="42" spans="1:37" s="162" customFormat="1">
      <c r="A42" s="240" t="s">
        <v>47</v>
      </c>
      <c r="B42" s="481" t="s">
        <v>448</v>
      </c>
      <c r="C42" s="635">
        <v>529.40944881889766</v>
      </c>
      <c r="D42" s="188"/>
      <c r="E42" s="225">
        <v>29.7</v>
      </c>
      <c r="F42" s="325">
        <v>0</v>
      </c>
      <c r="G42" s="303">
        <v>1730.91</v>
      </c>
      <c r="H42" s="335"/>
      <c r="I42" s="335"/>
      <c r="J42" s="334">
        <v>0</v>
      </c>
      <c r="K42" s="303">
        <v>34.909999999999997</v>
      </c>
      <c r="L42" s="336"/>
      <c r="M42" s="337">
        <v>700</v>
      </c>
      <c r="N42" s="407">
        <v>750</v>
      </c>
      <c r="O42" s="407"/>
      <c r="P42" s="303">
        <v>615.67999999999995</v>
      </c>
      <c r="Q42" s="303">
        <v>75.209999999999994</v>
      </c>
      <c r="R42" s="545">
        <f t="shared" si="13"/>
        <v>3901.5</v>
      </c>
      <c r="S42" s="524" t="e">
        <f t="shared" si="14"/>
        <v>#REF!</v>
      </c>
      <c r="T42" s="524" t="e">
        <f>$U$32 + IF($B$2="mil",1,0.0254)*DDR2Specs!$E$9</f>
        <v>#REF!</v>
      </c>
      <c r="U42" s="524" t="e">
        <f>$T$32 + IF($B$2="mil",1,0.0254)*DDR2Specs!$F$9</f>
        <v>#REF!</v>
      </c>
      <c r="V42" s="546" t="e">
        <f t="shared" si="15"/>
        <v>#REF!</v>
      </c>
      <c r="W42" s="547" t="e">
        <f t="shared" si="16"/>
        <v>#REF!</v>
      </c>
      <c r="X42" s="527" t="e">
        <f t="shared" si="17"/>
        <v>#REF!</v>
      </c>
      <c r="Y42" s="528" t="e">
        <f t="shared" si="18"/>
        <v>#REF!</v>
      </c>
      <c r="Z42" s="528" t="e">
        <f t="shared" si="29"/>
        <v>#REF!</v>
      </c>
      <c r="AA42" s="528" t="e">
        <f t="shared" ca="1" si="19"/>
        <v>#NAME?</v>
      </c>
      <c r="AB42" s="528" t="e">
        <f t="shared" si="20"/>
        <v>#REF!</v>
      </c>
      <c r="AC42" s="528" t="e">
        <f t="shared" si="21"/>
        <v>#REF!</v>
      </c>
      <c r="AD42" s="528" t="e">
        <f t="shared" si="22"/>
        <v>#REF!</v>
      </c>
      <c r="AE42" s="528" t="e">
        <f t="shared" si="23"/>
        <v>#REF!</v>
      </c>
      <c r="AF42" s="528" t="e">
        <f t="shared" si="24"/>
        <v>#REF!</v>
      </c>
      <c r="AG42" s="528" t="e">
        <f t="shared" ca="1" si="25"/>
        <v>#NAME?</v>
      </c>
      <c r="AH42" s="528" t="e">
        <f t="shared" si="26"/>
        <v>#REF!</v>
      </c>
      <c r="AI42" s="529" t="e">
        <f t="shared" si="27"/>
        <v>#REF!</v>
      </c>
      <c r="AJ42" s="162" t="e">
        <f t="shared" ca="1" si="28"/>
        <v>#REF!</v>
      </c>
    </row>
    <row r="43" spans="1:37" s="162" customFormat="1">
      <c r="A43" s="240" t="s">
        <v>48</v>
      </c>
      <c r="B43" s="480" t="s">
        <v>449</v>
      </c>
      <c r="C43" s="635">
        <v>442.40157480314963</v>
      </c>
      <c r="D43" s="188"/>
      <c r="E43" s="225">
        <v>29.7</v>
      </c>
      <c r="F43" s="325">
        <v>0</v>
      </c>
      <c r="G43" s="303">
        <v>2382.96</v>
      </c>
      <c r="H43" s="335"/>
      <c r="I43" s="335"/>
      <c r="J43" s="334">
        <v>0</v>
      </c>
      <c r="K43" s="303">
        <v>42.2</v>
      </c>
      <c r="L43" s="336"/>
      <c r="M43" s="337">
        <v>700</v>
      </c>
      <c r="N43" s="407">
        <v>350</v>
      </c>
      <c r="O43" s="407"/>
      <c r="P43" s="303">
        <v>533.94000000000005</v>
      </c>
      <c r="Q43" s="303">
        <v>117.25</v>
      </c>
      <c r="R43" s="545">
        <f t="shared" si="13"/>
        <v>4113.8500000000004</v>
      </c>
      <c r="S43" s="524" t="e">
        <f t="shared" si="14"/>
        <v>#REF!</v>
      </c>
      <c r="T43" s="524" t="e">
        <f>$U$32 + IF($B$2="mil",1,0.0254)*DDR2Specs!$E$9</f>
        <v>#REF!</v>
      </c>
      <c r="U43" s="524" t="e">
        <f>$T$32 + IF($B$2="mil",1,0.0254)*DDR2Specs!$F$9</f>
        <v>#REF!</v>
      </c>
      <c r="V43" s="546" t="e">
        <f t="shared" si="15"/>
        <v>#REF!</v>
      </c>
      <c r="W43" s="547" t="e">
        <f t="shared" si="16"/>
        <v>#REF!</v>
      </c>
      <c r="X43" s="527" t="e">
        <f t="shared" si="17"/>
        <v>#REF!</v>
      </c>
      <c r="Y43" s="528" t="e">
        <f t="shared" si="18"/>
        <v>#REF!</v>
      </c>
      <c r="Z43" s="528" t="e">
        <f t="shared" si="29"/>
        <v>#REF!</v>
      </c>
      <c r="AA43" s="528" t="e">
        <f t="shared" ca="1" si="19"/>
        <v>#NAME?</v>
      </c>
      <c r="AB43" s="528" t="e">
        <f t="shared" si="20"/>
        <v>#REF!</v>
      </c>
      <c r="AC43" s="528" t="e">
        <f t="shared" si="21"/>
        <v>#REF!</v>
      </c>
      <c r="AD43" s="528" t="e">
        <f t="shared" si="22"/>
        <v>#REF!</v>
      </c>
      <c r="AE43" s="528" t="e">
        <f t="shared" si="23"/>
        <v>#REF!</v>
      </c>
      <c r="AF43" s="528" t="e">
        <f t="shared" si="24"/>
        <v>#REF!</v>
      </c>
      <c r="AG43" s="528" t="e">
        <f t="shared" ca="1" si="25"/>
        <v>#NAME?</v>
      </c>
      <c r="AH43" s="528" t="e">
        <f t="shared" si="26"/>
        <v>#REF!</v>
      </c>
      <c r="AI43" s="529" t="e">
        <f t="shared" si="27"/>
        <v>#REF!</v>
      </c>
      <c r="AJ43" s="162" t="e">
        <f t="shared" ca="1" si="28"/>
        <v>#REF!</v>
      </c>
    </row>
    <row r="44" spans="1:37" s="162" customFormat="1">
      <c r="A44" s="240" t="s">
        <v>50</v>
      </c>
      <c r="B44" s="480" t="s">
        <v>450</v>
      </c>
      <c r="C44" s="635">
        <v>397.71653543307087</v>
      </c>
      <c r="D44" s="188"/>
      <c r="E44" s="225">
        <v>29.7</v>
      </c>
      <c r="F44" s="325">
        <v>0</v>
      </c>
      <c r="G44" s="303">
        <v>2329.09</v>
      </c>
      <c r="H44" s="335"/>
      <c r="I44" s="335"/>
      <c r="J44" s="334">
        <v>0</v>
      </c>
      <c r="K44" s="303">
        <v>37.5</v>
      </c>
      <c r="L44" s="336"/>
      <c r="M44" s="337">
        <v>700</v>
      </c>
      <c r="N44" s="407">
        <v>250</v>
      </c>
      <c r="O44" s="407"/>
      <c r="P44" s="303">
        <v>559.79</v>
      </c>
      <c r="Q44" s="303">
        <v>37.24</v>
      </c>
      <c r="R44" s="545">
        <f t="shared" si="13"/>
        <v>3905.8199999999997</v>
      </c>
      <c r="S44" s="524" t="e">
        <f t="shared" si="14"/>
        <v>#REF!</v>
      </c>
      <c r="T44" s="524" t="e">
        <f>$U$32 + IF($B$2="mil",1,0.0254)*DDR2Specs!$E$9</f>
        <v>#REF!</v>
      </c>
      <c r="U44" s="524" t="e">
        <f>$T$32 + IF($B$2="mil",1,0.0254)*DDR2Specs!$F$9</f>
        <v>#REF!</v>
      </c>
      <c r="V44" s="546" t="e">
        <f t="shared" si="15"/>
        <v>#REF!</v>
      </c>
      <c r="W44" s="547" t="e">
        <f t="shared" si="16"/>
        <v>#REF!</v>
      </c>
      <c r="X44" s="527" t="e">
        <f t="shared" si="17"/>
        <v>#REF!</v>
      </c>
      <c r="Y44" s="528" t="e">
        <f t="shared" si="18"/>
        <v>#REF!</v>
      </c>
      <c r="Z44" s="528" t="e">
        <f t="shared" si="29"/>
        <v>#REF!</v>
      </c>
      <c r="AA44" s="528" t="e">
        <f t="shared" ca="1" si="19"/>
        <v>#NAME?</v>
      </c>
      <c r="AB44" s="528" t="e">
        <f t="shared" si="20"/>
        <v>#REF!</v>
      </c>
      <c r="AC44" s="528" t="e">
        <f t="shared" si="21"/>
        <v>#REF!</v>
      </c>
      <c r="AD44" s="528" t="e">
        <f t="shared" si="22"/>
        <v>#REF!</v>
      </c>
      <c r="AE44" s="528" t="e">
        <f t="shared" si="23"/>
        <v>#REF!</v>
      </c>
      <c r="AF44" s="528" t="e">
        <f t="shared" si="24"/>
        <v>#REF!</v>
      </c>
      <c r="AG44" s="528" t="e">
        <f t="shared" ca="1" si="25"/>
        <v>#NAME?</v>
      </c>
      <c r="AH44" s="528" t="e">
        <f t="shared" si="26"/>
        <v>#REF!</v>
      </c>
      <c r="AI44" s="529" t="e">
        <f t="shared" si="27"/>
        <v>#REF!</v>
      </c>
      <c r="AJ44" s="162" t="e">
        <f t="shared" ca="1" si="28"/>
        <v>#REF!</v>
      </c>
    </row>
    <row r="45" spans="1:37" s="162" customFormat="1">
      <c r="A45" s="240" t="s">
        <v>51</v>
      </c>
      <c r="B45" s="480" t="s">
        <v>451</v>
      </c>
      <c r="C45" s="635">
        <v>543.54330708661416</v>
      </c>
      <c r="D45" s="188"/>
      <c r="E45" s="225">
        <v>29.7</v>
      </c>
      <c r="F45" s="325">
        <v>0</v>
      </c>
      <c r="G45" s="303">
        <v>2356.5300000000002</v>
      </c>
      <c r="H45" s="335"/>
      <c r="I45" s="335"/>
      <c r="J45" s="334">
        <v>0</v>
      </c>
      <c r="K45" s="303">
        <v>31.91</v>
      </c>
      <c r="L45" s="336"/>
      <c r="M45" s="337">
        <v>700</v>
      </c>
      <c r="N45" s="407">
        <v>250</v>
      </c>
      <c r="O45" s="407"/>
      <c r="P45" s="303">
        <v>632.15</v>
      </c>
      <c r="Q45" s="303">
        <v>72.760000000000005</v>
      </c>
      <c r="R45" s="545">
        <f t="shared" si="13"/>
        <v>4041.1400000000003</v>
      </c>
      <c r="S45" s="524" t="e">
        <f t="shared" si="14"/>
        <v>#REF!</v>
      </c>
      <c r="T45" s="524" t="e">
        <f>$U$32 + IF($B$2="mil",1,0.0254)*DDR2Specs!$E$9</f>
        <v>#REF!</v>
      </c>
      <c r="U45" s="524" t="e">
        <f>$T$32 + IF($B$2="mil",1,0.0254)*DDR2Specs!$F$9</f>
        <v>#REF!</v>
      </c>
      <c r="V45" s="546" t="e">
        <f t="shared" si="15"/>
        <v>#REF!</v>
      </c>
      <c r="W45" s="547" t="e">
        <f t="shared" si="16"/>
        <v>#REF!</v>
      </c>
      <c r="X45" s="527" t="e">
        <f t="shared" si="17"/>
        <v>#REF!</v>
      </c>
      <c r="Y45" s="528" t="e">
        <f t="shared" si="18"/>
        <v>#REF!</v>
      </c>
      <c r="Z45" s="528" t="e">
        <f t="shared" si="29"/>
        <v>#REF!</v>
      </c>
      <c r="AA45" s="528" t="e">
        <f t="shared" ca="1" si="19"/>
        <v>#NAME?</v>
      </c>
      <c r="AB45" s="528" t="e">
        <f t="shared" si="20"/>
        <v>#REF!</v>
      </c>
      <c r="AC45" s="528" t="e">
        <f t="shared" si="21"/>
        <v>#REF!</v>
      </c>
      <c r="AD45" s="528" t="e">
        <f t="shared" si="22"/>
        <v>#REF!</v>
      </c>
      <c r="AE45" s="528" t="e">
        <f t="shared" si="23"/>
        <v>#REF!</v>
      </c>
      <c r="AF45" s="528" t="e">
        <f t="shared" si="24"/>
        <v>#REF!</v>
      </c>
      <c r="AG45" s="528" t="e">
        <f t="shared" ca="1" si="25"/>
        <v>#NAME?</v>
      </c>
      <c r="AH45" s="528" t="e">
        <f t="shared" si="26"/>
        <v>#REF!</v>
      </c>
      <c r="AI45" s="529" t="e">
        <f t="shared" si="27"/>
        <v>#REF!</v>
      </c>
      <c r="AJ45" s="162" t="e">
        <f t="shared" ca="1" si="28"/>
        <v>#REF!</v>
      </c>
    </row>
    <row r="46" spans="1:37" s="162" customFormat="1">
      <c r="A46" s="240" t="s">
        <v>52</v>
      </c>
      <c r="B46" s="480" t="s">
        <v>452</v>
      </c>
      <c r="C46" s="635">
        <v>492.79527559055117</v>
      </c>
      <c r="D46" s="188"/>
      <c r="E46" s="225">
        <v>29.7</v>
      </c>
      <c r="F46" s="325">
        <v>0</v>
      </c>
      <c r="G46" s="303">
        <v>2564.5700000000002</v>
      </c>
      <c r="H46" s="335"/>
      <c r="I46" s="335"/>
      <c r="J46" s="334">
        <v>0</v>
      </c>
      <c r="K46" s="303">
        <v>37.74</v>
      </c>
      <c r="L46" s="336"/>
      <c r="M46" s="337">
        <v>700</v>
      </c>
      <c r="N46" s="407">
        <v>140</v>
      </c>
      <c r="O46" s="407"/>
      <c r="P46" s="303">
        <v>566.39</v>
      </c>
      <c r="Q46" s="303">
        <v>77.489999999999995</v>
      </c>
      <c r="R46" s="545">
        <f t="shared" si="13"/>
        <v>4078.1499999999996</v>
      </c>
      <c r="S46" s="524" t="e">
        <f t="shared" si="14"/>
        <v>#REF!</v>
      </c>
      <c r="T46" s="524" t="e">
        <f>$U$32 + IF($B$2="mil",1,0.0254)*DDR2Specs!$E$9</f>
        <v>#REF!</v>
      </c>
      <c r="U46" s="524" t="e">
        <f>$T$32 + IF($B$2="mil",1,0.0254)*DDR2Specs!$F$9</f>
        <v>#REF!</v>
      </c>
      <c r="V46" s="546" t="e">
        <f t="shared" si="15"/>
        <v>#REF!</v>
      </c>
      <c r="W46" s="547" t="e">
        <f t="shared" si="16"/>
        <v>#REF!</v>
      </c>
      <c r="X46" s="527" t="e">
        <f t="shared" si="17"/>
        <v>#REF!</v>
      </c>
      <c r="Y46" s="528" t="e">
        <f t="shared" si="18"/>
        <v>#REF!</v>
      </c>
      <c r="Z46" s="528" t="e">
        <f t="shared" si="29"/>
        <v>#REF!</v>
      </c>
      <c r="AA46" s="528" t="e">
        <f t="shared" ca="1" si="19"/>
        <v>#NAME?</v>
      </c>
      <c r="AB46" s="528" t="e">
        <f t="shared" si="20"/>
        <v>#REF!</v>
      </c>
      <c r="AC46" s="528" t="e">
        <f t="shared" si="21"/>
        <v>#REF!</v>
      </c>
      <c r="AD46" s="528" t="e">
        <f t="shared" si="22"/>
        <v>#REF!</v>
      </c>
      <c r="AE46" s="528" t="e">
        <f t="shared" si="23"/>
        <v>#REF!</v>
      </c>
      <c r="AF46" s="528" t="e">
        <f t="shared" si="24"/>
        <v>#REF!</v>
      </c>
      <c r="AG46" s="528" t="e">
        <f t="shared" ca="1" si="25"/>
        <v>#NAME?</v>
      </c>
      <c r="AH46" s="528" t="e">
        <f t="shared" si="26"/>
        <v>#REF!</v>
      </c>
      <c r="AI46" s="529" t="e">
        <f t="shared" si="27"/>
        <v>#REF!</v>
      </c>
      <c r="AJ46" s="162" t="e">
        <f t="shared" ca="1" si="28"/>
        <v>#REF!</v>
      </c>
    </row>
    <row r="47" spans="1:37" s="162" customFormat="1">
      <c r="A47" s="240" t="s">
        <v>53</v>
      </c>
      <c r="B47" s="480" t="s">
        <v>332</v>
      </c>
      <c r="C47" s="635">
        <v>514.48818897637796</v>
      </c>
      <c r="D47" s="188"/>
      <c r="E47" s="225">
        <v>29.7</v>
      </c>
      <c r="F47" s="325">
        <v>0</v>
      </c>
      <c r="G47" s="303">
        <v>2464.5700000000002</v>
      </c>
      <c r="H47" s="335"/>
      <c r="I47" s="335"/>
      <c r="J47" s="334">
        <v>0</v>
      </c>
      <c r="K47" s="303">
        <v>37.74</v>
      </c>
      <c r="L47" s="336"/>
      <c r="M47" s="337">
        <v>700</v>
      </c>
      <c r="N47" s="407">
        <v>120</v>
      </c>
      <c r="O47" s="407"/>
      <c r="P47" s="303">
        <v>566.39</v>
      </c>
      <c r="Q47" s="303">
        <v>77.489999999999995</v>
      </c>
      <c r="R47" s="545">
        <f t="shared" si="13"/>
        <v>3958.1499999999996</v>
      </c>
      <c r="S47" s="524" t="e">
        <f t="shared" si="14"/>
        <v>#REF!</v>
      </c>
      <c r="T47" s="524" t="e">
        <f>$U$32 + IF($B$2="mil",1,0.0254)*DDR2Specs!$E$9</f>
        <v>#REF!</v>
      </c>
      <c r="U47" s="524" t="e">
        <f>$T$32 + IF($B$2="mil",1,0.0254)*DDR2Specs!$F$9</f>
        <v>#REF!</v>
      </c>
      <c r="V47" s="546" t="e">
        <f t="shared" si="15"/>
        <v>#REF!</v>
      </c>
      <c r="W47" s="547" t="e">
        <f t="shared" si="16"/>
        <v>#REF!</v>
      </c>
      <c r="X47" s="527" t="e">
        <f t="shared" si="17"/>
        <v>#REF!</v>
      </c>
      <c r="Y47" s="528" t="e">
        <f t="shared" si="18"/>
        <v>#REF!</v>
      </c>
      <c r="Z47" s="528" t="e">
        <f t="shared" si="29"/>
        <v>#REF!</v>
      </c>
      <c r="AA47" s="528" t="e">
        <f t="shared" ca="1" si="19"/>
        <v>#NAME?</v>
      </c>
      <c r="AB47" s="528" t="e">
        <f t="shared" si="20"/>
        <v>#REF!</v>
      </c>
      <c r="AC47" s="528" t="e">
        <f t="shared" si="21"/>
        <v>#REF!</v>
      </c>
      <c r="AD47" s="528" t="e">
        <f t="shared" si="22"/>
        <v>#REF!</v>
      </c>
      <c r="AE47" s="528" t="e">
        <f t="shared" si="23"/>
        <v>#REF!</v>
      </c>
      <c r="AF47" s="528" t="e">
        <f t="shared" si="24"/>
        <v>#REF!</v>
      </c>
      <c r="AG47" s="528" t="e">
        <f t="shared" ca="1" si="25"/>
        <v>#NAME?</v>
      </c>
      <c r="AH47" s="528" t="e">
        <f t="shared" si="26"/>
        <v>#REF!</v>
      </c>
      <c r="AI47" s="529" t="e">
        <f t="shared" si="27"/>
        <v>#REF!</v>
      </c>
      <c r="AJ47" s="162" t="e">
        <f t="shared" ca="1" si="28"/>
        <v>#REF!</v>
      </c>
    </row>
    <row r="48" spans="1:37" s="213" customFormat="1" ht="11.25">
      <c r="A48" s="205" t="s">
        <v>230</v>
      </c>
      <c r="B48" s="205"/>
      <c r="C48" s="639"/>
      <c r="D48" s="179"/>
      <c r="E48" s="155"/>
      <c r="F48" s="206"/>
      <c r="G48" s="338"/>
      <c r="H48" s="339"/>
      <c r="I48" s="339"/>
      <c r="J48" s="338"/>
      <c r="K48" s="338"/>
      <c r="L48" s="338"/>
      <c r="M48" s="338"/>
      <c r="N48" s="338"/>
      <c r="O48" s="338"/>
      <c r="P48" s="338"/>
      <c r="Q48" s="338"/>
      <c r="R48" s="207"/>
      <c r="S48" s="207"/>
      <c r="T48" s="207"/>
      <c r="U48" s="207"/>
      <c r="V48" s="430"/>
      <c r="W48" s="430"/>
      <c r="X48" s="430"/>
      <c r="Y48" s="548"/>
      <c r="Z48" s="548"/>
      <c r="AA48" s="179"/>
      <c r="AB48" s="179"/>
      <c r="AC48" s="179"/>
      <c r="AD48" s="179"/>
      <c r="AE48" s="179"/>
      <c r="AF48" s="544"/>
      <c r="AG48" s="179"/>
      <c r="AH48" s="179"/>
      <c r="AI48" s="549"/>
      <c r="AJ48" s="162"/>
    </row>
    <row r="49" spans="1:51" s="162" customFormat="1">
      <c r="A49" s="185" t="s">
        <v>54</v>
      </c>
      <c r="B49" s="480" t="s">
        <v>453</v>
      </c>
      <c r="C49" s="635">
        <v>428.58267716535431</v>
      </c>
      <c r="D49" s="188"/>
      <c r="E49" s="225">
        <v>29.7</v>
      </c>
      <c r="F49" s="225">
        <v>0</v>
      </c>
      <c r="G49" s="303">
        <v>2650.64</v>
      </c>
      <c r="H49" s="335"/>
      <c r="I49" s="335"/>
      <c r="J49" s="341"/>
      <c r="K49" s="337">
        <v>40</v>
      </c>
      <c r="L49" s="336"/>
      <c r="M49" s="337">
        <v>600</v>
      </c>
      <c r="N49" s="408">
        <v>40.28</v>
      </c>
      <c r="O49" s="408"/>
      <c r="P49" s="303">
        <v>570.59</v>
      </c>
      <c r="Q49" s="337">
        <v>72.239999999999995</v>
      </c>
      <c r="R49" s="545">
        <f t="shared" si="13"/>
        <v>3963.45</v>
      </c>
      <c r="S49" s="524" t="e">
        <f t="shared" si="14"/>
        <v>#REF!</v>
      </c>
      <c r="T49" s="524" t="e">
        <f>$U$32 + IF($B$2="mil",1,0.0254)*DDR2Specs!$E$9</f>
        <v>#REF!</v>
      </c>
      <c r="U49" s="524" t="e">
        <f>$T$32 + IF($B$2="mil",1,0.0254)*DDR2Specs!$F$9</f>
        <v>#REF!</v>
      </c>
      <c r="V49" s="546" t="e">
        <f t="shared" si="15"/>
        <v>#REF!</v>
      </c>
      <c r="W49" s="547" t="e">
        <f t="shared" si="16"/>
        <v>#REF!</v>
      </c>
      <c r="X49" s="527" t="e">
        <f>IF($E49&lt;=IF($B$2="mil",1,0.0254)*50,"Pass",IF($B$2="mil",1,0.0254)*50-$E49)</f>
        <v>#REF!</v>
      </c>
      <c r="Y49" s="528" t="e">
        <f t="shared" si="18"/>
        <v>#REF!</v>
      </c>
      <c r="Z49" s="528" t="e">
        <f t="shared" si="29"/>
        <v>#REF!</v>
      </c>
      <c r="AA49" s="528" t="e">
        <f ca="1">CheckLength2(IF($B$2="mil",1,0.0254)*1200,J49,K49,0)</f>
        <v>#NAME?</v>
      </c>
      <c r="AB49" s="528" t="e">
        <f>IF(M49&lt;=IF($B$2="mil",1,0.0254)*2000,"Pass",IF($B$2="mil",1,0.0254)*2000-M49)</f>
        <v>#REF!</v>
      </c>
      <c r="AC49" s="528" t="e">
        <f>IF(N49&lt;=IF($B$2="mil",1,0.0254)*1000,"Pass",IF($B$2="mil",1,0.0254)*1000-N49)</f>
        <v>#REF!</v>
      </c>
      <c r="AD49" s="528" t="e">
        <f>IF(MAX(N49,P101)-MIN(N49,P101)&lt;=IF($B$2="mil",1,0.0254)*50,"Pass",MAX(N49,P101)-MIN(N49,P101)-IF($B$2="mil",1,0.0254)*50)</f>
        <v>#REF!</v>
      </c>
      <c r="AE49" s="528" t="e">
        <f>IF($P49&lt;=IF($B$2="mil",1,0.0254)*1000,"Pass",IF($B$2="mil",1,0.0254)*1000-$P49)</f>
        <v>#REF!</v>
      </c>
      <c r="AF49" s="528" t="e">
        <f>IF(MAX(P49,P127)-MIN(P49,P127)&lt;=IF($B$2="mil",1,0.0254)*50,"Pass",MAX(P49,P127)-MIN(P49,P127)-IF($B$2="mil",1,0.0254)*50)</f>
        <v>#REF!</v>
      </c>
      <c r="AG49" s="528" t="e">
        <f ca="1">CheckLength2(IF($B$2="mil",1,0.0254)*1200,P49,Q49,0)</f>
        <v>#NAME?</v>
      </c>
      <c r="AH49" s="528" t="e">
        <f>IF(AND($R49&gt;=IF($B$2="mil",1,0.0254)*500, $R49&lt;=IF($B$2="mil",1,0.0254)*6500),"Pass",IF($B$2="mil",1,0.0254)*6500-$R49)</f>
        <v>#REF!</v>
      </c>
      <c r="AI49" s="529" t="e">
        <f>IF(AND($S49&gt;=IF($B$2="mil",1,0.0254)*500, $S49&lt;=IF($B$2="mil",1,0.0254)*7000),"Pass",IF($B$2="mil",1,0.0254)*7000-$S49)</f>
        <v>#REF!</v>
      </c>
      <c r="AJ49" s="162" t="e">
        <f t="shared" ca="1" si="28"/>
        <v>#REF!</v>
      </c>
    </row>
    <row r="50" spans="1:51" s="162" customFormat="1">
      <c r="A50" s="241" t="s">
        <v>55</v>
      </c>
      <c r="B50" s="480" t="s">
        <v>366</v>
      </c>
      <c r="C50" s="635">
        <v>331.69291338582678</v>
      </c>
      <c r="D50" s="264"/>
      <c r="E50" s="225">
        <v>29.7</v>
      </c>
      <c r="F50" s="326">
        <v>0</v>
      </c>
      <c r="G50" s="303">
        <v>2422.4699999999998</v>
      </c>
      <c r="H50" s="335"/>
      <c r="I50" s="335"/>
      <c r="J50" s="341">
        <v>0</v>
      </c>
      <c r="K50" s="337">
        <v>37.5</v>
      </c>
      <c r="L50" s="336"/>
      <c r="M50" s="337">
        <v>600</v>
      </c>
      <c r="N50" s="408">
        <v>313.86</v>
      </c>
      <c r="O50" s="408"/>
      <c r="P50" s="303">
        <v>585.74</v>
      </c>
      <c r="Q50" s="337">
        <v>51.87</v>
      </c>
      <c r="R50" s="545">
        <f t="shared" si="13"/>
        <v>4003.64</v>
      </c>
      <c r="S50" s="524" t="e">
        <f t="shared" si="14"/>
        <v>#REF!</v>
      </c>
      <c r="T50" s="524" t="e">
        <f>$U$32 + IF($B$2="mil",1,0.0254)*DDR2Specs!$E$9</f>
        <v>#REF!</v>
      </c>
      <c r="U50" s="524" t="e">
        <f>$T$32 + IF($B$2="mil",1,0.0254)*DDR2Specs!$F$9</f>
        <v>#REF!</v>
      </c>
      <c r="V50" s="546" t="e">
        <f t="shared" si="15"/>
        <v>#REF!</v>
      </c>
      <c r="W50" s="547" t="e">
        <f t="shared" si="16"/>
        <v>#REF!</v>
      </c>
      <c r="X50" s="527" t="e">
        <f>IF($E50&lt;=IF($B$2="mil",1,0.0254)*50,"Pass",IF($B$2="mil",1,0.0254)*50-$E50)</f>
        <v>#REF!</v>
      </c>
      <c r="Y50" s="528" t="e">
        <f t="shared" si="18"/>
        <v>#REF!</v>
      </c>
      <c r="Z50" s="528" t="e">
        <f t="shared" si="29"/>
        <v>#REF!</v>
      </c>
      <c r="AA50" s="528" t="e">
        <f ca="1">CheckLength2(IF($B$2="mil",1,0.0254)*1200,J50,K50,0)</f>
        <v>#NAME?</v>
      </c>
      <c r="AB50" s="528" t="e">
        <f>IF(M50&lt;=IF($B$2="mil",1,0.0254)*2000,"Pass",IF($B$2="mil",1,0.0254)*2000-M50)</f>
        <v>#REF!</v>
      </c>
      <c r="AC50" s="528" t="e">
        <f>IF(N50&lt;=IF($B$2="mil",1,0.0254)*1000,"Pass",IF($B$2="mil",1,0.0254)*1000-N50)</f>
        <v>#REF!</v>
      </c>
      <c r="AD50" s="528" t="e">
        <f>IF(MAX(N50,P102)-MIN(N50,P102)&lt;=IF($B$2="mil",1,0.0254)*50,"Pass",MAX(N50,P102)-MIN(N50,P102)-IF($B$2="mil",1,0.0254)*50)</f>
        <v>#REF!</v>
      </c>
      <c r="AE50" s="528" t="e">
        <f>IF($P50&lt;=IF($B$2="mil",1,0.0254)*1000,"Pass",IF($B$2="mil",1,0.0254)*1000-$P50)</f>
        <v>#REF!</v>
      </c>
      <c r="AF50" s="528" t="e">
        <f>IF(MAX(P50,P128)-MIN(P50,P128)&lt;=IF($B$2="mil",1,0.0254)*50,"Pass",MAX(P50,P128)-MIN(P50,P128)-IF($B$2="mil",1,0.0254)*50)</f>
        <v>#REF!</v>
      </c>
      <c r="AG50" s="528" t="e">
        <f ca="1">CheckLength2(IF($B$2="mil",1,0.0254)*1200,P50,Q50,0)</f>
        <v>#NAME?</v>
      </c>
      <c r="AH50" s="528" t="e">
        <f>IF(AND($R50&gt;=IF($B$2="mil",1,0.0254)*500, $R50&lt;=IF($B$2="mil",1,0.0254)*6500),"Pass",IF($B$2="mil",1,0.0254)*6500-$R50)</f>
        <v>#REF!</v>
      </c>
      <c r="AI50" s="529" t="e">
        <f>IF(AND($S50&gt;=IF($B$2="mil",1,0.0254)*500, $S50&lt;=IF($B$2="mil",1,0.0254)*7000),"Pass",IF($B$2="mil",1,0.0254)*7000-$S50)</f>
        <v>#REF!</v>
      </c>
      <c r="AJ50" s="162" t="e">
        <f t="shared" ca="1" si="28"/>
        <v>#REF!</v>
      </c>
    </row>
    <row r="51" spans="1:51" s="162" customFormat="1">
      <c r="A51" s="241" t="s">
        <v>56</v>
      </c>
      <c r="B51" s="480" t="s">
        <v>454</v>
      </c>
      <c r="C51" s="635">
        <v>384.5275590551181</v>
      </c>
      <c r="D51" s="216"/>
      <c r="E51" s="225">
        <v>29.7</v>
      </c>
      <c r="F51" s="326">
        <v>0</v>
      </c>
      <c r="G51" s="303">
        <v>2101.89</v>
      </c>
      <c r="H51" s="335"/>
      <c r="I51" s="335"/>
      <c r="J51" s="341">
        <v>0</v>
      </c>
      <c r="K51" s="337">
        <v>40</v>
      </c>
      <c r="L51" s="336"/>
      <c r="M51" s="337">
        <v>600</v>
      </c>
      <c r="N51" s="408">
        <v>477.88</v>
      </c>
      <c r="O51" s="408"/>
      <c r="P51" s="303">
        <v>541.1</v>
      </c>
      <c r="Q51" s="337">
        <v>74.75</v>
      </c>
      <c r="R51" s="545">
        <f t="shared" si="13"/>
        <v>3825.3199999999997</v>
      </c>
      <c r="S51" s="524" t="e">
        <f t="shared" si="14"/>
        <v>#REF!</v>
      </c>
      <c r="T51" s="524" t="e">
        <f>$U$32 + IF($B$2="mil",1,0.0254)*DDR2Specs!$E$9</f>
        <v>#REF!</v>
      </c>
      <c r="U51" s="524" t="e">
        <f>$T$32 + IF($B$2="mil",1,0.0254)*DDR2Specs!$F$9</f>
        <v>#REF!</v>
      </c>
      <c r="V51" s="546" t="e">
        <f t="shared" si="15"/>
        <v>#REF!</v>
      </c>
      <c r="W51" s="547" t="e">
        <f t="shared" si="16"/>
        <v>#REF!</v>
      </c>
      <c r="X51" s="527" t="e">
        <f>IF($E51&lt;=IF($B$2="mil",1,0.0254)*50,"Pass",IF($B$2="mil",1,0.0254)*50-$E51)</f>
        <v>#REF!</v>
      </c>
      <c r="Y51" s="528" t="e">
        <f t="shared" si="18"/>
        <v>#REF!</v>
      </c>
      <c r="Z51" s="528" t="e">
        <f t="shared" si="29"/>
        <v>#REF!</v>
      </c>
      <c r="AA51" s="528" t="e">
        <f ca="1">CheckLength2(IF($B$2="mil",1,0.0254)*1200,J51,K51,0)</f>
        <v>#NAME?</v>
      </c>
      <c r="AB51" s="528" t="e">
        <f>IF(M51&lt;=IF($B$2="mil",1,0.0254)*2000,"Pass",IF($B$2="mil",1,0.0254)*2000-M51)</f>
        <v>#REF!</v>
      </c>
      <c r="AC51" s="528" t="e">
        <f>IF(N51&lt;=IF($B$2="mil",1,0.0254)*1000,"Pass",IF($B$2="mil",1,0.0254)*1000-N51)</f>
        <v>#REF!</v>
      </c>
      <c r="AD51" s="528" t="e">
        <f>IF(MAX(N51,P103)-MIN(N51,P103)&lt;=IF($B$2="mil",1,0.0254)*50,"Pass",MAX(N51,P103)-MIN(N51,P103)-IF($B$2="mil",1,0.0254)*50)</f>
        <v>#REF!</v>
      </c>
      <c r="AE51" s="528" t="e">
        <f>IF($P51&lt;=IF($B$2="mil",1,0.0254)*1000,"Pass",IF($B$2="mil",1,0.0254)*1000-$P51)</f>
        <v>#REF!</v>
      </c>
      <c r="AF51" s="528" t="e">
        <f>IF(MAX(P51,P129)-MIN(P51,P129)&lt;=IF($B$2="mil",1,0.0254)*50,"Pass",MAX(P51,P129)-MIN(P51,P129)-IF($B$2="mil",1,0.0254)*50)</f>
        <v>#REF!</v>
      </c>
      <c r="AG51" s="528" t="e">
        <f ca="1">CheckLength2(IF($B$2="mil",1,0.0254)*1200,P51,Q51,0)</f>
        <v>#NAME?</v>
      </c>
      <c r="AH51" s="528" t="e">
        <f>IF(AND($R51&gt;=IF($B$2="mil",1,0.0254)*500, $R51&lt;=IF($B$2="mil",1,0.0254)*6500),"Pass",IF($B$2="mil",1,0.0254)*6500-$R51)</f>
        <v>#REF!</v>
      </c>
      <c r="AI51" s="529" t="e">
        <f>IF(AND($S51&gt;=IF($B$2="mil",1,0.0254)*500, $S51&lt;=IF($B$2="mil",1,0.0254)*7000),"Pass",IF($B$2="mil",1,0.0254)*7000-$S51)</f>
        <v>#REF!</v>
      </c>
      <c r="AJ51" s="162" t="e">
        <f t="shared" ca="1" si="28"/>
        <v>#REF!</v>
      </c>
    </row>
    <row r="52" spans="1:51" s="213" customFormat="1" ht="11.25">
      <c r="A52" s="205" t="s">
        <v>231</v>
      </c>
      <c r="B52" s="205"/>
      <c r="C52" s="639"/>
      <c r="D52" s="179"/>
      <c r="E52" s="155"/>
      <c r="F52" s="206"/>
      <c r="G52" s="338"/>
      <c r="H52" s="339"/>
      <c r="I52" s="339"/>
      <c r="J52" s="338"/>
      <c r="K52" s="338"/>
      <c r="L52" s="338"/>
      <c r="M52" s="338"/>
      <c r="N52" s="338"/>
      <c r="O52" s="338"/>
      <c r="P52" s="338"/>
      <c r="Q52" s="338"/>
      <c r="R52" s="207"/>
      <c r="S52" s="207"/>
      <c r="T52" s="207"/>
      <c r="U52" s="207"/>
      <c r="V52" s="430"/>
      <c r="W52" s="430"/>
      <c r="X52" s="430"/>
      <c r="Y52" s="548"/>
      <c r="Z52" s="548"/>
      <c r="AA52" s="430"/>
      <c r="AB52" s="179"/>
      <c r="AC52" s="430"/>
      <c r="AD52" s="430"/>
      <c r="AE52" s="430"/>
      <c r="AF52" s="548"/>
      <c r="AG52" s="430"/>
      <c r="AH52" s="430"/>
      <c r="AI52" s="549"/>
      <c r="AJ52" s="162"/>
    </row>
    <row r="53" spans="1:51" s="162" customFormat="1">
      <c r="A53" s="185" t="s">
        <v>58</v>
      </c>
      <c r="B53" s="480" t="s">
        <v>439</v>
      </c>
      <c r="C53" s="635">
        <v>462.71653543307087</v>
      </c>
      <c r="D53" s="188"/>
      <c r="E53" s="225">
        <v>29.7</v>
      </c>
      <c r="F53" s="326"/>
      <c r="G53" s="303">
        <v>2150.64</v>
      </c>
      <c r="H53" s="335"/>
      <c r="I53" s="335"/>
      <c r="J53" s="341"/>
      <c r="K53" s="337">
        <v>32.5</v>
      </c>
      <c r="L53" s="336"/>
      <c r="M53" s="337">
        <v>700</v>
      </c>
      <c r="N53" s="408">
        <v>327.79</v>
      </c>
      <c r="O53" s="408"/>
      <c r="P53" s="303">
        <v>564.66</v>
      </c>
      <c r="Q53" s="337">
        <v>28.02</v>
      </c>
      <c r="R53" s="545">
        <f>SUM($E53:$G53,$M53,$P53,$N53,$Q53)</f>
        <v>3800.8099999999995</v>
      </c>
      <c r="S53" s="524" t="e">
        <f t="shared" si="14"/>
        <v>#REF!</v>
      </c>
      <c r="T53" s="524" t="e">
        <f>$U$32 + IF($B$2="mil",1,0.0254)*DDR2Specs!$E$9</f>
        <v>#REF!</v>
      </c>
      <c r="U53" s="524" t="e">
        <f>$T$32 + IF($B$2="mil",1,0.0254)*DDR2Specs!$F$9</f>
        <v>#REF!</v>
      </c>
      <c r="V53" s="546" t="e">
        <f t="shared" si="15"/>
        <v>#REF!</v>
      </c>
      <c r="W53" s="547" t="e">
        <f t="shared" si="16"/>
        <v>#REF!</v>
      </c>
      <c r="X53" s="527" t="e">
        <f>IF($E53&lt;=IF($B$2="mil",1,0.0254)*50,"Pass",IF($B$2="mil",1,0.0254)*50-$E53)</f>
        <v>#REF!</v>
      </c>
      <c r="Y53" s="528" t="e">
        <f t="shared" si="18"/>
        <v>#REF!</v>
      </c>
      <c r="Z53" s="528" t="e">
        <f t="shared" si="29"/>
        <v>#REF!</v>
      </c>
      <c r="AA53" s="528" t="e">
        <f ca="1">CheckLength2(IF($B$2="mil",1,0.0254)*1200,J53,K53,0)</f>
        <v>#NAME?</v>
      </c>
      <c r="AB53" s="528" t="e">
        <f>IF(M53&lt;=IF($B$2="mil",1,0.0254)*2000,"Pass",IF($B$2="mil",1,0.0254)*2000-M53)</f>
        <v>#REF!</v>
      </c>
      <c r="AC53" s="528" t="e">
        <f>IF(N53&lt;=IF($B$2="mil",1,0.0254)*1000,"Pass",IF($B$2="mil",1,0.0254)*1000-N53)</f>
        <v>#REF!</v>
      </c>
      <c r="AD53" s="528" t="e">
        <f>IF(MAX(N53,P105)-MIN(N53,P105)&lt;=IF($B$2="mil",1,0.0254)*50,"Pass",MAX(N53,P105)-MIN(N53,P105)-IF($B$2="mil",1,0.0254)*50)</f>
        <v>#REF!</v>
      </c>
      <c r="AE53" s="528" t="e">
        <f>IF($P53&lt;=IF($B$2="mil",1,0.0254)*1000,"Pass",IF($B$2="mil",1,0.0254)*1000-$P53)</f>
        <v>#REF!</v>
      </c>
      <c r="AF53" s="528" t="e">
        <f>IF(MAX(P53,P131)-MIN(P53,P131)&lt;=IF($B$2="mil",1,0.0254)*50,"Pass",MAX(P53,P131)-MIN(P53,P131)-IF($B$2="mil",1,0.0254)*50)</f>
        <v>#REF!</v>
      </c>
      <c r="AG53" s="528" t="e">
        <f ca="1">CheckLength2(IF($B$2="mil",1,0.0254)*1200,P53,Q53,0)</f>
        <v>#NAME?</v>
      </c>
      <c r="AH53" s="528" t="e">
        <f>IF(AND($R53&gt;=IF($B$2="mil",1,0.0254)*500, $R53&lt;=IF($B$2="mil",1,0.0254)*6500),"Pass",IF($B$2="mil",1,0.0254)*6500-$R53)</f>
        <v>#REF!</v>
      </c>
      <c r="AI53" s="529" t="e">
        <f>IF(AND($S53&gt;=IF($B$2="mil",1,0.0254)*500, $S53&lt;=IF($B$2="mil",1,0.0254)*7000),"Pass",IF($B$2="mil",1,0.0254)*7000-$S53)</f>
        <v>#REF!</v>
      </c>
      <c r="AJ53" s="162" t="e">
        <f t="shared" ca="1" si="28"/>
        <v>#REF!</v>
      </c>
    </row>
    <row r="54" spans="1:51" s="162" customFormat="1">
      <c r="A54" s="240" t="s">
        <v>59</v>
      </c>
      <c r="B54" s="480" t="s">
        <v>455</v>
      </c>
      <c r="C54" s="635">
        <v>452.16535433070862</v>
      </c>
      <c r="D54" s="188"/>
      <c r="E54" s="225">
        <v>29.7</v>
      </c>
      <c r="F54" s="326"/>
      <c r="G54" s="303">
        <v>2222.4699999999998</v>
      </c>
      <c r="H54" s="335"/>
      <c r="I54" s="335"/>
      <c r="J54" s="341"/>
      <c r="K54" s="337">
        <v>40</v>
      </c>
      <c r="L54" s="336"/>
      <c r="M54" s="337">
        <v>700</v>
      </c>
      <c r="N54" s="408">
        <v>251.98</v>
      </c>
      <c r="O54" s="408"/>
      <c r="P54" s="303">
        <v>578.77</v>
      </c>
      <c r="Q54" s="337">
        <v>51.88</v>
      </c>
      <c r="R54" s="545">
        <f t="shared" si="13"/>
        <v>3834.7999999999997</v>
      </c>
      <c r="S54" s="524" t="e">
        <f t="shared" si="14"/>
        <v>#REF!</v>
      </c>
      <c r="T54" s="524" t="e">
        <f>$U$32 + IF($B$2="mil",1,0.0254)*DDR2Specs!$E$9</f>
        <v>#REF!</v>
      </c>
      <c r="U54" s="524" t="e">
        <f>$T$32 + IF($B$2="mil",1,0.0254)*DDR2Specs!$F$9</f>
        <v>#REF!</v>
      </c>
      <c r="V54" s="546" t="e">
        <f t="shared" si="15"/>
        <v>#REF!</v>
      </c>
      <c r="W54" s="547" t="e">
        <f t="shared" si="16"/>
        <v>#REF!</v>
      </c>
      <c r="X54" s="527" t="e">
        <f>IF($E54&lt;=IF($B$2="mil",1,0.0254)*50,"Pass",IF($B$2="mil",1,0.0254)*50-$E54)</f>
        <v>#REF!</v>
      </c>
      <c r="Y54" s="528" t="e">
        <f t="shared" si="18"/>
        <v>#REF!</v>
      </c>
      <c r="Z54" s="528" t="e">
        <f t="shared" si="29"/>
        <v>#REF!</v>
      </c>
      <c r="AA54" s="528" t="e">
        <f ca="1">CheckLength2(IF($B$2="mil",1,0.0254)*1200,J54,K54,0)</f>
        <v>#NAME?</v>
      </c>
      <c r="AB54" s="528" t="e">
        <f>IF(M54&lt;=IF($B$2="mil",1,0.0254)*2000,"Pass",IF($B$2="mil",1,0.0254)*2000-M54)</f>
        <v>#REF!</v>
      </c>
      <c r="AC54" s="528" t="e">
        <f>IF(N54&lt;=IF($B$2="mil",1,0.0254)*1000,"Pass",IF($B$2="mil",1,0.0254)*1000-N54)</f>
        <v>#REF!</v>
      </c>
      <c r="AD54" s="528" t="e">
        <f>IF(MAX(N54,P106)-MIN(N54,P106)&lt;=IF($B$2="mil",1,0.0254)*50,"Pass",MAX(N54,P106)-MIN(N54,P106)-IF($B$2="mil",1,0.0254)*50)</f>
        <v>#REF!</v>
      </c>
      <c r="AE54" s="528" t="e">
        <f>IF($P54&lt;=IF($B$2="mil",1,0.0254)*1000,"Pass",IF($B$2="mil",1,0.0254)*1000-$P54)</f>
        <v>#REF!</v>
      </c>
      <c r="AF54" s="528" t="e">
        <f>IF(MAX(P54,P132)-MIN(P54,P132)&lt;=IF($B$2="mil",1,0.0254)*50,"Pass",MAX(P54,P132)-MIN(P54,P132)-IF($B$2="mil",1,0.0254)*50)</f>
        <v>#REF!</v>
      </c>
      <c r="AG54" s="528" t="e">
        <f ca="1">CheckLength2(IF($B$2="mil",1,0.0254)*1200,P54,Q54,0)</f>
        <v>#NAME?</v>
      </c>
      <c r="AH54" s="528" t="e">
        <f>IF(AND($R54&gt;=IF($B$2="mil",1,0.0254)*500, $R54&lt;=IF($B$2="mil",1,0.0254)*6500),"Pass",IF($B$2="mil",1,0.0254)*6500-$R54)</f>
        <v>#REF!</v>
      </c>
      <c r="AI54" s="529" t="e">
        <f>IF(AND($S54&gt;=IF($B$2="mil",1,0.0254)*500, $S54&lt;=IF($B$2="mil",1,0.0254)*7000),"Pass",IF($B$2="mil",1,0.0254)*7000-$S54)</f>
        <v>#REF!</v>
      </c>
      <c r="AJ54" s="162" t="e">
        <f t="shared" ca="1" si="28"/>
        <v>#REF!</v>
      </c>
    </row>
    <row r="55" spans="1:51" s="162" customFormat="1">
      <c r="A55" s="240" t="s">
        <v>60</v>
      </c>
      <c r="B55" s="480" t="s">
        <v>440</v>
      </c>
      <c r="C55" s="635">
        <v>581.1811023622048</v>
      </c>
      <c r="D55" s="203"/>
      <c r="E55" s="225">
        <v>29.7</v>
      </c>
      <c r="F55" s="326"/>
      <c r="G55" s="303">
        <v>2163.89</v>
      </c>
      <c r="H55" s="335"/>
      <c r="I55" s="335"/>
      <c r="J55" s="341"/>
      <c r="K55" s="337">
        <v>40</v>
      </c>
      <c r="L55" s="336"/>
      <c r="M55" s="337">
        <v>700</v>
      </c>
      <c r="N55" s="408">
        <v>321.8</v>
      </c>
      <c r="O55" s="408"/>
      <c r="P55" s="303">
        <v>574.72</v>
      </c>
      <c r="Q55" s="337">
        <v>30.98</v>
      </c>
      <c r="R55" s="545">
        <f t="shared" si="13"/>
        <v>3821.0899999999997</v>
      </c>
      <c r="S55" s="524" t="e">
        <f t="shared" si="14"/>
        <v>#REF!</v>
      </c>
      <c r="T55" s="524" t="e">
        <f>$U$32 + IF($B$2="mil",1,0.0254)*DDR2Specs!$E$9</f>
        <v>#REF!</v>
      </c>
      <c r="U55" s="524" t="e">
        <f>$T$32 + IF($B$2="mil",1,0.0254)*DDR2Specs!$F$9</f>
        <v>#REF!</v>
      </c>
      <c r="V55" s="546" t="e">
        <f t="shared" si="15"/>
        <v>#REF!</v>
      </c>
      <c r="W55" s="547" t="e">
        <f t="shared" si="16"/>
        <v>#REF!</v>
      </c>
      <c r="X55" s="527" t="e">
        <f>IF($E55&lt;=IF($B$2="mil",1,0.0254)*50,"Pass",IF($B$2="mil",1,0.0254)*50-$E55)</f>
        <v>#REF!</v>
      </c>
      <c r="Y55" s="528" t="e">
        <f t="shared" si="18"/>
        <v>#REF!</v>
      </c>
      <c r="Z55" s="528" t="e">
        <f t="shared" si="29"/>
        <v>#REF!</v>
      </c>
      <c r="AA55" s="528" t="e">
        <f ca="1">CheckLength2(IF($B$2="mil",1,0.0254)*1200,J55,K55,0)</f>
        <v>#NAME?</v>
      </c>
      <c r="AB55" s="528" t="e">
        <f>IF(M55&lt;=IF($B$2="mil",1,0.0254)*2000,"Pass",IF($B$2="mil",1,0.0254)*2000-M55)</f>
        <v>#REF!</v>
      </c>
      <c r="AC55" s="528" t="e">
        <f>IF(N55&lt;=IF($B$2="mil",1,0.0254)*1000,"Pass",IF($B$2="mil",1,0.0254)*1000-N55)</f>
        <v>#REF!</v>
      </c>
      <c r="AD55" s="528" t="e">
        <f>IF(MAX(N55,P107)-MIN(N55,P107)&lt;=IF($B$2="mil",1,0.0254)*50,"Pass",MAX(N55,P107)-MIN(N55,P107)-IF($B$2="mil",1,0.0254)*50)</f>
        <v>#REF!</v>
      </c>
      <c r="AE55" s="528" t="e">
        <f>IF($P55&lt;=IF($B$2="mil",1,0.0254)*1000,"Pass",IF($B$2="mil",1,0.0254)*1000-$P55)</f>
        <v>#REF!</v>
      </c>
      <c r="AF55" s="528" t="e">
        <f>IF(MAX(P55,P133)-MIN(P55,P133)&lt;=IF($B$2="mil",1,0.0254)*50,"Pass",MAX(P55,P133)-MIN(P55,P133)-IF($B$2="mil",1,0.0254)*50)</f>
        <v>#REF!</v>
      </c>
      <c r="AG55" s="528" t="e">
        <f ca="1">CheckLength2(IF($B$2="mil",1,0.0254)*1200,P55,Q55,0)</f>
        <v>#NAME?</v>
      </c>
      <c r="AH55" s="528" t="e">
        <f>IF(AND($R55&gt;=IF($B$2="mil",1,0.0254)*500, $R55&lt;=IF($B$2="mil",1,0.0254)*6500),"Pass",IF($B$2="mil",1,0.0254)*6500-$R55)</f>
        <v>#REF!</v>
      </c>
      <c r="AI55" s="529" t="e">
        <f>IF(AND($S55&gt;=IF($B$2="mil",1,0.0254)*500, $S55&lt;=IF($B$2="mil",1,0.0254)*7000),"Pass",IF($B$2="mil",1,0.0254)*7000-$S55)</f>
        <v>#REF!</v>
      </c>
      <c r="AJ55" s="162" t="e">
        <f t="shared" ca="1" si="28"/>
        <v>#REF!</v>
      </c>
    </row>
    <row r="56" spans="1:51" ht="25.5">
      <c r="A56" s="60" t="s">
        <v>9</v>
      </c>
      <c r="K56" s="59"/>
      <c r="P56" s="329" t="s">
        <v>457</v>
      </c>
      <c r="Q56" s="330" t="s">
        <v>388</v>
      </c>
      <c r="R56" s="550" t="e">
        <f>"Total MB Length to U2 (L0+L1+L2+L5+L6-1+L8-2) ["&amp;$B$2&amp;"]"</f>
        <v>#REF!</v>
      </c>
      <c r="S56" s="550" t="e">
        <f>"Total Pad to Pin U2 (P1+L0+L1+L2+L5+L6-1+L8-2) ["&amp;$B$2&amp;"]"</f>
        <v>#REF!</v>
      </c>
      <c r="T56" s="551" t="e">
        <f>"Target Min Length to U2["&amp;$B$2&amp;"]"</f>
        <v>#REF!</v>
      </c>
      <c r="U56" s="552" t="e">
        <f>"Target Max Length to U2 ["&amp;$B$2&amp;"]"</f>
        <v>#REF!</v>
      </c>
      <c r="V56" s="553" t="e">
        <f>"Routed Too Short to U2 [" &amp;$B$2&amp;"]"</f>
        <v>#REF!</v>
      </c>
      <c r="W56" s="551" t="e">
        <f>"Routed Too Long to U2 [" &amp;$B$2&amp;"]"</f>
        <v>#REF!</v>
      </c>
      <c r="X56" s="554"/>
      <c r="Y56" s="554"/>
      <c r="Z56" s="554"/>
      <c r="AA56" s="554"/>
      <c r="AB56" s="554"/>
      <c r="AC56" s="554"/>
      <c r="AD56" s="554"/>
      <c r="AE56" s="554"/>
      <c r="AF56" s="555" t="s">
        <v>457</v>
      </c>
      <c r="AG56" s="556" t="e">
        <f>"L8-2 Length Test (&lt;=" &amp; IF($B$2="mil",1,0.0254)*200&amp;$B$2&amp;") or (L6-1+L8-2&lt;= "&amp;IF($B$2="mil",1,0.0254)*1200&amp;$B$2&amp;")"</f>
        <v>#REF!</v>
      </c>
      <c r="AH56" s="552" t="e">
        <f>"Total Length to U2 (L0+L1+L2+L5+L6-1+L8-2)Test ("&amp;IF($B$2="mil",1,0.0254)*500&amp;"-"&amp;IF($B$2="mil",1,0.0254)*6500&amp;IF($B$2="mil","mil","mm")&amp;")"</f>
        <v>#REF!</v>
      </c>
      <c r="AI56" s="552" t="e">
        <f>"Total Length to U2 (P1+L0+L1+L2+L5+L6-1+L8-2) Test (&lt;="&amp;IF($B$2="mil",1,25.4)*7000&amp;IF($B$2="mil","mil","mm")&amp;")"</f>
        <v>#REF!</v>
      </c>
      <c r="AY56" s="229"/>
    </row>
    <row r="57" spans="1:51">
      <c r="P57" s="155" t="s">
        <v>210</v>
      </c>
      <c r="Q57" s="156"/>
      <c r="R57" s="156"/>
      <c r="S57" s="156"/>
      <c r="T57" s="156"/>
      <c r="U57" s="156"/>
      <c r="V57" s="156"/>
      <c r="W57" s="156"/>
      <c r="X57" s="554"/>
      <c r="Y57" s="554"/>
      <c r="Z57" s="554"/>
      <c r="AA57" s="554"/>
      <c r="AB57" s="554"/>
      <c r="AC57" s="554"/>
      <c r="AD57" s="554"/>
      <c r="AE57" s="554"/>
      <c r="AF57" s="460" t="s">
        <v>210</v>
      </c>
      <c r="AG57" s="156"/>
      <c r="AH57" s="156"/>
      <c r="AI57" s="557"/>
      <c r="AR57" s="229"/>
      <c r="AY57" s="229"/>
    </row>
    <row r="58" spans="1:51">
      <c r="P58" s="263" t="s">
        <v>214</v>
      </c>
      <c r="Q58" s="166"/>
      <c r="R58" s="166"/>
      <c r="S58" s="558" t="s">
        <v>227</v>
      </c>
      <c r="T58" s="168" t="e">
        <f>MIN('DDR2 Clocks - 2L'!$S$5:$S$6)</f>
        <v>#REF!</v>
      </c>
      <c r="U58" s="541" t="e">
        <f>MAX('DDR2 Clocks - 2L'!$S$5:$S$6)</f>
        <v>#REF!</v>
      </c>
      <c r="V58" s="542"/>
      <c r="W58" s="168"/>
      <c r="X58" s="554"/>
      <c r="Y58" s="554"/>
      <c r="Z58" s="554"/>
      <c r="AA58" s="554"/>
      <c r="AB58" s="554"/>
      <c r="AC58" s="554"/>
      <c r="AD58" s="554"/>
      <c r="AE58" s="554"/>
      <c r="AF58" s="163" t="s">
        <v>214</v>
      </c>
      <c r="AG58" s="538"/>
      <c r="AH58" s="538"/>
      <c r="AI58" s="539"/>
    </row>
    <row r="59" spans="1:51">
      <c r="P59" s="205" t="s">
        <v>229</v>
      </c>
      <c r="Q59" s="181"/>
      <c r="R59" s="181"/>
      <c r="S59" s="179"/>
      <c r="T59" s="179"/>
      <c r="U59" s="531"/>
      <c r="V59" s="531"/>
      <c r="W59" s="179"/>
      <c r="X59" s="554"/>
      <c r="Y59" s="554"/>
      <c r="Z59" s="554"/>
      <c r="AA59" s="554"/>
      <c r="AB59" s="554"/>
      <c r="AC59" s="554"/>
      <c r="AD59" s="554"/>
      <c r="AE59" s="554"/>
      <c r="AF59" s="460" t="s">
        <v>229</v>
      </c>
      <c r="AG59" s="179"/>
      <c r="AH59" s="179"/>
      <c r="AI59" s="533"/>
    </row>
    <row r="60" spans="1:51">
      <c r="P60" s="186" t="s">
        <v>196</v>
      </c>
      <c r="Q60" s="303">
        <v>112.93</v>
      </c>
      <c r="R60" s="545">
        <f>SUM($E34:$G34,$M34,$N34,$Q60)</f>
        <v>3506.97</v>
      </c>
      <c r="S60" s="524" t="e">
        <f>$R60+IF($B$2="mil",1,0.0254)*$C34</f>
        <v>#REF!</v>
      </c>
      <c r="T60" s="524" t="e">
        <f>$U$58 + IF($B$2="mil",1,0.0254)*DDR2Specs!$E$9</f>
        <v>#REF!</v>
      </c>
      <c r="U60" s="524" t="e">
        <f>$T$58 + IF($B$2="mil",1,0.0254)*DDR2Specs!$F$9</f>
        <v>#REF!</v>
      </c>
      <c r="V60" s="546" t="e">
        <f t="shared" ref="V60:V73" si="30">IF($S60&lt;$T60,$T60-$S60,"Pass")</f>
        <v>#REF!</v>
      </c>
      <c r="W60" s="547" t="e">
        <f t="shared" ref="W60:W73" si="31">IF($S60&gt;$U60,$S60-$U60,"Pass")</f>
        <v>#REF!</v>
      </c>
      <c r="X60" s="554"/>
      <c r="Y60" s="554"/>
      <c r="Z60" s="554"/>
      <c r="AA60" s="554"/>
      <c r="AB60" s="554"/>
      <c r="AC60" s="554"/>
      <c r="AD60" s="554"/>
      <c r="AE60" s="554"/>
      <c r="AF60" s="559" t="s">
        <v>196</v>
      </c>
      <c r="AG60" s="528" t="e">
        <f ca="1">CheckLength2(IF($B$2="mil",1,0.0254)*1200,N34,Q60,0)</f>
        <v>#NAME?</v>
      </c>
      <c r="AH60" s="528" t="e">
        <f>IF(AND(R60&gt;=IF($B$2="mil",1,0.0254)*500, $R60&lt;=IF($B$2="mil",1,0.0254)*6500),"Pass",IF($B$2="mil",1,0.0254)*6500-$R60)</f>
        <v>#REF!</v>
      </c>
      <c r="AI60" s="560" t="e">
        <f>IF(AND($S60&gt;=IF($B$2="mil",1,0.0254)*500, $S60&lt;=IF($B$2="mil",1,0.0254)*7000),"Pass",IF($B$2="mil",1,0.0254)*7000-$S60)</f>
        <v>#REF!</v>
      </c>
      <c r="AJ60" s="162" t="e">
        <f t="shared" ref="AJ60:AJ73" ca="1" si="32">IF(AND(V60="Pass",W60="Pass",AG60="Pass",AH60="Pass",AI60="Pass"),"Pass","Fail")</f>
        <v>#REF!</v>
      </c>
      <c r="AK60" s="162" t="e">
        <f ca="1">IF(AND(AJ60="Pass",AJ61="Pass",AJ62="Pass",AJ63="Pass",AJ64="Pass",AJ65="Pass",AJ65="Pass",AJ66="Pass",AJ67="Pass",AJ68="Pass",AJ69="Pass",AJ70="Pass"),"Pass","Fail")</f>
        <v>#REF!</v>
      </c>
    </row>
    <row r="61" spans="1:51">
      <c r="P61" s="243" t="s">
        <v>39</v>
      </c>
      <c r="Q61" s="303">
        <v>93.83</v>
      </c>
      <c r="R61" s="545">
        <f t="shared" ref="R61:R81" si="33">SUM($E35:$G35,$M35,$N35,$Q61)</f>
        <v>3325.44</v>
      </c>
      <c r="S61" s="524" t="e">
        <f t="shared" ref="S61:S81" si="34">$R61+IF($B$2="mil",1,0.0254)*$C35</f>
        <v>#REF!</v>
      </c>
      <c r="T61" s="524" t="e">
        <f>$U$58 + IF($B$2="mil",1,0.0254)*DDR2Specs!$E$9</f>
        <v>#REF!</v>
      </c>
      <c r="U61" s="524" t="e">
        <f>$T$58 + IF($B$2="mil",1,0.0254)*DDR2Specs!$F$9</f>
        <v>#REF!</v>
      </c>
      <c r="V61" s="546" t="e">
        <f t="shared" si="30"/>
        <v>#REF!</v>
      </c>
      <c r="W61" s="547" t="e">
        <f t="shared" si="31"/>
        <v>#REF!</v>
      </c>
      <c r="X61" s="554"/>
      <c r="Y61" s="554"/>
      <c r="Z61" s="554"/>
      <c r="AA61" s="554"/>
      <c r="AB61" s="554"/>
      <c r="AC61" s="554"/>
      <c r="AD61" s="554"/>
      <c r="AE61" s="554"/>
      <c r="AF61" s="561" t="s">
        <v>39</v>
      </c>
      <c r="AG61" s="528" t="e">
        <f t="shared" ref="AG61:AG73" ca="1" si="35">CheckLength2(IF($B$2="mil",1,0.0254)*1200,N35,Q61,0)</f>
        <v>#NAME?</v>
      </c>
      <c r="AH61" s="528" t="e">
        <f t="shared" ref="AH61:AH73" si="36">IF(AND(R61&gt;=IF($B$2="mil",1,0.0254)*500, $R61&lt;=IF($B$2="mil",1,0.0254)*6500),"Pass",IF($B$2="mil",1,0.0254)*6500-$R61)</f>
        <v>#REF!</v>
      </c>
      <c r="AI61" s="560" t="e">
        <f t="shared" ref="AI61:AI73" si="37">IF(AND($S61&gt;=IF($B$2="mil",1,0.0254)*500, $S61&lt;=IF($B$2="mil",1,0.0254)*7000),"Pass",IF($B$2="mil",1,0.0254)*7000-$S61)</f>
        <v>#REF!</v>
      </c>
      <c r="AJ61" s="162" t="e">
        <f t="shared" ca="1" si="32"/>
        <v>#REF!</v>
      </c>
      <c r="AK61" s="162" t="e">
        <f ca="1">IF(AND(AJ71="Pass",AJ72="Pass",AJ73="Pass",AJ75="Pass",AJ76="Pass",AJ77="Pass",AJ79="Pass",AJ80="Pass",AJ81="Pass"),"Pass","Fail")</f>
        <v>#REF!</v>
      </c>
    </row>
    <row r="62" spans="1:51">
      <c r="P62" s="243" t="s">
        <v>40</v>
      </c>
      <c r="Q62" s="303">
        <v>112.45</v>
      </c>
      <c r="R62" s="545">
        <f t="shared" si="33"/>
        <v>3249.34</v>
      </c>
      <c r="S62" s="524" t="e">
        <f t="shared" si="34"/>
        <v>#REF!</v>
      </c>
      <c r="T62" s="524" t="e">
        <f>$U$58 + IF($B$2="mil",1,0.0254)*DDR2Specs!$E$9</f>
        <v>#REF!</v>
      </c>
      <c r="U62" s="524" t="e">
        <f>$T$58 + IF($B$2="mil",1,0.0254)*DDR2Specs!$F$9</f>
        <v>#REF!</v>
      </c>
      <c r="V62" s="546" t="e">
        <f t="shared" si="30"/>
        <v>#REF!</v>
      </c>
      <c r="W62" s="547" t="e">
        <f t="shared" si="31"/>
        <v>#REF!</v>
      </c>
      <c r="X62" s="554"/>
      <c r="Y62" s="554"/>
      <c r="Z62" s="554"/>
      <c r="AA62" s="554"/>
      <c r="AB62" s="554"/>
      <c r="AC62" s="554"/>
      <c r="AD62" s="554"/>
      <c r="AE62" s="554"/>
      <c r="AF62" s="561" t="s">
        <v>40</v>
      </c>
      <c r="AG62" s="528" t="e">
        <f t="shared" ca="1" si="35"/>
        <v>#NAME?</v>
      </c>
      <c r="AH62" s="528" t="e">
        <f t="shared" si="36"/>
        <v>#REF!</v>
      </c>
      <c r="AI62" s="560" t="e">
        <f t="shared" si="37"/>
        <v>#REF!</v>
      </c>
      <c r="AJ62" s="162" t="e">
        <f t="shared" ca="1" si="32"/>
        <v>#REF!</v>
      </c>
    </row>
    <row r="63" spans="1:51">
      <c r="P63" s="243" t="s">
        <v>41</v>
      </c>
      <c r="Q63" s="303">
        <v>76.09</v>
      </c>
      <c r="R63" s="545">
        <f t="shared" si="33"/>
        <v>3264.9</v>
      </c>
      <c r="S63" s="524" t="e">
        <f t="shared" si="34"/>
        <v>#REF!</v>
      </c>
      <c r="T63" s="524" t="e">
        <f>$U$58 + IF($B$2="mil",1,0.0254)*DDR2Specs!$E$9</f>
        <v>#REF!</v>
      </c>
      <c r="U63" s="524" t="e">
        <f>$T$58 + IF($B$2="mil",1,0.0254)*DDR2Specs!$F$9</f>
        <v>#REF!</v>
      </c>
      <c r="V63" s="546" t="e">
        <f t="shared" si="30"/>
        <v>#REF!</v>
      </c>
      <c r="W63" s="547" t="e">
        <f t="shared" si="31"/>
        <v>#REF!</v>
      </c>
      <c r="X63" s="554"/>
      <c r="Y63" s="554"/>
      <c r="Z63" s="554"/>
      <c r="AA63" s="554"/>
      <c r="AB63" s="554"/>
      <c r="AC63" s="554"/>
      <c r="AD63" s="554"/>
      <c r="AE63" s="554"/>
      <c r="AF63" s="561" t="s">
        <v>41</v>
      </c>
      <c r="AG63" s="528" t="e">
        <f t="shared" ca="1" si="35"/>
        <v>#NAME?</v>
      </c>
      <c r="AH63" s="528" t="e">
        <f t="shared" si="36"/>
        <v>#REF!</v>
      </c>
      <c r="AI63" s="560" t="e">
        <f t="shared" si="37"/>
        <v>#REF!</v>
      </c>
      <c r="AJ63" s="162" t="e">
        <f t="shared" ca="1" si="32"/>
        <v>#REF!</v>
      </c>
    </row>
    <row r="64" spans="1:51">
      <c r="P64" s="243" t="s">
        <v>42</v>
      </c>
      <c r="Q64" s="303">
        <v>70.48</v>
      </c>
      <c r="R64" s="545">
        <f t="shared" si="33"/>
        <v>3139.4900000000002</v>
      </c>
      <c r="S64" s="524" t="e">
        <f t="shared" si="34"/>
        <v>#REF!</v>
      </c>
      <c r="T64" s="524" t="e">
        <f>$U$58 + IF($B$2="mil",1,0.0254)*DDR2Specs!$E$9</f>
        <v>#REF!</v>
      </c>
      <c r="U64" s="524" t="e">
        <f>$T$58 + IF($B$2="mil",1,0.0254)*DDR2Specs!$F$9</f>
        <v>#REF!</v>
      </c>
      <c r="V64" s="546" t="e">
        <f t="shared" si="30"/>
        <v>#REF!</v>
      </c>
      <c r="W64" s="547" t="e">
        <f t="shared" si="31"/>
        <v>#REF!</v>
      </c>
      <c r="X64" s="554"/>
      <c r="Y64" s="554"/>
      <c r="Z64" s="554"/>
      <c r="AA64" s="554"/>
      <c r="AB64" s="554"/>
      <c r="AC64" s="554"/>
      <c r="AD64" s="554"/>
      <c r="AE64" s="554"/>
      <c r="AF64" s="561" t="s">
        <v>42</v>
      </c>
      <c r="AG64" s="528" t="e">
        <f t="shared" ca="1" si="35"/>
        <v>#NAME?</v>
      </c>
      <c r="AH64" s="528" t="e">
        <f t="shared" si="36"/>
        <v>#REF!</v>
      </c>
      <c r="AI64" s="560" t="e">
        <f t="shared" si="37"/>
        <v>#REF!</v>
      </c>
      <c r="AJ64" s="162" t="e">
        <f t="shared" ca="1" si="32"/>
        <v>#REF!</v>
      </c>
    </row>
    <row r="65" spans="16:36">
      <c r="P65" s="243" t="s">
        <v>43</v>
      </c>
      <c r="Q65" s="303">
        <v>45.3</v>
      </c>
      <c r="R65" s="545">
        <f t="shared" si="33"/>
        <v>3286.37</v>
      </c>
      <c r="S65" s="524" t="e">
        <f t="shared" si="34"/>
        <v>#REF!</v>
      </c>
      <c r="T65" s="524" t="e">
        <f>$U$58 + IF($B$2="mil",1,0.0254)*DDR2Specs!$E$9</f>
        <v>#REF!</v>
      </c>
      <c r="U65" s="524" t="e">
        <f>$T$58 + IF($B$2="mil",1,0.0254)*DDR2Specs!$F$9</f>
        <v>#REF!</v>
      </c>
      <c r="V65" s="546" t="e">
        <f t="shared" si="30"/>
        <v>#REF!</v>
      </c>
      <c r="W65" s="547" t="e">
        <f t="shared" si="31"/>
        <v>#REF!</v>
      </c>
      <c r="X65" s="554"/>
      <c r="Y65" s="554"/>
      <c r="Z65" s="554"/>
      <c r="AA65" s="554"/>
      <c r="AB65" s="554"/>
      <c r="AC65" s="554"/>
      <c r="AD65" s="554"/>
      <c r="AE65" s="554"/>
      <c r="AF65" s="561" t="s">
        <v>43</v>
      </c>
      <c r="AG65" s="528" t="e">
        <f t="shared" ca="1" si="35"/>
        <v>#NAME?</v>
      </c>
      <c r="AH65" s="528" t="e">
        <f t="shared" si="36"/>
        <v>#REF!</v>
      </c>
      <c r="AI65" s="560" t="e">
        <f t="shared" si="37"/>
        <v>#REF!</v>
      </c>
      <c r="AJ65" s="162" t="e">
        <f t="shared" ca="1" si="32"/>
        <v>#REF!</v>
      </c>
    </row>
    <row r="66" spans="16:36">
      <c r="P66" s="243" t="s">
        <v>44</v>
      </c>
      <c r="Q66" s="303">
        <v>76.069999999999993</v>
      </c>
      <c r="R66" s="545">
        <f t="shared" si="33"/>
        <v>3342</v>
      </c>
      <c r="S66" s="524" t="e">
        <f t="shared" si="34"/>
        <v>#REF!</v>
      </c>
      <c r="T66" s="524" t="e">
        <f>$U$58 + IF($B$2="mil",1,0.0254)*DDR2Specs!$E$9</f>
        <v>#REF!</v>
      </c>
      <c r="U66" s="524" t="e">
        <f>$T$58 + IF($B$2="mil",1,0.0254)*DDR2Specs!$F$9</f>
        <v>#REF!</v>
      </c>
      <c r="V66" s="546" t="e">
        <f t="shared" si="30"/>
        <v>#REF!</v>
      </c>
      <c r="W66" s="547" t="e">
        <f t="shared" si="31"/>
        <v>#REF!</v>
      </c>
      <c r="X66" s="554"/>
      <c r="Y66" s="554"/>
      <c r="Z66" s="554"/>
      <c r="AA66" s="554"/>
      <c r="AB66" s="554"/>
      <c r="AC66" s="554"/>
      <c r="AD66" s="554"/>
      <c r="AE66" s="554"/>
      <c r="AF66" s="561" t="s">
        <v>44</v>
      </c>
      <c r="AG66" s="528" t="e">
        <f t="shared" ca="1" si="35"/>
        <v>#NAME?</v>
      </c>
      <c r="AH66" s="528" t="e">
        <f t="shared" si="36"/>
        <v>#REF!</v>
      </c>
      <c r="AI66" s="560" t="e">
        <f t="shared" si="37"/>
        <v>#REF!</v>
      </c>
      <c r="AJ66" s="162" t="e">
        <f t="shared" ca="1" si="32"/>
        <v>#REF!</v>
      </c>
    </row>
    <row r="67" spans="16:36">
      <c r="P67" s="243" t="s">
        <v>46</v>
      </c>
      <c r="Q67" s="303">
        <v>76.09</v>
      </c>
      <c r="R67" s="545">
        <f t="shared" si="33"/>
        <v>3234.04</v>
      </c>
      <c r="S67" s="524" t="e">
        <f t="shared" si="34"/>
        <v>#REF!</v>
      </c>
      <c r="T67" s="524" t="e">
        <f>$U$58 + IF($B$2="mil",1,0.0254)*DDR2Specs!$E$9</f>
        <v>#REF!</v>
      </c>
      <c r="U67" s="524" t="e">
        <f>$T$58 + IF($B$2="mil",1,0.0254)*DDR2Specs!$F$9</f>
        <v>#REF!</v>
      </c>
      <c r="V67" s="546" t="e">
        <f t="shared" si="30"/>
        <v>#REF!</v>
      </c>
      <c r="W67" s="547" t="e">
        <f t="shared" si="31"/>
        <v>#REF!</v>
      </c>
      <c r="X67" s="554"/>
      <c r="Y67" s="554"/>
      <c r="Z67" s="554"/>
      <c r="AA67" s="554"/>
      <c r="AB67" s="554"/>
      <c r="AC67" s="554"/>
      <c r="AD67" s="554"/>
      <c r="AE67" s="554"/>
      <c r="AF67" s="561" t="s">
        <v>46</v>
      </c>
      <c r="AG67" s="528" t="e">
        <f t="shared" ca="1" si="35"/>
        <v>#NAME?</v>
      </c>
      <c r="AH67" s="528" t="e">
        <f t="shared" si="36"/>
        <v>#REF!</v>
      </c>
      <c r="AI67" s="560" t="e">
        <f t="shared" si="37"/>
        <v>#REF!</v>
      </c>
      <c r="AJ67" s="162" t="e">
        <f t="shared" ca="1" si="32"/>
        <v>#REF!</v>
      </c>
    </row>
    <row r="68" spans="16:36">
      <c r="P68" s="243" t="s">
        <v>47</v>
      </c>
      <c r="Q68" s="303">
        <v>55.8</v>
      </c>
      <c r="R68" s="545">
        <f t="shared" si="33"/>
        <v>3266.4100000000003</v>
      </c>
      <c r="S68" s="524" t="e">
        <f t="shared" si="34"/>
        <v>#REF!</v>
      </c>
      <c r="T68" s="524" t="e">
        <f>$U$58 + IF($B$2="mil",1,0.0254)*DDR2Specs!$E$9</f>
        <v>#REF!</v>
      </c>
      <c r="U68" s="524" t="e">
        <f>$T$58 + IF($B$2="mil",1,0.0254)*DDR2Specs!$F$9</f>
        <v>#REF!</v>
      </c>
      <c r="V68" s="546" t="e">
        <f t="shared" si="30"/>
        <v>#REF!</v>
      </c>
      <c r="W68" s="547" t="e">
        <f t="shared" si="31"/>
        <v>#REF!</v>
      </c>
      <c r="X68" s="554"/>
      <c r="Y68" s="554"/>
      <c r="Z68" s="554"/>
      <c r="AA68" s="554"/>
      <c r="AB68" s="554"/>
      <c r="AC68" s="554"/>
      <c r="AD68" s="554"/>
      <c r="AE68" s="554"/>
      <c r="AF68" s="561" t="s">
        <v>47</v>
      </c>
      <c r="AG68" s="528" t="e">
        <f t="shared" ca="1" si="35"/>
        <v>#NAME?</v>
      </c>
      <c r="AH68" s="528" t="e">
        <f t="shared" si="36"/>
        <v>#REF!</v>
      </c>
      <c r="AI68" s="560" t="e">
        <f t="shared" si="37"/>
        <v>#REF!</v>
      </c>
      <c r="AJ68" s="162" t="e">
        <f t="shared" ca="1" si="32"/>
        <v>#REF!</v>
      </c>
    </row>
    <row r="69" spans="16:36">
      <c r="P69" s="243" t="s">
        <v>48</v>
      </c>
      <c r="Q69" s="303">
        <v>73.59</v>
      </c>
      <c r="R69" s="545">
        <f t="shared" si="33"/>
        <v>3536.25</v>
      </c>
      <c r="S69" s="524" t="e">
        <f t="shared" si="34"/>
        <v>#REF!</v>
      </c>
      <c r="T69" s="524" t="e">
        <f>$U$58 + IF($B$2="mil",1,0.0254)*DDR2Specs!$E$9</f>
        <v>#REF!</v>
      </c>
      <c r="U69" s="524" t="e">
        <f>$T$58 + IF($B$2="mil",1,0.0254)*DDR2Specs!$F$9</f>
        <v>#REF!</v>
      </c>
      <c r="V69" s="546" t="e">
        <f t="shared" si="30"/>
        <v>#REF!</v>
      </c>
      <c r="W69" s="547" t="e">
        <f t="shared" si="31"/>
        <v>#REF!</v>
      </c>
      <c r="X69" s="554"/>
      <c r="Y69" s="554"/>
      <c r="Z69" s="554"/>
      <c r="AA69" s="554"/>
      <c r="AB69" s="554"/>
      <c r="AC69" s="554"/>
      <c r="AD69" s="554"/>
      <c r="AE69" s="554"/>
      <c r="AF69" s="561" t="s">
        <v>48</v>
      </c>
      <c r="AG69" s="528" t="e">
        <f t="shared" ca="1" si="35"/>
        <v>#NAME?</v>
      </c>
      <c r="AH69" s="528" t="e">
        <f t="shared" si="36"/>
        <v>#REF!</v>
      </c>
      <c r="AI69" s="560" t="e">
        <f t="shared" si="37"/>
        <v>#REF!</v>
      </c>
      <c r="AJ69" s="162" t="e">
        <f t="shared" ca="1" si="32"/>
        <v>#REF!</v>
      </c>
    </row>
    <row r="70" spans="16:36">
      <c r="P70" s="243" t="s">
        <v>50</v>
      </c>
      <c r="Q70" s="303">
        <v>31.54</v>
      </c>
      <c r="R70" s="545">
        <f t="shared" si="33"/>
        <v>3340.33</v>
      </c>
      <c r="S70" s="524" t="e">
        <f t="shared" si="34"/>
        <v>#REF!</v>
      </c>
      <c r="T70" s="524" t="e">
        <f>$U$58 + IF($B$2="mil",1,0.0254)*DDR2Specs!$E$9</f>
        <v>#REF!</v>
      </c>
      <c r="U70" s="524" t="e">
        <f>$T$58 + IF($B$2="mil",1,0.0254)*DDR2Specs!$F$9</f>
        <v>#REF!</v>
      </c>
      <c r="V70" s="546" t="e">
        <f t="shared" si="30"/>
        <v>#REF!</v>
      </c>
      <c r="W70" s="547" t="e">
        <f t="shared" si="31"/>
        <v>#REF!</v>
      </c>
      <c r="X70" s="554"/>
      <c r="Y70" s="554"/>
      <c r="Z70" s="554"/>
      <c r="AA70" s="554"/>
      <c r="AB70" s="554"/>
      <c r="AC70" s="554"/>
      <c r="AD70" s="554"/>
      <c r="AE70" s="554"/>
      <c r="AF70" s="561" t="s">
        <v>50</v>
      </c>
      <c r="AG70" s="528" t="e">
        <f t="shared" ca="1" si="35"/>
        <v>#NAME?</v>
      </c>
      <c r="AH70" s="528" t="e">
        <f t="shared" si="36"/>
        <v>#REF!</v>
      </c>
      <c r="AI70" s="560" t="e">
        <f t="shared" si="37"/>
        <v>#REF!</v>
      </c>
      <c r="AJ70" s="162" t="e">
        <f t="shared" ca="1" si="32"/>
        <v>#REF!</v>
      </c>
    </row>
    <row r="71" spans="16:36">
      <c r="P71" s="243" t="s">
        <v>51</v>
      </c>
      <c r="Q71" s="303">
        <v>69.180000000000007</v>
      </c>
      <c r="R71" s="545">
        <f t="shared" si="33"/>
        <v>3405.41</v>
      </c>
      <c r="S71" s="524" t="e">
        <f t="shared" si="34"/>
        <v>#REF!</v>
      </c>
      <c r="T71" s="524" t="e">
        <f>$U$58 + IF($B$2="mil",1,0.0254)*DDR2Specs!$E$9</f>
        <v>#REF!</v>
      </c>
      <c r="U71" s="524" t="e">
        <f>$T$58 + IF($B$2="mil",1,0.0254)*DDR2Specs!$F$9</f>
        <v>#REF!</v>
      </c>
      <c r="V71" s="546" t="e">
        <f t="shared" si="30"/>
        <v>#REF!</v>
      </c>
      <c r="W71" s="547" t="e">
        <f t="shared" si="31"/>
        <v>#REF!</v>
      </c>
      <c r="X71" s="554"/>
      <c r="Y71" s="554"/>
      <c r="Z71" s="554"/>
      <c r="AA71" s="554"/>
      <c r="AB71" s="554"/>
      <c r="AC71" s="554"/>
      <c r="AD71" s="554"/>
      <c r="AE71" s="554"/>
      <c r="AF71" s="561" t="s">
        <v>51</v>
      </c>
      <c r="AG71" s="528" t="e">
        <f t="shared" ca="1" si="35"/>
        <v>#NAME?</v>
      </c>
      <c r="AH71" s="528" t="e">
        <f t="shared" si="36"/>
        <v>#REF!</v>
      </c>
      <c r="AI71" s="560" t="e">
        <f t="shared" si="37"/>
        <v>#REF!</v>
      </c>
      <c r="AJ71" s="162" t="e">
        <f t="shared" ca="1" si="32"/>
        <v>#REF!</v>
      </c>
    </row>
    <row r="72" spans="16:36">
      <c r="P72" s="243" t="s">
        <v>52</v>
      </c>
      <c r="Q72" s="303">
        <v>29.07</v>
      </c>
      <c r="R72" s="545">
        <f t="shared" si="33"/>
        <v>3463.34</v>
      </c>
      <c r="S72" s="524" t="e">
        <f t="shared" si="34"/>
        <v>#REF!</v>
      </c>
      <c r="T72" s="524" t="e">
        <f>$U$58 + IF($B$2="mil",1,0.0254)*DDR2Specs!$E$9</f>
        <v>#REF!</v>
      </c>
      <c r="U72" s="524" t="e">
        <f>$T$58 + IF($B$2="mil",1,0.0254)*DDR2Specs!$F$9</f>
        <v>#REF!</v>
      </c>
      <c r="V72" s="546" t="e">
        <f t="shared" si="30"/>
        <v>#REF!</v>
      </c>
      <c r="W72" s="547" t="e">
        <f t="shared" si="31"/>
        <v>#REF!</v>
      </c>
      <c r="X72" s="554"/>
      <c r="Y72" s="554"/>
      <c r="Z72" s="554"/>
      <c r="AA72" s="554"/>
      <c r="AB72" s="554"/>
      <c r="AC72" s="554"/>
      <c r="AD72" s="554"/>
      <c r="AE72" s="554"/>
      <c r="AF72" s="561" t="s">
        <v>52</v>
      </c>
      <c r="AG72" s="528" t="e">
        <f t="shared" ca="1" si="35"/>
        <v>#NAME?</v>
      </c>
      <c r="AH72" s="528" t="e">
        <f t="shared" si="36"/>
        <v>#REF!</v>
      </c>
      <c r="AI72" s="560" t="e">
        <f t="shared" si="37"/>
        <v>#REF!</v>
      </c>
      <c r="AJ72" s="162" t="e">
        <f t="shared" ca="1" si="32"/>
        <v>#REF!</v>
      </c>
    </row>
    <row r="73" spans="16:36">
      <c r="P73" s="243" t="s">
        <v>53</v>
      </c>
      <c r="Q73" s="303">
        <v>29.07</v>
      </c>
      <c r="R73" s="545">
        <f t="shared" si="33"/>
        <v>3343.34</v>
      </c>
      <c r="S73" s="524" t="e">
        <f t="shared" si="34"/>
        <v>#REF!</v>
      </c>
      <c r="T73" s="524" t="e">
        <f>$U$58 + IF($B$2="mil",1,0.0254)*DDR2Specs!$E$9</f>
        <v>#REF!</v>
      </c>
      <c r="U73" s="524" t="e">
        <f>$T$58 + IF($B$2="mil",1,0.0254)*DDR2Specs!$F$9</f>
        <v>#REF!</v>
      </c>
      <c r="V73" s="546" t="e">
        <f t="shared" si="30"/>
        <v>#REF!</v>
      </c>
      <c r="W73" s="547" t="e">
        <f t="shared" si="31"/>
        <v>#REF!</v>
      </c>
      <c r="X73" s="554"/>
      <c r="Y73" s="554"/>
      <c r="Z73" s="554"/>
      <c r="AA73" s="554"/>
      <c r="AB73" s="554"/>
      <c r="AC73" s="554"/>
      <c r="AD73" s="554"/>
      <c r="AE73" s="554"/>
      <c r="AF73" s="561" t="s">
        <v>53</v>
      </c>
      <c r="AG73" s="528" t="e">
        <f t="shared" ca="1" si="35"/>
        <v>#NAME?</v>
      </c>
      <c r="AH73" s="528" t="e">
        <f t="shared" si="36"/>
        <v>#REF!</v>
      </c>
      <c r="AI73" s="560" t="e">
        <f t="shared" si="37"/>
        <v>#REF!</v>
      </c>
      <c r="AJ73" s="162" t="e">
        <f t="shared" ca="1" si="32"/>
        <v>#REF!</v>
      </c>
    </row>
    <row r="74" spans="16:36">
      <c r="P74" s="205" t="s">
        <v>230</v>
      </c>
      <c r="Q74" s="331"/>
      <c r="R74" s="207"/>
      <c r="S74" s="207"/>
      <c r="T74" s="207"/>
      <c r="U74" s="207"/>
      <c r="V74" s="430"/>
      <c r="W74" s="430"/>
      <c r="X74" s="554"/>
      <c r="Y74" s="554"/>
      <c r="Z74" s="554"/>
      <c r="AA74" s="554"/>
      <c r="AB74" s="554"/>
      <c r="AC74" s="554"/>
      <c r="AD74" s="554"/>
      <c r="AE74" s="554"/>
      <c r="AF74" s="460" t="s">
        <v>230</v>
      </c>
      <c r="AG74" s="179"/>
      <c r="AH74" s="179"/>
      <c r="AI74" s="562"/>
    </row>
    <row r="75" spans="16:36">
      <c r="P75" s="185" t="s">
        <v>54</v>
      </c>
      <c r="Q75" s="337">
        <v>75.430000000000007</v>
      </c>
      <c r="R75" s="545">
        <f t="shared" si="33"/>
        <v>3396.0499999999997</v>
      </c>
      <c r="S75" s="524" t="e">
        <f t="shared" si="34"/>
        <v>#REF!</v>
      </c>
      <c r="T75" s="524" t="e">
        <f>$U$58 + IF($B$2="mil",1,0.0254)*DDR2Specs!$E$9</f>
        <v>#REF!</v>
      </c>
      <c r="U75" s="524" t="e">
        <f>$T$58 + IF($B$2="mil",1,0.0254)*DDR2Specs!$F$9</f>
        <v>#REF!</v>
      </c>
      <c r="V75" s="546" t="e">
        <f>IF($S75&lt;$T75,$T75-$S75,"Pass")</f>
        <v>#REF!</v>
      </c>
      <c r="W75" s="547" t="e">
        <f>IF($S75&gt;$U75,$S75-$U75,"Pass")</f>
        <v>#REF!</v>
      </c>
      <c r="X75" s="554"/>
      <c r="Y75" s="554"/>
      <c r="Z75" s="554"/>
      <c r="AA75" s="554"/>
      <c r="AB75" s="554"/>
      <c r="AC75" s="554"/>
      <c r="AD75" s="554"/>
      <c r="AE75" s="554"/>
      <c r="AF75" s="559" t="s">
        <v>54</v>
      </c>
      <c r="AG75" s="528" t="e">
        <f ca="1">CheckLength2(IF($B$2="mil",1,0.0254)*1200,N49,Q75,0)</f>
        <v>#NAME?</v>
      </c>
      <c r="AH75" s="528" t="e">
        <f>IF(AND(R75&gt;=IF($B$2="mil",1,0.0254)*500, $R75&lt;=IF($B$2="mil",1,0.0254)*6500),"Pass",IF($B$2="mil",1,0.0254)*6500-$R75)</f>
        <v>#REF!</v>
      </c>
      <c r="AI75" s="560" t="e">
        <f>IF(AND($S75&gt;=IF($B$2="mil",1,0.0254)*500, $S75&lt;=IF($B$2="mil",1,0.0254)*7000),"Pass",IF($B$2="mil",1,0.0254)*7000-$S75)</f>
        <v>#REF!</v>
      </c>
      <c r="AJ75" s="162" t="e">
        <f ca="1">IF(AND(V75="Pass",W75="Pass",AG75="Pass",AH75="Pass",AI75="Pass"),"Pass","Fail")</f>
        <v>#REF!</v>
      </c>
    </row>
    <row r="76" spans="16:36">
      <c r="P76" s="241" t="s">
        <v>55</v>
      </c>
      <c r="Q76" s="332">
        <v>58.08</v>
      </c>
      <c r="R76" s="545">
        <f t="shared" si="33"/>
        <v>3424.1099999999997</v>
      </c>
      <c r="S76" s="524" t="e">
        <f t="shared" si="34"/>
        <v>#REF!</v>
      </c>
      <c r="T76" s="524" t="e">
        <f>$U$58 + IF($B$2="mil",1,0.0254)*DDR2Specs!$E$9</f>
        <v>#REF!</v>
      </c>
      <c r="U76" s="524" t="e">
        <f>$T$58 + IF($B$2="mil",1,0.0254)*DDR2Specs!$F$9</f>
        <v>#REF!</v>
      </c>
      <c r="V76" s="546" t="e">
        <f>IF($S76&lt;$T76,$T76-$S76,"Pass")</f>
        <v>#REF!</v>
      </c>
      <c r="W76" s="547" t="e">
        <f>IF($S76&gt;$U76,$S76-$U76,"Pass")</f>
        <v>#REF!</v>
      </c>
      <c r="X76" s="554"/>
      <c r="Y76" s="554"/>
      <c r="Z76" s="554"/>
      <c r="AA76" s="554"/>
      <c r="AB76" s="554"/>
      <c r="AC76" s="554"/>
      <c r="AD76" s="554"/>
      <c r="AE76" s="554"/>
      <c r="AF76" s="563" t="s">
        <v>55</v>
      </c>
      <c r="AG76" s="528" t="e">
        <f ca="1">CheckLength2(IF($B$2="mil",1,0.0254)*1200,N50,Q76,0)</f>
        <v>#NAME?</v>
      </c>
      <c r="AH76" s="528" t="e">
        <f>IF(AND(R76&gt;=IF($B$2="mil",1,0.0254)*500, $R76&lt;=IF($B$2="mil",1,0.0254)*6500),"Pass",IF($B$2="mil",1,0.0254)*6500-$R76)</f>
        <v>#REF!</v>
      </c>
      <c r="AI76" s="560" t="e">
        <f>IF(AND($S76&gt;=IF($B$2="mil",1,0.0254)*500, $S76&lt;=IF($B$2="mil",1,0.0254)*7000),"Pass",IF($B$2="mil",1,0.0254)*7000-$S76)</f>
        <v>#REF!</v>
      </c>
      <c r="AJ76" s="162" t="e">
        <f ca="1">IF(AND(V76="Pass",W76="Pass",AG76="Pass",AH76="Pass",AI76="Pass"),"Pass","Fail")</f>
        <v>#REF!</v>
      </c>
    </row>
    <row r="77" spans="16:36">
      <c r="P77" s="241" t="s">
        <v>56</v>
      </c>
      <c r="Q77" s="194">
        <v>78.75</v>
      </c>
      <c r="R77" s="545">
        <f t="shared" si="33"/>
        <v>3288.22</v>
      </c>
      <c r="S77" s="524" t="e">
        <f t="shared" si="34"/>
        <v>#REF!</v>
      </c>
      <c r="T77" s="524" t="e">
        <f>$U$58 + IF($B$2="mil",1,0.0254)*DDR2Specs!$E$9</f>
        <v>#REF!</v>
      </c>
      <c r="U77" s="524" t="e">
        <f>$T$58 + IF($B$2="mil",1,0.0254)*DDR2Specs!$F$9</f>
        <v>#REF!</v>
      </c>
      <c r="V77" s="546" t="e">
        <f>IF($S77&lt;$T77,$T77-$S77,"Pass")</f>
        <v>#REF!</v>
      </c>
      <c r="W77" s="547" t="e">
        <f>IF($S77&gt;$U77,$S77-$U77,"Pass")</f>
        <v>#REF!</v>
      </c>
      <c r="X77" s="554"/>
      <c r="Y77" s="554"/>
      <c r="Z77" s="554"/>
      <c r="AA77" s="554"/>
      <c r="AB77" s="554"/>
      <c r="AC77" s="554"/>
      <c r="AD77" s="564"/>
      <c r="AE77" s="554"/>
      <c r="AF77" s="563" t="s">
        <v>56</v>
      </c>
      <c r="AG77" s="528" t="e">
        <f ca="1">CheckLength2(IF($B$2="mil",1,0.0254)*1200,N51,Q77,0)</f>
        <v>#NAME?</v>
      </c>
      <c r="AH77" s="528" t="e">
        <f>IF(AND(R77&gt;=IF($B$2="mil",1,0.0254)*500, $R77&lt;=IF($B$2="mil",1,0.0254)*6500),"Pass",IF($B$2="mil",1,0.0254)*6500-$R77)</f>
        <v>#REF!</v>
      </c>
      <c r="AI77" s="560" t="e">
        <f>IF(AND($S77&gt;=IF($B$2="mil",1,0.0254)*500, $S77&lt;=IF($B$2="mil",1,0.0254)*7000),"Pass",IF($B$2="mil",1,0.0254)*7000-$S77)</f>
        <v>#REF!</v>
      </c>
      <c r="AJ77" s="162" t="e">
        <f ca="1">IF(AND(V77="Pass",W77="Pass",AG77="Pass",AH77="Pass",AI77="Pass"),"Pass","Fail")</f>
        <v>#REF!</v>
      </c>
    </row>
    <row r="78" spans="16:36">
      <c r="P78" s="205" t="s">
        <v>231</v>
      </c>
      <c r="Q78" s="207"/>
      <c r="R78" s="207"/>
      <c r="S78" s="207"/>
      <c r="T78" s="207"/>
      <c r="U78" s="207"/>
      <c r="V78" s="430"/>
      <c r="W78" s="430"/>
      <c r="X78" s="554"/>
      <c r="Y78" s="554"/>
      <c r="Z78" s="554"/>
      <c r="AA78" s="554"/>
      <c r="AB78" s="554"/>
      <c r="AC78" s="554"/>
      <c r="AD78" s="554"/>
      <c r="AE78" s="554"/>
      <c r="AF78" s="460" t="s">
        <v>231</v>
      </c>
      <c r="AG78" s="430"/>
      <c r="AH78" s="430"/>
      <c r="AI78" s="562"/>
    </row>
    <row r="79" spans="16:36">
      <c r="P79" s="185" t="s">
        <v>58</v>
      </c>
      <c r="Q79" s="194">
        <v>27.77</v>
      </c>
      <c r="R79" s="545">
        <f t="shared" si="33"/>
        <v>3235.8999999999996</v>
      </c>
      <c r="S79" s="524" t="e">
        <f t="shared" si="34"/>
        <v>#REF!</v>
      </c>
      <c r="T79" s="524" t="e">
        <f>$U$58 + IF($B$2="mil",1,0.0254)*DDR2Specs!$E$9</f>
        <v>#REF!</v>
      </c>
      <c r="U79" s="524" t="e">
        <f>$T$58 + IF($B$2="mil",1,0.0254)*DDR2Specs!$F$9</f>
        <v>#REF!</v>
      </c>
      <c r="V79" s="546" t="e">
        <f>IF($S79&lt;$T79,$T79-$S79,"Pass")</f>
        <v>#REF!</v>
      </c>
      <c r="W79" s="547" t="e">
        <f>IF($S79&gt;$U79,$S79-$U79,"Pass")</f>
        <v>#REF!</v>
      </c>
      <c r="X79" s="554"/>
      <c r="Y79" s="554"/>
      <c r="Z79" s="554"/>
      <c r="AA79" s="554"/>
      <c r="AB79" s="554"/>
      <c r="AC79" s="554"/>
      <c r="AD79" s="554"/>
      <c r="AE79" s="554"/>
      <c r="AF79" s="559" t="s">
        <v>58</v>
      </c>
      <c r="AG79" s="528" t="e">
        <f ca="1">CheckLength2(IF($B$2="mil",1,0.0254)*1200,N53,Q79,0)</f>
        <v>#NAME?</v>
      </c>
      <c r="AH79" s="528" t="e">
        <f>IF(AND(R79&gt;=IF($B$2="mil",1,0.0254)*500, $R79&lt;=IF($B$2="mil",1,0.0254)*6500),"Pass",IF($B$2="mil",1,0.0254)*6500-$R79)</f>
        <v>#REF!</v>
      </c>
      <c r="AI79" s="560" t="e">
        <f>IF(AND($S79&gt;=IF($B$2="mil",1,0.0254)*500, $S79&lt;=IF($B$2="mil",1,0.0254)*7000),"Pass",IF($B$2="mil",1,0.0254)*7000-$S79)</f>
        <v>#REF!</v>
      </c>
      <c r="AJ79" s="162" t="e">
        <f ca="1">IF(AND(V79="Pass",W79="Pass",AG79="Pass",AH79="Pass",AI79="Pass"),"Pass","Fail")</f>
        <v>#REF!</v>
      </c>
    </row>
    <row r="80" spans="16:36">
      <c r="P80" s="240" t="s">
        <v>59</v>
      </c>
      <c r="Q80" s="194">
        <v>56.02</v>
      </c>
      <c r="R80" s="545">
        <f t="shared" si="33"/>
        <v>3260.1699999999996</v>
      </c>
      <c r="S80" s="524" t="e">
        <f t="shared" si="34"/>
        <v>#REF!</v>
      </c>
      <c r="T80" s="524" t="e">
        <f>$U$58 + IF($B$2="mil",1,0.0254)*DDR2Specs!$E$9</f>
        <v>#REF!</v>
      </c>
      <c r="U80" s="524" t="e">
        <f>$T$58 + IF($B$2="mil",1,0.0254)*DDR2Specs!$F$9</f>
        <v>#REF!</v>
      </c>
      <c r="V80" s="546" t="e">
        <f>IF($S80&lt;$T80,$T80-$S80,"Pass")</f>
        <v>#REF!</v>
      </c>
      <c r="W80" s="547" t="e">
        <f>IF($S80&gt;$U80,$S80-$U80,"Pass")</f>
        <v>#REF!</v>
      </c>
      <c r="X80" s="554"/>
      <c r="Y80" s="554"/>
      <c r="Z80" s="554"/>
      <c r="AA80" s="554"/>
      <c r="AB80" s="554"/>
      <c r="AC80" s="554"/>
      <c r="AD80" s="554"/>
      <c r="AE80" s="554"/>
      <c r="AF80" s="561" t="s">
        <v>59</v>
      </c>
      <c r="AG80" s="528" t="e">
        <f ca="1">CheckLength2(IF($B$2="mil",1,0.0254)*1200,N54,Q80,0)</f>
        <v>#NAME?</v>
      </c>
      <c r="AH80" s="528" t="e">
        <f>IF(AND(R80&gt;=IF($B$2="mil",1,0.0254)*500, $R80&lt;=IF($B$2="mil",1,0.0254)*6500),"Pass",IF($B$2="mil",1,0.0254)*6500-$R80)</f>
        <v>#REF!</v>
      </c>
      <c r="AI80" s="560" t="e">
        <f>IF(AND($S80&gt;=IF($B$2="mil",1,0.0254)*500, $S80&lt;=IF($B$2="mil",1,0.0254)*7000),"Pass",IF($B$2="mil",1,0.0254)*7000-$S80)</f>
        <v>#REF!</v>
      </c>
      <c r="AJ80" s="162" t="e">
        <f ca="1">IF(AND(V80="Pass",W80="Pass",AG80="Pass",AH80="Pass",AI80="Pass"),"Pass","Fail")</f>
        <v>#REF!</v>
      </c>
    </row>
    <row r="81" spans="14:37">
      <c r="P81" s="240" t="s">
        <v>60</v>
      </c>
      <c r="Q81" s="194">
        <v>28.25</v>
      </c>
      <c r="R81" s="545">
        <f t="shared" si="33"/>
        <v>3243.64</v>
      </c>
      <c r="S81" s="524" t="e">
        <f t="shared" si="34"/>
        <v>#REF!</v>
      </c>
      <c r="T81" s="524" t="e">
        <f>$U$58 + IF($B$2="mil",1,0.0254)*DDR2Specs!$E$9</f>
        <v>#REF!</v>
      </c>
      <c r="U81" s="524" t="e">
        <f>$T$58 + IF($B$2="mil",1,0.0254)*DDR2Specs!$F$9</f>
        <v>#REF!</v>
      </c>
      <c r="V81" s="546" t="e">
        <f>IF($S81&lt;$T81,$T81-$S81,"Pass")</f>
        <v>#REF!</v>
      </c>
      <c r="W81" s="547" t="e">
        <f>IF($S81&gt;$U81,$S81-$U81,"Pass")</f>
        <v>#REF!</v>
      </c>
      <c r="X81" s="554"/>
      <c r="Y81" s="554"/>
      <c r="Z81" s="554"/>
      <c r="AA81" s="554"/>
      <c r="AB81" s="554"/>
      <c r="AC81" s="554"/>
      <c r="AD81" s="554"/>
      <c r="AE81" s="554"/>
      <c r="AF81" s="561" t="s">
        <v>60</v>
      </c>
      <c r="AG81" s="528" t="e">
        <f ca="1">CheckLength2(IF($B$2="mil",1,0.0254)*1200,N55,Q81,0)</f>
        <v>#NAME?</v>
      </c>
      <c r="AH81" s="528" t="e">
        <f>IF(AND(R81&gt;=IF($B$2="mil",1,0.0254)*500, $R81&lt;=IF($B$2="mil",1,0.0254)*6500),"Pass",IF($B$2="mil",1,0.0254)*6500-$R81)</f>
        <v>#REF!</v>
      </c>
      <c r="AI81" s="560" t="e">
        <f>IF(AND($S81&gt;=IF($B$2="mil",1,0.0254)*500, $S81&lt;=IF($B$2="mil",1,0.0254)*7000),"Pass",IF($B$2="mil",1,0.0254)*7000-$S81)</f>
        <v>#REF!</v>
      </c>
      <c r="AJ81" s="162" t="e">
        <f ca="1">IF(AND(V81="Pass",W81="Pass",AG81="Pass",AH81="Pass",AI81="Pass"),"Pass","Fail")</f>
        <v>#REF!</v>
      </c>
    </row>
    <row r="82" spans="14:37">
      <c r="N82" s="329" t="s">
        <v>457</v>
      </c>
      <c r="O82" s="329"/>
      <c r="P82" s="144" t="e">
        <f>"Trace L6-2 ["&amp;$B$2&amp;"]"</f>
        <v>#REF!</v>
      </c>
      <c r="Q82" s="144" t="e">
        <f>"Trace L8-3 ["&amp;$B$2&amp;"]"</f>
        <v>#REF!</v>
      </c>
      <c r="R82" s="550" t="e">
        <f>"Total MB Length to U3 (L0+L1+L2+L5+L6-2+L8-3) ["&amp;$B$2&amp;"]"</f>
        <v>#REF!</v>
      </c>
      <c r="S82" s="550" t="e">
        <f>"Total Pad to Pin U3 (P1+L0+L1+L2+L5+L6-2+L8-3) ["&amp;$B$2&amp;"]"</f>
        <v>#REF!</v>
      </c>
      <c r="T82" s="551" t="e">
        <f>"Target Min Length to U3["&amp;$B$2&amp;"]"</f>
        <v>#REF!</v>
      </c>
      <c r="U82" s="552" t="e">
        <f>"Target Max Length to U3 ["&amp;$B$2&amp;"]"</f>
        <v>#REF!</v>
      </c>
      <c r="V82" s="553" t="e">
        <f>"Routed Too Short to U3 [" &amp;$B$2&amp;"]"</f>
        <v>#REF!</v>
      </c>
      <c r="W82" s="551" t="e">
        <f>"Routed Too Long to U3 [" &amp;$B$2&amp;"]"</f>
        <v>#REF!</v>
      </c>
      <c r="X82" s="554"/>
      <c r="Y82" s="554"/>
      <c r="Z82" s="554"/>
      <c r="AA82" s="554"/>
      <c r="AB82" s="555" t="s">
        <v>457</v>
      </c>
      <c r="AC82" s="556" t="e">
        <f>"L6-2 Length Test (&lt;=" &amp; IF($B$2="mil",1,0.0254)*1000&amp;$B$2&amp;")"</f>
        <v>#REF!</v>
      </c>
      <c r="AD82" s="554"/>
      <c r="AE82" s="554"/>
      <c r="AF82" s="555" t="s">
        <v>457</v>
      </c>
      <c r="AG82" s="556" t="e">
        <f>"L8-3 Length Test (&lt;=" &amp; IF($B$2="mil",1,0.0254)*200&amp;$B$2&amp;") or (L6-2+L8-3&lt;= "&amp;IF($B$2="mil",1,0.0254)*1200&amp;$B$2&amp;")"</f>
        <v>#REF!</v>
      </c>
      <c r="AH82" s="552" t="e">
        <f>"Total Length to U3 (L0+L1+L2+L5+L6-2+L8-3) Test ("&amp;IF($B$2="mil",1,0.0254)*500&amp;"-"&amp;IF($B$2="mil",1,0.0254)*6500&amp;IF($B$2="mil","mil","mm")&amp;")"</f>
        <v>#REF!</v>
      </c>
      <c r="AI82" s="552" t="e">
        <f>"Total Length to U3 (P1+L0+L1+L2+L5+L6-2+L8-3) Test (&lt;="&amp;IF($B$2="mil",1,25.4)*7000&amp;IF($B$2="mil","mil","mm")&amp;")"</f>
        <v>#REF!</v>
      </c>
    </row>
    <row r="83" spans="14:37">
      <c r="N83" s="155" t="s">
        <v>210</v>
      </c>
      <c r="O83" s="155"/>
      <c r="P83" s="156"/>
      <c r="Q83" s="156"/>
      <c r="R83" s="156"/>
      <c r="S83" s="156"/>
      <c r="T83" s="156"/>
      <c r="U83" s="156"/>
      <c r="V83" s="156"/>
      <c r="W83" s="156"/>
      <c r="X83" s="554"/>
      <c r="Y83" s="554"/>
      <c r="Z83" s="554"/>
      <c r="AA83" s="554"/>
      <c r="AB83" s="155" t="s">
        <v>210</v>
      </c>
      <c r="AC83" s="156"/>
      <c r="AD83" s="554"/>
      <c r="AE83" s="554"/>
      <c r="AF83" s="460" t="s">
        <v>210</v>
      </c>
      <c r="AG83" s="156"/>
      <c r="AH83" s="156"/>
      <c r="AI83" s="158"/>
    </row>
    <row r="84" spans="14:37">
      <c r="N84" s="263" t="s">
        <v>214</v>
      </c>
      <c r="O84" s="263"/>
      <c r="P84" s="166"/>
      <c r="Q84" s="166"/>
      <c r="R84" s="166"/>
      <c r="S84" s="540" t="s">
        <v>226</v>
      </c>
      <c r="T84" s="168" t="e">
        <f>MIN('DDR2 Clocks - 2L'!$R$7:$R$8)</f>
        <v>#REF!</v>
      </c>
      <c r="U84" s="541" t="e">
        <f>MAX('DDR2 Clocks - 2L'!$R$7:$R$8)</f>
        <v>#REF!</v>
      </c>
      <c r="V84" s="542"/>
      <c r="W84" s="168"/>
      <c r="X84" s="554"/>
      <c r="Y84" s="554"/>
      <c r="Z84" s="554"/>
      <c r="AA84" s="554"/>
      <c r="AB84" s="163" t="s">
        <v>214</v>
      </c>
      <c r="AC84" s="538"/>
      <c r="AD84" s="554"/>
      <c r="AE84" s="554"/>
      <c r="AF84" s="163" t="s">
        <v>214</v>
      </c>
      <c r="AG84" s="538"/>
      <c r="AH84" s="538"/>
      <c r="AI84" s="539"/>
    </row>
    <row r="85" spans="14:37">
      <c r="N85" s="205" t="s">
        <v>229</v>
      </c>
      <c r="O85" s="410"/>
      <c r="P85" s="181"/>
      <c r="Q85" s="181"/>
      <c r="R85" s="181"/>
      <c r="S85" s="179"/>
      <c r="T85" s="179"/>
      <c r="U85" s="531"/>
      <c r="V85" s="531"/>
      <c r="W85" s="179"/>
      <c r="X85" s="554"/>
      <c r="Y85" s="554"/>
      <c r="Z85" s="554"/>
      <c r="AA85" s="554"/>
      <c r="AB85" s="155" t="s">
        <v>229</v>
      </c>
      <c r="AC85" s="179"/>
      <c r="AD85" s="554"/>
      <c r="AE85" s="554"/>
      <c r="AF85" s="460" t="s">
        <v>229</v>
      </c>
      <c r="AG85" s="179"/>
      <c r="AH85" s="179"/>
      <c r="AI85" s="273"/>
    </row>
    <row r="86" spans="14:37">
      <c r="N86" s="186" t="s">
        <v>196</v>
      </c>
      <c r="O86" s="186"/>
      <c r="P86" s="306">
        <v>400</v>
      </c>
      <c r="Q86" s="409">
        <v>112.93</v>
      </c>
      <c r="R86" s="545">
        <f>SUM($E34:$G34,$M34,$P86,$Q86)</f>
        <v>3506.97</v>
      </c>
      <c r="S86" s="524" t="e">
        <f>$R86+IF($B$2="mil",1,0.0254)*$C34</f>
        <v>#REF!</v>
      </c>
      <c r="T86" s="524" t="e">
        <f>$U$84 + IF($B$2="mil",1,0.0254)*DDR2Specs!$E$9</f>
        <v>#REF!</v>
      </c>
      <c r="U86" s="524" t="e">
        <f>$T$84 + IF($B$2="mil",1,0.0254)*DDR2Specs!$F$9</f>
        <v>#REF!</v>
      </c>
      <c r="V86" s="546" t="e">
        <f t="shared" ref="V86:V99" si="38">IF($S86&lt;$T86,$T86-$S86,"Pass")</f>
        <v>#REF!</v>
      </c>
      <c r="W86" s="547" t="e">
        <f t="shared" ref="W86:W99" si="39">IF($S86&gt;$U86,$S86-$U86,"Pass")</f>
        <v>#REF!</v>
      </c>
      <c r="X86" s="554"/>
      <c r="Y86" s="554"/>
      <c r="Z86" s="554"/>
      <c r="AA86" s="554"/>
      <c r="AB86" s="565" t="s">
        <v>196</v>
      </c>
      <c r="AC86" s="560" t="e">
        <f>IF(P86&lt;=IF($B$2="mil",1,0.0254)*1000,"Pass",IF($B$2="mil",1,0.0254)*1000-P86)</f>
        <v>#REF!</v>
      </c>
      <c r="AD86" s="554"/>
      <c r="AE86" s="554"/>
      <c r="AF86" s="559" t="s">
        <v>196</v>
      </c>
      <c r="AG86" s="528" t="e">
        <f ca="1">CheckLength2(IF($B$2="mil",1,0.0254)*1200,P86,Q86,0)</f>
        <v>#NAME?</v>
      </c>
      <c r="AH86" s="528" t="e">
        <f>IF(AND(R86&gt;=IF($B$2="mil",1,0.0254)*500, $R86&lt;=IF($B$2="mil",1,0.0254)*6500),"Pass",IF($B$2="mil",1,0.0254)*6500-$R86)</f>
        <v>#REF!</v>
      </c>
      <c r="AI86" s="560" t="e">
        <f>IF(AND($S86&gt;=IF($B$2="mil",1,0.0254)*500, $S86&lt;=IF($B$2="mil",1,0.0254)*7000),"Pass",IF($B$2="mil",1,0.0254)*7000-$S86)</f>
        <v>#REF!</v>
      </c>
      <c r="AJ86" s="162" t="e">
        <f t="shared" ref="AJ86:AJ99" ca="1" si="40">IF(AND(V86="Pass",W86="Pass",AG86="Pass",AH86="Pass",AI86="Pass"),"Pass","Fail")</f>
        <v>#REF!</v>
      </c>
      <c r="AK86" s="162" t="e">
        <f ca="1">IF(AND(AJ86="Pass",AJ87="Pass",AJ88="Pass",AJ89="Pass",AJ90="Pass",AJ91="Pass",AJ92="Pass",AJ93="Pass",AJ94="Pass",AJ95="Pass",AJ96="Pass"),"Pass","Fail")</f>
        <v>#REF!</v>
      </c>
    </row>
    <row r="87" spans="14:37">
      <c r="N87" s="243" t="s">
        <v>39</v>
      </c>
      <c r="O87" s="243"/>
      <c r="P87" s="306">
        <v>500</v>
      </c>
      <c r="Q87" s="409">
        <v>93.83</v>
      </c>
      <c r="R87" s="545">
        <f t="shared" ref="R87:R107" si="41">SUM($E35:$G35,$M35,$P87,$Q87)</f>
        <v>3325.44</v>
      </c>
      <c r="S87" s="524" t="e">
        <f t="shared" ref="S87:S107" si="42">$R87+IF($B$2="mil",1,0.0254)*$C35</f>
        <v>#REF!</v>
      </c>
      <c r="T87" s="524" t="e">
        <f>$U$84 + IF($B$2="mil",1,0.0254)*DDR2Specs!$E$9</f>
        <v>#REF!</v>
      </c>
      <c r="U87" s="524" t="e">
        <f>$T$84 + IF($B$2="mil",1,0.0254)*DDR2Specs!$F$9</f>
        <v>#REF!</v>
      </c>
      <c r="V87" s="546" t="e">
        <f t="shared" si="38"/>
        <v>#REF!</v>
      </c>
      <c r="W87" s="547" t="e">
        <f t="shared" si="39"/>
        <v>#REF!</v>
      </c>
      <c r="X87" s="554"/>
      <c r="Y87" s="554"/>
      <c r="Z87" s="554"/>
      <c r="AA87" s="554"/>
      <c r="AB87" s="566" t="s">
        <v>39</v>
      </c>
      <c r="AC87" s="560" t="e">
        <f t="shared" ref="AC87:AC99" si="43">IF(P87&lt;=IF($B$2="mil",1,0.0254)*1000,"Pass",IF($B$2="mil",1,0.0254)*1000-P87)</f>
        <v>#REF!</v>
      </c>
      <c r="AD87" s="554"/>
      <c r="AE87" s="554"/>
      <c r="AF87" s="561" t="s">
        <v>39</v>
      </c>
      <c r="AG87" s="528" t="e">
        <f t="shared" ref="AG87:AG99" ca="1" si="44">CheckLength2(IF($B$2="mil",1,0.0254)*1200,P87,Q87,0)</f>
        <v>#NAME?</v>
      </c>
      <c r="AH87" s="528" t="e">
        <f t="shared" ref="AH87:AH99" si="45">IF(AND(R87&gt;=IF($B$2="mil",1,0.0254)*500, $R87&lt;=IF($B$2="mil",1,0.0254)*6500),"Pass",IF($B$2="mil",1,0.0254)*6500-$R87)</f>
        <v>#REF!</v>
      </c>
      <c r="AI87" s="560" t="e">
        <f t="shared" ref="AI87:AI99" si="46">IF(AND($S87&gt;=IF($B$2="mil",1,0.0254)*500, $S87&lt;=IF($B$2="mil",1,0.0254)*7000),"Pass",IF($B$2="mil",1,0.0254)*7000-$S87)</f>
        <v>#REF!</v>
      </c>
      <c r="AJ87" s="162" t="e">
        <f t="shared" ca="1" si="40"/>
        <v>#REF!</v>
      </c>
      <c r="AK87" s="162" t="e">
        <f ca="1">IF(AND(AJ97="Pass",AJ98="Pass",AJ99="Pass",AJ101="Pass",AJ102="Pass",AJ103="Pass",AJ105="Pass",AJ106="Pass",AJ107="Pass"),"Pass","Fail")</f>
        <v>#REF!</v>
      </c>
    </row>
    <row r="88" spans="14:37">
      <c r="N88" s="243" t="s">
        <v>40</v>
      </c>
      <c r="O88" s="243"/>
      <c r="P88" s="306">
        <v>500</v>
      </c>
      <c r="Q88" s="409">
        <v>112.45</v>
      </c>
      <c r="R88" s="545">
        <f t="shared" si="41"/>
        <v>3249.34</v>
      </c>
      <c r="S88" s="524" t="e">
        <f t="shared" si="42"/>
        <v>#REF!</v>
      </c>
      <c r="T88" s="524" t="e">
        <f>$U$84 + IF($B$2="mil",1,0.0254)*DDR2Specs!$E$9</f>
        <v>#REF!</v>
      </c>
      <c r="U88" s="524" t="e">
        <f>$T$84 + IF($B$2="mil",1,0.0254)*DDR2Specs!$F$9</f>
        <v>#REF!</v>
      </c>
      <c r="V88" s="546" t="e">
        <f t="shared" si="38"/>
        <v>#REF!</v>
      </c>
      <c r="W88" s="547" t="e">
        <f t="shared" si="39"/>
        <v>#REF!</v>
      </c>
      <c r="X88" s="554"/>
      <c r="Y88" s="554"/>
      <c r="Z88" s="554"/>
      <c r="AA88" s="554"/>
      <c r="AB88" s="566" t="s">
        <v>40</v>
      </c>
      <c r="AC88" s="560" t="e">
        <f t="shared" si="43"/>
        <v>#REF!</v>
      </c>
      <c r="AD88" s="554"/>
      <c r="AE88" s="554"/>
      <c r="AF88" s="561" t="s">
        <v>40</v>
      </c>
      <c r="AG88" s="528" t="e">
        <f t="shared" ca="1" si="44"/>
        <v>#NAME?</v>
      </c>
      <c r="AH88" s="528" t="e">
        <f t="shared" si="45"/>
        <v>#REF!</v>
      </c>
      <c r="AI88" s="560" t="e">
        <f t="shared" si="46"/>
        <v>#REF!</v>
      </c>
      <c r="AJ88" s="162" t="e">
        <f t="shared" ca="1" si="40"/>
        <v>#REF!</v>
      </c>
    </row>
    <row r="89" spans="14:37">
      <c r="N89" s="243" t="s">
        <v>41</v>
      </c>
      <c r="O89" s="243"/>
      <c r="P89" s="306">
        <v>300</v>
      </c>
      <c r="Q89" s="409">
        <v>76.09</v>
      </c>
      <c r="R89" s="545">
        <f t="shared" si="41"/>
        <v>3264.9</v>
      </c>
      <c r="S89" s="524" t="e">
        <f t="shared" si="42"/>
        <v>#REF!</v>
      </c>
      <c r="T89" s="524" t="e">
        <f>$U$84 + IF($B$2="mil",1,0.0254)*DDR2Specs!$E$9</f>
        <v>#REF!</v>
      </c>
      <c r="U89" s="524" t="e">
        <f>$T$84 + IF($B$2="mil",1,0.0254)*DDR2Specs!$F$9</f>
        <v>#REF!</v>
      </c>
      <c r="V89" s="546" t="e">
        <f t="shared" si="38"/>
        <v>#REF!</v>
      </c>
      <c r="W89" s="547" t="e">
        <f t="shared" si="39"/>
        <v>#REF!</v>
      </c>
      <c r="X89" s="554"/>
      <c r="Y89" s="554"/>
      <c r="Z89" s="554"/>
      <c r="AA89" s="554"/>
      <c r="AB89" s="566" t="s">
        <v>41</v>
      </c>
      <c r="AC89" s="560" t="e">
        <f t="shared" si="43"/>
        <v>#REF!</v>
      </c>
      <c r="AD89" s="554"/>
      <c r="AE89" s="554"/>
      <c r="AF89" s="561" t="s">
        <v>41</v>
      </c>
      <c r="AG89" s="528" t="e">
        <f t="shared" ca="1" si="44"/>
        <v>#NAME?</v>
      </c>
      <c r="AH89" s="528" t="e">
        <f t="shared" si="45"/>
        <v>#REF!</v>
      </c>
      <c r="AI89" s="560" t="e">
        <f t="shared" si="46"/>
        <v>#REF!</v>
      </c>
      <c r="AJ89" s="162" t="e">
        <f t="shared" ca="1" si="40"/>
        <v>#REF!</v>
      </c>
    </row>
    <row r="90" spans="14:37">
      <c r="N90" s="243" t="s">
        <v>42</v>
      </c>
      <c r="O90" s="243"/>
      <c r="P90" s="306">
        <v>600</v>
      </c>
      <c r="Q90" s="409">
        <v>70.48</v>
      </c>
      <c r="R90" s="545">
        <f t="shared" si="41"/>
        <v>3139.4900000000002</v>
      </c>
      <c r="S90" s="524" t="e">
        <f t="shared" si="42"/>
        <v>#REF!</v>
      </c>
      <c r="T90" s="524" t="e">
        <f>$U$84 + IF($B$2="mil",1,0.0254)*DDR2Specs!$E$9</f>
        <v>#REF!</v>
      </c>
      <c r="U90" s="524" t="e">
        <f>$T$84 + IF($B$2="mil",1,0.0254)*DDR2Specs!$F$9</f>
        <v>#REF!</v>
      </c>
      <c r="V90" s="546" t="e">
        <f t="shared" si="38"/>
        <v>#REF!</v>
      </c>
      <c r="W90" s="547" t="e">
        <f t="shared" si="39"/>
        <v>#REF!</v>
      </c>
      <c r="X90" s="554"/>
      <c r="Y90" s="554"/>
      <c r="Z90" s="554"/>
      <c r="AA90" s="554"/>
      <c r="AB90" s="566" t="s">
        <v>42</v>
      </c>
      <c r="AC90" s="560" t="e">
        <f t="shared" si="43"/>
        <v>#REF!</v>
      </c>
      <c r="AD90" s="554"/>
      <c r="AE90" s="554"/>
      <c r="AF90" s="561" t="s">
        <v>42</v>
      </c>
      <c r="AG90" s="528" t="e">
        <f t="shared" ca="1" si="44"/>
        <v>#NAME?</v>
      </c>
      <c r="AH90" s="528" t="e">
        <f t="shared" si="45"/>
        <v>#REF!</v>
      </c>
      <c r="AI90" s="560" t="e">
        <f t="shared" si="46"/>
        <v>#REF!</v>
      </c>
      <c r="AJ90" s="162" t="e">
        <f t="shared" ca="1" si="40"/>
        <v>#REF!</v>
      </c>
    </row>
    <row r="91" spans="14:37">
      <c r="N91" s="243" t="s">
        <v>43</v>
      </c>
      <c r="O91" s="243"/>
      <c r="P91" s="306">
        <v>200</v>
      </c>
      <c r="Q91" s="409">
        <v>45.3</v>
      </c>
      <c r="R91" s="545">
        <f t="shared" si="41"/>
        <v>3286.37</v>
      </c>
      <c r="S91" s="524" t="e">
        <f t="shared" si="42"/>
        <v>#REF!</v>
      </c>
      <c r="T91" s="524" t="e">
        <f>$U$84 + IF($B$2="mil",1,0.0254)*DDR2Specs!$E$9</f>
        <v>#REF!</v>
      </c>
      <c r="U91" s="524" t="e">
        <f>$T$84 + IF($B$2="mil",1,0.0254)*DDR2Specs!$F$9</f>
        <v>#REF!</v>
      </c>
      <c r="V91" s="546" t="e">
        <f t="shared" si="38"/>
        <v>#REF!</v>
      </c>
      <c r="W91" s="547" t="e">
        <f t="shared" si="39"/>
        <v>#REF!</v>
      </c>
      <c r="X91" s="554"/>
      <c r="Y91" s="554"/>
      <c r="Z91" s="554"/>
      <c r="AA91" s="554"/>
      <c r="AB91" s="566" t="s">
        <v>43</v>
      </c>
      <c r="AC91" s="560" t="e">
        <f t="shared" si="43"/>
        <v>#REF!</v>
      </c>
      <c r="AD91" s="554"/>
      <c r="AE91" s="554"/>
      <c r="AF91" s="561" t="s">
        <v>43</v>
      </c>
      <c r="AG91" s="528" t="e">
        <f t="shared" ca="1" si="44"/>
        <v>#NAME?</v>
      </c>
      <c r="AH91" s="528" t="e">
        <f t="shared" si="45"/>
        <v>#REF!</v>
      </c>
      <c r="AI91" s="560" t="e">
        <f t="shared" si="46"/>
        <v>#REF!</v>
      </c>
      <c r="AJ91" s="162" t="e">
        <f t="shared" ca="1" si="40"/>
        <v>#REF!</v>
      </c>
    </row>
    <row r="92" spans="14:37">
      <c r="N92" s="243" t="s">
        <v>44</v>
      </c>
      <c r="O92" s="243"/>
      <c r="P92" s="306">
        <v>200</v>
      </c>
      <c r="Q92" s="409">
        <v>76.069999999999993</v>
      </c>
      <c r="R92" s="545">
        <f t="shared" si="41"/>
        <v>3342</v>
      </c>
      <c r="S92" s="524" t="e">
        <f t="shared" si="42"/>
        <v>#REF!</v>
      </c>
      <c r="T92" s="524" t="e">
        <f>$U$84 + IF($B$2="mil",1,0.0254)*DDR2Specs!$E$9</f>
        <v>#REF!</v>
      </c>
      <c r="U92" s="524" t="e">
        <f>$T$84 + IF($B$2="mil",1,0.0254)*DDR2Specs!$F$9</f>
        <v>#REF!</v>
      </c>
      <c r="V92" s="546" t="e">
        <f t="shared" si="38"/>
        <v>#REF!</v>
      </c>
      <c r="W92" s="547" t="e">
        <f t="shared" si="39"/>
        <v>#REF!</v>
      </c>
      <c r="X92" s="554"/>
      <c r="Y92" s="554"/>
      <c r="Z92" s="554"/>
      <c r="AA92" s="554"/>
      <c r="AB92" s="566" t="s">
        <v>44</v>
      </c>
      <c r="AC92" s="560" t="e">
        <f t="shared" si="43"/>
        <v>#REF!</v>
      </c>
      <c r="AD92" s="554"/>
      <c r="AE92" s="554"/>
      <c r="AF92" s="561" t="s">
        <v>44</v>
      </c>
      <c r="AG92" s="528" t="e">
        <f t="shared" ca="1" si="44"/>
        <v>#NAME?</v>
      </c>
      <c r="AH92" s="528" t="e">
        <f t="shared" si="45"/>
        <v>#REF!</v>
      </c>
      <c r="AI92" s="560" t="e">
        <f t="shared" si="46"/>
        <v>#REF!</v>
      </c>
      <c r="AJ92" s="162" t="e">
        <f t="shared" ca="1" si="40"/>
        <v>#REF!</v>
      </c>
    </row>
    <row r="93" spans="14:37">
      <c r="N93" s="243" t="s">
        <v>46</v>
      </c>
      <c r="O93" s="243"/>
      <c r="P93" s="306">
        <v>200</v>
      </c>
      <c r="Q93" s="409">
        <v>76.09</v>
      </c>
      <c r="R93" s="545">
        <f t="shared" si="41"/>
        <v>3234.04</v>
      </c>
      <c r="S93" s="524" t="e">
        <f t="shared" si="42"/>
        <v>#REF!</v>
      </c>
      <c r="T93" s="524" t="e">
        <f>$U$84 + IF($B$2="mil",1,0.0254)*DDR2Specs!$E$9</f>
        <v>#REF!</v>
      </c>
      <c r="U93" s="524" t="e">
        <f>$T$84 + IF($B$2="mil",1,0.0254)*DDR2Specs!$F$9</f>
        <v>#REF!</v>
      </c>
      <c r="V93" s="546" t="e">
        <f t="shared" si="38"/>
        <v>#REF!</v>
      </c>
      <c r="W93" s="547" t="e">
        <f t="shared" si="39"/>
        <v>#REF!</v>
      </c>
      <c r="X93" s="554"/>
      <c r="Y93" s="554"/>
      <c r="Z93" s="554"/>
      <c r="AA93" s="554"/>
      <c r="AB93" s="566" t="s">
        <v>46</v>
      </c>
      <c r="AC93" s="560" t="e">
        <f t="shared" si="43"/>
        <v>#REF!</v>
      </c>
      <c r="AD93" s="554"/>
      <c r="AE93" s="554"/>
      <c r="AF93" s="561" t="s">
        <v>46</v>
      </c>
      <c r="AG93" s="528" t="e">
        <f t="shared" ca="1" si="44"/>
        <v>#NAME?</v>
      </c>
      <c r="AH93" s="528" t="e">
        <f t="shared" si="45"/>
        <v>#REF!</v>
      </c>
      <c r="AI93" s="560" t="e">
        <f t="shared" si="46"/>
        <v>#REF!</v>
      </c>
      <c r="AJ93" s="162" t="e">
        <f t="shared" ca="1" si="40"/>
        <v>#REF!</v>
      </c>
    </row>
    <row r="94" spans="14:37">
      <c r="N94" s="243" t="s">
        <v>47</v>
      </c>
      <c r="O94" s="243"/>
      <c r="P94" s="306">
        <v>750</v>
      </c>
      <c r="Q94" s="409">
        <v>55.8</v>
      </c>
      <c r="R94" s="545">
        <f t="shared" si="41"/>
        <v>3266.4100000000003</v>
      </c>
      <c r="S94" s="524" t="e">
        <f t="shared" si="42"/>
        <v>#REF!</v>
      </c>
      <c r="T94" s="524" t="e">
        <f>$U$84 + IF($B$2="mil",1,0.0254)*DDR2Specs!$E$9</f>
        <v>#REF!</v>
      </c>
      <c r="U94" s="524" t="e">
        <f>$T$84 + IF($B$2="mil",1,0.0254)*DDR2Specs!$F$9</f>
        <v>#REF!</v>
      </c>
      <c r="V94" s="546" t="e">
        <f t="shared" si="38"/>
        <v>#REF!</v>
      </c>
      <c r="W94" s="547" t="e">
        <f t="shared" si="39"/>
        <v>#REF!</v>
      </c>
      <c r="X94" s="554"/>
      <c r="Y94" s="554"/>
      <c r="Z94" s="554"/>
      <c r="AA94" s="554"/>
      <c r="AB94" s="566" t="s">
        <v>47</v>
      </c>
      <c r="AC94" s="560" t="e">
        <f t="shared" si="43"/>
        <v>#REF!</v>
      </c>
      <c r="AD94" s="554"/>
      <c r="AE94" s="554"/>
      <c r="AF94" s="561" t="s">
        <v>47</v>
      </c>
      <c r="AG94" s="528" t="e">
        <f t="shared" ca="1" si="44"/>
        <v>#NAME?</v>
      </c>
      <c r="AH94" s="528" t="e">
        <f t="shared" si="45"/>
        <v>#REF!</v>
      </c>
      <c r="AI94" s="560" t="e">
        <f t="shared" si="46"/>
        <v>#REF!</v>
      </c>
      <c r="AJ94" s="162" t="e">
        <f t="shared" ca="1" si="40"/>
        <v>#REF!</v>
      </c>
    </row>
    <row r="95" spans="14:37">
      <c r="N95" s="243" t="s">
        <v>48</v>
      </c>
      <c r="O95" s="243"/>
      <c r="P95" s="306">
        <v>350</v>
      </c>
      <c r="Q95" s="409">
        <v>73.59</v>
      </c>
      <c r="R95" s="545">
        <f t="shared" si="41"/>
        <v>3536.25</v>
      </c>
      <c r="S95" s="524" t="e">
        <f t="shared" si="42"/>
        <v>#REF!</v>
      </c>
      <c r="T95" s="524" t="e">
        <f>$U$84 + IF($B$2="mil",1,0.0254)*DDR2Specs!$E$9</f>
        <v>#REF!</v>
      </c>
      <c r="U95" s="524" t="e">
        <f>$T$84 + IF($B$2="mil",1,0.0254)*DDR2Specs!$F$9</f>
        <v>#REF!</v>
      </c>
      <c r="V95" s="546" t="e">
        <f t="shared" si="38"/>
        <v>#REF!</v>
      </c>
      <c r="W95" s="547" t="e">
        <f t="shared" si="39"/>
        <v>#REF!</v>
      </c>
      <c r="X95" s="554"/>
      <c r="Y95" s="554"/>
      <c r="Z95" s="554"/>
      <c r="AA95" s="554"/>
      <c r="AB95" s="566" t="s">
        <v>48</v>
      </c>
      <c r="AC95" s="560" t="e">
        <f t="shared" si="43"/>
        <v>#REF!</v>
      </c>
      <c r="AD95" s="554"/>
      <c r="AE95" s="554"/>
      <c r="AF95" s="561" t="s">
        <v>48</v>
      </c>
      <c r="AG95" s="528" t="e">
        <f t="shared" ca="1" si="44"/>
        <v>#NAME?</v>
      </c>
      <c r="AH95" s="528" t="e">
        <f t="shared" si="45"/>
        <v>#REF!</v>
      </c>
      <c r="AI95" s="560" t="e">
        <f t="shared" si="46"/>
        <v>#REF!</v>
      </c>
      <c r="AJ95" s="162" t="e">
        <f t="shared" ca="1" si="40"/>
        <v>#REF!</v>
      </c>
    </row>
    <row r="96" spans="14:37">
      <c r="N96" s="243" t="s">
        <v>50</v>
      </c>
      <c r="O96" s="243"/>
      <c r="P96" s="306">
        <v>250</v>
      </c>
      <c r="Q96" s="409">
        <v>31.54</v>
      </c>
      <c r="R96" s="545">
        <f t="shared" si="41"/>
        <v>3340.33</v>
      </c>
      <c r="S96" s="524" t="e">
        <f t="shared" si="42"/>
        <v>#REF!</v>
      </c>
      <c r="T96" s="524" t="e">
        <f>$U$84 + IF($B$2="mil",1,0.0254)*DDR2Specs!$E$9</f>
        <v>#REF!</v>
      </c>
      <c r="U96" s="524" t="e">
        <f>$T$84 + IF($B$2="mil",1,0.0254)*DDR2Specs!$F$9</f>
        <v>#REF!</v>
      </c>
      <c r="V96" s="546" t="e">
        <f t="shared" si="38"/>
        <v>#REF!</v>
      </c>
      <c r="W96" s="547" t="e">
        <f t="shared" si="39"/>
        <v>#REF!</v>
      </c>
      <c r="X96" s="554"/>
      <c r="Y96" s="554"/>
      <c r="Z96" s="554"/>
      <c r="AA96" s="554"/>
      <c r="AB96" s="566" t="s">
        <v>50</v>
      </c>
      <c r="AC96" s="560" t="e">
        <f t="shared" si="43"/>
        <v>#REF!</v>
      </c>
      <c r="AD96" s="554"/>
      <c r="AE96" s="554"/>
      <c r="AF96" s="561" t="s">
        <v>50</v>
      </c>
      <c r="AG96" s="528" t="e">
        <f t="shared" ca="1" si="44"/>
        <v>#NAME?</v>
      </c>
      <c r="AH96" s="528" t="e">
        <f t="shared" si="45"/>
        <v>#REF!</v>
      </c>
      <c r="AI96" s="560" t="e">
        <f t="shared" si="46"/>
        <v>#REF!</v>
      </c>
      <c r="AJ96" s="162" t="e">
        <f t="shared" ca="1" si="40"/>
        <v>#REF!</v>
      </c>
    </row>
    <row r="97" spans="14:37">
      <c r="N97" s="243" t="s">
        <v>51</v>
      </c>
      <c r="O97" s="243"/>
      <c r="P97" s="306">
        <v>250</v>
      </c>
      <c r="Q97" s="409">
        <v>69.180000000000007</v>
      </c>
      <c r="R97" s="545">
        <f t="shared" si="41"/>
        <v>3405.41</v>
      </c>
      <c r="S97" s="524" t="e">
        <f t="shared" si="42"/>
        <v>#REF!</v>
      </c>
      <c r="T97" s="524" t="e">
        <f>$U$84 + IF($B$2="mil",1,0.0254)*DDR2Specs!$E$9</f>
        <v>#REF!</v>
      </c>
      <c r="U97" s="524" t="e">
        <f>$T$84 + IF($B$2="mil",1,0.0254)*DDR2Specs!$F$9</f>
        <v>#REF!</v>
      </c>
      <c r="V97" s="546" t="e">
        <f t="shared" si="38"/>
        <v>#REF!</v>
      </c>
      <c r="W97" s="547" t="e">
        <f t="shared" si="39"/>
        <v>#REF!</v>
      </c>
      <c r="X97" s="554"/>
      <c r="Y97" s="554"/>
      <c r="Z97" s="554"/>
      <c r="AA97" s="554"/>
      <c r="AB97" s="566" t="s">
        <v>51</v>
      </c>
      <c r="AC97" s="560" t="e">
        <f t="shared" si="43"/>
        <v>#REF!</v>
      </c>
      <c r="AD97" s="554"/>
      <c r="AE97" s="554"/>
      <c r="AF97" s="561" t="s">
        <v>51</v>
      </c>
      <c r="AG97" s="528" t="e">
        <f t="shared" ca="1" si="44"/>
        <v>#NAME?</v>
      </c>
      <c r="AH97" s="528" t="e">
        <f t="shared" si="45"/>
        <v>#REF!</v>
      </c>
      <c r="AI97" s="560" t="e">
        <f t="shared" si="46"/>
        <v>#REF!</v>
      </c>
      <c r="AJ97" s="162" t="e">
        <f t="shared" ca="1" si="40"/>
        <v>#REF!</v>
      </c>
    </row>
    <row r="98" spans="14:37">
      <c r="N98" s="243" t="s">
        <v>52</v>
      </c>
      <c r="O98" s="243"/>
      <c r="P98" s="306">
        <v>140</v>
      </c>
      <c r="Q98" s="409">
        <v>29.07</v>
      </c>
      <c r="R98" s="545">
        <f t="shared" si="41"/>
        <v>3463.34</v>
      </c>
      <c r="S98" s="524" t="e">
        <f t="shared" si="42"/>
        <v>#REF!</v>
      </c>
      <c r="T98" s="524" t="e">
        <f>$U$84 + IF($B$2="mil",1,0.0254)*DDR2Specs!$E$9</f>
        <v>#REF!</v>
      </c>
      <c r="U98" s="524" t="e">
        <f>$T$84 + IF($B$2="mil",1,0.0254)*DDR2Specs!$F$9</f>
        <v>#REF!</v>
      </c>
      <c r="V98" s="546" t="e">
        <f t="shared" si="38"/>
        <v>#REF!</v>
      </c>
      <c r="W98" s="547" t="e">
        <f t="shared" si="39"/>
        <v>#REF!</v>
      </c>
      <c r="X98" s="554"/>
      <c r="Y98" s="554"/>
      <c r="Z98" s="554"/>
      <c r="AA98" s="554"/>
      <c r="AB98" s="566" t="s">
        <v>52</v>
      </c>
      <c r="AC98" s="560" t="e">
        <f t="shared" si="43"/>
        <v>#REF!</v>
      </c>
      <c r="AD98" s="554"/>
      <c r="AE98" s="554"/>
      <c r="AF98" s="561" t="s">
        <v>52</v>
      </c>
      <c r="AG98" s="528" t="e">
        <f t="shared" ca="1" si="44"/>
        <v>#NAME?</v>
      </c>
      <c r="AH98" s="528" t="e">
        <f t="shared" si="45"/>
        <v>#REF!</v>
      </c>
      <c r="AI98" s="560" t="e">
        <f t="shared" si="46"/>
        <v>#REF!</v>
      </c>
      <c r="AJ98" s="162" t="e">
        <f t="shared" ca="1" si="40"/>
        <v>#REF!</v>
      </c>
    </row>
    <row r="99" spans="14:37">
      <c r="N99" s="243" t="s">
        <v>53</v>
      </c>
      <c r="O99" s="243"/>
      <c r="P99" s="306">
        <v>120</v>
      </c>
      <c r="Q99" s="409">
        <v>29.07</v>
      </c>
      <c r="R99" s="545">
        <f t="shared" si="41"/>
        <v>3343.34</v>
      </c>
      <c r="S99" s="524" t="e">
        <f t="shared" si="42"/>
        <v>#REF!</v>
      </c>
      <c r="T99" s="524" t="e">
        <f>$U$84 + IF($B$2="mil",1,0.0254)*DDR2Specs!$E$9</f>
        <v>#REF!</v>
      </c>
      <c r="U99" s="524" t="e">
        <f>$T$84 + IF($B$2="mil",1,0.0254)*DDR2Specs!$F$9</f>
        <v>#REF!</v>
      </c>
      <c r="V99" s="546" t="e">
        <f t="shared" si="38"/>
        <v>#REF!</v>
      </c>
      <c r="W99" s="547" t="e">
        <f t="shared" si="39"/>
        <v>#REF!</v>
      </c>
      <c r="X99" s="554"/>
      <c r="Y99" s="554"/>
      <c r="Z99" s="554"/>
      <c r="AA99" s="554"/>
      <c r="AB99" s="566" t="s">
        <v>53</v>
      </c>
      <c r="AC99" s="560" t="e">
        <f t="shared" si="43"/>
        <v>#REF!</v>
      </c>
      <c r="AD99" s="554"/>
      <c r="AE99" s="554"/>
      <c r="AF99" s="561" t="s">
        <v>53</v>
      </c>
      <c r="AG99" s="528" t="e">
        <f t="shared" ca="1" si="44"/>
        <v>#NAME?</v>
      </c>
      <c r="AH99" s="528" t="e">
        <f t="shared" si="45"/>
        <v>#REF!</v>
      </c>
      <c r="AI99" s="560" t="e">
        <f t="shared" si="46"/>
        <v>#REF!</v>
      </c>
      <c r="AJ99" s="162" t="e">
        <f t="shared" ca="1" si="40"/>
        <v>#REF!</v>
      </c>
    </row>
    <row r="100" spans="14:37">
      <c r="N100" s="205" t="s">
        <v>230</v>
      </c>
      <c r="O100" s="205"/>
      <c r="P100" s="338"/>
      <c r="Q100" s="331"/>
      <c r="R100" s="207"/>
      <c r="S100" s="207"/>
      <c r="T100" s="207"/>
      <c r="U100" s="207"/>
      <c r="V100" s="430"/>
      <c r="W100" s="430"/>
      <c r="X100" s="554"/>
      <c r="Y100" s="554"/>
      <c r="Z100" s="554"/>
      <c r="AA100" s="554"/>
      <c r="AB100" s="155" t="s">
        <v>230</v>
      </c>
      <c r="AC100" s="273"/>
      <c r="AD100" s="554"/>
      <c r="AE100" s="554"/>
      <c r="AF100" s="460" t="s">
        <v>230</v>
      </c>
      <c r="AG100" s="179"/>
      <c r="AH100" s="179"/>
      <c r="AI100" s="562"/>
    </row>
    <row r="101" spans="14:37">
      <c r="N101" s="186" t="s">
        <v>54</v>
      </c>
      <c r="O101" s="186"/>
      <c r="P101" s="303">
        <v>40.28</v>
      </c>
      <c r="Q101" s="345">
        <v>75.430000000000007</v>
      </c>
      <c r="R101" s="545">
        <f t="shared" si="41"/>
        <v>3396.0499999999997</v>
      </c>
      <c r="S101" s="524" t="e">
        <f t="shared" si="42"/>
        <v>#REF!</v>
      </c>
      <c r="T101" s="524" t="e">
        <f>$U$84 + IF($B$2="mil",1,0.0254)*DDR2Specs!$E$9</f>
        <v>#REF!</v>
      </c>
      <c r="U101" s="524" t="e">
        <f>$T$84 + IF($B$2="mil",1,0.0254)*DDR2Specs!$F$9</f>
        <v>#REF!</v>
      </c>
      <c r="V101" s="546" t="e">
        <f>IF($S101&lt;$T101,$T101-$S101,"Pass")</f>
        <v>#REF!</v>
      </c>
      <c r="W101" s="547" t="e">
        <f>IF($S101&gt;$U101,$S101-$U101,"Pass")</f>
        <v>#REF!</v>
      </c>
      <c r="X101" s="554"/>
      <c r="Y101" s="554"/>
      <c r="Z101" s="554"/>
      <c r="AA101" s="554"/>
      <c r="AB101" s="565" t="s">
        <v>54</v>
      </c>
      <c r="AC101" s="560" t="e">
        <f>IF(P101&lt;=IF($B$2="mil",1,0.0254)*1000,"Pass",IF($B$2="mil",1,0.0254)*1000-P101)</f>
        <v>#REF!</v>
      </c>
      <c r="AD101" s="554"/>
      <c r="AE101" s="554"/>
      <c r="AF101" s="559" t="s">
        <v>54</v>
      </c>
      <c r="AG101" s="528" t="e">
        <f ca="1">CheckLength2(IF($B$2="mil",1,0.0254)*1200,P101,Q101,0)</f>
        <v>#NAME?</v>
      </c>
      <c r="AH101" s="528" t="e">
        <f>IF(AND(R101&gt;=IF($B$2="mil",1,0.0254)*500, $R101&lt;=IF($B$2="mil",1,0.0254)*6500),"Pass",IF($B$2="mil",1,0.0254)*6500-$R101)</f>
        <v>#REF!</v>
      </c>
      <c r="AI101" s="560" t="e">
        <f>IF(AND($S101&gt;=IF($B$2="mil",1,0.0254)*500, $S101&lt;=IF($B$2="mil",1,0.0254)*7000),"Pass",IF($B$2="mil",1,0.0254)*7000-$S101)</f>
        <v>#REF!</v>
      </c>
      <c r="AJ101" s="162" t="e">
        <f ca="1">IF(AND(V101="Pass",W101="Pass",AG101="Pass",AH101="Pass",AI101="Pass"),"Pass","Fail")</f>
        <v>#REF!</v>
      </c>
    </row>
    <row r="102" spans="14:37">
      <c r="N102" s="242" t="s">
        <v>55</v>
      </c>
      <c r="O102" s="242"/>
      <c r="P102" s="303">
        <v>313.86</v>
      </c>
      <c r="Q102" s="346">
        <v>58.08</v>
      </c>
      <c r="R102" s="545">
        <f t="shared" si="41"/>
        <v>3424.1099999999997</v>
      </c>
      <c r="S102" s="524" t="e">
        <f t="shared" si="42"/>
        <v>#REF!</v>
      </c>
      <c r="T102" s="524" t="e">
        <f>$U$84 + IF($B$2="mil",1,0.0254)*DDR2Specs!$E$9</f>
        <v>#REF!</v>
      </c>
      <c r="U102" s="524" t="e">
        <f>$T$84 + IF($B$2="mil",1,0.0254)*DDR2Specs!$F$9</f>
        <v>#REF!</v>
      </c>
      <c r="V102" s="546" t="e">
        <f>IF($S102&lt;$T102,$T102-$S102,"Pass")</f>
        <v>#REF!</v>
      </c>
      <c r="W102" s="547" t="e">
        <f>IF($S102&gt;$U102,$S102-$U102,"Pass")</f>
        <v>#REF!</v>
      </c>
      <c r="X102" s="554"/>
      <c r="Y102" s="554"/>
      <c r="Z102" s="554"/>
      <c r="AA102" s="554"/>
      <c r="AB102" s="567" t="s">
        <v>55</v>
      </c>
      <c r="AC102" s="560" t="e">
        <f>IF(P102&lt;=IF($B$2="mil",1,0.0254)*1000,"Pass",IF($B$2="mil",1,0.0254)*1000-P102)</f>
        <v>#REF!</v>
      </c>
      <c r="AD102" s="554"/>
      <c r="AE102" s="554"/>
      <c r="AF102" s="563" t="s">
        <v>55</v>
      </c>
      <c r="AG102" s="528" t="e">
        <f ca="1">CheckLength2(IF($B$2="mil",1,0.0254)*1200,P102,Q102,0)</f>
        <v>#NAME?</v>
      </c>
      <c r="AH102" s="528" t="e">
        <f>IF(AND(R102&gt;=IF($B$2="mil",1,0.0254)*500, $R102&lt;=IF($B$2="mil",1,0.0254)*6500),"Pass",IF($B$2="mil",1,0.0254)*6500-$R102)</f>
        <v>#REF!</v>
      </c>
      <c r="AI102" s="560" t="e">
        <f>IF(AND($S102&gt;=IF($B$2="mil",1,0.0254)*500, $S102&lt;=IF($B$2="mil",1,0.0254)*7000),"Pass",IF($B$2="mil",1,0.0254)*7000-$S102)</f>
        <v>#REF!</v>
      </c>
      <c r="AJ102" s="162" t="e">
        <f ca="1">IF(AND(V102="Pass",W102="Pass",AG102="Pass",AH102="Pass",AI102="Pass"),"Pass","Fail")</f>
        <v>#REF!</v>
      </c>
    </row>
    <row r="103" spans="14:37">
      <c r="N103" s="242" t="s">
        <v>56</v>
      </c>
      <c r="O103" s="242"/>
      <c r="P103" s="303">
        <v>477.88</v>
      </c>
      <c r="Q103" s="344">
        <v>78.75</v>
      </c>
      <c r="R103" s="545">
        <f t="shared" si="41"/>
        <v>3288.22</v>
      </c>
      <c r="S103" s="524" t="e">
        <f t="shared" si="42"/>
        <v>#REF!</v>
      </c>
      <c r="T103" s="524" t="e">
        <f>$U$84 + IF($B$2="mil",1,0.0254)*DDR2Specs!$E$9</f>
        <v>#REF!</v>
      </c>
      <c r="U103" s="524" t="e">
        <f>$T$84 + IF($B$2="mil",1,0.0254)*DDR2Specs!$F$9</f>
        <v>#REF!</v>
      </c>
      <c r="V103" s="546" t="e">
        <f>IF($S103&lt;$T103,$T103-$S103,"Pass")</f>
        <v>#REF!</v>
      </c>
      <c r="W103" s="547" t="e">
        <f>IF($S103&gt;$U103,$S103-$U103,"Pass")</f>
        <v>#REF!</v>
      </c>
      <c r="X103" s="554"/>
      <c r="Y103" s="554"/>
      <c r="Z103" s="554"/>
      <c r="AA103" s="554"/>
      <c r="AB103" s="567" t="s">
        <v>56</v>
      </c>
      <c r="AC103" s="560" t="e">
        <f>IF(P103&lt;=IF($B$2="mil",1,0.0254)*1000,"Pass",IF($B$2="mil",1,0.0254)*1000-P103)</f>
        <v>#REF!</v>
      </c>
      <c r="AD103" s="554"/>
      <c r="AE103" s="554"/>
      <c r="AF103" s="563" t="s">
        <v>56</v>
      </c>
      <c r="AG103" s="528" t="e">
        <f ca="1">CheckLength2(IF($B$2="mil",1,0.0254)*1200,P103,Q103,0)</f>
        <v>#NAME?</v>
      </c>
      <c r="AH103" s="528" t="e">
        <f>IF(AND(R103&gt;=IF($B$2="mil",1,0.0254)*500, $R103&lt;=IF($B$2="mil",1,0.0254)*6500),"Pass",IF($B$2="mil",1,0.0254)*6500-$R103)</f>
        <v>#REF!</v>
      </c>
      <c r="AI103" s="560" t="e">
        <f>IF(AND($S103&gt;=IF($B$2="mil",1,0.0254)*500, $S103&lt;=IF($B$2="mil",1,0.0254)*7000),"Pass",IF($B$2="mil",1,0.0254)*7000-$S103)</f>
        <v>#REF!</v>
      </c>
      <c r="AJ103" s="162" t="e">
        <f ca="1">IF(AND(V103="Pass",W103="Pass",AG103="Pass",AH103="Pass",AI103="Pass"),"Pass","Fail")</f>
        <v>#REF!</v>
      </c>
    </row>
    <row r="104" spans="14:37">
      <c r="N104" s="205" t="s">
        <v>231</v>
      </c>
      <c r="O104" s="205"/>
      <c r="P104" s="338"/>
      <c r="Q104" s="207"/>
      <c r="R104" s="207"/>
      <c r="S104" s="207"/>
      <c r="T104" s="207"/>
      <c r="U104" s="207"/>
      <c r="V104" s="430"/>
      <c r="W104" s="430"/>
      <c r="X104" s="554"/>
      <c r="Y104" s="554"/>
      <c r="Z104" s="554"/>
      <c r="AA104" s="554"/>
      <c r="AB104" s="155" t="s">
        <v>231</v>
      </c>
      <c r="AC104" s="562"/>
      <c r="AD104" s="554"/>
      <c r="AE104" s="554"/>
      <c r="AF104" s="460" t="s">
        <v>231</v>
      </c>
      <c r="AG104" s="430"/>
      <c r="AH104" s="430"/>
      <c r="AI104" s="562"/>
    </row>
    <row r="105" spans="14:37">
      <c r="N105" s="186" t="s">
        <v>58</v>
      </c>
      <c r="O105" s="186"/>
      <c r="P105" s="303">
        <v>327.79</v>
      </c>
      <c r="Q105" s="344">
        <v>27.77</v>
      </c>
      <c r="R105" s="545">
        <f t="shared" si="41"/>
        <v>3235.8999999999996</v>
      </c>
      <c r="S105" s="524" t="e">
        <f t="shared" si="42"/>
        <v>#REF!</v>
      </c>
      <c r="T105" s="524" t="e">
        <f>$U$84 + IF($B$2="mil",1,0.0254)*DDR2Specs!$E$9</f>
        <v>#REF!</v>
      </c>
      <c r="U105" s="524" t="e">
        <f>$T$84 + IF($B$2="mil",1,0.0254)*DDR2Specs!$F$9</f>
        <v>#REF!</v>
      </c>
      <c r="V105" s="546" t="e">
        <f>IF($S105&lt;$T105,$T105-$S105,"Pass")</f>
        <v>#REF!</v>
      </c>
      <c r="W105" s="547" t="e">
        <f>IF($S105&gt;$U105,$S105-$U105,"Pass")</f>
        <v>#REF!</v>
      </c>
      <c r="X105" s="554"/>
      <c r="Y105" s="554"/>
      <c r="Z105" s="554"/>
      <c r="AA105" s="554"/>
      <c r="AB105" s="565" t="s">
        <v>58</v>
      </c>
      <c r="AC105" s="560" t="e">
        <f>IF(P105&lt;=IF($B$2="mil",1,0.0254)*1000,"Pass",IF($B$2="mil",1,0.0254)*1000-P105)</f>
        <v>#REF!</v>
      </c>
      <c r="AD105" s="554"/>
      <c r="AE105" s="554"/>
      <c r="AF105" s="559" t="s">
        <v>58</v>
      </c>
      <c r="AG105" s="528" t="e">
        <f ca="1">CheckLength2(IF($B$2="mil",1,0.0254)*1200,P105,Q105,0)</f>
        <v>#NAME?</v>
      </c>
      <c r="AH105" s="528" t="e">
        <f>IF(AND(R105&gt;=IF($B$2="mil",1,0.0254)*500, $R105&lt;=IF($B$2="mil",1,0.0254)*6500),"Pass",IF($B$2="mil",1,0.0254)*6500-$R105)</f>
        <v>#REF!</v>
      </c>
      <c r="AI105" s="560" t="e">
        <f>IF(AND($S105&gt;=IF($B$2="mil",1,0.0254)*500, $S105&lt;=IF($B$2="mil",1,0.0254)*7000),"Pass",IF($B$2="mil",1,0.0254)*7000-$S105)</f>
        <v>#REF!</v>
      </c>
      <c r="AJ105" s="162" t="e">
        <f ca="1">IF(AND(V105="Pass",W105="Pass",AG105="Pass",AH105="Pass",AI105="Pass"),"Pass","Fail")</f>
        <v>#REF!</v>
      </c>
    </row>
    <row r="106" spans="14:37">
      <c r="N106" s="243" t="s">
        <v>59</v>
      </c>
      <c r="O106" s="243"/>
      <c r="P106" s="303">
        <v>251.98</v>
      </c>
      <c r="Q106" s="344">
        <v>56.02</v>
      </c>
      <c r="R106" s="545">
        <f t="shared" si="41"/>
        <v>3260.1699999999996</v>
      </c>
      <c r="S106" s="524" t="e">
        <f t="shared" si="42"/>
        <v>#REF!</v>
      </c>
      <c r="T106" s="524" t="e">
        <f>$U$84 + IF($B$2="mil",1,0.0254)*DDR2Specs!$E$9</f>
        <v>#REF!</v>
      </c>
      <c r="U106" s="524" t="e">
        <f>$T$84 + IF($B$2="mil",1,0.0254)*DDR2Specs!$F$9</f>
        <v>#REF!</v>
      </c>
      <c r="V106" s="546" t="e">
        <f>IF($S106&lt;$T106,$T106-$S106,"Pass")</f>
        <v>#REF!</v>
      </c>
      <c r="W106" s="547" t="e">
        <f>IF($S106&gt;$U106,$S106-$U106,"Pass")</f>
        <v>#REF!</v>
      </c>
      <c r="X106" s="554"/>
      <c r="Y106" s="554"/>
      <c r="Z106" s="554"/>
      <c r="AA106" s="554"/>
      <c r="AB106" s="566" t="s">
        <v>59</v>
      </c>
      <c r="AC106" s="560" t="e">
        <f>IF(P106&lt;=IF($B$2="mil",1,0.0254)*1000,"Pass",IF($B$2="mil",1,0.0254)*1000-P106)</f>
        <v>#REF!</v>
      </c>
      <c r="AD106" s="554"/>
      <c r="AE106" s="554"/>
      <c r="AF106" s="561" t="s">
        <v>59</v>
      </c>
      <c r="AG106" s="528" t="e">
        <f ca="1">CheckLength2(IF($B$2="mil",1,0.0254)*1200,P106,Q106,0)</f>
        <v>#NAME?</v>
      </c>
      <c r="AH106" s="528" t="e">
        <f>IF(AND(R106&gt;=IF($B$2="mil",1,0.0254)*500, $R106&lt;=IF($B$2="mil",1,0.0254)*6500),"Pass",IF($B$2="mil",1,0.0254)*6500-$R106)</f>
        <v>#REF!</v>
      </c>
      <c r="AI106" s="560" t="e">
        <f>IF(AND($S106&gt;=IF($B$2="mil",1,0.0254)*500, $S106&lt;=IF($B$2="mil",1,0.0254)*7000),"Pass",IF($B$2="mil",1,0.0254)*7000-$S106)</f>
        <v>#REF!</v>
      </c>
      <c r="AJ106" s="162" t="e">
        <f ca="1">IF(AND(V106="Pass",W106="Pass",AG106="Pass",AH106="Pass",AI106="Pass"),"Pass","Fail")</f>
        <v>#REF!</v>
      </c>
    </row>
    <row r="107" spans="14:37">
      <c r="N107" s="243" t="s">
        <v>60</v>
      </c>
      <c r="O107" s="243"/>
      <c r="P107" s="303">
        <v>321.8</v>
      </c>
      <c r="Q107" s="344">
        <v>28.25</v>
      </c>
      <c r="R107" s="545">
        <f t="shared" si="41"/>
        <v>3243.64</v>
      </c>
      <c r="S107" s="524" t="e">
        <f t="shared" si="42"/>
        <v>#REF!</v>
      </c>
      <c r="T107" s="524" t="e">
        <f>$U$84 + IF($B$2="mil",1,0.0254)*DDR2Specs!$E$9</f>
        <v>#REF!</v>
      </c>
      <c r="U107" s="524" t="e">
        <f>$T$84 + IF($B$2="mil",1,0.0254)*DDR2Specs!$F$9</f>
        <v>#REF!</v>
      </c>
      <c r="V107" s="546" t="e">
        <f>IF($S107&lt;$T107,$T107-$S107,"Pass")</f>
        <v>#REF!</v>
      </c>
      <c r="W107" s="547" t="e">
        <f>IF($S107&gt;$U107,$S107-$U107,"Pass")</f>
        <v>#REF!</v>
      </c>
      <c r="X107" s="554"/>
      <c r="Y107" s="554"/>
      <c r="Z107" s="554"/>
      <c r="AA107" s="554"/>
      <c r="AB107" s="566" t="s">
        <v>60</v>
      </c>
      <c r="AC107" s="560" t="e">
        <f>IF(P107&lt;=IF($B$2="mil",1,0.0254)*1000,"Pass",IF($B$2="mil",1,0.0254)*1000-P107)</f>
        <v>#REF!</v>
      </c>
      <c r="AD107" s="554"/>
      <c r="AE107" s="554"/>
      <c r="AF107" s="561" t="s">
        <v>60</v>
      </c>
      <c r="AG107" s="528" t="e">
        <f ca="1">CheckLength2(IF($B$2="mil",1,0.0254)*1200,P107,Q107,0)</f>
        <v>#NAME?</v>
      </c>
      <c r="AH107" s="528" t="e">
        <f>IF(AND(R107&gt;=IF($B$2="mil",1,0.0254)*500, $R107&lt;=IF($B$2="mil",1,0.0254)*6500),"Pass",IF($B$2="mil",1,0.0254)*6500-$R107)</f>
        <v>#REF!</v>
      </c>
      <c r="AI107" s="560" t="e">
        <f>IF(AND($S107&gt;=IF($B$2="mil",1,0.0254)*500, $S107&lt;=IF($B$2="mil",1,0.0254)*7000),"Pass",IF($B$2="mil",1,0.0254)*7000-$S107)</f>
        <v>#REF!</v>
      </c>
      <c r="AJ107" s="162" t="e">
        <f ca="1">IF(AND(V107="Pass",W107="Pass",AG107="Pass",AH107="Pass",AI107="Pass"),"Pass","Fail")</f>
        <v>#REF!</v>
      </c>
    </row>
    <row r="108" spans="14:37">
      <c r="N108" s="329" t="s">
        <v>457</v>
      </c>
      <c r="O108" s="329"/>
      <c r="P108" s="144" t="e">
        <f>"Trace L7-2 ["&amp;$B$2&amp;"]"</f>
        <v>#REF!</v>
      </c>
      <c r="Q108" s="144" t="e">
        <f>"Trace L8-4 ["&amp;$B$2&amp;"]"</f>
        <v>#REF!</v>
      </c>
      <c r="R108" s="550" t="e">
        <f>"Total MB Length to U4 (L0+L1+L2+L5+L6-2+L7-2+L8-4) ["&amp;$B$2&amp;"]"</f>
        <v>#REF!</v>
      </c>
      <c r="S108" s="550" t="e">
        <f>"Total Pad to Pin U4 (P1+LL0+L1+L2+L5+L6-2+L7-2+L8-4) ["&amp;$B$2&amp;"]"</f>
        <v>#REF!</v>
      </c>
      <c r="T108" s="551" t="e">
        <f>"Target Min Length  to U4["&amp;$B$2&amp;"]"</f>
        <v>#REF!</v>
      </c>
      <c r="U108" s="552" t="e">
        <f>"Target Max Length  to U4 ["&amp;$B$2&amp;"]"</f>
        <v>#REF!</v>
      </c>
      <c r="V108" s="553" t="e">
        <f>"Routed Too Short to U4 [" &amp;$B$2&amp;"]"</f>
        <v>#REF!</v>
      </c>
      <c r="W108" s="551" t="e">
        <f>"Routed Too Long to U4 [" &amp;$B$2&amp;"]"</f>
        <v>#REF!</v>
      </c>
      <c r="X108" s="554"/>
      <c r="Y108" s="554"/>
      <c r="Z108" s="554"/>
      <c r="AA108" s="554"/>
      <c r="AB108" s="554"/>
      <c r="AC108" s="554"/>
      <c r="AD108" s="568" t="s">
        <v>457</v>
      </c>
      <c r="AE108" s="552" t="e">
        <f>"L7-2 Length Test (&lt;=" &amp; IF($B$2="mil",1,0.0254)*1000&amp;$B$2&amp;")"</f>
        <v>#REF!</v>
      </c>
      <c r="AF108" s="554"/>
      <c r="AG108" s="556" t="e">
        <f>"L8-4 Length Test (&lt;=" &amp; IF($B$2="mil",1,0.0254)*200&amp;$B$2&amp;") or (L7-2+L8-4&lt;= "&amp;IF($B$2="mil",1,0.0254)*1200&amp;$B$2&amp;")"</f>
        <v>#REF!</v>
      </c>
      <c r="AH108" s="552" t="e">
        <f>"Total Length to U4 (L0+L1+L2+L5+L6-2+L7-2+L8-4) Test ("&amp;IF($B$2="mil",1,0.0254)*500&amp;"-"&amp;IF($B$2="mil",1,0.0254)*6500&amp;IF($B$2="mil","mil","mm")&amp;")"</f>
        <v>#REF!</v>
      </c>
      <c r="AI108" s="552" t="e">
        <f>"Total Length to U4 (P1+L0+L1+L2+L5+L6-2+L7-2+L8-4) Test (&lt;="&amp;IF($B$2="mil",1,25.4)*7000&amp;IF($B$2="mil","mil","mm")&amp;")"</f>
        <v>#REF!</v>
      </c>
    </row>
    <row r="109" spans="14:37">
      <c r="N109" s="155" t="s">
        <v>210</v>
      </c>
      <c r="O109" s="155"/>
      <c r="P109" s="156"/>
      <c r="Q109" s="156"/>
      <c r="R109" s="156"/>
      <c r="S109" s="156"/>
      <c r="T109" s="156"/>
      <c r="U109" s="156"/>
      <c r="V109" s="156"/>
      <c r="W109" s="156"/>
      <c r="X109" s="554"/>
      <c r="Y109" s="554"/>
      <c r="Z109" s="554"/>
      <c r="AA109" s="554"/>
      <c r="AB109" s="554"/>
      <c r="AC109" s="554"/>
      <c r="AD109" s="155" t="s">
        <v>210</v>
      </c>
      <c r="AE109" s="158"/>
      <c r="AF109" s="554"/>
      <c r="AG109" s="156"/>
      <c r="AH109" s="156"/>
      <c r="AI109" s="158"/>
    </row>
    <row r="110" spans="14:37">
      <c r="N110" s="263" t="s">
        <v>214</v>
      </c>
      <c r="O110" s="263"/>
      <c r="P110" s="166"/>
      <c r="Q110" s="166"/>
      <c r="R110" s="166"/>
      <c r="S110" s="558" t="s">
        <v>225</v>
      </c>
      <c r="T110" s="168" t="e">
        <f>MIN('DDR2 Clocks - 2L'!$S$7:$S$8)</f>
        <v>#REF!</v>
      </c>
      <c r="U110" s="541" t="e">
        <f>MAX('DDR2 Clocks - 2L'!$S$7:$S$8)</f>
        <v>#REF!</v>
      </c>
      <c r="V110" s="542"/>
      <c r="W110" s="168"/>
      <c r="X110" s="554"/>
      <c r="Y110" s="554"/>
      <c r="Z110" s="554"/>
      <c r="AA110" s="554"/>
      <c r="AB110" s="554"/>
      <c r="AC110" s="554"/>
      <c r="AD110" s="164" t="s">
        <v>214</v>
      </c>
      <c r="AE110" s="539"/>
      <c r="AF110" s="554"/>
      <c r="AG110" s="538"/>
      <c r="AH110" s="538"/>
      <c r="AI110" s="539"/>
    </row>
    <row r="111" spans="14:37">
      <c r="N111" s="205" t="s">
        <v>229</v>
      </c>
      <c r="O111" s="410"/>
      <c r="P111" s="181"/>
      <c r="Q111" s="181"/>
      <c r="R111" s="181"/>
      <c r="S111" s="181"/>
      <c r="T111" s="179"/>
      <c r="U111" s="531"/>
      <c r="V111" s="531"/>
      <c r="W111" s="179"/>
      <c r="X111" s="554"/>
      <c r="Y111" s="554"/>
      <c r="Z111" s="554"/>
      <c r="AA111" s="554"/>
      <c r="AB111" s="554"/>
      <c r="AC111" s="554"/>
      <c r="AD111" s="155" t="s">
        <v>229</v>
      </c>
      <c r="AE111" s="273"/>
      <c r="AF111" s="554"/>
      <c r="AG111" s="179"/>
      <c r="AH111" s="179"/>
      <c r="AI111" s="273"/>
    </row>
    <row r="112" spans="14:37">
      <c r="N112" s="186" t="s">
        <v>196</v>
      </c>
      <c r="O112" s="186"/>
      <c r="P112" s="303">
        <v>565.69000000000005</v>
      </c>
      <c r="Q112" s="303">
        <v>100.03</v>
      </c>
      <c r="R112" s="545">
        <f>SUM($E34:$G34,$M34,$P112,$P86,$Q112)</f>
        <v>4059.76</v>
      </c>
      <c r="S112" s="524" t="e">
        <f>$R112+IF($B$2="mil",1,0.0254)*$C34</f>
        <v>#REF!</v>
      </c>
      <c r="T112" s="524" t="e">
        <f>$U$110 + IF($B$2="mil",1,0.0254)*DDR2Specs!$E$9</f>
        <v>#REF!</v>
      </c>
      <c r="U112" s="524" t="e">
        <f>$T$110 + IF($B$2="mil",1,0.0254)*DDR2Specs!$F$9</f>
        <v>#REF!</v>
      </c>
      <c r="V112" s="546" t="e">
        <f t="shared" ref="V112:V125" si="47">IF($S112&lt;$T112,$T112-$S112,"Pass")</f>
        <v>#REF!</v>
      </c>
      <c r="W112" s="547" t="e">
        <f t="shared" ref="W112:W125" si="48">IF($S112&gt;$U112,$S112-$U112,"Pass")</f>
        <v>#REF!</v>
      </c>
      <c r="X112" s="554"/>
      <c r="Y112" s="554"/>
      <c r="Z112" s="554"/>
      <c r="AA112" s="554"/>
      <c r="AB112" s="554"/>
      <c r="AC112" s="554"/>
      <c r="AD112" s="565" t="s">
        <v>196</v>
      </c>
      <c r="AE112" s="560" t="e">
        <f>IF(P112&lt;=IF($B$2="mil",1,0.0254)*1000,"Pass",IF($B$2="mil",1,0.0254)*1000-P112)</f>
        <v>#REF!</v>
      </c>
      <c r="AF112" s="554"/>
      <c r="AG112" s="528" t="e">
        <f t="shared" ref="AG112:AG133" ca="1" si="49">CheckLength2(IF($B$2="mil",1,0.0254)*1200,P112,Q112,0)</f>
        <v>#NAME?</v>
      </c>
      <c r="AH112" s="528" t="e">
        <f>IF(AND(R112&gt;=IF($B$2="mil",1,0.0254)*500, $R112&lt;=IF($B$2="mil",1,0.0254)*6500),"Pass",IF($B$2="mil",1,0.0254)*6500-$R112)</f>
        <v>#REF!</v>
      </c>
      <c r="AI112" s="560" t="e">
        <f>IF(AND($S112&gt;=IF($B$2="mil",1,0.0254)*500, $S112&lt;=IF($B$2="mil",1,0.0254)*7000),"Pass",IF($B$2="mil",1,0.0254)*7000-$S112)</f>
        <v>#REF!</v>
      </c>
      <c r="AJ112" s="162" t="e">
        <f t="shared" ref="AJ112:AJ125" ca="1" si="50">IF(AND(V112="Pass",W112="Pass",AG112="Pass",AH112="Pass",AE112="Pass",AI112="Pass"),"Pass","Fail")</f>
        <v>#REF!</v>
      </c>
      <c r="AK112" s="162" t="e">
        <f ca="1">IF(AND(AJ112="Pass",AJ113="Pass",AJ114="Pass",AJ115="Pass",AJ116="Pass",AJ117="Pass",AJ118="Pass",AJ119="Pass",AJ120="Pass",AJ121="Pass",AJ122="Pass"),"Pass","Fail")</f>
        <v>#REF!</v>
      </c>
    </row>
    <row r="113" spans="14:37">
      <c r="N113" s="243" t="s">
        <v>39</v>
      </c>
      <c r="O113" s="243"/>
      <c r="P113" s="303">
        <v>587.88</v>
      </c>
      <c r="Q113" s="303">
        <v>85.04</v>
      </c>
      <c r="R113" s="545">
        <f t="shared" ref="R113:R133" si="51">SUM($E35:$G35,$M35,$P113,$P87,$Q113)</f>
        <v>3904.53</v>
      </c>
      <c r="S113" s="524" t="e">
        <f t="shared" ref="S113:S133" si="52">$R113+IF($B$2="mil",1,0.0254)*$C35</f>
        <v>#REF!</v>
      </c>
      <c r="T113" s="524" t="e">
        <f>$U$110 + IF($B$2="mil",1,0.0254)*DDR2Specs!$E$9</f>
        <v>#REF!</v>
      </c>
      <c r="U113" s="524" t="e">
        <f>$T$110 + IF($B$2="mil",1,0.0254)*DDR2Specs!$F$9</f>
        <v>#REF!</v>
      </c>
      <c r="V113" s="546" t="e">
        <f t="shared" si="47"/>
        <v>#REF!</v>
      </c>
      <c r="W113" s="547" t="e">
        <f t="shared" si="48"/>
        <v>#REF!</v>
      </c>
      <c r="X113" s="554"/>
      <c r="Y113" s="554"/>
      <c r="Z113" s="554"/>
      <c r="AA113" s="554"/>
      <c r="AB113" s="554"/>
      <c r="AC113" s="554"/>
      <c r="AD113" s="566" t="s">
        <v>39</v>
      </c>
      <c r="AE113" s="560" t="e">
        <f t="shared" ref="AE113:AE125" si="53">IF(P113&lt;=IF($B$2="mil",1,0.0254)*1000,"Pass",IF($B$2="mil",1,0.0254)*1000-P113)</f>
        <v>#REF!</v>
      </c>
      <c r="AF113" s="554"/>
      <c r="AG113" s="528" t="e">
        <f t="shared" ca="1" si="49"/>
        <v>#NAME?</v>
      </c>
      <c r="AH113" s="528" t="e">
        <f t="shared" ref="AH113:AH125" si="54">IF(AND(R113&gt;=IF($B$2="mil",1,0.0254)*500, $R113&lt;=IF($B$2="mil",1,0.0254)*6500),"Pass",IF($B$2="mil",1,0.0254)*6500-$R113)</f>
        <v>#REF!</v>
      </c>
      <c r="AI113" s="560" t="e">
        <f t="shared" ref="AI113:AI125" si="55">IF(AND($S113&gt;=IF($B$2="mil",1,0.0254)*500, $S113&lt;=IF($B$2="mil",1,0.0254)*7000),"Pass",IF($B$2="mil",1,0.0254)*7000-$S113)</f>
        <v>#REF!</v>
      </c>
      <c r="AJ113" s="162" t="e">
        <f t="shared" ca="1" si="50"/>
        <v>#REF!</v>
      </c>
      <c r="AK113" s="162" t="e">
        <f ca="1">IF(AND(AJ123="Pass",AJ124="Pass",AJ125="Pass",AJ127="Pass",AJ128="Pass",AJ129="Pass",AJ131="Pass",AJ132="Pass",AJ133="Pass"),"Pass","Fail")</f>
        <v>#REF!</v>
      </c>
    </row>
    <row r="114" spans="14:37">
      <c r="N114" s="243" t="s">
        <v>40</v>
      </c>
      <c r="O114" s="243"/>
      <c r="P114" s="303">
        <v>565.69000000000005</v>
      </c>
      <c r="Q114" s="303">
        <v>99.56</v>
      </c>
      <c r="R114" s="545">
        <f t="shared" si="51"/>
        <v>3802.1400000000003</v>
      </c>
      <c r="S114" s="524" t="e">
        <f t="shared" si="52"/>
        <v>#REF!</v>
      </c>
      <c r="T114" s="524" t="e">
        <f>$U$110 + IF($B$2="mil",1,0.0254)*DDR2Specs!$E$9</f>
        <v>#REF!</v>
      </c>
      <c r="U114" s="524" t="e">
        <f>$T$110 + IF($B$2="mil",1,0.0254)*DDR2Specs!$F$9</f>
        <v>#REF!</v>
      </c>
      <c r="V114" s="546" t="e">
        <f t="shared" si="47"/>
        <v>#REF!</v>
      </c>
      <c r="W114" s="547" t="e">
        <f t="shared" si="48"/>
        <v>#REF!</v>
      </c>
      <c r="X114" s="554"/>
      <c r="Y114" s="554"/>
      <c r="Z114" s="554"/>
      <c r="AA114" s="554"/>
      <c r="AB114" s="554"/>
      <c r="AC114" s="554"/>
      <c r="AD114" s="566" t="s">
        <v>40</v>
      </c>
      <c r="AE114" s="560" t="e">
        <f t="shared" si="53"/>
        <v>#REF!</v>
      </c>
      <c r="AF114" s="554"/>
      <c r="AG114" s="528" t="e">
        <f t="shared" ca="1" si="49"/>
        <v>#NAME?</v>
      </c>
      <c r="AH114" s="528" t="e">
        <f t="shared" si="54"/>
        <v>#REF!</v>
      </c>
      <c r="AI114" s="560" t="e">
        <f t="shared" si="55"/>
        <v>#REF!</v>
      </c>
      <c r="AJ114" s="162" t="e">
        <f t="shared" ca="1" si="50"/>
        <v>#REF!</v>
      </c>
    </row>
    <row r="115" spans="14:37">
      <c r="N115" s="243" t="s">
        <v>41</v>
      </c>
      <c r="O115" s="243"/>
      <c r="P115" s="303">
        <v>579.26</v>
      </c>
      <c r="Q115" s="303">
        <v>145.9</v>
      </c>
      <c r="R115" s="545">
        <f t="shared" si="51"/>
        <v>3913.97</v>
      </c>
      <c r="S115" s="524" t="e">
        <f t="shared" si="52"/>
        <v>#REF!</v>
      </c>
      <c r="T115" s="524" t="e">
        <f>$U$110 + IF($B$2="mil",1,0.0254)*DDR2Specs!$E$9</f>
        <v>#REF!</v>
      </c>
      <c r="U115" s="524" t="e">
        <f>$T$110 + IF($B$2="mil",1,0.0254)*DDR2Specs!$F$9</f>
        <v>#REF!</v>
      </c>
      <c r="V115" s="546" t="e">
        <f t="shared" si="47"/>
        <v>#REF!</v>
      </c>
      <c r="W115" s="547" t="e">
        <f t="shared" si="48"/>
        <v>#REF!</v>
      </c>
      <c r="X115" s="554"/>
      <c r="Y115" s="554"/>
      <c r="Z115" s="554"/>
      <c r="AA115" s="554"/>
      <c r="AB115" s="554"/>
      <c r="AC115" s="554"/>
      <c r="AD115" s="566" t="s">
        <v>41</v>
      </c>
      <c r="AE115" s="560" t="e">
        <f t="shared" si="53"/>
        <v>#REF!</v>
      </c>
      <c r="AF115" s="554"/>
      <c r="AG115" s="528" t="e">
        <f t="shared" ca="1" si="49"/>
        <v>#NAME?</v>
      </c>
      <c r="AH115" s="528" t="e">
        <f t="shared" si="54"/>
        <v>#REF!</v>
      </c>
      <c r="AI115" s="560" t="e">
        <f t="shared" si="55"/>
        <v>#REF!</v>
      </c>
      <c r="AJ115" s="162" t="e">
        <f t="shared" ca="1" si="50"/>
        <v>#REF!</v>
      </c>
    </row>
    <row r="116" spans="14:37">
      <c r="N116" s="243" t="s">
        <v>42</v>
      </c>
      <c r="O116" s="243"/>
      <c r="P116" s="303">
        <v>624.74</v>
      </c>
      <c r="Q116" s="303">
        <v>103.51</v>
      </c>
      <c r="R116" s="545">
        <f t="shared" si="51"/>
        <v>3797.26</v>
      </c>
      <c r="S116" s="524" t="e">
        <f t="shared" si="52"/>
        <v>#REF!</v>
      </c>
      <c r="T116" s="524" t="e">
        <f>$U$110 + IF($B$2="mil",1,0.0254)*DDR2Specs!$E$9</f>
        <v>#REF!</v>
      </c>
      <c r="U116" s="524" t="e">
        <f>$T$110 + IF($B$2="mil",1,0.0254)*DDR2Specs!$F$9</f>
        <v>#REF!</v>
      </c>
      <c r="V116" s="546" t="e">
        <f t="shared" si="47"/>
        <v>#REF!</v>
      </c>
      <c r="W116" s="547" t="e">
        <f t="shared" si="48"/>
        <v>#REF!</v>
      </c>
      <c r="X116" s="554"/>
      <c r="Y116" s="554"/>
      <c r="Z116" s="554"/>
      <c r="AA116" s="554"/>
      <c r="AB116" s="554"/>
      <c r="AC116" s="554"/>
      <c r="AD116" s="566" t="s">
        <v>42</v>
      </c>
      <c r="AE116" s="560" t="e">
        <f t="shared" si="53"/>
        <v>#REF!</v>
      </c>
      <c r="AF116" s="554"/>
      <c r="AG116" s="528" t="e">
        <f t="shared" ca="1" si="49"/>
        <v>#NAME?</v>
      </c>
      <c r="AH116" s="528" t="e">
        <f t="shared" si="54"/>
        <v>#REF!</v>
      </c>
      <c r="AI116" s="560" t="e">
        <f t="shared" si="55"/>
        <v>#REF!</v>
      </c>
      <c r="AJ116" s="162" t="e">
        <f t="shared" ca="1" si="50"/>
        <v>#REF!</v>
      </c>
    </row>
    <row r="117" spans="14:37">
      <c r="N117" s="243" t="s">
        <v>43</v>
      </c>
      <c r="O117" s="243"/>
      <c r="P117" s="303">
        <v>610.85</v>
      </c>
      <c r="Q117" s="303">
        <v>75.709999999999994</v>
      </c>
      <c r="R117" s="545">
        <f t="shared" si="51"/>
        <v>3927.6299999999997</v>
      </c>
      <c r="S117" s="524" t="e">
        <f t="shared" si="52"/>
        <v>#REF!</v>
      </c>
      <c r="T117" s="524" t="e">
        <f>$U$110 + IF($B$2="mil",1,0.0254)*DDR2Specs!$E$9</f>
        <v>#REF!</v>
      </c>
      <c r="U117" s="524" t="e">
        <f>$T$110 + IF($B$2="mil",1,0.0254)*DDR2Specs!$F$9</f>
        <v>#REF!</v>
      </c>
      <c r="V117" s="546" t="e">
        <f t="shared" si="47"/>
        <v>#REF!</v>
      </c>
      <c r="W117" s="547" t="e">
        <f t="shared" si="48"/>
        <v>#REF!</v>
      </c>
      <c r="X117" s="554"/>
      <c r="Y117" s="554"/>
      <c r="Z117" s="554"/>
      <c r="AA117" s="554"/>
      <c r="AB117" s="554"/>
      <c r="AC117" s="554"/>
      <c r="AD117" s="566" t="s">
        <v>43</v>
      </c>
      <c r="AE117" s="560" t="e">
        <f t="shared" si="53"/>
        <v>#REF!</v>
      </c>
      <c r="AF117" s="554"/>
      <c r="AG117" s="528" t="e">
        <f t="shared" ca="1" si="49"/>
        <v>#NAME?</v>
      </c>
      <c r="AH117" s="528" t="e">
        <f t="shared" si="54"/>
        <v>#REF!</v>
      </c>
      <c r="AI117" s="560" t="e">
        <f t="shared" si="55"/>
        <v>#REF!</v>
      </c>
      <c r="AJ117" s="162" t="e">
        <f t="shared" ca="1" si="50"/>
        <v>#REF!</v>
      </c>
    </row>
    <row r="118" spans="14:37">
      <c r="N118" s="243" t="s">
        <v>44</v>
      </c>
      <c r="O118" s="243"/>
      <c r="P118" s="303">
        <v>604.02</v>
      </c>
      <c r="Q118" s="303">
        <v>101.05</v>
      </c>
      <c r="R118" s="545">
        <f t="shared" si="51"/>
        <v>3971</v>
      </c>
      <c r="S118" s="524" t="e">
        <f t="shared" si="52"/>
        <v>#REF!</v>
      </c>
      <c r="T118" s="524" t="e">
        <f>$U$110 + IF($B$2="mil",1,0.0254)*DDR2Specs!$E$9</f>
        <v>#REF!</v>
      </c>
      <c r="U118" s="524" t="e">
        <f>$T$110 + IF($B$2="mil",1,0.0254)*DDR2Specs!$F$9</f>
        <v>#REF!</v>
      </c>
      <c r="V118" s="546" t="e">
        <f t="shared" si="47"/>
        <v>#REF!</v>
      </c>
      <c r="W118" s="547" t="e">
        <f t="shared" si="48"/>
        <v>#REF!</v>
      </c>
      <c r="X118" s="554"/>
      <c r="Y118" s="554"/>
      <c r="Z118" s="554"/>
      <c r="AA118" s="554"/>
      <c r="AB118" s="554"/>
      <c r="AC118" s="554"/>
      <c r="AD118" s="566" t="s">
        <v>44</v>
      </c>
      <c r="AE118" s="560" t="e">
        <f t="shared" si="53"/>
        <v>#REF!</v>
      </c>
      <c r="AF118" s="554"/>
      <c r="AG118" s="528" t="e">
        <f t="shared" ca="1" si="49"/>
        <v>#NAME?</v>
      </c>
      <c r="AH118" s="528" t="e">
        <f t="shared" si="54"/>
        <v>#REF!</v>
      </c>
      <c r="AI118" s="560" t="e">
        <f t="shared" si="55"/>
        <v>#REF!</v>
      </c>
      <c r="AJ118" s="162" t="e">
        <f t="shared" ca="1" si="50"/>
        <v>#REF!</v>
      </c>
    </row>
    <row r="119" spans="14:37">
      <c r="N119" s="243" t="s">
        <v>46</v>
      </c>
      <c r="O119" s="243"/>
      <c r="P119" s="303">
        <v>596.35</v>
      </c>
      <c r="Q119" s="303">
        <v>144.30000000000001</v>
      </c>
      <c r="R119" s="545">
        <f t="shared" si="51"/>
        <v>3898.6</v>
      </c>
      <c r="S119" s="524" t="e">
        <f t="shared" si="52"/>
        <v>#REF!</v>
      </c>
      <c r="T119" s="524" t="e">
        <f>$U$110 + IF($B$2="mil",1,0.0254)*DDR2Specs!$E$9</f>
        <v>#REF!</v>
      </c>
      <c r="U119" s="524" t="e">
        <f>$T$110 + IF($B$2="mil",1,0.0254)*DDR2Specs!$F$9</f>
        <v>#REF!</v>
      </c>
      <c r="V119" s="546" t="e">
        <f t="shared" si="47"/>
        <v>#REF!</v>
      </c>
      <c r="W119" s="547" t="e">
        <f t="shared" si="48"/>
        <v>#REF!</v>
      </c>
      <c r="X119" s="554"/>
      <c r="Y119" s="554"/>
      <c r="Z119" s="554"/>
      <c r="AA119" s="554"/>
      <c r="AB119" s="554"/>
      <c r="AC119" s="554"/>
      <c r="AD119" s="566" t="s">
        <v>46</v>
      </c>
      <c r="AE119" s="560" t="e">
        <f t="shared" si="53"/>
        <v>#REF!</v>
      </c>
      <c r="AF119" s="554"/>
      <c r="AG119" s="528" t="e">
        <f t="shared" ca="1" si="49"/>
        <v>#NAME?</v>
      </c>
      <c r="AH119" s="528" t="e">
        <f t="shared" si="54"/>
        <v>#REF!</v>
      </c>
      <c r="AI119" s="560" t="e">
        <f t="shared" si="55"/>
        <v>#REF!</v>
      </c>
      <c r="AJ119" s="162" t="e">
        <f t="shared" ca="1" si="50"/>
        <v>#REF!</v>
      </c>
    </row>
    <row r="120" spans="14:37">
      <c r="N120" s="243" t="s">
        <v>47</v>
      </c>
      <c r="O120" s="243"/>
      <c r="P120" s="303">
        <v>615.67999999999995</v>
      </c>
      <c r="Q120" s="303">
        <v>75.209999999999994</v>
      </c>
      <c r="R120" s="545">
        <f t="shared" si="51"/>
        <v>3901.5</v>
      </c>
      <c r="S120" s="524" t="e">
        <f t="shared" si="52"/>
        <v>#REF!</v>
      </c>
      <c r="T120" s="524" t="e">
        <f>$U$110 + IF($B$2="mil",1,0.0254)*DDR2Specs!$E$9</f>
        <v>#REF!</v>
      </c>
      <c r="U120" s="524" t="e">
        <f>$T$110 + IF($B$2="mil",1,0.0254)*DDR2Specs!$F$9</f>
        <v>#REF!</v>
      </c>
      <c r="V120" s="546" t="e">
        <f t="shared" si="47"/>
        <v>#REF!</v>
      </c>
      <c r="W120" s="547" t="e">
        <f t="shared" si="48"/>
        <v>#REF!</v>
      </c>
      <c r="X120" s="554"/>
      <c r="Y120" s="554"/>
      <c r="Z120" s="554"/>
      <c r="AA120" s="554"/>
      <c r="AB120" s="554"/>
      <c r="AC120" s="554"/>
      <c r="AD120" s="566" t="s">
        <v>47</v>
      </c>
      <c r="AE120" s="560" t="e">
        <f t="shared" si="53"/>
        <v>#REF!</v>
      </c>
      <c r="AF120" s="554"/>
      <c r="AG120" s="528" t="e">
        <f t="shared" ca="1" si="49"/>
        <v>#NAME?</v>
      </c>
      <c r="AH120" s="528" t="e">
        <f t="shared" si="54"/>
        <v>#REF!</v>
      </c>
      <c r="AI120" s="560" t="e">
        <f t="shared" si="55"/>
        <v>#REF!</v>
      </c>
      <c r="AJ120" s="162" t="e">
        <f t="shared" ca="1" si="50"/>
        <v>#REF!</v>
      </c>
    </row>
    <row r="121" spans="14:37">
      <c r="N121" s="243" t="s">
        <v>48</v>
      </c>
      <c r="O121" s="243"/>
      <c r="P121" s="303">
        <v>533.94000000000005</v>
      </c>
      <c r="Q121" s="303">
        <v>117.25</v>
      </c>
      <c r="R121" s="545">
        <f t="shared" si="51"/>
        <v>4113.8500000000004</v>
      </c>
      <c r="S121" s="524" t="e">
        <f t="shared" si="52"/>
        <v>#REF!</v>
      </c>
      <c r="T121" s="524" t="e">
        <f>$U$110 + IF($B$2="mil",1,0.0254)*DDR2Specs!$E$9</f>
        <v>#REF!</v>
      </c>
      <c r="U121" s="524" t="e">
        <f>$T$110 + IF($B$2="mil",1,0.0254)*DDR2Specs!$F$9</f>
        <v>#REF!</v>
      </c>
      <c r="V121" s="546" t="e">
        <f t="shared" si="47"/>
        <v>#REF!</v>
      </c>
      <c r="W121" s="547" t="e">
        <f t="shared" si="48"/>
        <v>#REF!</v>
      </c>
      <c r="X121" s="554"/>
      <c r="Y121" s="554"/>
      <c r="Z121" s="554"/>
      <c r="AA121" s="554"/>
      <c r="AB121" s="554"/>
      <c r="AC121" s="554"/>
      <c r="AD121" s="566" t="s">
        <v>48</v>
      </c>
      <c r="AE121" s="560" t="e">
        <f t="shared" si="53"/>
        <v>#REF!</v>
      </c>
      <c r="AF121" s="554"/>
      <c r="AG121" s="528" t="e">
        <f t="shared" ca="1" si="49"/>
        <v>#NAME?</v>
      </c>
      <c r="AH121" s="528" t="e">
        <f t="shared" si="54"/>
        <v>#REF!</v>
      </c>
      <c r="AI121" s="560" t="e">
        <f t="shared" si="55"/>
        <v>#REF!</v>
      </c>
      <c r="AJ121" s="162" t="e">
        <f t="shared" ca="1" si="50"/>
        <v>#REF!</v>
      </c>
    </row>
    <row r="122" spans="14:37">
      <c r="N122" s="243" t="s">
        <v>50</v>
      </c>
      <c r="O122" s="243"/>
      <c r="P122" s="303">
        <v>559.79</v>
      </c>
      <c r="Q122" s="303">
        <v>37.24</v>
      </c>
      <c r="R122" s="545">
        <f t="shared" si="51"/>
        <v>3905.8199999999997</v>
      </c>
      <c r="S122" s="524" t="e">
        <f t="shared" si="52"/>
        <v>#REF!</v>
      </c>
      <c r="T122" s="524" t="e">
        <f>$U$110 + IF($B$2="mil",1,0.0254)*DDR2Specs!$E$9</f>
        <v>#REF!</v>
      </c>
      <c r="U122" s="524" t="e">
        <f>$T$110 + IF($B$2="mil",1,0.0254)*DDR2Specs!$F$9</f>
        <v>#REF!</v>
      </c>
      <c r="V122" s="546" t="e">
        <f t="shared" si="47"/>
        <v>#REF!</v>
      </c>
      <c r="W122" s="547" t="e">
        <f t="shared" si="48"/>
        <v>#REF!</v>
      </c>
      <c r="X122" s="554"/>
      <c r="Y122" s="554"/>
      <c r="Z122" s="554"/>
      <c r="AA122" s="554"/>
      <c r="AB122" s="554"/>
      <c r="AC122" s="554"/>
      <c r="AD122" s="566" t="s">
        <v>50</v>
      </c>
      <c r="AE122" s="560" t="e">
        <f t="shared" si="53"/>
        <v>#REF!</v>
      </c>
      <c r="AF122" s="554"/>
      <c r="AG122" s="528" t="e">
        <f t="shared" ca="1" si="49"/>
        <v>#NAME?</v>
      </c>
      <c r="AH122" s="528" t="e">
        <f t="shared" si="54"/>
        <v>#REF!</v>
      </c>
      <c r="AI122" s="560" t="e">
        <f t="shared" si="55"/>
        <v>#REF!</v>
      </c>
      <c r="AJ122" s="162" t="e">
        <f t="shared" ca="1" si="50"/>
        <v>#REF!</v>
      </c>
    </row>
    <row r="123" spans="14:37">
      <c r="N123" s="243" t="s">
        <v>51</v>
      </c>
      <c r="O123" s="243"/>
      <c r="P123" s="303">
        <v>632.15</v>
      </c>
      <c r="Q123" s="303">
        <v>72.760000000000005</v>
      </c>
      <c r="R123" s="545">
        <f t="shared" si="51"/>
        <v>4041.1400000000003</v>
      </c>
      <c r="S123" s="524" t="e">
        <f t="shared" si="52"/>
        <v>#REF!</v>
      </c>
      <c r="T123" s="524" t="e">
        <f>$U$110 + IF($B$2="mil",1,0.0254)*DDR2Specs!$E$9</f>
        <v>#REF!</v>
      </c>
      <c r="U123" s="524" t="e">
        <f>$T$110 + IF($B$2="mil",1,0.0254)*DDR2Specs!$F$9</f>
        <v>#REF!</v>
      </c>
      <c r="V123" s="546" t="e">
        <f t="shared" si="47"/>
        <v>#REF!</v>
      </c>
      <c r="W123" s="547" t="e">
        <f t="shared" si="48"/>
        <v>#REF!</v>
      </c>
      <c r="X123" s="554"/>
      <c r="Y123" s="554"/>
      <c r="Z123" s="554"/>
      <c r="AA123" s="554"/>
      <c r="AB123" s="554"/>
      <c r="AC123" s="554"/>
      <c r="AD123" s="566" t="s">
        <v>51</v>
      </c>
      <c r="AE123" s="560" t="e">
        <f t="shared" si="53"/>
        <v>#REF!</v>
      </c>
      <c r="AF123" s="554"/>
      <c r="AG123" s="528" t="e">
        <f t="shared" ca="1" si="49"/>
        <v>#NAME?</v>
      </c>
      <c r="AH123" s="528" t="e">
        <f t="shared" si="54"/>
        <v>#REF!</v>
      </c>
      <c r="AI123" s="560" t="e">
        <f t="shared" si="55"/>
        <v>#REF!</v>
      </c>
      <c r="AJ123" s="162" t="e">
        <f t="shared" ca="1" si="50"/>
        <v>#REF!</v>
      </c>
    </row>
    <row r="124" spans="14:37">
      <c r="N124" s="243" t="s">
        <v>52</v>
      </c>
      <c r="O124" s="243"/>
      <c r="P124" s="303">
        <v>566.39</v>
      </c>
      <c r="Q124" s="303">
        <v>77.489999999999995</v>
      </c>
      <c r="R124" s="545">
        <f t="shared" si="51"/>
        <v>4078.1499999999996</v>
      </c>
      <c r="S124" s="524" t="e">
        <f t="shared" si="52"/>
        <v>#REF!</v>
      </c>
      <c r="T124" s="524" t="e">
        <f>$U$110 + IF($B$2="mil",1,0.0254)*DDR2Specs!$E$9</f>
        <v>#REF!</v>
      </c>
      <c r="U124" s="524" t="e">
        <f>$T$110 + IF($B$2="mil",1,0.0254)*DDR2Specs!$F$9</f>
        <v>#REF!</v>
      </c>
      <c r="V124" s="546" t="e">
        <f t="shared" si="47"/>
        <v>#REF!</v>
      </c>
      <c r="W124" s="547" t="e">
        <f t="shared" si="48"/>
        <v>#REF!</v>
      </c>
      <c r="X124" s="554"/>
      <c r="Y124" s="554"/>
      <c r="Z124" s="554"/>
      <c r="AA124" s="554"/>
      <c r="AB124" s="554"/>
      <c r="AC124" s="554"/>
      <c r="AD124" s="566" t="s">
        <v>52</v>
      </c>
      <c r="AE124" s="560" t="e">
        <f t="shared" si="53"/>
        <v>#REF!</v>
      </c>
      <c r="AF124" s="554"/>
      <c r="AG124" s="528" t="e">
        <f t="shared" ca="1" si="49"/>
        <v>#NAME?</v>
      </c>
      <c r="AH124" s="528" t="e">
        <f t="shared" si="54"/>
        <v>#REF!</v>
      </c>
      <c r="AI124" s="560" t="e">
        <f t="shared" si="55"/>
        <v>#REF!</v>
      </c>
      <c r="AJ124" s="162" t="e">
        <f t="shared" ca="1" si="50"/>
        <v>#REF!</v>
      </c>
    </row>
    <row r="125" spans="14:37">
      <c r="N125" s="243" t="s">
        <v>53</v>
      </c>
      <c r="O125" s="243"/>
      <c r="P125" s="303">
        <v>566.39</v>
      </c>
      <c r="Q125" s="303">
        <v>77.489999999999995</v>
      </c>
      <c r="R125" s="545">
        <f t="shared" si="51"/>
        <v>3958.1499999999996</v>
      </c>
      <c r="S125" s="524" t="e">
        <f t="shared" si="52"/>
        <v>#REF!</v>
      </c>
      <c r="T125" s="524" t="e">
        <f>$U$110 + IF($B$2="mil",1,0.0254)*DDR2Specs!$E$9</f>
        <v>#REF!</v>
      </c>
      <c r="U125" s="524" t="e">
        <f>$T$110 + IF($B$2="mil",1,0.0254)*DDR2Specs!$F$9</f>
        <v>#REF!</v>
      </c>
      <c r="V125" s="546" t="e">
        <f t="shared" si="47"/>
        <v>#REF!</v>
      </c>
      <c r="W125" s="547" t="e">
        <f t="shared" si="48"/>
        <v>#REF!</v>
      </c>
      <c r="X125" s="554"/>
      <c r="Y125" s="554"/>
      <c r="Z125" s="554"/>
      <c r="AA125" s="554"/>
      <c r="AB125" s="554"/>
      <c r="AC125" s="554"/>
      <c r="AD125" s="566" t="s">
        <v>53</v>
      </c>
      <c r="AE125" s="560" t="e">
        <f t="shared" si="53"/>
        <v>#REF!</v>
      </c>
      <c r="AF125" s="554"/>
      <c r="AG125" s="528" t="e">
        <f t="shared" ca="1" si="49"/>
        <v>#NAME?</v>
      </c>
      <c r="AH125" s="528" t="e">
        <f t="shared" si="54"/>
        <v>#REF!</v>
      </c>
      <c r="AI125" s="560" t="e">
        <f t="shared" si="55"/>
        <v>#REF!</v>
      </c>
      <c r="AJ125" s="162" t="e">
        <f t="shared" ca="1" si="50"/>
        <v>#REF!</v>
      </c>
    </row>
    <row r="126" spans="14:37">
      <c r="N126" s="205" t="s">
        <v>230</v>
      </c>
      <c r="O126" s="205"/>
      <c r="P126" s="338"/>
      <c r="Q126" s="338"/>
      <c r="R126" s="207"/>
      <c r="S126" s="207"/>
      <c r="T126" s="207"/>
      <c r="U126" s="207"/>
      <c r="V126" s="430"/>
      <c r="W126" s="430"/>
      <c r="X126" s="554"/>
      <c r="Y126" s="554"/>
      <c r="Z126" s="554"/>
      <c r="AA126" s="554"/>
      <c r="AB126" s="554"/>
      <c r="AC126" s="554"/>
      <c r="AD126" s="155" t="s">
        <v>230</v>
      </c>
      <c r="AE126" s="273"/>
      <c r="AF126" s="554"/>
      <c r="AG126" s="179"/>
      <c r="AH126" s="179"/>
      <c r="AI126" s="562"/>
    </row>
    <row r="127" spans="14:37">
      <c r="N127" s="186" t="s">
        <v>54</v>
      </c>
      <c r="O127" s="186"/>
      <c r="P127" s="303">
        <v>570.59</v>
      </c>
      <c r="Q127" s="337">
        <v>72.239999999999995</v>
      </c>
      <c r="R127" s="545">
        <f t="shared" si="51"/>
        <v>3963.45</v>
      </c>
      <c r="S127" s="524" t="e">
        <f t="shared" si="52"/>
        <v>#REF!</v>
      </c>
      <c r="T127" s="524" t="e">
        <f>$U$110 + IF($B$2="mil",1,0.0254)*DDR2Specs!$E$9</f>
        <v>#REF!</v>
      </c>
      <c r="U127" s="524" t="e">
        <f>$T$110 + IF($B$2="mil",1,0.0254)*DDR2Specs!$F$9</f>
        <v>#REF!</v>
      </c>
      <c r="V127" s="546" t="e">
        <f>IF($S127&lt;$T127,$T127-$S127,"Pass")</f>
        <v>#REF!</v>
      </c>
      <c r="W127" s="547" t="e">
        <f>IF($S127&gt;$U127,$S127-$U127,"Pass")</f>
        <v>#REF!</v>
      </c>
      <c r="X127" s="554"/>
      <c r="Y127" s="554"/>
      <c r="Z127" s="554"/>
      <c r="AA127" s="554"/>
      <c r="AB127" s="554"/>
      <c r="AC127" s="554"/>
      <c r="AD127" s="565" t="s">
        <v>54</v>
      </c>
      <c r="AE127" s="560" t="e">
        <f>IF(P127&lt;=IF($B$2="mil",1,0.0254)*1000,"Pass",IF($B$2="mil",1,0.0254)*1000-P127)</f>
        <v>#REF!</v>
      </c>
      <c r="AF127" s="554"/>
      <c r="AG127" s="528" t="e">
        <f t="shared" ca="1" si="49"/>
        <v>#NAME?</v>
      </c>
      <c r="AH127" s="528" t="e">
        <f>IF(AND(R127&gt;=IF($B$2="mil",1,0.0254)*500, $R127&lt;=IF($B$2="mil",1,0.0254)*6500),"Pass",IF($B$2="mil",1,0.0254)*6500-$R127)</f>
        <v>#REF!</v>
      </c>
      <c r="AI127" s="560" t="e">
        <f>IF(AND($S127&gt;=IF($B$2="mil",1,0.0254)*500, $S127&lt;=IF($B$2="mil",1,0.0254)*7000),"Pass",IF($B$2="mil",1,0.0254)*7000-$S127)</f>
        <v>#REF!</v>
      </c>
      <c r="AJ127" s="162" t="e">
        <f ca="1">IF(AND(V127="Pass",W127="Pass",AG127="Pass",AH127="Pass",AE127="Pass",AI127="Pass"),"Pass","Fail")</f>
        <v>#REF!</v>
      </c>
    </row>
    <row r="128" spans="14:37">
      <c r="N128" s="242" t="s">
        <v>55</v>
      </c>
      <c r="O128" s="242"/>
      <c r="P128" s="303">
        <v>585.74</v>
      </c>
      <c r="Q128" s="337">
        <v>51.87</v>
      </c>
      <c r="R128" s="545">
        <f t="shared" si="51"/>
        <v>4003.64</v>
      </c>
      <c r="S128" s="524" t="e">
        <f t="shared" si="52"/>
        <v>#REF!</v>
      </c>
      <c r="T128" s="524" t="e">
        <f>$U$110 + IF($B$2="mil",1,0.0254)*DDR2Specs!$E$9</f>
        <v>#REF!</v>
      </c>
      <c r="U128" s="524" t="e">
        <f>$T$110 + IF($B$2="mil",1,0.0254)*DDR2Specs!$F$9</f>
        <v>#REF!</v>
      </c>
      <c r="V128" s="546" t="e">
        <f>IF($S128&lt;$T128,$T128-$S128,"Pass")</f>
        <v>#REF!</v>
      </c>
      <c r="W128" s="547" t="e">
        <f>IF($S128&gt;$U128,$S128-$U128,"Pass")</f>
        <v>#REF!</v>
      </c>
      <c r="X128" s="554"/>
      <c r="Y128" s="554"/>
      <c r="Z128" s="554"/>
      <c r="AA128" s="554"/>
      <c r="AB128" s="554"/>
      <c r="AC128" s="554"/>
      <c r="AD128" s="567" t="s">
        <v>55</v>
      </c>
      <c r="AE128" s="560" t="e">
        <f>IF(P128&lt;=IF($B$2="mil",1,0.0254)*1000,"Pass",IF($B$2="mil",1,0.0254)*1000-P128)</f>
        <v>#REF!</v>
      </c>
      <c r="AF128" s="554"/>
      <c r="AG128" s="528" t="e">
        <f t="shared" ca="1" si="49"/>
        <v>#NAME?</v>
      </c>
      <c r="AH128" s="528" t="e">
        <f>IF(AND(R128&gt;=IF($B$2="mil",1,0.0254)*500, $R128&lt;=IF($B$2="mil",1,0.0254)*6500),"Pass",IF($B$2="mil",1,0.0254)*6500-$R128)</f>
        <v>#REF!</v>
      </c>
      <c r="AI128" s="560" t="e">
        <f>IF(AND($S128&gt;=IF($B$2="mil",1,0.0254)*500, $S128&lt;=IF($B$2="mil",1,0.0254)*7000),"Pass",IF($B$2="mil",1,0.0254)*7000-$S128)</f>
        <v>#REF!</v>
      </c>
      <c r="AJ128" s="162" t="e">
        <f ca="1">IF(AND(V128="Pass",W128="Pass",AG128="Pass",AH128="Pass",AE128="Pass",AI128="Pass"),"Pass","Fail")</f>
        <v>#REF!</v>
      </c>
    </row>
    <row r="129" spans="14:36">
      <c r="N129" s="242" t="s">
        <v>56</v>
      </c>
      <c r="O129" s="242"/>
      <c r="P129" s="303">
        <v>541.1</v>
      </c>
      <c r="Q129" s="337">
        <v>74.75</v>
      </c>
      <c r="R129" s="545">
        <f t="shared" si="51"/>
        <v>3825.3199999999997</v>
      </c>
      <c r="S129" s="524" t="e">
        <f t="shared" si="52"/>
        <v>#REF!</v>
      </c>
      <c r="T129" s="524" t="e">
        <f>$U$110 + IF($B$2="mil",1,0.0254)*DDR2Specs!$E$9</f>
        <v>#REF!</v>
      </c>
      <c r="U129" s="524" t="e">
        <f>$T$110 + IF($B$2="mil",1,0.0254)*DDR2Specs!$F$9</f>
        <v>#REF!</v>
      </c>
      <c r="V129" s="546" t="e">
        <f>IF($S129&lt;$T129,$T129-$S129,"Pass")</f>
        <v>#REF!</v>
      </c>
      <c r="W129" s="547" t="e">
        <f>IF($S129&gt;$U129,$S129-$U129,"Pass")</f>
        <v>#REF!</v>
      </c>
      <c r="X129" s="554"/>
      <c r="Y129" s="554"/>
      <c r="Z129" s="554"/>
      <c r="AA129" s="554"/>
      <c r="AB129" s="554"/>
      <c r="AC129" s="554"/>
      <c r="AD129" s="567" t="s">
        <v>56</v>
      </c>
      <c r="AE129" s="560" t="e">
        <f>IF(P129&lt;=IF($B$2="mil",1,0.0254)*1000,"Pass",IF($B$2="mil",1,0.0254)*1000-P129)</f>
        <v>#REF!</v>
      </c>
      <c r="AF129" s="554"/>
      <c r="AG129" s="528" t="e">
        <f t="shared" ca="1" si="49"/>
        <v>#NAME?</v>
      </c>
      <c r="AH129" s="528" t="e">
        <f>IF(AND(R129&gt;=IF($B$2="mil",1,0.0254)*500, $R129&lt;=IF($B$2="mil",1,0.0254)*6500),"Pass",IF($B$2="mil",1,0.0254)*6500-$R129)</f>
        <v>#REF!</v>
      </c>
      <c r="AI129" s="560" t="e">
        <f>IF(AND($S129&gt;=IF($B$2="mil",1,0.0254)*500, $S129&lt;=IF($B$2="mil",1,0.0254)*7000),"Pass",IF($B$2="mil",1,0.0254)*7000-$S129)</f>
        <v>#REF!</v>
      </c>
      <c r="AJ129" s="162" t="e">
        <f ca="1">IF(AND(V129="Pass",W129="Pass",AG129="Pass",AH129="Pass",AE129="Pass",AI129="Pass"),"Pass","Fail")</f>
        <v>#REF!</v>
      </c>
    </row>
    <row r="130" spans="14:36">
      <c r="N130" s="205" t="s">
        <v>231</v>
      </c>
      <c r="O130" s="205"/>
      <c r="P130" s="338"/>
      <c r="Q130" s="338"/>
      <c r="R130" s="207"/>
      <c r="S130" s="207"/>
      <c r="T130" s="207"/>
      <c r="U130" s="207"/>
      <c r="V130" s="430"/>
      <c r="W130" s="430"/>
      <c r="X130" s="554"/>
      <c r="Y130" s="554"/>
      <c r="Z130" s="554"/>
      <c r="AA130" s="554"/>
      <c r="AB130" s="554"/>
      <c r="AC130" s="554"/>
      <c r="AD130" s="155" t="s">
        <v>231</v>
      </c>
      <c r="AE130" s="562"/>
      <c r="AF130" s="554"/>
      <c r="AG130" s="430"/>
      <c r="AH130" s="430"/>
      <c r="AI130" s="562"/>
    </row>
    <row r="131" spans="14:36">
      <c r="N131" s="186" t="s">
        <v>58</v>
      </c>
      <c r="O131" s="186"/>
      <c r="P131" s="303">
        <v>564.66</v>
      </c>
      <c r="Q131" s="337">
        <v>28.02</v>
      </c>
      <c r="R131" s="545">
        <f t="shared" si="51"/>
        <v>3800.8099999999995</v>
      </c>
      <c r="S131" s="524" t="e">
        <f t="shared" si="52"/>
        <v>#REF!</v>
      </c>
      <c r="T131" s="524" t="e">
        <f>$U$110 + IF($B$2="mil",1,0.0254)*DDR2Specs!$E$9</f>
        <v>#REF!</v>
      </c>
      <c r="U131" s="524" t="e">
        <f>$T$110 + IF($B$2="mil",1,0.0254)*DDR2Specs!$F$9</f>
        <v>#REF!</v>
      </c>
      <c r="V131" s="546" t="e">
        <f>IF($S131&lt;$T131,$T131-$S131,"Pass")</f>
        <v>#REF!</v>
      </c>
      <c r="W131" s="547" t="e">
        <f>IF($S131&gt;$U131,$S131-$U131,"Pass")</f>
        <v>#REF!</v>
      </c>
      <c r="X131" s="554"/>
      <c r="Y131" s="554"/>
      <c r="Z131" s="554"/>
      <c r="AA131" s="554"/>
      <c r="AB131" s="554"/>
      <c r="AC131" s="554"/>
      <c r="AD131" s="565" t="s">
        <v>58</v>
      </c>
      <c r="AE131" s="560" t="e">
        <f>IF(P131&lt;=IF($B$2="mil",1,0.0254)*1000,"Pass",IF($B$2="mil",1,0.0254)*1000-P131)</f>
        <v>#REF!</v>
      </c>
      <c r="AF131" s="554"/>
      <c r="AG131" s="528" t="e">
        <f t="shared" ca="1" si="49"/>
        <v>#NAME?</v>
      </c>
      <c r="AH131" s="528" t="e">
        <f>IF(AND(R131&gt;=IF($B$2="mil",1,0.0254)*500, $R131&lt;=IF($B$2="mil",1,0.0254)*6500),"Pass",IF($B$2="mil",1,0.0254)*6500-$R131)</f>
        <v>#REF!</v>
      </c>
      <c r="AI131" s="560" t="e">
        <f>IF(AND($S131&gt;=IF($B$2="mil",1,0.0254)*500, $S131&lt;=IF($B$2="mil",1,0.0254)*7000),"Pass",IF($B$2="mil",1,0.0254)*7000-$S131)</f>
        <v>#REF!</v>
      </c>
      <c r="AJ131" s="162" t="e">
        <f ca="1">IF(AND(V131="Pass",W131="Pass",AG131="Pass",AH131="Pass",AE131="Pass",AI131="Pass"),"Pass","Fail")</f>
        <v>#REF!</v>
      </c>
    </row>
    <row r="132" spans="14:36">
      <c r="N132" s="243" t="s">
        <v>59</v>
      </c>
      <c r="O132" s="243"/>
      <c r="P132" s="303">
        <v>578.77</v>
      </c>
      <c r="Q132" s="337">
        <v>51.88</v>
      </c>
      <c r="R132" s="545">
        <f t="shared" si="51"/>
        <v>3834.7999999999997</v>
      </c>
      <c r="S132" s="524" t="e">
        <f t="shared" si="52"/>
        <v>#REF!</v>
      </c>
      <c r="T132" s="524" t="e">
        <f>$U$110 + IF($B$2="mil",1,0.0254)*DDR2Specs!$E$9</f>
        <v>#REF!</v>
      </c>
      <c r="U132" s="524" t="e">
        <f>$T$110 + IF($B$2="mil",1,0.0254)*DDR2Specs!$F$9</f>
        <v>#REF!</v>
      </c>
      <c r="V132" s="546" t="e">
        <f>IF($S132&lt;$T132,$T132-$S132,"Pass")</f>
        <v>#REF!</v>
      </c>
      <c r="W132" s="547" t="e">
        <f>IF($S132&gt;$U132,$S132-$U132,"Pass")</f>
        <v>#REF!</v>
      </c>
      <c r="X132" s="554"/>
      <c r="Y132" s="554"/>
      <c r="Z132" s="554"/>
      <c r="AA132" s="554"/>
      <c r="AB132" s="554"/>
      <c r="AC132" s="554"/>
      <c r="AD132" s="566" t="s">
        <v>59</v>
      </c>
      <c r="AE132" s="560" t="e">
        <f>IF(P132&lt;=IF($B$2="mil",1,0.0254)*1000,"Pass",IF($B$2="mil",1,0.0254)*1000-P132)</f>
        <v>#REF!</v>
      </c>
      <c r="AF132" s="554"/>
      <c r="AG132" s="528" t="e">
        <f t="shared" ca="1" si="49"/>
        <v>#NAME?</v>
      </c>
      <c r="AH132" s="528" t="e">
        <f>IF(AND(R132&gt;=IF($B$2="mil",1,0.0254)*500, $R132&lt;=IF($B$2="mil",1,0.0254)*6500),"Pass",IF($B$2="mil",1,0.0254)*6500-$R132)</f>
        <v>#REF!</v>
      </c>
      <c r="AI132" s="560" t="e">
        <f>IF(AND($S132&gt;=IF($B$2="mil",1,0.0254)*500, $S132&lt;=IF($B$2="mil",1,0.0254)*7000),"Pass",IF($B$2="mil",1,0.0254)*7000-$S132)</f>
        <v>#REF!</v>
      </c>
      <c r="AJ132" s="162" t="e">
        <f ca="1">IF(AND(V132="Pass",W132="Pass",AG132="Pass",AH132="Pass",AE132="Pass",AI132="Pass"),"Pass","Fail")</f>
        <v>#REF!</v>
      </c>
    </row>
    <row r="133" spans="14:36">
      <c r="N133" s="243" t="s">
        <v>60</v>
      </c>
      <c r="O133" s="243"/>
      <c r="P133" s="303">
        <v>574.72</v>
      </c>
      <c r="Q133" s="337">
        <v>30.98</v>
      </c>
      <c r="R133" s="545">
        <f t="shared" si="51"/>
        <v>3821.0899999999997</v>
      </c>
      <c r="S133" s="524" t="e">
        <f t="shared" si="52"/>
        <v>#REF!</v>
      </c>
      <c r="T133" s="524" t="e">
        <f>$U$110 + IF($B$2="mil",1,0.0254)*DDR2Specs!$E$9</f>
        <v>#REF!</v>
      </c>
      <c r="U133" s="524" t="e">
        <f>$T$110 + IF($B$2="mil",1,0.0254)*DDR2Specs!$F$9</f>
        <v>#REF!</v>
      </c>
      <c r="V133" s="546" t="e">
        <f>IF($S133&lt;$T133,$T133-$S133,"Pass")</f>
        <v>#REF!</v>
      </c>
      <c r="W133" s="547" t="e">
        <f>IF($S133&gt;$U133,$S133-$U133,"Pass")</f>
        <v>#REF!</v>
      </c>
      <c r="X133" s="554"/>
      <c r="Y133" s="554"/>
      <c r="Z133" s="554"/>
      <c r="AA133" s="554"/>
      <c r="AB133" s="554"/>
      <c r="AC133" s="554"/>
      <c r="AD133" s="566" t="s">
        <v>60</v>
      </c>
      <c r="AE133" s="560" t="e">
        <f>IF(P133&lt;=IF($B$2="mil",1,0.0254)*1000,"Pass",IF($B$2="mil",1,0.0254)*1000-P133)</f>
        <v>#REF!</v>
      </c>
      <c r="AF133" s="554"/>
      <c r="AG133" s="528" t="e">
        <f t="shared" ca="1" si="49"/>
        <v>#NAME?</v>
      </c>
      <c r="AH133" s="528" t="e">
        <f>IF(AND(R133&gt;=IF($B$2="mil",1,0.0254)*500, $R133&lt;=IF($B$2="mil",1,0.0254)*6500),"Pass",IF($B$2="mil",1,0.0254)*6500-$R133)</f>
        <v>#REF!</v>
      </c>
      <c r="AI133" s="560" t="e">
        <f>IF(AND($S133&gt;=IF($B$2="mil",1,0.0254)*500, $S133&lt;=IF($B$2="mil",1,0.0254)*7000),"Pass",IF($B$2="mil",1,0.0254)*7000-$S133)</f>
        <v>#REF!</v>
      </c>
      <c r="AJ133" s="162" t="e">
        <f ca="1">IF(AND(V133="Pass",W133="Pass",AG133="Pass",AH133="Pass",AE133="Pass",AI133="Pass"),"Pass","Fail")</f>
        <v>#REF!</v>
      </c>
    </row>
    <row r="134" spans="14:36">
      <c r="R134" s="554"/>
      <c r="S134" s="554"/>
      <c r="T134" s="554"/>
      <c r="U134" s="554"/>
      <c r="V134" s="554"/>
      <c r="W134" s="554"/>
      <c r="X134" s="554"/>
      <c r="Y134" s="554"/>
      <c r="Z134" s="554"/>
      <c r="AA134" s="554"/>
      <c r="AB134" s="554"/>
      <c r="AC134" s="554"/>
      <c r="AD134" s="554"/>
      <c r="AE134" s="554"/>
      <c r="AF134" s="554"/>
      <c r="AG134" s="554"/>
      <c r="AH134" s="554"/>
      <c r="AI134" s="554"/>
    </row>
    <row r="135" spans="14:36">
      <c r="R135" s="554"/>
      <c r="S135" s="554"/>
      <c r="T135" s="554"/>
      <c r="U135" s="554"/>
      <c r="V135" s="554"/>
      <c r="W135" s="554"/>
      <c r="X135" s="554"/>
      <c r="Y135" s="554"/>
      <c r="Z135" s="554"/>
      <c r="AA135" s="554"/>
      <c r="AB135" s="554"/>
      <c r="AC135" s="554"/>
      <c r="AD135" s="554"/>
      <c r="AE135" s="554"/>
      <c r="AF135" s="554"/>
      <c r="AG135" s="554"/>
      <c r="AH135" s="554"/>
      <c r="AI135" s="554"/>
    </row>
    <row r="136" spans="14:36">
      <c r="R136" s="554"/>
      <c r="S136" s="554"/>
      <c r="T136" s="554"/>
      <c r="U136" s="554"/>
      <c r="V136" s="554"/>
      <c r="W136" s="554"/>
      <c r="X136" s="554"/>
      <c r="Y136" s="554"/>
      <c r="Z136" s="554"/>
      <c r="AA136" s="554"/>
      <c r="AB136" s="554"/>
      <c r="AC136" s="554"/>
      <c r="AD136" s="554"/>
      <c r="AE136" s="554"/>
      <c r="AF136" s="554"/>
      <c r="AG136" s="554"/>
      <c r="AH136" s="554"/>
      <c r="AI136" s="554"/>
    </row>
    <row r="137" spans="14:36">
      <c r="R137" s="554"/>
      <c r="S137" s="554"/>
      <c r="T137" s="554"/>
      <c r="U137" s="554"/>
      <c r="V137" s="554"/>
      <c r="W137" s="554"/>
      <c r="X137" s="554"/>
      <c r="Y137" s="554"/>
      <c r="Z137" s="554"/>
      <c r="AA137" s="554"/>
      <c r="AB137" s="554"/>
      <c r="AC137" s="554"/>
      <c r="AD137" s="554"/>
      <c r="AE137" s="554"/>
      <c r="AF137" s="554"/>
      <c r="AG137" s="554"/>
      <c r="AH137" s="554"/>
      <c r="AI137" s="554"/>
    </row>
    <row r="138" spans="14:36">
      <c r="R138" s="554"/>
      <c r="S138" s="554"/>
      <c r="T138" s="554"/>
      <c r="U138" s="554"/>
      <c r="V138" s="554"/>
      <c r="W138" s="554"/>
      <c r="X138" s="554"/>
      <c r="Y138" s="554"/>
      <c r="Z138" s="554"/>
      <c r="AA138" s="554"/>
      <c r="AB138" s="554"/>
      <c r="AC138" s="554"/>
      <c r="AD138" s="554"/>
      <c r="AE138" s="554"/>
      <c r="AF138" s="554"/>
      <c r="AG138" s="554"/>
      <c r="AH138" s="554"/>
      <c r="AI138" s="554"/>
    </row>
  </sheetData>
  <protectedRanges>
    <protectedRange sqref="P131:Q133 P127:Q129 P112:Q125 P105:Q107 P101:Q103 P86:Q99 Q79:Q81 Q75:Q77 Q60:Q73 E22:K24 E7:K20 E53:Q55 E34:Q47 E49:Q51 E26:K28" name="DDR2_COMMAND_4L"/>
  </protectedRanges>
  <mergeCells count="2">
    <mergeCell ref="A1:E1"/>
    <mergeCell ref="F1:G1"/>
  </mergeCells>
  <phoneticPr fontId="4" type="noConversion"/>
  <conditionalFormatting sqref="AE131:AE133 AC86:AC99 Y34:AI47 AG101:AI103 AD77 Y49:AI51 AE112:AE125 Y53:AI55 AE127:AE129 AC101:AC103 U26:AI28 AG60:AI73 AG105:AI107 AG75:AI77 AG79:AI81 AG86:AI99 V34:W47 V131:W133 V127:W129 V112:W125 V105:W107 V86:W99 V75:W77 V60:W73 V101:W103 V79:W81 V49:W51 R7:S20 R22:S24 R26:S28 V53:W55 U22:AI24 AC105:AC107 U7:AI20 AG112:AI125 AG127:AI129 AG131:AI133">
    <cfRule type="cellIs" priority="1" stopIfTrue="1" operator="equal">
      <formula>"Pass"</formula>
    </cfRule>
    <cfRule type="cellIs" dxfId="111" priority="2" stopIfTrue="1" operator="notEqual">
      <formula>"Pass"</formula>
    </cfRule>
  </conditionalFormatting>
  <conditionalFormatting sqref="T26:T28 T22:T24 X34:X47 T7:T20 X49:X51 X53:X55">
    <cfRule type="cellIs" dxfId="110" priority="3" stopIfTrue="1" operator="equal">
      <formula>"Pass"</formula>
    </cfRule>
    <cfRule type="cellIs" dxfId="109" priority="4" stopIfTrue="1" operator="notEqual">
      <formula>"Pass"</formula>
    </cfRule>
  </conditionalFormatting>
  <conditionalFormatting sqref="A1 F1:Z1">
    <cfRule type="expression" dxfId="108" priority="5" stopIfTrue="1">
      <formula>$F$1 = "Fail"</formula>
    </cfRule>
    <cfRule type="expression" dxfId="107" priority="6" stopIfTrue="1">
      <formula>$F$1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20501" r:id="rId4">
          <objectPr defaultSize="0" autoPict="0" r:id="rId5">
            <anchor moveWithCells="1">
              <from>
                <xdr:col>0</xdr:col>
                <xdr:colOff>0</xdr:colOff>
                <xdr:row>58</xdr:row>
                <xdr:rowOff>0</xdr:rowOff>
              </from>
              <to>
                <xdr:col>10</xdr:col>
                <xdr:colOff>1600200</xdr:colOff>
                <xdr:row>66</xdr:row>
                <xdr:rowOff>180975</xdr:rowOff>
              </to>
            </anchor>
          </objectPr>
        </oleObject>
      </mc:Choice>
      <mc:Fallback>
        <oleObject progId="Visio.Drawing.11" shapeId="20501" r:id="rId4"/>
      </mc:Fallback>
    </mc:AlternateContent>
    <mc:AlternateContent xmlns:mc="http://schemas.openxmlformats.org/markup-compatibility/2006">
      <mc:Choice Requires="x14">
        <oleObject progId="Visio.Drawing.11" shapeId="20502" r:id="rId6">
          <objectPr defaultSize="0" autoPict="0" r:id="rId7">
            <anchor moveWithCells="1">
              <from>
                <xdr:col>0</xdr:col>
                <xdr:colOff>0</xdr:colOff>
                <xdr:row>72</xdr:row>
                <xdr:rowOff>0</xdr:rowOff>
              </from>
              <to>
                <xdr:col>10</xdr:col>
                <xdr:colOff>1609725</xdr:colOff>
                <xdr:row>93</xdr:row>
                <xdr:rowOff>47625</xdr:rowOff>
              </to>
            </anchor>
          </objectPr>
        </oleObject>
      </mc:Choice>
      <mc:Fallback>
        <oleObject progId="Visio.Drawing.11" shapeId="20502"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B1:C20"/>
  <sheetViews>
    <sheetView workbookViewId="0">
      <selection activeCell="E15" sqref="E15"/>
    </sheetView>
  </sheetViews>
  <sheetFormatPr defaultColWidth="19.5703125" defaultRowHeight="12.75"/>
  <cols>
    <col min="1" max="1" width="6.28515625" style="919" customWidth="1"/>
    <col min="2" max="2" width="19.5703125" style="919" customWidth="1"/>
    <col min="3" max="3" width="23.140625" style="919" customWidth="1"/>
    <col min="4" max="16384" width="19.5703125" style="919"/>
  </cols>
  <sheetData>
    <row r="1" spans="2:3" ht="13.5" thickBot="1"/>
    <row r="2" spans="2:3" ht="13.5" thickTop="1">
      <c r="B2" s="1196" t="s">
        <v>7</v>
      </c>
      <c r="C2" s="1198" t="s">
        <v>1242</v>
      </c>
    </row>
    <row r="3" spans="2:3" ht="13.5" thickBot="1">
      <c r="B3" s="1197"/>
      <c r="C3" s="1199"/>
    </row>
    <row r="4" spans="2:3" ht="17.25" thickTop="1">
      <c r="B4" s="920" t="s">
        <v>1243</v>
      </c>
      <c r="C4" s="1017" t="s">
        <v>972</v>
      </c>
    </row>
    <row r="5" spans="2:3" ht="16.5">
      <c r="B5" s="917" t="s">
        <v>1244</v>
      </c>
      <c r="C5" s="1016" t="s">
        <v>972</v>
      </c>
    </row>
    <row r="6" spans="2:3" ht="16.5">
      <c r="B6" s="917" t="s">
        <v>1245</v>
      </c>
      <c r="C6" s="1016" t="s">
        <v>972</v>
      </c>
    </row>
    <row r="7" spans="2:3" ht="16.5">
      <c r="B7" s="917" t="s">
        <v>1246</v>
      </c>
      <c r="C7" s="1016" t="s">
        <v>1155</v>
      </c>
    </row>
    <row r="8" spans="2:3" ht="16.5">
      <c r="B8" s="917" t="s">
        <v>1247</v>
      </c>
      <c r="C8" s="1016" t="s">
        <v>972</v>
      </c>
    </row>
    <row r="9" spans="2:3" ht="16.5">
      <c r="B9" s="917" t="s">
        <v>1248</v>
      </c>
      <c r="C9" s="1016" t="s">
        <v>972</v>
      </c>
    </row>
    <row r="10" spans="2:3" ht="16.5">
      <c r="B10" s="917" t="s">
        <v>1249</v>
      </c>
      <c r="C10" s="1016" t="s">
        <v>972</v>
      </c>
    </row>
    <row r="11" spans="2:3" ht="16.5">
      <c r="B11" s="917" t="s">
        <v>1263</v>
      </c>
      <c r="C11" s="1016" t="s">
        <v>1262</v>
      </c>
    </row>
    <row r="12" spans="2:3" ht="16.5">
      <c r="B12" s="917" t="s">
        <v>1250</v>
      </c>
      <c r="C12" s="1016" t="s">
        <v>1155</v>
      </c>
    </row>
    <row r="13" spans="2:3" ht="16.5">
      <c r="B13" s="917" t="s">
        <v>1251</v>
      </c>
      <c r="C13" s="1016" t="s">
        <v>1252</v>
      </c>
    </row>
    <row r="14" spans="2:3" ht="16.5">
      <c r="B14" s="917" t="s">
        <v>1253</v>
      </c>
      <c r="C14" s="1016" t="s">
        <v>1176</v>
      </c>
    </row>
    <row r="15" spans="2:3" ht="16.5">
      <c r="B15" s="917" t="s">
        <v>1254</v>
      </c>
      <c r="C15" s="1016" t="s">
        <v>1252</v>
      </c>
    </row>
    <row r="16" spans="2:3" ht="16.5">
      <c r="B16" s="917" t="s">
        <v>1255</v>
      </c>
      <c r="C16" s="1016" t="s">
        <v>1252</v>
      </c>
    </row>
    <row r="17" spans="2:3" ht="17.25" thickBot="1">
      <c r="B17" s="918" t="s">
        <v>1256</v>
      </c>
      <c r="C17" s="1015" t="s">
        <v>1252</v>
      </c>
    </row>
    <row r="18" spans="2:3" ht="13.5" thickTop="1"/>
    <row r="20" spans="2:3">
      <c r="C20" s="919" t="s">
        <v>1257</v>
      </c>
    </row>
  </sheetData>
  <sheetProtection password="AAE5" sheet="1" objects="1" scenarios="1" selectLockedCells="1"/>
  <mergeCells count="2">
    <mergeCell ref="B2:B3"/>
    <mergeCell ref="C2:C3"/>
  </mergeCells>
  <phoneticPr fontId="49" type="noConversion"/>
  <pageMargins left="0.75" right="0.75" top="1" bottom="1" header="0.5" footer="0.5"/>
  <pageSetup paperSize="9" orientation="portrait" verticalDpi="0"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AV133"/>
  <sheetViews>
    <sheetView topLeftCell="B1"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bestFit="1" customWidth="1"/>
    <col min="26" max="26" width="16.140625" bestFit="1" customWidth="1"/>
    <col min="27" max="27" width="12" bestFit="1" customWidth="1"/>
    <col min="28" max="28" width="21.5703125" customWidth="1"/>
    <col min="29" max="29" width="23.7109375" customWidth="1"/>
    <col min="30" max="30" width="17.85546875" bestFit="1" customWidth="1"/>
    <col min="31" max="31" width="13.28515625" bestFit="1" customWidth="1"/>
    <col min="32" max="32" width="12.140625" bestFit="1" customWidth="1"/>
    <col min="33" max="33" width="25.140625" bestFit="1" customWidth="1"/>
    <col min="34" max="34" width="15.140625" bestFit="1" customWidth="1"/>
    <col min="35" max="35" width="25.140625" bestFit="1" customWidth="1"/>
    <col min="36" max="36" width="14.5703125" bestFit="1" customWidth="1"/>
    <col min="37" max="37" width="25.140625" bestFit="1" customWidth="1"/>
    <col min="38" max="38" width="15.7109375" bestFit="1" customWidth="1"/>
    <col min="39" max="39" width="16.140625" bestFit="1" customWidth="1"/>
    <col min="40" max="40" width="22.140625" customWidth="1"/>
    <col min="41" max="41" width="19.28515625" customWidth="1"/>
    <col min="42" max="42" width="18.28515625" customWidth="1"/>
    <col min="43" max="43" width="17.85546875" customWidth="1"/>
    <col min="44" max="44" width="18.28515625" customWidth="1"/>
    <col min="45" max="45" width="18.42578125" hidden="1" customWidth="1"/>
    <col min="46" max="46" width="16.28515625" hidden="1" customWidth="1"/>
    <col min="47" max="47" width="23.28515625" hidden="1" customWidth="1"/>
    <col min="48" max="48" width="17.7109375" hidden="1" customWidth="1"/>
  </cols>
  <sheetData>
    <row r="1" spans="1:47" s="3" customFormat="1" ht="26.25">
      <c r="A1" s="1319" t="s">
        <v>228</v>
      </c>
      <c r="B1" s="1320"/>
      <c r="C1" s="1320"/>
      <c r="D1" s="1320"/>
      <c r="E1" s="1320"/>
      <c r="F1" s="1321" t="e">
        <f ca="1">IF(AND(AU7="Pass",AU8="Pass",AU34="Pass",AU35="Pass",AU60="Pass",AU61="Pass",AU86="Pass",AU87="Pass",AU112="Pass",AU113="Pass"),"Pass","Fail")</f>
        <v>#REF!</v>
      </c>
      <c r="G1" s="1321"/>
      <c r="H1" s="457"/>
      <c r="I1" s="457"/>
      <c r="J1" s="457"/>
      <c r="K1" s="457"/>
      <c r="L1" s="457"/>
      <c r="M1" s="457"/>
      <c r="N1" s="457"/>
      <c r="O1" s="457"/>
      <c r="P1" s="457"/>
      <c r="Q1" s="457"/>
      <c r="R1" s="457"/>
      <c r="S1" s="457"/>
      <c r="T1" s="457"/>
      <c r="U1" s="457"/>
      <c r="V1" s="471"/>
      <c r="W1" s="457"/>
      <c r="X1" s="457"/>
      <c r="Y1" s="457"/>
      <c r="Z1" s="458"/>
    </row>
    <row r="2" spans="1:47" s="97" customFormat="1">
      <c r="A2" s="459" t="s">
        <v>10</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65"/>
    </row>
    <row r="3" spans="1:47" s="154" customFormat="1" ht="22.5">
      <c r="A3" s="144" t="s">
        <v>457</v>
      </c>
      <c r="B3" s="144" t="s">
        <v>420</v>
      </c>
      <c r="C3" s="145" t="s">
        <v>22</v>
      </c>
      <c r="D3" s="146"/>
      <c r="E3" s="147" t="e">
        <f>"EscapeLength L0 ["&amp;$B$2&amp;"]"</f>
        <v>#REF!</v>
      </c>
      <c r="F3" s="147" t="e">
        <f>"BreakoutLength L1["&amp; $B$2&amp;"]"</f>
        <v>#REF!</v>
      </c>
      <c r="G3" s="147" t="e">
        <f>"MainLength L2[" &amp;$B$2&amp; " ]"</f>
        <v>#REF!</v>
      </c>
      <c r="H3" s="147" t="e">
        <f>"BreakinLength S1  [" &amp;$B$2&amp;"]"</f>
        <v>#REF!</v>
      </c>
      <c r="I3" s="150"/>
      <c r="J3" s="151" t="e">
        <f>"Via-to-via (SODIMM-to-Rt) L3 [" &amp;$B$2&amp;"]"</f>
        <v>#REF!</v>
      </c>
      <c r="K3" s="151" t="e">
        <f>"Via-to-Rt L4 [" &amp;$B$2&amp;"]"</f>
        <v>#REF!</v>
      </c>
      <c r="L3" s="150"/>
      <c r="M3" s="149" t="e">
        <f>"Total MB Length(L0+L1+L2+S1)[" &amp;$B$2&amp;"]"</f>
        <v>#REF!</v>
      </c>
      <c r="N3" s="150" t="e">
        <f>"Total Pad-to-Pin Length (P1+L0+L1+L2+S1)["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("&amp;IF($B$2="mil",1,0.0254)*500&amp;"-"&amp;IF($B$2="mil",1,0.0254)*4500&amp;IF($B$2="mil","mil","mm")&amp;")"</f>
        <v>#REF!</v>
      </c>
      <c r="X3" s="150" t="e">
        <f>"Total Length    (P1+L0+L1+L2+S1) Test (&lt;="&amp;IF($B$2="mil",1,25.4)*5000&amp;IF($B$2="mil","mil","mm")&amp;")"</f>
        <v>#REF!</v>
      </c>
      <c r="Y3" s="150" t="e">
        <f>"L3 Length Test (&lt;="&amp;IF($B$2="mil",1,0.0254)*1300&amp;$B$2&amp; ")"</f>
        <v>#REF!</v>
      </c>
      <c r="Z3" s="150" t="e">
        <f>"L4 Length Test (&lt;=" &amp; IF($B$2="mil",1,0.0254)*200&amp;$B$2&amp;") or (L3+L4&lt;= "&amp;IF($B$2="mil",1,0.0254)*1500&amp;$B$2&amp;")"</f>
        <v>#REF!</v>
      </c>
    </row>
    <row r="4" spans="1:47" s="162" customFormat="1" ht="11.25">
      <c r="A4" s="460" t="s">
        <v>211</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47" s="162" customFormat="1" ht="11.25">
      <c r="A5" s="360" t="s">
        <v>215</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24"/>
      <c r="AB5" s="27"/>
      <c r="AC5" s="178"/>
      <c r="AD5" s="161"/>
    </row>
    <row r="6" spans="1:47" s="162" customFormat="1" ht="11.25">
      <c r="A6" s="460" t="s">
        <v>238</v>
      </c>
      <c r="B6" s="155"/>
      <c r="C6" s="155"/>
      <c r="D6" s="179"/>
      <c r="E6" s="180"/>
      <c r="F6" s="180"/>
      <c r="G6" s="180"/>
      <c r="H6" s="180"/>
      <c r="I6" s="180"/>
      <c r="J6" s="181"/>
      <c r="K6" s="181"/>
      <c r="L6" s="180"/>
      <c r="M6" s="180"/>
      <c r="N6" s="180"/>
      <c r="O6" s="179"/>
      <c r="P6" s="179"/>
      <c r="Q6" s="531"/>
      <c r="R6" s="179"/>
      <c r="S6" s="179"/>
      <c r="T6" s="179"/>
      <c r="U6" s="179"/>
      <c r="V6" s="430"/>
      <c r="W6" s="179"/>
      <c r="X6" s="179"/>
      <c r="Y6" s="179"/>
      <c r="Z6" s="533"/>
      <c r="AA6" s="6"/>
      <c r="AB6" s="6"/>
    </row>
    <row r="7" spans="1:47" s="162" customFormat="1">
      <c r="A7" s="185" t="s">
        <v>61</v>
      </c>
      <c r="B7" s="479" t="s">
        <v>430</v>
      </c>
      <c r="C7" s="635">
        <v>378.93700787401576</v>
      </c>
      <c r="D7" s="226"/>
      <c r="E7" s="622">
        <v>22.63</v>
      </c>
      <c r="F7" s="622">
        <v>0</v>
      </c>
      <c r="G7" s="622">
        <v>1066.6300000000001</v>
      </c>
      <c r="H7" s="622">
        <v>134.49</v>
      </c>
      <c r="I7" s="204"/>
      <c r="J7" s="313">
        <v>0</v>
      </c>
      <c r="K7" s="622">
        <v>32.5</v>
      </c>
      <c r="L7" s="192"/>
      <c r="M7" s="522">
        <f t="shared" ref="M7:M20" si="0" xml:space="preserve"> E7+F7+G7+H7</f>
        <v>1223.7500000000002</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 t="shared" ref="W7:W20" si="5">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425"/>
      <c r="AB7" s="425"/>
      <c r="AC7" s="394"/>
      <c r="AD7" s="394"/>
      <c r="AE7" s="394"/>
      <c r="AF7" s="394"/>
      <c r="AG7" s="394"/>
      <c r="AH7" s="394"/>
      <c r="AI7" s="394"/>
      <c r="AJ7" s="394"/>
      <c r="AK7" s="394"/>
      <c r="AL7" s="394"/>
      <c r="AM7" s="394"/>
      <c r="AN7" s="394"/>
      <c r="AO7" s="394"/>
      <c r="AP7" s="394"/>
      <c r="AQ7" s="394"/>
      <c r="AR7" s="394"/>
      <c r="AS7" s="394"/>
      <c r="AT7" s="162" t="e">
        <f t="shared" ref="AT7:AT20" ca="1" si="6">IF(AND(R7="Pass",S7="Pass",T7="Pass",U7="Pass",V7="Pass",W7="Pass",X7="Pass",Y7="Pass",Z7="Pass"),"Pass","Fail")</f>
        <v>#REF!</v>
      </c>
      <c r="AU7" s="162" t="e">
        <f ca="1">IF(AND(AT7="Pass",AT8="Pass",AT9="Pass",AT10="Pass",AT11="Pass",AT12="Pass",AT13="Pass",AT14="Pass",AT15="Pass"),"Pass","Fail")</f>
        <v>#REF!</v>
      </c>
    </row>
    <row r="8" spans="1:47" s="162" customFormat="1">
      <c r="A8" s="185" t="s">
        <v>62</v>
      </c>
      <c r="B8" s="480" t="s">
        <v>57</v>
      </c>
      <c r="C8" s="635">
        <v>526.1811023622048</v>
      </c>
      <c r="D8" s="227"/>
      <c r="E8" s="622">
        <v>22.63</v>
      </c>
      <c r="F8" s="622">
        <v>0</v>
      </c>
      <c r="G8" s="622">
        <v>1337.86</v>
      </c>
      <c r="H8" s="622">
        <v>67.62</v>
      </c>
      <c r="I8" s="204"/>
      <c r="J8" s="313">
        <v>0</v>
      </c>
      <c r="K8" s="622">
        <v>99.71</v>
      </c>
      <c r="L8" s="192"/>
      <c r="M8" s="522">
        <f t="shared" si="0"/>
        <v>1428.1100000000001</v>
      </c>
      <c r="N8" s="522" t="e">
        <f t="shared" si="1"/>
        <v>#REF!</v>
      </c>
      <c r="O8" s="530"/>
      <c r="P8" s="524" t="e">
        <f>MAX($P$5:$Q$5)+IF($B$2="mil",1,0.0254)*DDR2Specs!$B$9</f>
        <v>#REF!</v>
      </c>
      <c r="Q8" s="524" t="e">
        <f>MIN($P$5:$Q$5)+IF($B$2="mil",1,0.0254)*DDR2Specs!$C$9</f>
        <v>#REF!</v>
      </c>
      <c r="R8" s="525" t="e">
        <f t="shared" si="2"/>
        <v>#REF!</v>
      </c>
      <c r="S8" s="526" t="e">
        <f t="shared" si="3"/>
        <v>#REF!</v>
      </c>
      <c r="T8" s="527" t="e">
        <f t="shared" ref="T8:T20" si="7">IF($E8&lt;=IF($B$2="mil",1,0.0254)*50,"Pass",IF($B$2="mil",1,0.0254)*50-$E8)</f>
        <v>#REF!</v>
      </c>
      <c r="U8" s="528" t="e">
        <f t="shared" si="4"/>
        <v>#REF!</v>
      </c>
      <c r="V8" s="528" t="e">
        <f>IF($H8&lt;=IF($B$2="mil",1,0.0254)*200,"Pass",IF($B$2="mil",1,0.0254)*200-$H8)</f>
        <v>#REF!</v>
      </c>
      <c r="W8" s="528" t="e">
        <f t="shared" si="5"/>
        <v>#REF!</v>
      </c>
      <c r="X8" s="528" t="e">
        <f t="shared" ref="X8:X20" si="8">IF(AND($N8&gt;=IF($B$2="mil",1,0.0254)*500, $N8&lt;=IF($B$2="mil",1,0.0254)*5000),"Pass",IF($B$2="mil",1,0.0254)*5000-$N8)</f>
        <v>#REF!</v>
      </c>
      <c r="Y8" s="528" t="e">
        <f t="shared" ref="Y8:Y28" si="9">IF((J8&lt;=IF($B$2="mil",1,0.0254)*1300),"Pass",IF($B$2="mil",1,0.0254)*1300-J8)</f>
        <v>#REF!</v>
      </c>
      <c r="Z8" s="529" t="e">
        <f t="shared" ref="Z8:Z19" ca="1" si="10">CheckLength2(IF($B$2="mil",1,0.0254)*1500,J8,K8,0)</f>
        <v>#NAME?</v>
      </c>
      <c r="AA8" s="425"/>
      <c r="AB8" s="425"/>
      <c r="AC8" s="394"/>
      <c r="AD8" s="394"/>
      <c r="AE8" s="394"/>
      <c r="AF8" s="394"/>
      <c r="AG8" s="394"/>
      <c r="AH8" s="394"/>
      <c r="AI8" s="394"/>
      <c r="AJ8" s="394"/>
      <c r="AK8" s="394"/>
      <c r="AL8" s="394"/>
      <c r="AM8" s="394"/>
      <c r="AN8" s="394"/>
      <c r="AO8" s="394"/>
      <c r="AP8" s="394"/>
      <c r="AQ8" s="394"/>
      <c r="AR8" s="394"/>
      <c r="AS8" s="394"/>
      <c r="AT8" s="162" t="e">
        <f t="shared" ca="1" si="6"/>
        <v>#REF!</v>
      </c>
      <c r="AU8" s="162" t="e">
        <f ca="1">IF(AND(AT16="Pass",AT17="Pass",AT18="Pass",AT19="Pass",AT20="Pass",AT22="Pass",AT23="Pass",AT24="Pass",AT26="Pass",AT27="Pass",AT28="Pass"),"Pass","Fail")</f>
        <v>#REF!</v>
      </c>
    </row>
    <row r="9" spans="1:47" s="162" customFormat="1">
      <c r="A9" s="185" t="s">
        <v>63</v>
      </c>
      <c r="B9" s="480" t="s">
        <v>431</v>
      </c>
      <c r="C9" s="635">
        <v>448.14960629921256</v>
      </c>
      <c r="D9" s="237"/>
      <c r="E9" s="622">
        <v>22.63</v>
      </c>
      <c r="F9" s="622">
        <v>0</v>
      </c>
      <c r="G9" s="622">
        <v>1069.25</v>
      </c>
      <c r="H9" s="622">
        <v>80.290000000000006</v>
      </c>
      <c r="I9" s="238"/>
      <c r="J9" s="313">
        <v>0</v>
      </c>
      <c r="K9" s="622">
        <v>94.07</v>
      </c>
      <c r="L9" s="239"/>
      <c r="M9" s="522">
        <f t="shared" si="0"/>
        <v>1172.17</v>
      </c>
      <c r="N9" s="522" t="e">
        <f t="shared" si="1"/>
        <v>#REF!</v>
      </c>
      <c r="O9" s="239"/>
      <c r="P9" s="524" t="e">
        <f>MAX($P$5:$Q$5)+IF($B$2="mil",1,0.0254)*DDR2Specs!$B$9</f>
        <v>#REF!</v>
      </c>
      <c r="Q9" s="524" t="e">
        <f>MIN($P$5:$Q$5)+IF($B$2="mil",1,0.0254)*DDR2Specs!$C$9</f>
        <v>#REF!</v>
      </c>
      <c r="R9" s="525" t="e">
        <f t="shared" si="2"/>
        <v>#REF!</v>
      </c>
      <c r="S9" s="526" t="e">
        <f t="shared" si="3"/>
        <v>#REF!</v>
      </c>
      <c r="T9" s="527" t="e">
        <f t="shared" si="7"/>
        <v>#REF!</v>
      </c>
      <c r="U9" s="528" t="e">
        <f t="shared" si="4"/>
        <v>#REF!</v>
      </c>
      <c r="V9" s="528" t="e">
        <f t="shared" ref="V9:V20" si="11">IF($H9&lt;=IF($B$2="mil",1,0.0254)*200,"Pass",IF($B$2="mil",1,0.0254)*200-$H9)</f>
        <v>#REF!</v>
      </c>
      <c r="W9" s="528" t="e">
        <f t="shared" si="5"/>
        <v>#REF!</v>
      </c>
      <c r="X9" s="528" t="e">
        <f t="shared" si="8"/>
        <v>#REF!</v>
      </c>
      <c r="Y9" s="528" t="e">
        <f t="shared" si="9"/>
        <v>#REF!</v>
      </c>
      <c r="Z9" s="529" t="e">
        <f t="shared" ca="1" si="10"/>
        <v>#NAME?</v>
      </c>
      <c r="AA9" s="425"/>
      <c r="AB9" s="425"/>
      <c r="AC9" s="394"/>
      <c r="AD9" s="394"/>
      <c r="AE9" s="394"/>
      <c r="AF9" s="394"/>
      <c r="AG9" s="394"/>
      <c r="AH9" s="394"/>
      <c r="AI9" s="394"/>
      <c r="AJ9" s="394"/>
      <c r="AK9" s="394"/>
      <c r="AL9" s="394"/>
      <c r="AM9" s="394"/>
      <c r="AN9" s="394"/>
      <c r="AO9" s="394"/>
      <c r="AP9" s="394"/>
      <c r="AQ9" s="394"/>
      <c r="AR9" s="394"/>
      <c r="AS9" s="394"/>
      <c r="AT9" s="162" t="e">
        <f t="shared" ca="1" si="6"/>
        <v>#REF!</v>
      </c>
    </row>
    <row r="10" spans="1:47" s="162" customFormat="1">
      <c r="A10" s="185" t="s">
        <v>64</v>
      </c>
      <c r="B10" s="480" t="s">
        <v>432</v>
      </c>
      <c r="C10" s="635">
        <v>435.90551181102359</v>
      </c>
      <c r="D10" s="237"/>
      <c r="E10" s="622">
        <v>22.63</v>
      </c>
      <c r="F10" s="622">
        <v>0</v>
      </c>
      <c r="G10" s="622">
        <v>1476.89</v>
      </c>
      <c r="H10" s="622">
        <v>128.35</v>
      </c>
      <c r="I10" s="238"/>
      <c r="J10" s="313">
        <v>0</v>
      </c>
      <c r="K10" s="622">
        <v>42.5</v>
      </c>
      <c r="L10" s="239"/>
      <c r="M10" s="522">
        <f t="shared" si="0"/>
        <v>1627.8700000000001</v>
      </c>
      <c r="N10" s="522" t="e">
        <f t="shared" si="1"/>
        <v>#REF!</v>
      </c>
      <c r="O10" s="239"/>
      <c r="P10" s="524" t="e">
        <f>MAX($P$5:$Q$5)+IF($B$2="mil",1,0.0254)*DDR2Specs!$B$9</f>
        <v>#REF!</v>
      </c>
      <c r="Q10" s="524" t="e">
        <f>MIN($P$5:$Q$5)+IF($B$2="mil",1,0.0254)*DDR2Specs!$C$9</f>
        <v>#REF!</v>
      </c>
      <c r="R10" s="525" t="e">
        <f t="shared" si="2"/>
        <v>#REF!</v>
      </c>
      <c r="S10" s="526" t="e">
        <f t="shared" si="3"/>
        <v>#REF!</v>
      </c>
      <c r="T10" s="527" t="e">
        <f t="shared" si="7"/>
        <v>#REF!</v>
      </c>
      <c r="U10" s="528" t="e">
        <f t="shared" si="4"/>
        <v>#REF!</v>
      </c>
      <c r="V10" s="528" t="e">
        <f t="shared" si="11"/>
        <v>#REF!</v>
      </c>
      <c r="W10" s="528" t="e">
        <f t="shared" si="5"/>
        <v>#REF!</v>
      </c>
      <c r="X10" s="528" t="e">
        <f t="shared" si="8"/>
        <v>#REF!</v>
      </c>
      <c r="Y10" s="528" t="e">
        <f t="shared" si="9"/>
        <v>#REF!</v>
      </c>
      <c r="Z10" s="529" t="e">
        <f t="shared" ca="1" si="10"/>
        <v>#NAME?</v>
      </c>
      <c r="AA10" s="425"/>
      <c r="AB10" s="425"/>
      <c r="AC10" s="394"/>
      <c r="AD10" s="394"/>
      <c r="AE10" s="394"/>
      <c r="AF10" s="394"/>
      <c r="AG10" s="394"/>
      <c r="AH10" s="394"/>
      <c r="AI10" s="394"/>
      <c r="AJ10" s="394"/>
      <c r="AK10" s="394"/>
      <c r="AL10" s="394"/>
      <c r="AM10" s="394"/>
      <c r="AN10" s="394"/>
      <c r="AO10" s="394"/>
      <c r="AP10" s="394"/>
      <c r="AQ10" s="394"/>
      <c r="AR10" s="394"/>
      <c r="AS10" s="394"/>
      <c r="AT10" s="162" t="e">
        <f t="shared" ca="1" si="6"/>
        <v>#REF!</v>
      </c>
    </row>
    <row r="11" spans="1:47" s="162" customFormat="1">
      <c r="A11" s="185" t="s">
        <v>65</v>
      </c>
      <c r="B11" s="480" t="s">
        <v>433</v>
      </c>
      <c r="C11" s="635">
        <v>381.06299212598429</v>
      </c>
      <c r="D11" s="237"/>
      <c r="E11" s="622">
        <v>22.63</v>
      </c>
      <c r="F11" s="622">
        <v>0</v>
      </c>
      <c r="G11" s="622">
        <v>1102.1400000000001</v>
      </c>
      <c r="H11" s="622">
        <v>148.03</v>
      </c>
      <c r="I11" s="238"/>
      <c r="J11" s="313">
        <v>0</v>
      </c>
      <c r="K11" s="622">
        <v>32.5</v>
      </c>
      <c r="L11" s="239"/>
      <c r="M11" s="522">
        <f t="shared" si="0"/>
        <v>1272.8000000000002</v>
      </c>
      <c r="N11" s="522" t="e">
        <f t="shared" si="1"/>
        <v>#REF!</v>
      </c>
      <c r="O11" s="239"/>
      <c r="P11" s="524" t="e">
        <f>MAX($P$5:$Q$5)+IF($B$2="mil",1,0.0254)*DDR2Specs!$B$9</f>
        <v>#REF!</v>
      </c>
      <c r="Q11" s="524" t="e">
        <f>MIN($P$5:$Q$5)+IF($B$2="mil",1,0.0254)*DDR2Specs!$C$9</f>
        <v>#REF!</v>
      </c>
      <c r="R11" s="525" t="e">
        <f t="shared" si="2"/>
        <v>#REF!</v>
      </c>
      <c r="S11" s="526" t="e">
        <f t="shared" si="3"/>
        <v>#REF!</v>
      </c>
      <c r="T11" s="527" t="e">
        <f t="shared" si="7"/>
        <v>#REF!</v>
      </c>
      <c r="U11" s="528" t="e">
        <f t="shared" si="4"/>
        <v>#REF!</v>
      </c>
      <c r="V11" s="528" t="e">
        <f t="shared" si="11"/>
        <v>#REF!</v>
      </c>
      <c r="W11" s="528" t="e">
        <f t="shared" si="5"/>
        <v>#REF!</v>
      </c>
      <c r="X11" s="528" t="e">
        <f t="shared" si="8"/>
        <v>#REF!</v>
      </c>
      <c r="Y11" s="528" t="e">
        <f t="shared" si="9"/>
        <v>#REF!</v>
      </c>
      <c r="Z11" s="529" t="e">
        <f t="shared" ca="1" si="10"/>
        <v>#NAME?</v>
      </c>
      <c r="AA11" s="425"/>
      <c r="AB11" s="425"/>
      <c r="AC11" s="394"/>
      <c r="AD11" s="394"/>
      <c r="AE11" s="394"/>
      <c r="AF11" s="394"/>
      <c r="AG11" s="394"/>
      <c r="AH11" s="394"/>
      <c r="AI11" s="394"/>
      <c r="AJ11" s="394"/>
      <c r="AK11" s="394"/>
      <c r="AL11" s="394"/>
      <c r="AM11" s="394"/>
      <c r="AN11" s="394"/>
      <c r="AO11" s="394"/>
      <c r="AP11" s="394"/>
      <c r="AQ11" s="394"/>
      <c r="AR11" s="394"/>
      <c r="AS11" s="394"/>
      <c r="AT11" s="162" t="e">
        <f t="shared" ca="1" si="6"/>
        <v>#REF!</v>
      </c>
    </row>
    <row r="12" spans="1:47" s="162" customFormat="1">
      <c r="A12" s="185" t="s">
        <v>66</v>
      </c>
      <c r="B12" s="480" t="s">
        <v>434</v>
      </c>
      <c r="C12" s="635">
        <v>420.03937007874021</v>
      </c>
      <c r="D12" s="237"/>
      <c r="E12" s="622">
        <v>22.63</v>
      </c>
      <c r="F12" s="622">
        <v>0</v>
      </c>
      <c r="G12" s="622">
        <v>1480.51</v>
      </c>
      <c r="H12" s="622">
        <v>68.569999999999993</v>
      </c>
      <c r="I12" s="238"/>
      <c r="J12" s="313">
        <v>0</v>
      </c>
      <c r="K12" s="622">
        <v>109.07</v>
      </c>
      <c r="L12" s="239"/>
      <c r="M12" s="522">
        <f t="shared" si="0"/>
        <v>1571.71</v>
      </c>
      <c r="N12" s="522" t="e">
        <f t="shared" si="1"/>
        <v>#REF!</v>
      </c>
      <c r="O12" s="239"/>
      <c r="P12" s="524" t="e">
        <f>MAX($P$5:$Q$5)+IF($B$2="mil",1,0.0254)*DDR2Specs!$B$9</f>
        <v>#REF!</v>
      </c>
      <c r="Q12" s="524" t="e">
        <f>MIN($P$5:$Q$5)+IF($B$2="mil",1,0.0254)*DDR2Specs!$C$9</f>
        <v>#REF!</v>
      </c>
      <c r="R12" s="525" t="e">
        <f t="shared" si="2"/>
        <v>#REF!</v>
      </c>
      <c r="S12" s="526" t="e">
        <f t="shared" si="3"/>
        <v>#REF!</v>
      </c>
      <c r="T12" s="527" t="e">
        <f t="shared" si="7"/>
        <v>#REF!</v>
      </c>
      <c r="U12" s="528" t="e">
        <f t="shared" si="4"/>
        <v>#REF!</v>
      </c>
      <c r="V12" s="528" t="e">
        <f t="shared" si="11"/>
        <v>#REF!</v>
      </c>
      <c r="W12" s="528" t="e">
        <f t="shared" si="5"/>
        <v>#REF!</v>
      </c>
      <c r="X12" s="528" t="e">
        <f t="shared" si="8"/>
        <v>#REF!</v>
      </c>
      <c r="Y12" s="528" t="e">
        <f t="shared" si="9"/>
        <v>#REF!</v>
      </c>
      <c r="Z12" s="529" t="e">
        <f t="shared" ca="1" si="10"/>
        <v>#NAME?</v>
      </c>
      <c r="AA12" s="425"/>
      <c r="AB12" s="425"/>
      <c r="AC12" s="394"/>
      <c r="AD12" s="394"/>
      <c r="AE12" s="394"/>
      <c r="AF12" s="394"/>
      <c r="AG12" s="394"/>
      <c r="AH12" s="394"/>
      <c r="AI12" s="394"/>
      <c r="AJ12" s="394"/>
      <c r="AK12" s="394"/>
      <c r="AL12" s="394"/>
      <c r="AM12" s="394"/>
      <c r="AN12" s="394"/>
      <c r="AO12" s="394"/>
      <c r="AP12" s="394"/>
      <c r="AQ12" s="394"/>
      <c r="AR12" s="394"/>
      <c r="AS12" s="394"/>
      <c r="AT12" s="162" t="e">
        <f t="shared" ca="1" si="6"/>
        <v>#REF!</v>
      </c>
    </row>
    <row r="13" spans="1:47" s="162" customFormat="1">
      <c r="A13" s="185" t="s">
        <v>68</v>
      </c>
      <c r="B13" s="480" t="s">
        <v>435</v>
      </c>
      <c r="C13" s="635">
        <v>468.89763779527561</v>
      </c>
      <c r="D13" s="237"/>
      <c r="E13" s="622">
        <v>22.63</v>
      </c>
      <c r="F13" s="622">
        <v>0</v>
      </c>
      <c r="G13" s="622">
        <v>1202.74</v>
      </c>
      <c r="H13" s="622">
        <v>87.62</v>
      </c>
      <c r="I13" s="238"/>
      <c r="J13" s="313">
        <v>0</v>
      </c>
      <c r="K13" s="622">
        <v>89.93</v>
      </c>
      <c r="L13" s="239"/>
      <c r="M13" s="522">
        <f t="shared" si="0"/>
        <v>1312.9900000000002</v>
      </c>
      <c r="N13" s="522" t="e">
        <f t="shared" si="1"/>
        <v>#REF!</v>
      </c>
      <c r="O13" s="239"/>
      <c r="P13" s="524" t="e">
        <f>MAX($P$5:$Q$5)+IF($B$2="mil",1,0.0254)*DDR2Specs!$B$9</f>
        <v>#REF!</v>
      </c>
      <c r="Q13" s="524" t="e">
        <f>MIN($P$5:$Q$5)+IF($B$2="mil",1,0.0254)*DDR2Specs!$C$9</f>
        <v>#REF!</v>
      </c>
      <c r="R13" s="525" t="e">
        <f t="shared" si="2"/>
        <v>#REF!</v>
      </c>
      <c r="S13" s="526" t="e">
        <f t="shared" si="3"/>
        <v>#REF!</v>
      </c>
      <c r="T13" s="527" t="e">
        <f t="shared" si="7"/>
        <v>#REF!</v>
      </c>
      <c r="U13" s="528" t="e">
        <f t="shared" si="4"/>
        <v>#REF!</v>
      </c>
      <c r="V13" s="528" t="e">
        <f t="shared" si="11"/>
        <v>#REF!</v>
      </c>
      <c r="W13" s="528" t="e">
        <f t="shared" si="5"/>
        <v>#REF!</v>
      </c>
      <c r="X13" s="528" t="e">
        <f t="shared" si="8"/>
        <v>#REF!</v>
      </c>
      <c r="Y13" s="528" t="e">
        <f t="shared" si="9"/>
        <v>#REF!</v>
      </c>
      <c r="Z13" s="529" t="e">
        <f t="shared" ca="1" si="10"/>
        <v>#NAME?</v>
      </c>
      <c r="AA13" s="425"/>
      <c r="AB13" s="425"/>
      <c r="AC13" s="394"/>
      <c r="AD13" s="394"/>
      <c r="AE13" s="394"/>
      <c r="AF13" s="394"/>
      <c r="AG13" s="394"/>
      <c r="AH13" s="394"/>
      <c r="AI13" s="394"/>
      <c r="AJ13" s="394"/>
      <c r="AK13" s="394"/>
      <c r="AL13" s="394"/>
      <c r="AM13" s="394"/>
      <c r="AN13" s="394"/>
      <c r="AO13" s="394"/>
      <c r="AP13" s="394"/>
      <c r="AQ13" s="394"/>
      <c r="AR13" s="394"/>
      <c r="AS13" s="394"/>
      <c r="AT13" s="162" t="e">
        <f t="shared" ca="1" si="6"/>
        <v>#REF!</v>
      </c>
    </row>
    <row r="14" spans="1:47" s="162" customFormat="1">
      <c r="A14" s="185" t="s">
        <v>69</v>
      </c>
      <c r="B14" s="480" t="s">
        <v>309</v>
      </c>
      <c r="C14" s="635">
        <v>508.74015748031502</v>
      </c>
      <c r="D14" s="237"/>
      <c r="E14" s="622">
        <v>22.63</v>
      </c>
      <c r="F14" s="622">
        <v>0</v>
      </c>
      <c r="G14" s="622">
        <v>989.61</v>
      </c>
      <c r="H14" s="622">
        <v>151.84</v>
      </c>
      <c r="I14" s="238"/>
      <c r="J14" s="313">
        <v>0</v>
      </c>
      <c r="K14" s="622">
        <v>32.5</v>
      </c>
      <c r="L14" s="239"/>
      <c r="M14" s="522">
        <f t="shared" si="0"/>
        <v>1164.08</v>
      </c>
      <c r="N14" s="522" t="e">
        <f t="shared" si="1"/>
        <v>#REF!</v>
      </c>
      <c r="O14" s="239"/>
      <c r="P14" s="524" t="e">
        <f>MAX($P$5:$Q$5)+IF($B$2="mil",1,0.0254)*DDR2Specs!$B$9</f>
        <v>#REF!</v>
      </c>
      <c r="Q14" s="524" t="e">
        <f>MIN($P$5:$Q$5)+IF($B$2="mil",1,0.0254)*DDR2Specs!$C$9</f>
        <v>#REF!</v>
      </c>
      <c r="R14" s="525" t="e">
        <f t="shared" si="2"/>
        <v>#REF!</v>
      </c>
      <c r="S14" s="526" t="e">
        <f t="shared" si="3"/>
        <v>#REF!</v>
      </c>
      <c r="T14" s="527" t="e">
        <f t="shared" si="7"/>
        <v>#REF!</v>
      </c>
      <c r="U14" s="528" t="e">
        <f t="shared" si="4"/>
        <v>#REF!</v>
      </c>
      <c r="V14" s="528" t="e">
        <f t="shared" si="11"/>
        <v>#REF!</v>
      </c>
      <c r="W14" s="528" t="e">
        <f t="shared" si="5"/>
        <v>#REF!</v>
      </c>
      <c r="X14" s="528" t="e">
        <f t="shared" si="8"/>
        <v>#REF!</v>
      </c>
      <c r="Y14" s="528" t="e">
        <f t="shared" si="9"/>
        <v>#REF!</v>
      </c>
      <c r="Z14" s="529" t="e">
        <f t="shared" ca="1" si="10"/>
        <v>#NAME?</v>
      </c>
      <c r="AA14" s="425"/>
      <c r="AB14" s="425"/>
      <c r="AC14" s="394"/>
      <c r="AD14" s="394"/>
      <c r="AE14" s="394"/>
      <c r="AF14" s="394"/>
      <c r="AG14" s="394"/>
      <c r="AH14" s="394"/>
      <c r="AI14" s="394"/>
      <c r="AJ14" s="394"/>
      <c r="AK14" s="394"/>
      <c r="AL14" s="394"/>
      <c r="AM14" s="394"/>
      <c r="AN14" s="394"/>
      <c r="AO14" s="394"/>
      <c r="AP14" s="394"/>
      <c r="AQ14" s="394"/>
      <c r="AR14" s="394"/>
      <c r="AS14" s="394"/>
      <c r="AT14" s="162" t="e">
        <f t="shared" ca="1" si="6"/>
        <v>#REF!</v>
      </c>
    </row>
    <row r="15" spans="1:47" s="162" customFormat="1">
      <c r="A15" s="185" t="s">
        <v>70</v>
      </c>
      <c r="B15" s="480" t="s">
        <v>436</v>
      </c>
      <c r="C15" s="635">
        <v>529.40944881889766</v>
      </c>
      <c r="D15" s="237"/>
      <c r="E15" s="622">
        <v>22.63</v>
      </c>
      <c r="F15" s="622">
        <v>0</v>
      </c>
      <c r="G15" s="622">
        <v>1477.13</v>
      </c>
      <c r="H15" s="622">
        <v>132.16</v>
      </c>
      <c r="I15" s="238"/>
      <c r="J15" s="313">
        <v>0</v>
      </c>
      <c r="K15" s="622">
        <v>42.5</v>
      </c>
      <c r="L15" s="239"/>
      <c r="M15" s="522">
        <f t="shared" si="0"/>
        <v>1631.9200000000003</v>
      </c>
      <c r="N15" s="522" t="e">
        <f t="shared" si="1"/>
        <v>#REF!</v>
      </c>
      <c r="O15" s="239"/>
      <c r="P15" s="524" t="e">
        <f>MAX($P$5:$Q$5)+IF($B$2="mil",1,0.0254)*DDR2Specs!$B$9</f>
        <v>#REF!</v>
      </c>
      <c r="Q15" s="524" t="e">
        <f>MIN($P$5:$Q$5)+IF($B$2="mil",1,0.0254)*DDR2Specs!$C$9</f>
        <v>#REF!</v>
      </c>
      <c r="R15" s="525" t="e">
        <f t="shared" si="2"/>
        <v>#REF!</v>
      </c>
      <c r="S15" s="526" t="e">
        <f t="shared" si="3"/>
        <v>#REF!</v>
      </c>
      <c r="T15" s="527" t="e">
        <f t="shared" si="7"/>
        <v>#REF!</v>
      </c>
      <c r="U15" s="528" t="e">
        <f t="shared" si="4"/>
        <v>#REF!</v>
      </c>
      <c r="V15" s="528" t="e">
        <f t="shared" si="11"/>
        <v>#REF!</v>
      </c>
      <c r="W15" s="528" t="e">
        <f t="shared" si="5"/>
        <v>#REF!</v>
      </c>
      <c r="X15" s="528" t="e">
        <f t="shared" si="8"/>
        <v>#REF!</v>
      </c>
      <c r="Y15" s="528" t="e">
        <f t="shared" si="9"/>
        <v>#REF!</v>
      </c>
      <c r="Z15" s="529" t="e">
        <f t="shared" ca="1" si="10"/>
        <v>#NAME?</v>
      </c>
      <c r="AA15" s="425"/>
      <c r="AB15" s="425"/>
      <c r="AC15" s="394"/>
      <c r="AD15" s="394"/>
      <c r="AE15" s="394"/>
      <c r="AF15" s="394"/>
      <c r="AG15" s="394"/>
      <c r="AH15" s="394"/>
      <c r="AI15" s="394"/>
      <c r="AJ15" s="394"/>
      <c r="AK15" s="394"/>
      <c r="AL15" s="394"/>
      <c r="AM15" s="394"/>
      <c r="AN15" s="394"/>
      <c r="AO15" s="394"/>
      <c r="AP15" s="394"/>
      <c r="AQ15" s="394"/>
      <c r="AR15" s="394"/>
      <c r="AS15" s="394"/>
      <c r="AT15" s="162" t="e">
        <f t="shared" ca="1" si="6"/>
        <v>#REF!</v>
      </c>
    </row>
    <row r="16" spans="1:47" s="162" customFormat="1">
      <c r="A16" s="185" t="s">
        <v>72</v>
      </c>
      <c r="B16" s="480" t="s">
        <v>310</v>
      </c>
      <c r="C16" s="635">
        <v>442.40157480314963</v>
      </c>
      <c r="D16" s="237"/>
      <c r="E16" s="622">
        <v>22.63</v>
      </c>
      <c r="F16" s="622">
        <v>0</v>
      </c>
      <c r="G16" s="622">
        <v>1563.53</v>
      </c>
      <c r="H16" s="622">
        <v>77.38</v>
      </c>
      <c r="I16" s="238"/>
      <c r="J16" s="313">
        <v>0</v>
      </c>
      <c r="K16" s="622">
        <v>104.07</v>
      </c>
      <c r="L16" s="239"/>
      <c r="M16" s="522">
        <f t="shared" si="0"/>
        <v>1663.54</v>
      </c>
      <c r="N16" s="522" t="e">
        <f t="shared" si="1"/>
        <v>#REF!</v>
      </c>
      <c r="O16" s="239"/>
      <c r="P16" s="524" t="e">
        <f>MAX($P$5:$Q$5)+IF($B$2="mil",1,0.0254)*DDR2Specs!$B$9</f>
        <v>#REF!</v>
      </c>
      <c r="Q16" s="524" t="e">
        <f>MIN($P$5:$Q$5)+IF($B$2="mil",1,0.0254)*DDR2Specs!$C$9</f>
        <v>#REF!</v>
      </c>
      <c r="R16" s="525" t="e">
        <f t="shared" si="2"/>
        <v>#REF!</v>
      </c>
      <c r="S16" s="526" t="e">
        <f t="shared" si="3"/>
        <v>#REF!</v>
      </c>
      <c r="T16" s="527" t="e">
        <f t="shared" si="7"/>
        <v>#REF!</v>
      </c>
      <c r="U16" s="528" t="e">
        <f t="shared" si="4"/>
        <v>#REF!</v>
      </c>
      <c r="V16" s="528" t="e">
        <f t="shared" si="11"/>
        <v>#REF!</v>
      </c>
      <c r="W16" s="528" t="e">
        <f t="shared" si="5"/>
        <v>#REF!</v>
      </c>
      <c r="X16" s="528" t="e">
        <f t="shared" si="8"/>
        <v>#REF!</v>
      </c>
      <c r="Y16" s="528" t="e">
        <f t="shared" si="9"/>
        <v>#REF!</v>
      </c>
      <c r="Z16" s="529" t="e">
        <f t="shared" ca="1" si="10"/>
        <v>#NAME?</v>
      </c>
      <c r="AA16" s="425"/>
      <c r="AB16" s="425"/>
      <c r="AC16" s="394"/>
      <c r="AD16" s="394"/>
      <c r="AE16" s="394"/>
      <c r="AF16" s="394"/>
      <c r="AG16" s="394"/>
      <c r="AH16" s="394"/>
      <c r="AI16" s="394"/>
      <c r="AJ16" s="394"/>
      <c r="AK16" s="394"/>
      <c r="AL16" s="394"/>
      <c r="AM16" s="394"/>
      <c r="AN16" s="394"/>
      <c r="AO16" s="394"/>
      <c r="AP16" s="394"/>
      <c r="AQ16" s="394"/>
      <c r="AR16" s="394"/>
      <c r="AS16" s="394"/>
      <c r="AT16" s="162" t="e">
        <f t="shared" ca="1" si="6"/>
        <v>#REF!</v>
      </c>
    </row>
    <row r="17" spans="1:46" s="162" customFormat="1">
      <c r="A17" s="185" t="s">
        <v>74</v>
      </c>
      <c r="B17" s="480" t="s">
        <v>49</v>
      </c>
      <c r="C17" s="635">
        <v>397.71653543307087</v>
      </c>
      <c r="D17" s="237"/>
      <c r="E17" s="622">
        <v>22.63</v>
      </c>
      <c r="F17" s="622">
        <v>0</v>
      </c>
      <c r="G17" s="622">
        <v>1387.5</v>
      </c>
      <c r="H17" s="622">
        <v>124.58</v>
      </c>
      <c r="I17" s="238"/>
      <c r="J17" s="313">
        <v>0</v>
      </c>
      <c r="K17" s="622">
        <v>42.5</v>
      </c>
      <c r="L17" s="239"/>
      <c r="M17" s="522">
        <f t="shared" si="0"/>
        <v>1534.71</v>
      </c>
      <c r="N17" s="522" t="e">
        <f t="shared" si="1"/>
        <v>#REF!</v>
      </c>
      <c r="O17" s="239"/>
      <c r="P17" s="524" t="e">
        <f>MAX($P$5:$Q$5)+IF($B$2="mil",1,0.0254)*DDR2Specs!$B$9</f>
        <v>#REF!</v>
      </c>
      <c r="Q17" s="524" t="e">
        <f>MIN($P$5:$Q$5)+IF($B$2="mil",1,0.0254)*DDR2Specs!$C$9</f>
        <v>#REF!</v>
      </c>
      <c r="R17" s="525" t="e">
        <f t="shared" si="2"/>
        <v>#REF!</v>
      </c>
      <c r="S17" s="526" t="e">
        <f t="shared" si="3"/>
        <v>#REF!</v>
      </c>
      <c r="T17" s="527" t="e">
        <f t="shared" si="7"/>
        <v>#REF!</v>
      </c>
      <c r="U17" s="528" t="e">
        <f t="shared" si="4"/>
        <v>#REF!</v>
      </c>
      <c r="V17" s="528" t="e">
        <f t="shared" si="11"/>
        <v>#REF!</v>
      </c>
      <c r="W17" s="528" t="e">
        <f t="shared" si="5"/>
        <v>#REF!</v>
      </c>
      <c r="X17" s="528" t="e">
        <f t="shared" si="8"/>
        <v>#REF!</v>
      </c>
      <c r="Y17" s="528" t="e">
        <f t="shared" si="9"/>
        <v>#REF!</v>
      </c>
      <c r="Z17" s="529" t="e">
        <f t="shared" ca="1" si="10"/>
        <v>#NAME?</v>
      </c>
      <c r="AA17" s="425"/>
      <c r="AB17" s="425"/>
      <c r="AC17" s="394"/>
      <c r="AD17" s="394"/>
      <c r="AE17" s="394"/>
      <c r="AF17" s="394"/>
      <c r="AG17" s="394"/>
      <c r="AH17" s="394"/>
      <c r="AI17" s="394"/>
      <c r="AJ17" s="394"/>
      <c r="AK17" s="394"/>
      <c r="AL17" s="394"/>
      <c r="AM17" s="394"/>
      <c r="AN17" s="394"/>
      <c r="AO17" s="394"/>
      <c r="AP17" s="394"/>
      <c r="AQ17" s="394"/>
      <c r="AR17" s="394"/>
      <c r="AS17" s="394"/>
      <c r="AT17" s="162" t="e">
        <f t="shared" ca="1" si="6"/>
        <v>#REF!</v>
      </c>
    </row>
    <row r="18" spans="1:46" s="162" customFormat="1">
      <c r="A18" s="185" t="s">
        <v>75</v>
      </c>
      <c r="B18" s="480" t="s">
        <v>437</v>
      </c>
      <c r="C18" s="635">
        <v>543.54330708661416</v>
      </c>
      <c r="D18" s="237"/>
      <c r="E18" s="622">
        <v>22.63</v>
      </c>
      <c r="F18" s="622">
        <v>0</v>
      </c>
      <c r="G18" s="622">
        <v>1043.31</v>
      </c>
      <c r="H18" s="622">
        <v>137.91999999999999</v>
      </c>
      <c r="I18" s="238"/>
      <c r="J18" s="313">
        <v>0</v>
      </c>
      <c r="K18" s="622">
        <v>79.569999999999993</v>
      </c>
      <c r="L18" s="239"/>
      <c r="M18" s="522">
        <f t="shared" si="0"/>
        <v>1203.8600000000001</v>
      </c>
      <c r="N18" s="522" t="e">
        <f t="shared" si="1"/>
        <v>#REF!</v>
      </c>
      <c r="O18" s="239"/>
      <c r="P18" s="524" t="e">
        <f>MAX($P$5:$Q$5)+IF($B$2="mil",1,0.0254)*DDR2Specs!$B$9</f>
        <v>#REF!</v>
      </c>
      <c r="Q18" s="524" t="e">
        <f>MIN($P$5:$Q$5)+IF($B$2="mil",1,0.0254)*DDR2Specs!$C$9</f>
        <v>#REF!</v>
      </c>
      <c r="R18" s="525" t="e">
        <f t="shared" si="2"/>
        <v>#REF!</v>
      </c>
      <c r="S18" s="526" t="e">
        <f t="shared" si="3"/>
        <v>#REF!</v>
      </c>
      <c r="T18" s="527" t="e">
        <f t="shared" si="7"/>
        <v>#REF!</v>
      </c>
      <c r="U18" s="528" t="e">
        <f t="shared" si="4"/>
        <v>#REF!</v>
      </c>
      <c r="V18" s="528" t="e">
        <f t="shared" si="11"/>
        <v>#REF!</v>
      </c>
      <c r="W18" s="528" t="e">
        <f t="shared" si="5"/>
        <v>#REF!</v>
      </c>
      <c r="X18" s="528" t="e">
        <f t="shared" si="8"/>
        <v>#REF!</v>
      </c>
      <c r="Y18" s="528" t="e">
        <f t="shared" si="9"/>
        <v>#REF!</v>
      </c>
      <c r="Z18" s="529" t="e">
        <f t="shared" ca="1" si="10"/>
        <v>#NAME?</v>
      </c>
      <c r="AA18" s="425"/>
      <c r="AB18" s="425"/>
      <c r="AC18" s="394"/>
      <c r="AD18" s="394"/>
      <c r="AE18" s="394"/>
      <c r="AF18" s="394"/>
      <c r="AG18" s="394"/>
      <c r="AH18" s="394"/>
      <c r="AI18" s="394"/>
      <c r="AJ18" s="394"/>
      <c r="AK18" s="394"/>
      <c r="AL18" s="394"/>
      <c r="AM18" s="394"/>
      <c r="AN18" s="394"/>
      <c r="AO18" s="394"/>
      <c r="AP18" s="394"/>
      <c r="AQ18" s="394"/>
      <c r="AR18" s="394"/>
      <c r="AS18" s="394"/>
      <c r="AT18" s="162" t="e">
        <f t="shared" ca="1" si="6"/>
        <v>#REF!</v>
      </c>
    </row>
    <row r="19" spans="1:46" s="162" customFormat="1">
      <c r="A19" s="185" t="s">
        <v>76</v>
      </c>
      <c r="B19" s="480" t="s">
        <v>438</v>
      </c>
      <c r="C19" s="635">
        <v>492.79527559055117</v>
      </c>
      <c r="D19" s="237"/>
      <c r="E19" s="622">
        <v>22.63</v>
      </c>
      <c r="F19" s="622">
        <v>0</v>
      </c>
      <c r="G19" s="622">
        <v>1627.19</v>
      </c>
      <c r="H19" s="622">
        <v>143.63</v>
      </c>
      <c r="I19" s="238"/>
      <c r="J19" s="313">
        <v>0</v>
      </c>
      <c r="K19" s="622">
        <v>44.57</v>
      </c>
      <c r="L19" s="239"/>
      <c r="M19" s="522">
        <f t="shared" si="0"/>
        <v>1793.4500000000003</v>
      </c>
      <c r="N19" s="522" t="e">
        <f t="shared" si="1"/>
        <v>#REF!</v>
      </c>
      <c r="O19" s="239"/>
      <c r="P19" s="524" t="e">
        <f>MAX($P$5:$Q$5)+IF($B$2="mil",1,0.0254)*DDR2Specs!$B$9</f>
        <v>#REF!</v>
      </c>
      <c r="Q19" s="524" t="e">
        <f>MIN($P$5:$Q$5)+IF($B$2="mil",1,0.0254)*DDR2Specs!$C$9</f>
        <v>#REF!</v>
      </c>
      <c r="R19" s="525" t="e">
        <f t="shared" si="2"/>
        <v>#REF!</v>
      </c>
      <c r="S19" s="526" t="e">
        <f t="shared" si="3"/>
        <v>#REF!</v>
      </c>
      <c r="T19" s="527" t="e">
        <f t="shared" si="7"/>
        <v>#REF!</v>
      </c>
      <c r="U19" s="528" t="e">
        <f t="shared" si="4"/>
        <v>#REF!</v>
      </c>
      <c r="V19" s="528" t="e">
        <f t="shared" si="11"/>
        <v>#REF!</v>
      </c>
      <c r="W19" s="528" t="e">
        <f t="shared" si="5"/>
        <v>#REF!</v>
      </c>
      <c r="X19" s="528" t="e">
        <f t="shared" si="8"/>
        <v>#REF!</v>
      </c>
      <c r="Y19" s="528" t="e">
        <f t="shared" si="9"/>
        <v>#REF!</v>
      </c>
      <c r="Z19" s="529" t="e">
        <f t="shared" ca="1" si="10"/>
        <v>#NAME?</v>
      </c>
      <c r="AA19" s="425"/>
      <c r="AB19" s="425"/>
      <c r="AC19" s="394"/>
      <c r="AD19" s="394"/>
      <c r="AE19" s="394"/>
      <c r="AF19" s="394"/>
      <c r="AG19" s="394"/>
      <c r="AH19" s="394"/>
      <c r="AI19" s="394"/>
      <c r="AJ19" s="394"/>
      <c r="AK19" s="394"/>
      <c r="AL19" s="394"/>
      <c r="AM19" s="394"/>
      <c r="AN19" s="394"/>
      <c r="AO19" s="394"/>
      <c r="AP19" s="394"/>
      <c r="AQ19" s="394"/>
      <c r="AR19" s="394"/>
      <c r="AS19" s="394"/>
      <c r="AT19" s="162" t="e">
        <f t="shared" ca="1" si="6"/>
        <v>#REF!</v>
      </c>
    </row>
    <row r="20" spans="1:46" s="162" customFormat="1">
      <c r="A20" s="185" t="s">
        <v>78</v>
      </c>
      <c r="B20" s="480" t="s">
        <v>307</v>
      </c>
      <c r="C20" s="635">
        <v>514.48818897637796</v>
      </c>
      <c r="D20" s="375"/>
      <c r="E20" s="622">
        <v>22.63</v>
      </c>
      <c r="F20" s="622">
        <v>0</v>
      </c>
      <c r="G20" s="622">
        <v>1248.07</v>
      </c>
      <c r="H20" s="622">
        <v>81.33</v>
      </c>
      <c r="I20" s="238"/>
      <c r="J20" s="313">
        <v>0</v>
      </c>
      <c r="K20" s="622">
        <v>83.71</v>
      </c>
      <c r="L20" s="239"/>
      <c r="M20" s="522">
        <f t="shared" si="0"/>
        <v>1352.03</v>
      </c>
      <c r="N20" s="522" t="e">
        <f t="shared" si="1"/>
        <v>#REF!</v>
      </c>
      <c r="O20" s="239"/>
      <c r="P20" s="524" t="e">
        <f>MAX($P$5:$Q$5)+IF($B$2="mil",1,0.0254)*DDR2Specs!$B$9</f>
        <v>#REF!</v>
      </c>
      <c r="Q20" s="524" t="e">
        <f>MIN($P$5:$Q$5)+IF($B$2="mil",1,0.0254)*DDR2Specs!$C$9</f>
        <v>#REF!</v>
      </c>
      <c r="R20" s="525" t="e">
        <f t="shared" si="2"/>
        <v>#REF!</v>
      </c>
      <c r="S20" s="526" t="e">
        <f t="shared" si="3"/>
        <v>#REF!</v>
      </c>
      <c r="T20" s="527" t="e">
        <f t="shared" si="7"/>
        <v>#REF!</v>
      </c>
      <c r="U20" s="528" t="e">
        <f t="shared" si="4"/>
        <v>#REF!</v>
      </c>
      <c r="V20" s="528" t="e">
        <f t="shared" si="11"/>
        <v>#REF!</v>
      </c>
      <c r="W20" s="528" t="e">
        <f t="shared" si="5"/>
        <v>#REF!</v>
      </c>
      <c r="X20" s="528" t="e">
        <f t="shared" si="8"/>
        <v>#REF!</v>
      </c>
      <c r="Y20" s="528" t="e">
        <f t="shared" si="9"/>
        <v>#REF!</v>
      </c>
      <c r="Z20" s="529" t="e">
        <f ca="1">CheckLength2(IF($B$2="mil",1,0.0254)*1500,J20,K20,0)</f>
        <v>#NAME?</v>
      </c>
      <c r="AA20" s="425"/>
      <c r="AB20" s="425"/>
      <c r="AC20" s="394"/>
      <c r="AD20" s="394"/>
      <c r="AE20" s="394"/>
      <c r="AF20" s="394"/>
      <c r="AG20" s="394"/>
      <c r="AH20" s="394"/>
      <c r="AI20" s="394"/>
      <c r="AJ20" s="394"/>
      <c r="AK20" s="394"/>
      <c r="AL20" s="394"/>
      <c r="AM20" s="394"/>
      <c r="AN20" s="394"/>
      <c r="AO20" s="394"/>
      <c r="AP20" s="394"/>
      <c r="AQ20" s="394"/>
      <c r="AR20" s="394"/>
      <c r="AS20" s="394"/>
      <c r="AT20" s="162" t="e">
        <f t="shared" ca="1" si="6"/>
        <v>#REF!</v>
      </c>
    </row>
    <row r="21" spans="1:46" s="162" customFormat="1" ht="11.25">
      <c r="A21" s="460" t="s">
        <v>239</v>
      </c>
      <c r="B21" s="155"/>
      <c r="C21" s="639"/>
      <c r="D21" s="155"/>
      <c r="E21" s="155"/>
      <c r="F21" s="155"/>
      <c r="G21" s="155"/>
      <c r="H21" s="155"/>
      <c r="I21" s="155"/>
      <c r="J21" s="155"/>
      <c r="K21" s="155"/>
      <c r="L21" s="155"/>
      <c r="M21" s="155"/>
      <c r="N21" s="279"/>
      <c r="O21" s="179"/>
      <c r="P21" s="179"/>
      <c r="Q21" s="531"/>
      <c r="R21" s="532"/>
      <c r="S21" s="532"/>
      <c r="T21" s="179"/>
      <c r="U21" s="179"/>
      <c r="V21" s="430"/>
      <c r="W21" s="179"/>
      <c r="X21" s="179"/>
      <c r="Y21" s="179"/>
      <c r="Z21" s="179"/>
      <c r="AA21" s="569"/>
      <c r="AB21" s="569"/>
      <c r="AC21" s="462"/>
      <c r="AD21" s="462"/>
      <c r="AE21" s="462"/>
      <c r="AF21" s="462"/>
      <c r="AG21" s="462"/>
      <c r="AH21" s="462"/>
      <c r="AI21" s="462"/>
      <c r="AJ21" s="462"/>
      <c r="AK21" s="462"/>
      <c r="AL21" s="462"/>
      <c r="AM21" s="462"/>
      <c r="AN21" s="462"/>
      <c r="AO21" s="462"/>
      <c r="AP21" s="462"/>
      <c r="AQ21" s="462"/>
      <c r="AR21" s="462"/>
      <c r="AS21" s="462"/>
    </row>
    <row r="22" spans="1:46" s="162" customFormat="1">
      <c r="A22" s="185" t="s">
        <v>80</v>
      </c>
      <c r="B22" s="480" t="s">
        <v>33</v>
      </c>
      <c r="C22" s="635">
        <v>428.58267716535431</v>
      </c>
      <c r="D22" s="375"/>
      <c r="E22" s="622">
        <v>22.63</v>
      </c>
      <c r="F22" s="622">
        <v>0</v>
      </c>
      <c r="G22" s="622">
        <v>1431.77</v>
      </c>
      <c r="H22" s="622">
        <v>68.28</v>
      </c>
      <c r="I22" s="238"/>
      <c r="J22" s="313">
        <v>0</v>
      </c>
      <c r="K22" s="622">
        <v>94.57</v>
      </c>
      <c r="L22" s="239"/>
      <c r="M22" s="522">
        <f xml:space="preserve"> E22+F22+G22+H22</f>
        <v>1522.68</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IF($H22&lt;=IF($B$2="mil",1,0.0254)*200,"Pass",IF($B$2="mil",1,0.0254)*200-$H22)</f>
        <v>#REF!</v>
      </c>
      <c r="W22" s="528" t="e">
        <f>IF(AND($M22&gt;=IF($B$2="mil",1,0.0254)*500, $M22&lt;=IF($B$2="mil",1,0.0254)*4500),"Pass",IF($B$2="mil",1,0.0254)*4500-$M22)</f>
        <v>#REF!</v>
      </c>
      <c r="X22" s="528" t="e">
        <f>IF(AND($N22&gt;=IF($B$2="mil",1,0.0254)*500, $N22&lt;=IF($B$2="mil",1,0.0254)*5000),"Pass",IF($B$2="mil",1,0.0254)*5000-$N22)</f>
        <v>#REF!</v>
      </c>
      <c r="Y22" s="528" t="e">
        <f t="shared" si="9"/>
        <v>#REF!</v>
      </c>
      <c r="Z22" s="529" t="e">
        <f ca="1">CheckLength2(IF($B$2="mil",1,0.0254)*1500,J22,K22,0)</f>
        <v>#NAME?</v>
      </c>
      <c r="AA22" s="425"/>
      <c r="AB22" s="425"/>
      <c r="AC22" s="394"/>
      <c r="AD22" s="394"/>
      <c r="AE22" s="394"/>
      <c r="AF22" s="394"/>
      <c r="AG22" s="394"/>
      <c r="AH22" s="394"/>
      <c r="AI22" s="394"/>
      <c r="AJ22" s="394"/>
      <c r="AK22" s="394"/>
      <c r="AL22" s="394"/>
      <c r="AM22" s="394"/>
      <c r="AN22" s="394"/>
      <c r="AO22" s="394"/>
      <c r="AP22" s="394"/>
      <c r="AQ22" s="394"/>
      <c r="AR22" s="394"/>
      <c r="AS22" s="394"/>
      <c r="AT22" s="162" t="e">
        <f ca="1">IF(AND(R22="Pass",S22="Pass",T22="Pass",U22="Pass",V22="Pass",W22="Pass",X22="Pass",Y22="Pass",Z22="Pass"),"Pass","Fail")</f>
        <v>#REF!</v>
      </c>
    </row>
    <row r="23" spans="1:46" s="162" customFormat="1">
      <c r="A23" s="241" t="s">
        <v>82</v>
      </c>
      <c r="B23" s="480" t="s">
        <v>71</v>
      </c>
      <c r="C23" s="635">
        <v>331.69291338582678</v>
      </c>
      <c r="D23" s="375"/>
      <c r="E23" s="622">
        <v>22.63</v>
      </c>
      <c r="F23" s="622">
        <v>0</v>
      </c>
      <c r="G23" s="622">
        <v>1144.71</v>
      </c>
      <c r="H23" s="622">
        <v>86.25</v>
      </c>
      <c r="I23" s="238"/>
      <c r="J23" s="313">
        <v>0</v>
      </c>
      <c r="K23" s="622">
        <v>83.71</v>
      </c>
      <c r="L23" s="239"/>
      <c r="M23" s="522">
        <f xml:space="preserve"> E23+F23+G23+H23</f>
        <v>1253.5900000000001</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IF($H23&lt;=IF($B$2="mil",1,0.0254)*200,"Pass",IF($B$2="mil",1,0.0254)*200-$H23)</f>
        <v>#REF!</v>
      </c>
      <c r="W23" s="528" t="e">
        <f>IF(AND($M23&gt;=IF($B$2="mil",1,0.0254)*500, $M23&lt;=IF($B$2="mil",1,0.0254)*4500),"Pass",IF($B$2="mil",1,0.0254)*4500-$M23)</f>
        <v>#REF!</v>
      </c>
      <c r="X23" s="528" t="e">
        <f>IF(AND($N23&gt;=IF($B$2="mil",1,0.0254)*500, $N23&lt;=IF($B$2="mil",1,0.0254)*5000),"Pass",IF($B$2="mil",1,0.0254)*5000-$N23)</f>
        <v>#REF!</v>
      </c>
      <c r="Y23" s="528" t="e">
        <f t="shared" si="9"/>
        <v>#REF!</v>
      </c>
      <c r="Z23" s="529" t="e">
        <f ca="1">CheckLength2(IF($B$2="mil",1,0.0254)*1500,J23,K23,0)</f>
        <v>#NAME?</v>
      </c>
      <c r="AA23" s="425"/>
      <c r="AB23" s="425"/>
      <c r="AC23" s="394"/>
      <c r="AD23" s="394"/>
      <c r="AE23" s="394"/>
      <c r="AF23" s="394"/>
      <c r="AG23" s="394"/>
      <c r="AH23" s="394"/>
      <c r="AI23" s="394"/>
      <c r="AJ23" s="394"/>
      <c r="AK23" s="394"/>
      <c r="AL23" s="394"/>
      <c r="AM23" s="394"/>
      <c r="AN23" s="394"/>
      <c r="AO23" s="394"/>
      <c r="AP23" s="394"/>
      <c r="AQ23" s="394"/>
      <c r="AR23" s="394"/>
      <c r="AS23" s="394"/>
      <c r="AT23" s="162" t="e">
        <f ca="1">IF(AND(R23="Pass",S23="Pass",T23="Pass",U23="Pass",V23="Pass",W23="Pass",X23="Pass",Y23="Pass",Z23="Pass"),"Pass","Fail")</f>
        <v>#REF!</v>
      </c>
    </row>
    <row r="24" spans="1:46" s="162" customFormat="1">
      <c r="A24" s="241" t="s">
        <v>83</v>
      </c>
      <c r="B24" s="480" t="s">
        <v>352</v>
      </c>
      <c r="C24" s="635">
        <v>384.5275590551181</v>
      </c>
      <c r="D24" s="375"/>
      <c r="E24" s="622">
        <v>22.63</v>
      </c>
      <c r="F24" s="622">
        <v>0</v>
      </c>
      <c r="G24" s="622">
        <v>1573.22</v>
      </c>
      <c r="H24" s="622">
        <v>79.08</v>
      </c>
      <c r="I24" s="238"/>
      <c r="J24" s="313">
        <v>0</v>
      </c>
      <c r="K24" s="622">
        <v>106.14</v>
      </c>
      <c r="L24" s="239"/>
      <c r="M24" s="522">
        <f xml:space="preserve"> E24+F24+G24+H24</f>
        <v>1674.93</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IF($H24&lt;=IF($B$2="mil",1,0.0254)*200,"Pass",IF($B$2="mil",1,0.0254)*200-$H24)</f>
        <v>#REF!</v>
      </c>
      <c r="W24" s="528" t="e">
        <f>IF(AND($M24&gt;=IF($B$2="mil",1,0.0254)*500, $M24&lt;=IF($B$2="mil",1,0.0254)*4500),"Pass",IF($B$2="mil",1,0.0254)*4500-$M24)</f>
        <v>#REF!</v>
      </c>
      <c r="X24" s="528" t="e">
        <f>IF(AND($N24&gt;=IF($B$2="mil",1,0.0254)*500, $N24&lt;=IF($B$2="mil",1,0.0254)*5000),"Pass",IF($B$2="mil",1,0.0254)*5000-$N24)</f>
        <v>#REF!</v>
      </c>
      <c r="Y24" s="528" t="e">
        <f t="shared" si="9"/>
        <v>#REF!</v>
      </c>
      <c r="Z24" s="529" t="e">
        <f ca="1">CheckLength2(IF($B$2="mil",1,0.0254)*1500,J24,K24,0)</f>
        <v>#NAME?</v>
      </c>
      <c r="AA24" s="425"/>
      <c r="AB24" s="425"/>
      <c r="AC24" s="394"/>
      <c r="AD24" s="394"/>
      <c r="AE24" s="394"/>
      <c r="AF24" s="394"/>
      <c r="AG24" s="394"/>
      <c r="AH24" s="394"/>
      <c r="AI24" s="394"/>
      <c r="AJ24" s="394"/>
      <c r="AK24" s="394"/>
      <c r="AL24" s="394"/>
      <c r="AM24" s="394"/>
      <c r="AN24" s="394"/>
      <c r="AO24" s="394"/>
      <c r="AP24" s="394"/>
      <c r="AQ24" s="394"/>
      <c r="AR24" s="394"/>
      <c r="AS24" s="394"/>
      <c r="AT24" s="162" t="e">
        <f ca="1">IF(AND(R24="Pass",S24="Pass",T24="Pass",U24="Pass",V24="Pass",W24="Pass",X24="Pass",Y24="Pass",Z24="Pass"),"Pass","Fail")</f>
        <v>#REF!</v>
      </c>
    </row>
    <row r="25" spans="1:46" s="244" customFormat="1" ht="11.25">
      <c r="A25" s="460" t="s">
        <v>240</v>
      </c>
      <c r="B25" s="155"/>
      <c r="C25" s="640"/>
      <c r="D25" s="155"/>
      <c r="E25" s="155"/>
      <c r="F25" s="155"/>
      <c r="G25" s="155"/>
      <c r="H25" s="155"/>
      <c r="I25" s="155"/>
      <c r="J25" s="155"/>
      <c r="K25" s="155"/>
      <c r="L25" s="155"/>
      <c r="M25" s="155"/>
      <c r="N25" s="280"/>
      <c r="O25" s="155"/>
      <c r="P25" s="155"/>
      <c r="Q25" s="155"/>
      <c r="R25" s="280"/>
      <c r="S25" s="280"/>
      <c r="T25" s="155"/>
      <c r="U25" s="155"/>
      <c r="V25" s="431"/>
      <c r="W25" s="155"/>
      <c r="X25" s="155"/>
      <c r="Y25" s="179"/>
      <c r="Z25" s="179"/>
    </row>
    <row r="26" spans="1:46" s="162" customFormat="1">
      <c r="A26" s="185" t="s">
        <v>84</v>
      </c>
      <c r="B26" s="480" t="s">
        <v>456</v>
      </c>
      <c r="C26" s="635">
        <v>462.71653543307087</v>
      </c>
      <c r="D26" s="375"/>
      <c r="E26" s="622">
        <v>22.63</v>
      </c>
      <c r="F26" s="622">
        <v>0</v>
      </c>
      <c r="G26" s="622">
        <v>1111.77</v>
      </c>
      <c r="H26" s="622">
        <v>130.66999999999999</v>
      </c>
      <c r="I26" s="238"/>
      <c r="J26" s="313">
        <v>0</v>
      </c>
      <c r="K26" s="622">
        <v>32.5</v>
      </c>
      <c r="L26" s="239"/>
      <c r="M26" s="522">
        <f xml:space="preserve"> E26+F26+G26+H26</f>
        <v>1265.0700000000002</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IF($H26&lt;=IF($B$2="mil",1,0.0254)*500,"Pass",IF($B$2="mil",1,0.0254)*500-$H26)</f>
        <v>#REF!</v>
      </c>
      <c r="W26" s="528" t="e">
        <f>IF(AND($M26&gt;=IF($B$2="mil",1,0.0254)*500, $M26&lt;=IF($B$2="mil",1,0.0254)*4500),"Pass",IF($B$2="mil",1,0.0254)*4500-$M26)</f>
        <v>#REF!</v>
      </c>
      <c r="X26" s="528" t="e">
        <f>IF(AND($N26&gt;=IF($B$2="mil",1,0.0254)*500, $N26&lt;=IF($B$2="mil",1,0.0254)*5000),"Pass",IF($B$2="mil",1,0.0254)*5000-$N26)</f>
        <v>#REF!</v>
      </c>
      <c r="Y26" s="528" t="e">
        <f t="shared" si="9"/>
        <v>#REF!</v>
      </c>
      <c r="Z26" s="529" t="e">
        <f ca="1">CheckLength2(IF($B$2="mil",1,0.0254)*1500,J26,K26,0)</f>
        <v>#NAME?</v>
      </c>
      <c r="AA26" s="425"/>
      <c r="AB26" s="425"/>
      <c r="AC26" s="394"/>
      <c r="AD26" s="394"/>
      <c r="AE26" s="394"/>
      <c r="AF26" s="394"/>
      <c r="AG26" s="394"/>
      <c r="AH26" s="394"/>
      <c r="AI26" s="394"/>
      <c r="AJ26" s="394"/>
      <c r="AK26" s="394"/>
      <c r="AL26" s="394"/>
      <c r="AM26" s="394"/>
      <c r="AN26" s="394"/>
      <c r="AO26" s="394"/>
      <c r="AP26" s="394"/>
      <c r="AQ26" s="394"/>
      <c r="AR26" s="394"/>
      <c r="AS26" s="394"/>
      <c r="AT26" s="162" t="e">
        <f ca="1">IF(AND(R26="Pass",S26="Pass",T26="Pass",U26="Pass",V26="Pass",W26="Pass",X26="Pass",Y26="Pass",Z26="Pass"),"Pass","Fail")</f>
        <v>#REF!</v>
      </c>
    </row>
    <row r="27" spans="1:46" s="162" customFormat="1">
      <c r="A27" s="240" t="s">
        <v>86</v>
      </c>
      <c r="B27" s="480" t="s">
        <v>325</v>
      </c>
      <c r="C27" s="635">
        <v>452.16535433070862</v>
      </c>
      <c r="D27" s="375"/>
      <c r="E27" s="622">
        <v>22.63</v>
      </c>
      <c r="F27" s="675">
        <v>0</v>
      </c>
      <c r="G27" s="622">
        <v>1442.95</v>
      </c>
      <c r="H27" s="622">
        <v>69.319999999999993</v>
      </c>
      <c r="I27" s="238"/>
      <c r="J27" s="313">
        <v>0</v>
      </c>
      <c r="K27" s="622">
        <v>93.16</v>
      </c>
      <c r="L27" s="239"/>
      <c r="M27" s="522">
        <f xml:space="preserve"> E27+F27+G27+H27</f>
        <v>1534.9</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IF($H27&lt;=IF($B$2="mil",1,0.0254)*500,"Pass",IF($B$2="mil",1,0.0254)*500-$H27)</f>
        <v>#REF!</v>
      </c>
      <c r="W27" s="528" t="e">
        <f>IF(AND($M27&gt;=IF($B$2="mil",1,0.0254)*500, $M27&lt;=IF($B$2="mil",1,0.0254)*4500),"Pass",IF($B$2="mil",1,0.0254)*4500-$M27)</f>
        <v>#REF!</v>
      </c>
      <c r="X27" s="528" t="e">
        <f>IF(AND($N27&gt;=IF($B$2="mil",1,0.0254)*500, $N27&lt;=IF($B$2="mil",1,0.0254)*5000),"Pass",IF($B$2="mil",1,0.0254)*5000-$N27)</f>
        <v>#REF!</v>
      </c>
      <c r="Y27" s="528" t="e">
        <f t="shared" si="9"/>
        <v>#REF!</v>
      </c>
      <c r="Z27" s="529" t="e">
        <f ca="1">CheckLength2(IF($B$2="mil",1,0.0254)*1500,J27,K27,0)</f>
        <v>#NAME?</v>
      </c>
      <c r="AA27" s="425"/>
      <c r="AB27" s="425"/>
      <c r="AC27" s="394"/>
      <c r="AD27" s="394"/>
      <c r="AE27" s="394"/>
      <c r="AF27" s="394"/>
      <c r="AG27" s="394"/>
      <c r="AH27" s="394"/>
      <c r="AI27" s="394"/>
      <c r="AJ27" s="394"/>
      <c r="AK27" s="394"/>
      <c r="AL27" s="394"/>
      <c r="AM27" s="394"/>
      <c r="AN27" s="394"/>
      <c r="AO27" s="394"/>
      <c r="AP27" s="394"/>
      <c r="AQ27" s="394"/>
      <c r="AR27" s="394"/>
      <c r="AS27" s="394"/>
      <c r="AT27" s="162" t="e">
        <f ca="1">IF(AND(R27="Pass",S27="Pass",T27="Pass",U27="Pass",V27="Pass",W27="Pass",X27="Pass",Y27="Pass",Z27="Pass"),"Pass","Fail")</f>
        <v>#REF!</v>
      </c>
    </row>
    <row r="28" spans="1:46" s="162" customFormat="1">
      <c r="A28" s="240" t="s">
        <v>88</v>
      </c>
      <c r="B28" s="480" t="s">
        <v>77</v>
      </c>
      <c r="C28" s="635">
        <v>581.1811023622048</v>
      </c>
      <c r="D28" s="375"/>
      <c r="E28" s="622">
        <v>22.63</v>
      </c>
      <c r="F28" s="675">
        <v>0</v>
      </c>
      <c r="G28" s="622">
        <v>1483.19</v>
      </c>
      <c r="H28" s="622">
        <v>122.96</v>
      </c>
      <c r="I28" s="238"/>
      <c r="J28" s="313">
        <v>0</v>
      </c>
      <c r="K28" s="622">
        <v>42.5</v>
      </c>
      <c r="L28" s="239"/>
      <c r="M28" s="522">
        <f xml:space="preserve"> E28+F28+G28+H28</f>
        <v>1628.7800000000002</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IF($H28&lt;=IF($B$2="mil",1,0.0254)*500,"Pass",IF($B$2="mil",1,0.0254)*500-$H28)</f>
        <v>#REF!</v>
      </c>
      <c r="W28" s="535" t="e">
        <f>IF(AND($M28&gt;=IF($B$2="mil",1,0.0254)*500, $M28&lt;=IF($B$2="mil",1,0.0254)*4500),"Pass",IF($B$2="mil",1,0.0254)*4500-$M28)</f>
        <v>#REF!</v>
      </c>
      <c r="X28" s="528" t="e">
        <f>IF(AND($N28&gt;=IF($B$2="mil",1,0.0254)*500, $N28&lt;=IF($B$2="mil",1,0.0254)*5000),"Pass",IF($B$2="mil",1,0.0254)*5000-$N28)</f>
        <v>#REF!</v>
      </c>
      <c r="Y28" s="528" t="e">
        <f t="shared" si="9"/>
        <v>#REF!</v>
      </c>
      <c r="Z28" s="529" t="e">
        <f ca="1">CheckLength2(IF($B$2="mil",1,0.0254)*1500,J28,K28,0)</f>
        <v>#NAME?</v>
      </c>
      <c r="AA28" s="425"/>
      <c r="AB28" s="425"/>
      <c r="AC28" s="394"/>
      <c r="AD28" s="394"/>
      <c r="AE28" s="394"/>
      <c r="AF28" s="394"/>
      <c r="AG28" s="394"/>
      <c r="AH28" s="394"/>
      <c r="AI28" s="394"/>
      <c r="AJ28" s="394"/>
      <c r="AK28" s="394"/>
      <c r="AL28" s="394"/>
      <c r="AM28" s="394"/>
      <c r="AN28" s="394"/>
      <c r="AO28" s="394"/>
      <c r="AP28" s="394"/>
      <c r="AQ28" s="394"/>
      <c r="AR28" s="394"/>
      <c r="AS28" s="394"/>
      <c r="AT28" s="162" t="e">
        <f ca="1">IF(AND(R28="Pass",S28="Pass",T28="Pass",U28="Pass",V28="Pass",W28="Pass",X28="Pass",Y28="Pass",Z28="Pass"),"Pass","Fail")</f>
        <v>#REF!</v>
      </c>
    </row>
    <row r="29" spans="1:46" s="3" customFormat="1">
      <c r="A29" s="56"/>
      <c r="B29" s="56"/>
      <c r="C29" s="642"/>
      <c r="D29" s="56"/>
      <c r="E29" s="56"/>
      <c r="F29" s="57"/>
      <c r="G29" s="56"/>
      <c r="H29" s="56"/>
      <c r="I29" s="56"/>
      <c r="J29" s="56"/>
      <c r="K29" s="56"/>
      <c r="L29" s="56"/>
      <c r="M29" s="56"/>
      <c r="N29" s="56"/>
      <c r="O29" s="120"/>
      <c r="P29" s="120"/>
      <c r="Q29" s="120"/>
      <c r="R29" s="120"/>
      <c r="S29" s="120"/>
      <c r="T29" s="120"/>
      <c r="U29" s="121"/>
      <c r="V29" s="121"/>
      <c r="W29" s="441"/>
      <c r="X29" s="123"/>
      <c r="Y29" s="123"/>
      <c r="Z29" s="317"/>
    </row>
    <row r="30" spans="1:46" s="154" customFormat="1" ht="22.5">
      <c r="A30" s="218" t="s">
        <v>457</v>
      </c>
      <c r="B30" s="144" t="s">
        <v>420</v>
      </c>
      <c r="C30" s="643" t="s">
        <v>22</v>
      </c>
      <c r="D30" s="151"/>
      <c r="E30" s="148" t="e">
        <f>"EscapeLength L0 ["&amp;$B$2&amp;"]"</f>
        <v>#REF!</v>
      </c>
      <c r="F30" s="148" t="e">
        <f>"BreakoutLength L1["&amp; $B$2&amp;"]"</f>
        <v>#REF!</v>
      </c>
      <c r="G30" s="148" t="e">
        <f>"MainLength L2[" &amp;$B$2&amp; " ]"</f>
        <v>#REF!</v>
      </c>
      <c r="H30" s="148"/>
      <c r="I30" s="150"/>
      <c r="J30" s="150" t="e">
        <f>"Via-to-via (SODIMM-to-Rt) L3 ["&amp;$B$2&amp;"]"</f>
        <v>#REF!</v>
      </c>
      <c r="K30" s="144" t="e">
        <f>"Via-to-RtL4 ["&amp;$B$2&amp;"]"</f>
        <v>#REF!</v>
      </c>
      <c r="L30" s="150"/>
      <c r="M30" s="144" t="e">
        <f>"Trace L5 ["&amp;$B$2&amp;"]"</f>
        <v>#REF!</v>
      </c>
      <c r="N30" s="144" t="e">
        <f>"Trace L6-1 ["&amp;$B$2&amp;"]"</f>
        <v>#REF!</v>
      </c>
      <c r="O30" s="151"/>
      <c r="P30" s="144" t="e">
        <f>"Trace L7-1 ["&amp;$B$2&amp;"]"</f>
        <v>#REF!</v>
      </c>
      <c r="Q30" s="144" t="e">
        <f>"Trace L8-1 to U1 ["&amp;$B$2&amp;"]"</f>
        <v>#REF!</v>
      </c>
      <c r="R30" s="144" t="e">
        <f>"Trace L8-2 to U5 ["&amp;$B$2&amp;"]"</f>
        <v>#REF!</v>
      </c>
      <c r="S30" s="144" t="e">
        <f>"Total MB Length to U1 (L0+L1+L2+L5+L6-1+L7-1+L8-1) ["&amp;$B$2&amp;"]"</f>
        <v>#REF!</v>
      </c>
      <c r="T30" s="144" t="e">
        <f>"Total Pad to Pin U1 (P1+L0+L1+L2+L5+L6-1+L7-1+L8-1) ["&amp;$B$2&amp;"]"</f>
        <v>#REF!</v>
      </c>
      <c r="U30" s="151" t="e">
        <f>"Target Min Length to U1["&amp;$B$2&amp;"]"</f>
        <v>#REF!</v>
      </c>
      <c r="V30" s="150" t="e">
        <f>"Target Max Length  to U1 ["&amp;$B$2&amp;"]"</f>
        <v>#REF!</v>
      </c>
      <c r="W30" s="152" t="e">
        <f>"Routed Too Short  to U1 [" &amp;$B$2&amp;"]"</f>
        <v>#REF!</v>
      </c>
      <c r="X30" s="151" t="e">
        <f>"Routed Too Long  to U1 [" &amp;$B$2&amp;"]"</f>
        <v>#REF!</v>
      </c>
      <c r="Y30" s="144" t="e">
        <f>"Total MB Length to U5 (L0+L1+L2+L5+L6-1+L7-1+L8-2) ["&amp;$B$2&amp;"]"</f>
        <v>#REF!</v>
      </c>
      <c r="Z30" s="144" t="e">
        <f>"Total Pad to Pin U5 (P1+L0+L1+L2+L5+L6-1+L7-1+L8-2) ["&amp;$B$2&amp;"]"</f>
        <v>#REF!</v>
      </c>
      <c r="AA30" s="151" t="e">
        <f>"Target Min Length to U5["&amp;$B$2&amp;"]"</f>
        <v>#REF!</v>
      </c>
      <c r="AB30" s="150" t="e">
        <f>"Target Max Length  to U5 ["&amp;$B$2&amp;"]"</f>
        <v>#REF!</v>
      </c>
      <c r="AC30" s="152" t="e">
        <f>"Routed Too Short  to U5 [" &amp;$B$2&amp;"]"</f>
        <v>#REF!</v>
      </c>
      <c r="AD30" s="151" t="e">
        <f>"Routed Too Long  to U5 [" &amp;$B$2&amp;"]"</f>
        <v>#REF!</v>
      </c>
      <c r="AE30" s="153" t="e">
        <f>"L0 Length Test (&lt;=" &amp; IF($B$2="mil",1,0.0254)*50&amp;$B$2&amp;")"</f>
        <v>#REF!</v>
      </c>
      <c r="AF30" s="153" t="e">
        <f>"L1 Length Test (&lt;=" &amp; IF($B$2="mil",1,0.0254)*500&amp;$B$2&amp;")"</f>
        <v>#REF!</v>
      </c>
      <c r="AG30" s="153" t="e">
        <f>"L3 Length Test (&lt;=" &amp; IF($B$2="mil",1,0.0254)*1000&amp;$B$2&amp;")"</f>
        <v>#REF!</v>
      </c>
      <c r="AH30" s="153" t="e">
        <f>"L4 Length Test (&lt;=" &amp; IF($B$2="mil",1,0.0254)*200&amp;$B$2&amp;") or (L3+L4&lt;= "&amp;IF($B$2="mil",1,0.0254)*1200&amp;$B$2&amp;")"</f>
        <v>#REF!</v>
      </c>
      <c r="AI30" s="153" t="e">
        <f>"L5 Length Test (&lt;=" &amp; IF($B$2="mil",1,0.0254)*2000&amp;$B$2&amp;")"</f>
        <v>#REF!</v>
      </c>
      <c r="AJ30" s="153" t="e">
        <f>"L6-1 Length Test (&lt;=" &amp; IF($B$2="mil",1,0.0254)*1000&amp;$B$2&amp;")"</f>
        <v>#REF!</v>
      </c>
      <c r="AK30" s="153" t="s">
        <v>387</v>
      </c>
      <c r="AL30" s="153" t="e">
        <f>"L7-1 Length Test (&lt;=" &amp; IF($B$2="mil",1,0.0254)*1000&amp;$B$2&amp;")"</f>
        <v>#REF!</v>
      </c>
      <c r="AM30" s="153" t="e">
        <f>"Diff L7-1 &amp; L7-2 (&lt;="&amp;IF($B$2="mil",1,0.0254)*50&amp;$B$2&amp;")"</f>
        <v>#REF!</v>
      </c>
      <c r="AN30" s="153" t="e">
        <f>"L8-1 Length Test (&lt;=" &amp; IF($B$2="mil",1,0.0254)*200&amp;$B$2&amp;") or (L7-1+L8-1&lt;= "&amp;IF($B$2="mil",1,0.0254)*1200&amp;$B$2&amp;")"</f>
        <v>#REF!</v>
      </c>
      <c r="AO30" s="153" t="e">
        <f>"L8-2 Length Test (&lt;=" &amp; IF($B$2="mil",1,0.0254)*200&amp;$B$2&amp;") or (L7-1+L8-2&lt;= "&amp;IF($B$2="mil",1,0.0254)*1200&amp;$B$2&amp;")"</f>
        <v>#REF!</v>
      </c>
      <c r="AP30" s="150" t="e">
        <f>"Total Length to U1 (L0+L1+L2+L5+L6-1+L7-1+L8-1) Test ("&amp;IF($B$2="mil",1,0.0254)*500&amp;"-"&amp;IF($B$2="mil",1,0.0254)*6500&amp;IF($B$2="mil","mil","mm")&amp;")"</f>
        <v>#REF!</v>
      </c>
      <c r="AQ30" s="150" t="e">
        <f>"Total Length to U1 (P1+L0+L1+L2+L5+L6-1+L7-1+L8-1) Test (&lt;="&amp;IF($B$2="mil",1,25.4)*7000&amp;IF($B$2="mil","mil","mm")&amp;")"</f>
        <v>#REF!</v>
      </c>
      <c r="AR30" s="153" t="e">
        <f>"Total Length to U5 (L0+L1+L2+L5+L6-1+L7-1+L8-2) Test ("&amp;IF($B$2="mil",1,0.0254)*500&amp;"-"&amp;IF($B$2="mil",1,0.0254)*6500&amp;IF($B$2="mil","mil","mm")&amp;")"</f>
        <v>#REF!</v>
      </c>
      <c r="AS30" s="150" t="e">
        <f>"Total Length to U5(P1+L0+L1+L2+L5+L6-1+L7-1+L8-2) Test (&lt;="&amp;IF($B$2="mil",1,25.4)*7000&amp;IF($B$2="mil","mil","mm")&amp;")"</f>
        <v>#REF!</v>
      </c>
      <c r="AT30" s="162"/>
    </row>
    <row r="31" spans="1:46" s="162" customFormat="1" ht="11.25">
      <c r="A31" s="155" t="s">
        <v>210</v>
      </c>
      <c r="B31" s="155"/>
      <c r="C31" s="639"/>
      <c r="D31" s="156"/>
      <c r="E31" s="156"/>
      <c r="F31" s="220"/>
      <c r="G31" s="156"/>
      <c r="H31" s="156"/>
      <c r="I31" s="156"/>
      <c r="J31" s="156"/>
      <c r="K31" s="156"/>
      <c r="L31" s="156"/>
      <c r="M31" s="156"/>
      <c r="N31" s="156"/>
      <c r="O31" s="156"/>
      <c r="P31" s="156"/>
      <c r="Q31" s="156"/>
      <c r="R31" s="156"/>
      <c r="S31" s="221"/>
      <c r="T31" s="221"/>
      <c r="U31" s="221"/>
      <c r="V31" s="212"/>
      <c r="W31" s="221"/>
      <c r="X31" s="221"/>
      <c r="Y31" s="221"/>
      <c r="Z31" s="221"/>
      <c r="AA31" s="221"/>
      <c r="AB31" s="221"/>
      <c r="AC31" s="221"/>
      <c r="AD31" s="221"/>
      <c r="AE31" s="212"/>
      <c r="AF31" s="221"/>
      <c r="AG31" s="221"/>
      <c r="AH31" s="221"/>
      <c r="AI31" s="221"/>
      <c r="AJ31" s="221"/>
      <c r="AK31" s="221"/>
      <c r="AL31" s="221"/>
      <c r="AM31" s="221"/>
      <c r="AN31" s="221"/>
      <c r="AO31" s="221"/>
      <c r="AP31" s="221"/>
      <c r="AQ31" s="221"/>
      <c r="AR31" s="221"/>
      <c r="AS31" s="351"/>
    </row>
    <row r="32" spans="1:46" s="162" customFormat="1" ht="11.25">
      <c r="A32" s="263" t="s">
        <v>214</v>
      </c>
      <c r="B32" s="164"/>
      <c r="C32" s="641"/>
      <c r="D32" s="165"/>
      <c r="E32" s="166"/>
      <c r="F32" s="222"/>
      <c r="G32" s="166"/>
      <c r="H32" s="166"/>
      <c r="I32" s="167"/>
      <c r="J32" s="167"/>
      <c r="K32" s="166"/>
      <c r="L32" s="167"/>
      <c r="M32" s="166"/>
      <c r="N32" s="166"/>
      <c r="O32" s="170"/>
      <c r="P32" s="166"/>
      <c r="Q32" s="166"/>
      <c r="R32" s="166"/>
      <c r="S32" s="166"/>
      <c r="T32" s="558" t="s">
        <v>224</v>
      </c>
      <c r="U32" s="542" t="e">
        <f>MIN('DDR2 Clocks - 4L'!$O$5:$O$6)</f>
        <v>#REF!</v>
      </c>
      <c r="V32" s="539" t="e">
        <f>MAX('DDR2 Clocks - 4L'!$O$5:$O$6)</f>
        <v>#REF!</v>
      </c>
      <c r="W32" s="542"/>
      <c r="X32" s="168"/>
      <c r="Y32" s="543"/>
      <c r="Z32" s="558" t="s">
        <v>284</v>
      </c>
      <c r="AA32" s="542" t="e">
        <f>MIN('DDR2 Clocks - 4L'!$O$7:$O$8)</f>
        <v>#REF!</v>
      </c>
      <c r="AB32" s="541" t="e">
        <f>MAX('DDR2 Clocks - 4L'!$O$7:$O$8)</f>
        <v>#REF!</v>
      </c>
      <c r="AC32" s="543"/>
      <c r="AD32" s="543"/>
      <c r="AE32" s="543"/>
      <c r="AF32" s="543"/>
      <c r="AG32" s="538"/>
      <c r="AH32" s="538"/>
      <c r="AI32" s="538"/>
      <c r="AJ32" s="538"/>
      <c r="AK32" s="538"/>
      <c r="AL32" s="538"/>
      <c r="AM32" s="538"/>
      <c r="AN32" s="538"/>
      <c r="AO32" s="538"/>
      <c r="AP32" s="538"/>
      <c r="AQ32" s="538"/>
      <c r="AR32" s="538"/>
      <c r="AS32" s="539"/>
    </row>
    <row r="33" spans="1:47" s="162" customFormat="1" ht="11.25">
      <c r="A33" s="205" t="s">
        <v>229</v>
      </c>
      <c r="B33" s="155"/>
      <c r="C33" s="639"/>
      <c r="D33" s="179"/>
      <c r="E33" s="180"/>
      <c r="F33" s="224"/>
      <c r="G33" s="180"/>
      <c r="H33" s="180"/>
      <c r="I33" s="180"/>
      <c r="J33" s="181"/>
      <c r="K33" s="181"/>
      <c r="L33" s="180"/>
      <c r="M33" s="181"/>
      <c r="N33" s="181"/>
      <c r="O33" s="183"/>
      <c r="P33" s="181"/>
      <c r="Q33" s="181"/>
      <c r="R33" s="181"/>
      <c r="S33" s="181"/>
      <c r="T33" s="273"/>
      <c r="U33" s="179"/>
      <c r="V33" s="570"/>
      <c r="W33" s="531"/>
      <c r="X33" s="179"/>
      <c r="Y33" s="179"/>
      <c r="Z33" s="179"/>
      <c r="AA33" s="179"/>
      <c r="AB33" s="179"/>
      <c r="AC33" s="179"/>
      <c r="AD33" s="179"/>
      <c r="AE33" s="430"/>
      <c r="AF33" s="179"/>
      <c r="AG33" s="179"/>
      <c r="AH33" s="179"/>
      <c r="AI33" s="179"/>
      <c r="AJ33" s="179"/>
      <c r="AK33" s="179"/>
      <c r="AL33" s="179"/>
      <c r="AM33" s="179"/>
      <c r="AN33" s="179"/>
      <c r="AO33" s="179"/>
      <c r="AP33" s="179"/>
      <c r="AQ33" s="179"/>
      <c r="AR33" s="179"/>
      <c r="AS33" s="273"/>
    </row>
    <row r="34" spans="1:47" s="162" customFormat="1">
      <c r="A34" s="185" t="s">
        <v>196</v>
      </c>
      <c r="B34" s="480" t="s">
        <v>81</v>
      </c>
      <c r="C34" s="635">
        <v>378.93700787401576</v>
      </c>
      <c r="D34" s="188"/>
      <c r="E34" s="622">
        <v>22.63</v>
      </c>
      <c r="F34" s="622">
        <v>0</v>
      </c>
      <c r="G34" s="622">
        <v>2304.44</v>
      </c>
      <c r="H34" s="333"/>
      <c r="I34" s="335"/>
      <c r="J34" s="334">
        <v>0</v>
      </c>
      <c r="K34" s="622">
        <v>86.64</v>
      </c>
      <c r="L34" s="336"/>
      <c r="M34" s="623">
        <v>1426.3</v>
      </c>
      <c r="N34" s="623">
        <v>468.28</v>
      </c>
      <c r="O34" s="195"/>
      <c r="P34" s="623">
        <v>684.68</v>
      </c>
      <c r="Q34" s="623">
        <v>150.80000000000001</v>
      </c>
      <c r="R34" s="623">
        <v>178.91</v>
      </c>
      <c r="S34" s="545">
        <f>SUM($E34:$G34,$M34,$P34,$N34,$Q34)</f>
        <v>5057.13</v>
      </c>
      <c r="T34" s="524" t="e">
        <f>$S34+IF($B$2="mil",1,0.0254)*$C34</f>
        <v>#REF!</v>
      </c>
      <c r="U34" s="524" t="e">
        <f>$V$32 + IF($B$2="mil",1,0.0254)*DDR2Specs!$E$9</f>
        <v>#REF!</v>
      </c>
      <c r="V34" s="547" t="e">
        <f>$U$32 + IF($B$2="mil",1,0.0254)*DDR2Specs!$F$9</f>
        <v>#REF!</v>
      </c>
      <c r="W34" s="546" t="e">
        <f t="shared" ref="W34:W47" si="12">IF($T34&lt;$U34,$U34-$T34,"Pass")</f>
        <v>#REF!</v>
      </c>
      <c r="X34" s="547" t="e">
        <f t="shared" ref="X34:X47" si="13">IF($T34&gt;$V34,$T34-$V34,"Pass")</f>
        <v>#REF!</v>
      </c>
      <c r="Y34" s="545">
        <f>SUM($E34:$G34,$M34,$P34,$N34,$R34)</f>
        <v>5085.24</v>
      </c>
      <c r="Z34" s="524" t="e">
        <f>$Y34+IF($B$2="mil",1,0.0254)*$C34</f>
        <v>#REF!</v>
      </c>
      <c r="AA34" s="524" t="e">
        <f>$AB$32 + IF($B$2="mil",1,0.0254)*DDR2Specs!$E$9</f>
        <v>#REF!</v>
      </c>
      <c r="AB34" s="524" t="e">
        <f>$AA$32 + IF($B$2="mil",1,0.0254)*DDR2Specs!$F$9</f>
        <v>#REF!</v>
      </c>
      <c r="AC34" s="546" t="e">
        <f t="shared" ref="AC34:AC47" si="14">IF($Z34&lt;$AA34,$AA34-$Z34,"Pass")</f>
        <v>#REF!</v>
      </c>
      <c r="AD34" s="547" t="e">
        <f t="shared" ref="AD34:AD47" si="15">IF($Z34&gt;$AB34,$Z34-$AB34,"Pass")</f>
        <v>#REF!</v>
      </c>
      <c r="AE34" s="527" t="e">
        <f>IF($E34&lt;=IF($B$2="mil",1,0.0254)*50,"Pass",IF($B$2="mil",1,0.0254)*50-$E34)</f>
        <v>#REF!</v>
      </c>
      <c r="AF34" s="528" t="e">
        <f t="shared" ref="AF34:AF47" si="16">IF($F34&lt;=IF($B$2="mil",1,0.0254)*500,"Pass",IF($B$2="mil",1,0.0254)*500-$F34)</f>
        <v>#REF!</v>
      </c>
      <c r="AG34" s="528" t="e">
        <f t="shared" ref="AG34:AG47" si="17">IF($J34&lt;=IF($B$2="mil",1,0.0254)*1000,"Pass",IF($B$2="mil",1,0.0254)*1000-$J34)</f>
        <v>#REF!</v>
      </c>
      <c r="AH34" s="528" t="e">
        <f ca="1">CheckLength2(1200,J34,K34,0)</f>
        <v>#NAME?</v>
      </c>
      <c r="AI34" s="528" t="e">
        <f>IF(M34&lt;=IF($B$2="mil",1,0.0254)*2000,"Pass",IF($B$2="mil",1,0.0254)*2000-M34)</f>
        <v>#REF!</v>
      </c>
      <c r="AJ34" s="528" t="e">
        <f>IF(N34&lt;=IF($B$2="mil",1,0.0254)*1000,"Pass",IF($B$2="mil",1,0.0254)*1000-N34)</f>
        <v>#REF!</v>
      </c>
      <c r="AK34" s="528" t="e">
        <f t="shared" ref="AK34:AK47" si="18">IF(MAX(N34,P86)-MIN(N34,P86)&lt;=IF($B$2="mil",1,0.0254)*50,"Pass",MAX(N34,P86)-MIN(N34,P86)-IF($B$2="mil",1,0.0254)*50)</f>
        <v>#REF!</v>
      </c>
      <c r="AL34" s="528" t="e">
        <f>IF($P34&lt;=IF($B$2="mil",1,0.0254)*1000,"Pass",IF($B$2="mil",1,0.0254)*1000-$P34)</f>
        <v>#REF!</v>
      </c>
      <c r="AM34" s="528" t="e">
        <f t="shared" ref="AM34:AM47" si="19">IF(MAX(P34,P112)-MIN(P34,P112)&lt;=IF($B$2="mil",1,0.0254)*50,"Pass",MAX(P34,P112)-MIN(P34,P112)-IF($B$2="mil",1,0.0254)*50)</f>
        <v>#REF!</v>
      </c>
      <c r="AN34" s="528" t="e">
        <f ca="1">CheckLength2(IF($B$2="mil",1,0.0254)*1200,P34,Q34,0)</f>
        <v>#NAME?</v>
      </c>
      <c r="AO34" s="528" t="e">
        <f ca="1">CheckLength2(IF($B$2="mil",1,0.0254)*1200,P34,R34,0)</f>
        <v>#NAME?</v>
      </c>
      <c r="AP34" s="528" t="e">
        <f>IF(AND($S34&gt;=IF($B$2="mil",1,0.0254)*500, $S34&lt;=IF($B$2="mil",1,0.0254)*6500),"Pass",IF($B$2="mil",1,0.0254)*6500-$S34)</f>
        <v>#REF!</v>
      </c>
      <c r="AQ34" s="528" t="e">
        <f>IF(AND($T34&gt;=IF($B$2="mil",1,0.0254)*500, $T34&lt;=IF($B$2="mil",1,0.0254)*7000),"Pass",IF($B$2="mil",1,0.0254)*7000-$T34)</f>
        <v>#REF!</v>
      </c>
      <c r="AR34" s="528" t="e">
        <f>IF(AND($Y34&gt;=IF($B$2="mil",1,0.0254)*500, $Y34&lt;=IF($B$2="mil",1,0.0254)*6500),"Pass",IF($B$2="mil",1,0.0254)*6500-$Y34)</f>
        <v>#REF!</v>
      </c>
      <c r="AS34" s="529" t="e">
        <f>IF(AND($Z34&gt;=IF($B$2="mil",1,0.0254)*500, $Z34&lt;=IF($B$2="mil",1,0.0254)*7000),"Pass",IF($B$2="mil",1,0.0254)*7000-$Z34)</f>
        <v>#REF!</v>
      </c>
      <c r="AT34" s="162" t="e">
        <f ca="1">IF(AND(W34="Pass",X34="Pass",AE34="Pass",AF34="Pass",AG34="Pass",AH34="Pass",AI34="Pass",AJ34="Pass",AK34="Pass",AL34="Pass",AM34="Pass",AN34="Pass",AO34="Pass",AP34="Pass",AQ34="Pass",AR34="Pass",AS34="Pass"),"Pass","Fail")</f>
        <v>#REF!</v>
      </c>
      <c r="AU34" s="162" t="e">
        <f ca="1">IF(AND(AT46="Pass",AT47="Pass",AT49="Pass",AT50="Pass",AT51="Pass",AT53="Pass",AT54="Pass",AT55="Pass"),"Pass","Fail")</f>
        <v>#REF!</v>
      </c>
    </row>
    <row r="35" spans="1:47" s="162" customFormat="1">
      <c r="A35" s="240" t="s">
        <v>39</v>
      </c>
      <c r="B35" s="480" t="s">
        <v>441</v>
      </c>
      <c r="C35" s="635">
        <v>526.1811023622048</v>
      </c>
      <c r="D35" s="188"/>
      <c r="E35" s="622">
        <v>22.63</v>
      </c>
      <c r="F35" s="622">
        <v>0</v>
      </c>
      <c r="G35" s="622">
        <v>2429.16</v>
      </c>
      <c r="H35" s="333"/>
      <c r="I35" s="335"/>
      <c r="J35" s="334">
        <v>0</v>
      </c>
      <c r="K35" s="622">
        <v>86.64</v>
      </c>
      <c r="L35" s="336"/>
      <c r="M35" s="623">
        <v>1103.53</v>
      </c>
      <c r="N35" s="623">
        <v>556.39</v>
      </c>
      <c r="O35" s="204"/>
      <c r="P35" s="623">
        <v>700.43</v>
      </c>
      <c r="Q35" s="623">
        <v>152.79</v>
      </c>
      <c r="R35" s="623">
        <v>86.16</v>
      </c>
      <c r="S35" s="545">
        <f t="shared" ref="S35:S55" si="20">SUM($E35:$G35,$M35,$P35,$N35,$Q35)</f>
        <v>4964.93</v>
      </c>
      <c r="T35" s="524" t="e">
        <f t="shared" ref="T35:T54" si="21">$S35+IF($B$2="mil",1,0.0254)*$C35</f>
        <v>#REF!</v>
      </c>
      <c r="U35" s="524" t="e">
        <f>$V$32 + IF($B$2="mil",1,0.0254)*DDR2Specs!$E$9</f>
        <v>#REF!</v>
      </c>
      <c r="V35" s="547" t="e">
        <f>$U$32 + IF($B$2="mil",1,0.0254)*DDR2Specs!$F$9</f>
        <v>#REF!</v>
      </c>
      <c r="W35" s="546" t="e">
        <f t="shared" si="12"/>
        <v>#REF!</v>
      </c>
      <c r="X35" s="547" t="e">
        <f t="shared" si="13"/>
        <v>#REF!</v>
      </c>
      <c r="Y35" s="545">
        <f t="shared" ref="Y35:Y55" si="22">SUM($E35:$G35,$M35,$P35,$N35,$R35)</f>
        <v>4898.3</v>
      </c>
      <c r="Z35" s="524" t="e">
        <f t="shared" ref="Z35:Z54" si="23">$Y35+IF($B$2="mil",1,0.0254)*$C35</f>
        <v>#REF!</v>
      </c>
      <c r="AA35" s="524" t="e">
        <f>$AB$32 + IF($B$2="mil",1,0.0254)*DDR2Specs!$E$9</f>
        <v>#REF!</v>
      </c>
      <c r="AB35" s="524" t="e">
        <f>$AA$32 + IF($B$2="mil",1,0.0254)*DDR2Specs!$F$9</f>
        <v>#REF!</v>
      </c>
      <c r="AC35" s="546" t="e">
        <f t="shared" si="14"/>
        <v>#REF!</v>
      </c>
      <c r="AD35" s="547" t="e">
        <f t="shared" si="15"/>
        <v>#REF!</v>
      </c>
      <c r="AE35" s="527" t="e">
        <f t="shared" ref="AE35:AE47" si="24">IF($E35&lt;=IF($B$2="mil",1,0.0254)*50,"Pass",IF($B$2="mil",1,0.0254)*50-$E35)</f>
        <v>#REF!</v>
      </c>
      <c r="AF35" s="528" t="e">
        <f t="shared" si="16"/>
        <v>#REF!</v>
      </c>
      <c r="AG35" s="528" t="e">
        <f t="shared" si="17"/>
        <v>#REF!</v>
      </c>
      <c r="AH35" s="528" t="e">
        <f t="shared" ref="AH35:AH47" ca="1" si="25">CheckLength2(1200,J35,K35,0)</f>
        <v>#NAME?</v>
      </c>
      <c r="AI35" s="528" t="e">
        <f t="shared" ref="AI35:AI47" si="26">IF(M35&lt;=IF($B$2="mil",1,0.0254)*2000,"Pass",IF($B$2="mil",1,0.0254)*2000-M35)</f>
        <v>#REF!</v>
      </c>
      <c r="AJ35" s="528" t="e">
        <f t="shared" ref="AJ35:AJ47" si="27">IF(N35&lt;=IF($B$2="mil",1,0.0254)*1000,"Pass",IF($B$2="mil",1,0.0254)*1000-N35)</f>
        <v>#REF!</v>
      </c>
      <c r="AK35" s="528" t="e">
        <f t="shared" si="18"/>
        <v>#REF!</v>
      </c>
      <c r="AL35" s="528" t="e">
        <f t="shared" ref="AL35:AL47" si="28">IF($P35&lt;=IF($B$2="mil",1,0.0254)*1000,"Pass",IF($B$2="mil",1,0.0254)*1000-$P35)</f>
        <v>#REF!</v>
      </c>
      <c r="AM35" s="528" t="e">
        <f t="shared" si="19"/>
        <v>#REF!</v>
      </c>
      <c r="AN35" s="528" t="e">
        <f t="shared" ref="AN35:AN47" ca="1" si="29">CheckLength2(IF($B$2="mil",1,0.0254)*1200,P35,Q35,0)</f>
        <v>#NAME?</v>
      </c>
      <c r="AO35" s="528" t="e">
        <f t="shared" ref="AO35:AO47" ca="1" si="30">CheckLength2(IF($B$2="mil",1,0.0254)*1200,P35,R35,0)</f>
        <v>#NAME?</v>
      </c>
      <c r="AP35" s="528" t="e">
        <f t="shared" ref="AP35:AP47" si="31">IF(AND($S35&gt;=IF($B$2="mil",1,0.0254)*500, $S35&lt;=IF($B$2="mil",1,0.0254)*6500),"Pass",IF($B$2="mil",1,0.0254)*6500-$S35)</f>
        <v>#REF!</v>
      </c>
      <c r="AQ35" s="528" t="e">
        <f t="shared" ref="AQ35:AQ47" si="32">IF(AND($T35&gt;=IF($B$2="mil",1,0.0254)*500, $T35&lt;=IF($B$2="mil",1,0.0254)*7000),"Pass",IF($B$2="mil",1,0.0254)*7000-$T35)</f>
        <v>#REF!</v>
      </c>
      <c r="AR35" s="528" t="e">
        <f t="shared" ref="AR35:AR47" si="33">IF(AND($Y35&gt;=IF($B$2="mil",1,0.0254)*500, $Y35&lt;=IF($B$2="mil",1,0.0254)*6500),"Pass",IF($B$2="mil",1,0.0254)*6500-$Y35)</f>
        <v>#REF!</v>
      </c>
      <c r="AS35" s="529" t="e">
        <f t="shared" ref="AS35:AS47" si="34">IF(AND($Z35&gt;=IF($B$2="mil",1,0.0254)*500, $Z35&lt;=IF($B$2="mil",1,0.0254)*7000),"Pass",IF($B$2="mil",1,0.0254)*7000-$Z35)</f>
        <v>#REF!</v>
      </c>
      <c r="AT35" s="162" t="e">
        <f t="shared" ref="AT35:AT55" ca="1" si="35">IF(AND(W35="Pass",X35="Pass",AE35="Pass",AF35="Pass",AG35="Pass",AH35="Pass",AI35="Pass",AJ35="Pass",AK35="Pass",AL35="Pass",AM35="Pass",AN35="Pass",AO35="Pass",AP35="Pass",AQ35="Pass",AR35="Pass",AS35="Pass"),"Pass","Fail")</f>
        <v>#REF!</v>
      </c>
      <c r="AU35" s="162" t="e">
        <f ca="1">IF(AND(AT35="Pass",AT36="Pass",AT37="Pass",AT38="Pass",AT39="Pass",AT40="Pass",AT41="Pass",AT42="Pass",AT43="Pass",AT44="Pass",AT45="Pass",AT34="Pass"),"Pass","Fail")</f>
        <v>#REF!</v>
      </c>
    </row>
    <row r="36" spans="1:47" s="162" customFormat="1">
      <c r="A36" s="240" t="s">
        <v>40</v>
      </c>
      <c r="B36" s="480" t="s">
        <v>442</v>
      </c>
      <c r="C36" s="635">
        <v>448.14960629921256</v>
      </c>
      <c r="D36" s="188"/>
      <c r="E36" s="622">
        <v>22.63</v>
      </c>
      <c r="F36" s="622">
        <v>0</v>
      </c>
      <c r="G36" s="622">
        <v>2585.69</v>
      </c>
      <c r="H36" s="333"/>
      <c r="I36" s="335"/>
      <c r="J36" s="334">
        <v>0</v>
      </c>
      <c r="K36" s="622">
        <v>36.64</v>
      </c>
      <c r="L36" s="336"/>
      <c r="M36" s="623">
        <v>1235.4100000000001</v>
      </c>
      <c r="N36" s="623">
        <v>483.76</v>
      </c>
      <c r="O36" s="238"/>
      <c r="P36" s="623">
        <v>694.51</v>
      </c>
      <c r="Q36" s="623">
        <v>104.19</v>
      </c>
      <c r="R36" s="623">
        <v>89.68</v>
      </c>
      <c r="S36" s="545">
        <f t="shared" si="20"/>
        <v>5126.1900000000005</v>
      </c>
      <c r="T36" s="524" t="e">
        <f t="shared" si="21"/>
        <v>#REF!</v>
      </c>
      <c r="U36" s="524" t="e">
        <f>$V$32 + IF($B$2="mil",1,0.0254)*DDR2Specs!$E$9</f>
        <v>#REF!</v>
      </c>
      <c r="V36" s="547" t="e">
        <f>$U$32 + IF($B$2="mil",1,0.0254)*DDR2Specs!$F$9</f>
        <v>#REF!</v>
      </c>
      <c r="W36" s="546" t="e">
        <f t="shared" si="12"/>
        <v>#REF!</v>
      </c>
      <c r="X36" s="547" t="e">
        <f t="shared" si="13"/>
        <v>#REF!</v>
      </c>
      <c r="Y36" s="545">
        <f t="shared" si="22"/>
        <v>5111.6800000000012</v>
      </c>
      <c r="Z36" s="524" t="e">
        <f t="shared" si="23"/>
        <v>#REF!</v>
      </c>
      <c r="AA36" s="524" t="e">
        <f>$AB$32 + IF($B$2="mil",1,0.0254)*DDR2Specs!$E$9</f>
        <v>#REF!</v>
      </c>
      <c r="AB36" s="524" t="e">
        <f>$AA$32 + IF($B$2="mil",1,0.0254)*DDR2Specs!$F$9</f>
        <v>#REF!</v>
      </c>
      <c r="AC36" s="546" t="e">
        <f t="shared" si="14"/>
        <v>#REF!</v>
      </c>
      <c r="AD36" s="547" t="e">
        <f t="shared" si="15"/>
        <v>#REF!</v>
      </c>
      <c r="AE36" s="527" t="e">
        <f t="shared" si="24"/>
        <v>#REF!</v>
      </c>
      <c r="AF36" s="528" t="e">
        <f t="shared" si="16"/>
        <v>#REF!</v>
      </c>
      <c r="AG36" s="528" t="e">
        <f t="shared" si="17"/>
        <v>#REF!</v>
      </c>
      <c r="AH36" s="528" t="e">
        <f t="shared" ca="1" si="25"/>
        <v>#NAME?</v>
      </c>
      <c r="AI36" s="528" t="e">
        <f t="shared" si="26"/>
        <v>#REF!</v>
      </c>
      <c r="AJ36" s="528" t="e">
        <f t="shared" si="27"/>
        <v>#REF!</v>
      </c>
      <c r="AK36" s="528" t="e">
        <f t="shared" si="18"/>
        <v>#REF!</v>
      </c>
      <c r="AL36" s="528" t="e">
        <f t="shared" si="28"/>
        <v>#REF!</v>
      </c>
      <c r="AM36" s="528" t="e">
        <f t="shared" si="19"/>
        <v>#REF!</v>
      </c>
      <c r="AN36" s="528" t="e">
        <f t="shared" ca="1" si="29"/>
        <v>#NAME?</v>
      </c>
      <c r="AO36" s="528" t="e">
        <f t="shared" ca="1" si="30"/>
        <v>#NAME?</v>
      </c>
      <c r="AP36" s="528" t="e">
        <f t="shared" si="31"/>
        <v>#REF!</v>
      </c>
      <c r="AQ36" s="528" t="e">
        <f t="shared" si="32"/>
        <v>#REF!</v>
      </c>
      <c r="AR36" s="528" t="e">
        <f t="shared" si="33"/>
        <v>#REF!</v>
      </c>
      <c r="AS36" s="529" t="e">
        <f t="shared" si="34"/>
        <v>#REF!</v>
      </c>
      <c r="AT36" s="162" t="e">
        <f t="shared" ca="1" si="35"/>
        <v>#REF!</v>
      </c>
    </row>
    <row r="37" spans="1:47" s="162" customFormat="1">
      <c r="A37" s="240" t="s">
        <v>41</v>
      </c>
      <c r="B37" s="480" t="s">
        <v>443</v>
      </c>
      <c r="C37" s="635">
        <v>435.90551181102359</v>
      </c>
      <c r="D37" s="188"/>
      <c r="E37" s="622">
        <v>22.63</v>
      </c>
      <c r="F37" s="622">
        <v>0</v>
      </c>
      <c r="G37" s="622">
        <v>1819</v>
      </c>
      <c r="H37" s="333"/>
      <c r="I37" s="335"/>
      <c r="J37" s="334">
        <v>0</v>
      </c>
      <c r="K37" s="622">
        <v>86.64</v>
      </c>
      <c r="L37" s="336"/>
      <c r="M37" s="623">
        <v>1582.98</v>
      </c>
      <c r="N37" s="623">
        <v>501.07</v>
      </c>
      <c r="O37" s="238"/>
      <c r="P37" s="623">
        <v>644.19000000000005</v>
      </c>
      <c r="Q37" s="623">
        <v>373.47</v>
      </c>
      <c r="R37" s="623">
        <v>427.52</v>
      </c>
      <c r="S37" s="545">
        <f t="shared" si="20"/>
        <v>4943.34</v>
      </c>
      <c r="T37" s="524" t="e">
        <f t="shared" si="21"/>
        <v>#REF!</v>
      </c>
      <c r="U37" s="524" t="e">
        <f>$V$32 + IF($B$2="mil",1,0.0254)*DDR2Specs!$E$9</f>
        <v>#REF!</v>
      </c>
      <c r="V37" s="547" t="e">
        <f>$U$32 + IF($B$2="mil",1,0.0254)*DDR2Specs!$F$9</f>
        <v>#REF!</v>
      </c>
      <c r="W37" s="546" t="e">
        <f t="shared" si="12"/>
        <v>#REF!</v>
      </c>
      <c r="X37" s="547" t="e">
        <f t="shared" si="13"/>
        <v>#REF!</v>
      </c>
      <c r="Y37" s="545">
        <f t="shared" si="22"/>
        <v>4997.3899999999994</v>
      </c>
      <c r="Z37" s="524" t="e">
        <f t="shared" si="23"/>
        <v>#REF!</v>
      </c>
      <c r="AA37" s="524" t="e">
        <f>$AB$32 + IF($B$2="mil",1,0.0254)*DDR2Specs!$E$9</f>
        <v>#REF!</v>
      </c>
      <c r="AB37" s="524" t="e">
        <f>$AA$32 + IF($B$2="mil",1,0.0254)*DDR2Specs!$F$9</f>
        <v>#REF!</v>
      </c>
      <c r="AC37" s="546" t="e">
        <f t="shared" si="14"/>
        <v>#REF!</v>
      </c>
      <c r="AD37" s="547" t="e">
        <f t="shared" si="15"/>
        <v>#REF!</v>
      </c>
      <c r="AE37" s="527" t="e">
        <f t="shared" si="24"/>
        <v>#REF!</v>
      </c>
      <c r="AF37" s="528" t="e">
        <f t="shared" si="16"/>
        <v>#REF!</v>
      </c>
      <c r="AG37" s="528" t="e">
        <f t="shared" si="17"/>
        <v>#REF!</v>
      </c>
      <c r="AH37" s="528" t="e">
        <f t="shared" ca="1" si="25"/>
        <v>#NAME?</v>
      </c>
      <c r="AI37" s="528" t="e">
        <f t="shared" si="26"/>
        <v>#REF!</v>
      </c>
      <c r="AJ37" s="528" t="e">
        <f t="shared" si="27"/>
        <v>#REF!</v>
      </c>
      <c r="AK37" s="528" t="e">
        <f t="shared" si="18"/>
        <v>#REF!</v>
      </c>
      <c r="AL37" s="528" t="e">
        <f t="shared" si="28"/>
        <v>#REF!</v>
      </c>
      <c r="AM37" s="528" t="e">
        <f t="shared" si="19"/>
        <v>#REF!</v>
      </c>
      <c r="AN37" s="528" t="e">
        <f t="shared" ca="1" si="29"/>
        <v>#NAME?</v>
      </c>
      <c r="AO37" s="528" t="e">
        <f t="shared" ca="1" si="30"/>
        <v>#NAME?</v>
      </c>
      <c r="AP37" s="528" t="e">
        <f t="shared" si="31"/>
        <v>#REF!</v>
      </c>
      <c r="AQ37" s="528" t="e">
        <f t="shared" si="32"/>
        <v>#REF!</v>
      </c>
      <c r="AR37" s="528" t="e">
        <f t="shared" si="33"/>
        <v>#REF!</v>
      </c>
      <c r="AS37" s="529" t="e">
        <f t="shared" si="34"/>
        <v>#REF!</v>
      </c>
      <c r="AT37" s="162" t="e">
        <f t="shared" ca="1" si="35"/>
        <v>#REF!</v>
      </c>
    </row>
    <row r="38" spans="1:47" s="162" customFormat="1">
      <c r="A38" s="240" t="s">
        <v>42</v>
      </c>
      <c r="B38" s="480" t="s">
        <v>444</v>
      </c>
      <c r="C38" s="635">
        <v>381.06299212598429</v>
      </c>
      <c r="D38" s="188"/>
      <c r="E38" s="622">
        <v>22.63</v>
      </c>
      <c r="F38" s="622">
        <v>0</v>
      </c>
      <c r="G38" s="622">
        <v>1880.28</v>
      </c>
      <c r="H38" s="333"/>
      <c r="I38" s="335"/>
      <c r="J38" s="334">
        <v>0</v>
      </c>
      <c r="K38" s="622">
        <v>63.71</v>
      </c>
      <c r="L38" s="336"/>
      <c r="M38" s="623">
        <v>1677.58</v>
      </c>
      <c r="N38" s="623">
        <v>511.88</v>
      </c>
      <c r="O38" s="238"/>
      <c r="P38" s="623">
        <v>643.69000000000005</v>
      </c>
      <c r="Q38" s="623">
        <v>369.56</v>
      </c>
      <c r="R38" s="623">
        <v>401.77</v>
      </c>
      <c r="S38" s="545">
        <f t="shared" si="20"/>
        <v>5105.6200000000008</v>
      </c>
      <c r="T38" s="524" t="e">
        <f t="shared" si="21"/>
        <v>#REF!</v>
      </c>
      <c r="U38" s="524" t="e">
        <f>$V$32 + IF($B$2="mil",1,0.0254)*DDR2Specs!$E$9</f>
        <v>#REF!</v>
      </c>
      <c r="V38" s="547" t="e">
        <f>$U$32 + IF($B$2="mil",1,0.0254)*DDR2Specs!$F$9</f>
        <v>#REF!</v>
      </c>
      <c r="W38" s="546" t="e">
        <f t="shared" si="12"/>
        <v>#REF!</v>
      </c>
      <c r="X38" s="547" t="e">
        <f t="shared" si="13"/>
        <v>#REF!</v>
      </c>
      <c r="Y38" s="545">
        <f t="shared" si="22"/>
        <v>5137.83</v>
      </c>
      <c r="Z38" s="524" t="e">
        <f t="shared" si="23"/>
        <v>#REF!</v>
      </c>
      <c r="AA38" s="524" t="e">
        <f>$AB$32 + IF($B$2="mil",1,0.0254)*DDR2Specs!$E$9</f>
        <v>#REF!</v>
      </c>
      <c r="AB38" s="524" t="e">
        <f>$AA$32 + IF($B$2="mil",1,0.0254)*DDR2Specs!$F$9</f>
        <v>#REF!</v>
      </c>
      <c r="AC38" s="546" t="e">
        <f t="shared" si="14"/>
        <v>#REF!</v>
      </c>
      <c r="AD38" s="547" t="e">
        <f t="shared" si="15"/>
        <v>#REF!</v>
      </c>
      <c r="AE38" s="527" t="e">
        <f t="shared" si="24"/>
        <v>#REF!</v>
      </c>
      <c r="AF38" s="528" t="e">
        <f t="shared" si="16"/>
        <v>#REF!</v>
      </c>
      <c r="AG38" s="528" t="e">
        <f t="shared" si="17"/>
        <v>#REF!</v>
      </c>
      <c r="AH38" s="528" t="e">
        <f t="shared" ca="1" si="25"/>
        <v>#NAME?</v>
      </c>
      <c r="AI38" s="528" t="e">
        <f t="shared" si="26"/>
        <v>#REF!</v>
      </c>
      <c r="AJ38" s="528" t="e">
        <f t="shared" si="27"/>
        <v>#REF!</v>
      </c>
      <c r="AK38" s="528" t="e">
        <f t="shared" si="18"/>
        <v>#REF!</v>
      </c>
      <c r="AL38" s="528" t="e">
        <f t="shared" si="28"/>
        <v>#REF!</v>
      </c>
      <c r="AM38" s="528" t="e">
        <f t="shared" si="19"/>
        <v>#REF!</v>
      </c>
      <c r="AN38" s="528" t="e">
        <f t="shared" ca="1" si="29"/>
        <v>#NAME?</v>
      </c>
      <c r="AO38" s="528" t="e">
        <f t="shared" ca="1" si="30"/>
        <v>#NAME?</v>
      </c>
      <c r="AP38" s="528" t="e">
        <f t="shared" si="31"/>
        <v>#REF!</v>
      </c>
      <c r="AQ38" s="528" t="e">
        <f t="shared" si="32"/>
        <v>#REF!</v>
      </c>
      <c r="AR38" s="528" t="e">
        <f t="shared" si="33"/>
        <v>#REF!</v>
      </c>
      <c r="AS38" s="529" t="e">
        <f t="shared" si="34"/>
        <v>#REF!</v>
      </c>
      <c r="AT38" s="162" t="e">
        <f t="shared" ca="1" si="35"/>
        <v>#REF!</v>
      </c>
    </row>
    <row r="39" spans="1:47" s="162" customFormat="1">
      <c r="A39" s="240" t="s">
        <v>43</v>
      </c>
      <c r="B39" s="481" t="s">
        <v>445</v>
      </c>
      <c r="C39" s="635">
        <v>420.03937007874021</v>
      </c>
      <c r="D39" s="188"/>
      <c r="E39" s="622">
        <v>22.63</v>
      </c>
      <c r="F39" s="622">
        <v>0</v>
      </c>
      <c r="G39" s="622">
        <v>2022.28</v>
      </c>
      <c r="H39" s="333"/>
      <c r="I39" s="335"/>
      <c r="J39" s="334">
        <v>0</v>
      </c>
      <c r="K39" s="622">
        <v>94.93</v>
      </c>
      <c r="L39" s="336"/>
      <c r="M39" s="623">
        <v>1766.79</v>
      </c>
      <c r="N39" s="623">
        <v>478</v>
      </c>
      <c r="O39" s="238"/>
      <c r="P39" s="623">
        <v>665.62</v>
      </c>
      <c r="Q39" s="623">
        <v>136.13</v>
      </c>
      <c r="R39" s="623">
        <v>197.23</v>
      </c>
      <c r="S39" s="545">
        <f t="shared" si="20"/>
        <v>5091.45</v>
      </c>
      <c r="T39" s="524" t="e">
        <f t="shared" si="21"/>
        <v>#REF!</v>
      </c>
      <c r="U39" s="524" t="e">
        <f>$V$32 + IF($B$2="mil",1,0.0254)*DDR2Specs!$E$9</f>
        <v>#REF!</v>
      </c>
      <c r="V39" s="547" t="e">
        <f>$U$32 + IF($B$2="mil",1,0.0254)*DDR2Specs!$F$9</f>
        <v>#REF!</v>
      </c>
      <c r="W39" s="546" t="e">
        <f t="shared" si="12"/>
        <v>#REF!</v>
      </c>
      <c r="X39" s="547" t="e">
        <f t="shared" si="13"/>
        <v>#REF!</v>
      </c>
      <c r="Y39" s="545">
        <f t="shared" si="22"/>
        <v>5152.5499999999993</v>
      </c>
      <c r="Z39" s="524" t="e">
        <f t="shared" si="23"/>
        <v>#REF!</v>
      </c>
      <c r="AA39" s="524" t="e">
        <f>$AB$32 + IF($B$2="mil",1,0.0254)*DDR2Specs!$E$9</f>
        <v>#REF!</v>
      </c>
      <c r="AB39" s="524" t="e">
        <f>$AA$32 + IF($B$2="mil",1,0.0254)*DDR2Specs!$F$9</f>
        <v>#REF!</v>
      </c>
      <c r="AC39" s="546" t="e">
        <f t="shared" si="14"/>
        <v>#REF!</v>
      </c>
      <c r="AD39" s="547" t="e">
        <f t="shared" si="15"/>
        <v>#REF!</v>
      </c>
      <c r="AE39" s="527" t="e">
        <f t="shared" si="24"/>
        <v>#REF!</v>
      </c>
      <c r="AF39" s="528" t="e">
        <f t="shared" si="16"/>
        <v>#REF!</v>
      </c>
      <c r="AG39" s="528" t="e">
        <f t="shared" si="17"/>
        <v>#REF!</v>
      </c>
      <c r="AH39" s="528" t="e">
        <f t="shared" ca="1" si="25"/>
        <v>#NAME?</v>
      </c>
      <c r="AI39" s="528" t="e">
        <f t="shared" si="26"/>
        <v>#REF!</v>
      </c>
      <c r="AJ39" s="528" t="e">
        <f t="shared" si="27"/>
        <v>#REF!</v>
      </c>
      <c r="AK39" s="528" t="e">
        <f t="shared" si="18"/>
        <v>#REF!</v>
      </c>
      <c r="AL39" s="528" t="e">
        <f t="shared" si="28"/>
        <v>#REF!</v>
      </c>
      <c r="AM39" s="528" t="e">
        <f t="shared" si="19"/>
        <v>#REF!</v>
      </c>
      <c r="AN39" s="528" t="e">
        <f t="shared" ca="1" si="29"/>
        <v>#NAME?</v>
      </c>
      <c r="AO39" s="528" t="e">
        <f t="shared" ca="1" si="30"/>
        <v>#NAME?</v>
      </c>
      <c r="AP39" s="528" t="e">
        <f t="shared" si="31"/>
        <v>#REF!</v>
      </c>
      <c r="AQ39" s="528" t="e">
        <f t="shared" si="32"/>
        <v>#REF!</v>
      </c>
      <c r="AR39" s="528" t="e">
        <f t="shared" si="33"/>
        <v>#REF!</v>
      </c>
      <c r="AS39" s="529" t="e">
        <f t="shared" si="34"/>
        <v>#REF!</v>
      </c>
      <c r="AT39" s="162" t="e">
        <f t="shared" ca="1" si="35"/>
        <v>#REF!</v>
      </c>
    </row>
    <row r="40" spans="1:47" s="162" customFormat="1">
      <c r="A40" s="240" t="s">
        <v>44</v>
      </c>
      <c r="B40" s="480" t="s">
        <v>446</v>
      </c>
      <c r="C40" s="635">
        <v>468.89763779527561</v>
      </c>
      <c r="D40" s="188"/>
      <c r="E40" s="622">
        <v>22.63</v>
      </c>
      <c r="F40" s="622">
        <v>0</v>
      </c>
      <c r="G40" s="622">
        <v>1826.05</v>
      </c>
      <c r="H40" s="333"/>
      <c r="I40" s="335"/>
      <c r="J40" s="334">
        <v>0</v>
      </c>
      <c r="K40" s="622">
        <v>40.78</v>
      </c>
      <c r="L40" s="336"/>
      <c r="M40" s="623">
        <v>1723.76</v>
      </c>
      <c r="N40" s="623">
        <v>557.94000000000005</v>
      </c>
      <c r="O40" s="238"/>
      <c r="P40" s="623">
        <v>669.08</v>
      </c>
      <c r="Q40" s="623">
        <v>135.09</v>
      </c>
      <c r="R40" s="623">
        <v>164.7</v>
      </c>
      <c r="S40" s="545">
        <f t="shared" si="20"/>
        <v>4934.5500000000011</v>
      </c>
      <c r="T40" s="524" t="e">
        <f t="shared" si="21"/>
        <v>#REF!</v>
      </c>
      <c r="U40" s="524" t="e">
        <f>$V$32 + IF($B$2="mil",1,0.0254)*DDR2Specs!$E$9</f>
        <v>#REF!</v>
      </c>
      <c r="V40" s="547" t="e">
        <f>$U$32 + IF($B$2="mil",1,0.0254)*DDR2Specs!$F$9</f>
        <v>#REF!</v>
      </c>
      <c r="W40" s="546" t="e">
        <f t="shared" si="12"/>
        <v>#REF!</v>
      </c>
      <c r="X40" s="547" t="e">
        <f t="shared" si="13"/>
        <v>#REF!</v>
      </c>
      <c r="Y40" s="545">
        <f t="shared" si="22"/>
        <v>4964.1600000000008</v>
      </c>
      <c r="Z40" s="524" t="e">
        <f t="shared" si="23"/>
        <v>#REF!</v>
      </c>
      <c r="AA40" s="524" t="e">
        <f>$AB$32 + IF($B$2="mil",1,0.0254)*DDR2Specs!$E$9</f>
        <v>#REF!</v>
      </c>
      <c r="AB40" s="524" t="e">
        <f>$AA$32 + IF($B$2="mil",1,0.0254)*DDR2Specs!$F$9</f>
        <v>#REF!</v>
      </c>
      <c r="AC40" s="546" t="e">
        <f t="shared" si="14"/>
        <v>#REF!</v>
      </c>
      <c r="AD40" s="547" t="e">
        <f t="shared" si="15"/>
        <v>#REF!</v>
      </c>
      <c r="AE40" s="527" t="e">
        <f t="shared" si="24"/>
        <v>#REF!</v>
      </c>
      <c r="AF40" s="528" t="e">
        <f t="shared" si="16"/>
        <v>#REF!</v>
      </c>
      <c r="AG40" s="528" t="e">
        <f t="shared" si="17"/>
        <v>#REF!</v>
      </c>
      <c r="AH40" s="528" t="e">
        <f t="shared" ca="1" si="25"/>
        <v>#NAME?</v>
      </c>
      <c r="AI40" s="528" t="e">
        <f t="shared" si="26"/>
        <v>#REF!</v>
      </c>
      <c r="AJ40" s="528" t="e">
        <f t="shared" si="27"/>
        <v>#REF!</v>
      </c>
      <c r="AK40" s="528" t="e">
        <f t="shared" si="18"/>
        <v>#REF!</v>
      </c>
      <c r="AL40" s="528" t="e">
        <f t="shared" si="28"/>
        <v>#REF!</v>
      </c>
      <c r="AM40" s="528" t="e">
        <f t="shared" si="19"/>
        <v>#REF!</v>
      </c>
      <c r="AN40" s="528" t="e">
        <f t="shared" ca="1" si="29"/>
        <v>#NAME?</v>
      </c>
      <c r="AO40" s="528" t="e">
        <f t="shared" ca="1" si="30"/>
        <v>#NAME?</v>
      </c>
      <c r="AP40" s="528" t="e">
        <f t="shared" si="31"/>
        <v>#REF!</v>
      </c>
      <c r="AQ40" s="528" t="e">
        <f t="shared" si="32"/>
        <v>#REF!</v>
      </c>
      <c r="AR40" s="528" t="e">
        <f t="shared" si="33"/>
        <v>#REF!</v>
      </c>
      <c r="AS40" s="529" t="e">
        <f t="shared" si="34"/>
        <v>#REF!</v>
      </c>
      <c r="AT40" s="162" t="e">
        <f t="shared" ca="1" si="35"/>
        <v>#REF!</v>
      </c>
    </row>
    <row r="41" spans="1:47" s="162" customFormat="1">
      <c r="A41" s="240" t="s">
        <v>46</v>
      </c>
      <c r="B41" s="480" t="s">
        <v>447</v>
      </c>
      <c r="C41" s="635">
        <v>508.74015748031502</v>
      </c>
      <c r="D41" s="188"/>
      <c r="E41" s="622">
        <v>22.63</v>
      </c>
      <c r="F41" s="622">
        <v>0</v>
      </c>
      <c r="G41" s="622">
        <v>1991.59</v>
      </c>
      <c r="H41" s="333"/>
      <c r="I41" s="335"/>
      <c r="J41" s="334">
        <v>0</v>
      </c>
      <c r="K41" s="622">
        <v>90.78</v>
      </c>
      <c r="L41" s="336"/>
      <c r="M41" s="623">
        <v>1429.22</v>
      </c>
      <c r="N41" s="623">
        <v>498.37</v>
      </c>
      <c r="O41" s="238"/>
      <c r="P41" s="623">
        <v>653.82000000000005</v>
      </c>
      <c r="Q41" s="623">
        <v>256.72000000000003</v>
      </c>
      <c r="R41" s="623">
        <v>318.58</v>
      </c>
      <c r="S41" s="545">
        <f t="shared" si="20"/>
        <v>4852.3500000000004</v>
      </c>
      <c r="T41" s="524" t="e">
        <f t="shared" si="21"/>
        <v>#REF!</v>
      </c>
      <c r="U41" s="524" t="e">
        <f>$V$32 + IF($B$2="mil",1,0.0254)*DDR2Specs!$E$9</f>
        <v>#REF!</v>
      </c>
      <c r="V41" s="547" t="e">
        <f>$U$32 + IF($B$2="mil",1,0.0254)*DDR2Specs!$F$9</f>
        <v>#REF!</v>
      </c>
      <c r="W41" s="546" t="e">
        <f t="shared" si="12"/>
        <v>#REF!</v>
      </c>
      <c r="X41" s="547" t="e">
        <f t="shared" si="13"/>
        <v>#REF!</v>
      </c>
      <c r="Y41" s="545">
        <f t="shared" si="22"/>
        <v>4914.21</v>
      </c>
      <c r="Z41" s="524" t="e">
        <f t="shared" si="23"/>
        <v>#REF!</v>
      </c>
      <c r="AA41" s="524" t="e">
        <f>$AB$32 + IF($B$2="mil",1,0.0254)*DDR2Specs!$E$9</f>
        <v>#REF!</v>
      </c>
      <c r="AB41" s="524" t="e">
        <f>$AA$32 + IF($B$2="mil",1,0.0254)*DDR2Specs!$F$9</f>
        <v>#REF!</v>
      </c>
      <c r="AC41" s="546" t="e">
        <f t="shared" si="14"/>
        <v>#REF!</v>
      </c>
      <c r="AD41" s="547" t="e">
        <f t="shared" si="15"/>
        <v>#REF!</v>
      </c>
      <c r="AE41" s="527" t="e">
        <f t="shared" si="24"/>
        <v>#REF!</v>
      </c>
      <c r="AF41" s="528" t="e">
        <f t="shared" si="16"/>
        <v>#REF!</v>
      </c>
      <c r="AG41" s="528" t="e">
        <f t="shared" si="17"/>
        <v>#REF!</v>
      </c>
      <c r="AH41" s="528" t="e">
        <f t="shared" ca="1" si="25"/>
        <v>#NAME?</v>
      </c>
      <c r="AI41" s="528" t="e">
        <f t="shared" si="26"/>
        <v>#REF!</v>
      </c>
      <c r="AJ41" s="528" t="e">
        <f t="shared" si="27"/>
        <v>#REF!</v>
      </c>
      <c r="AK41" s="528" t="e">
        <f t="shared" si="18"/>
        <v>#REF!</v>
      </c>
      <c r="AL41" s="528" t="e">
        <f t="shared" si="28"/>
        <v>#REF!</v>
      </c>
      <c r="AM41" s="528" t="e">
        <f t="shared" si="19"/>
        <v>#REF!</v>
      </c>
      <c r="AN41" s="528" t="e">
        <f t="shared" ca="1" si="29"/>
        <v>#NAME?</v>
      </c>
      <c r="AO41" s="528" t="e">
        <f t="shared" ca="1" si="30"/>
        <v>#NAME?</v>
      </c>
      <c r="AP41" s="528" t="e">
        <f t="shared" si="31"/>
        <v>#REF!</v>
      </c>
      <c r="AQ41" s="528" t="e">
        <f t="shared" si="32"/>
        <v>#REF!</v>
      </c>
      <c r="AR41" s="528" t="e">
        <f t="shared" si="33"/>
        <v>#REF!</v>
      </c>
      <c r="AS41" s="529" t="e">
        <f t="shared" si="34"/>
        <v>#REF!</v>
      </c>
      <c r="AT41" s="162" t="e">
        <f t="shared" ca="1" si="35"/>
        <v>#REF!</v>
      </c>
    </row>
    <row r="42" spans="1:47" s="162" customFormat="1">
      <c r="A42" s="240" t="s">
        <v>47</v>
      </c>
      <c r="B42" s="481" t="s">
        <v>448</v>
      </c>
      <c r="C42" s="635">
        <v>529.40944881889766</v>
      </c>
      <c r="D42" s="188"/>
      <c r="E42" s="622">
        <v>22.63</v>
      </c>
      <c r="F42" s="622">
        <v>0</v>
      </c>
      <c r="G42" s="622">
        <v>1917.62</v>
      </c>
      <c r="H42" s="333"/>
      <c r="I42" s="335"/>
      <c r="J42" s="334">
        <v>0</v>
      </c>
      <c r="K42" s="622">
        <v>56.64</v>
      </c>
      <c r="L42" s="336"/>
      <c r="M42" s="623">
        <v>1500.61</v>
      </c>
      <c r="N42" s="623">
        <v>469.11</v>
      </c>
      <c r="O42" s="238"/>
      <c r="P42" s="623">
        <v>653.82000000000005</v>
      </c>
      <c r="Q42" s="623">
        <v>255.28</v>
      </c>
      <c r="R42" s="623">
        <v>284.73</v>
      </c>
      <c r="S42" s="545">
        <f t="shared" si="20"/>
        <v>4819.07</v>
      </c>
      <c r="T42" s="524" t="e">
        <f t="shared" si="21"/>
        <v>#REF!</v>
      </c>
      <c r="U42" s="524" t="e">
        <f>$V$32 + IF($B$2="mil",1,0.0254)*DDR2Specs!$E$9</f>
        <v>#REF!</v>
      </c>
      <c r="V42" s="547" t="e">
        <f>$U$32 + IF($B$2="mil",1,0.0254)*DDR2Specs!$F$9</f>
        <v>#REF!</v>
      </c>
      <c r="W42" s="546" t="e">
        <f t="shared" si="12"/>
        <v>#REF!</v>
      </c>
      <c r="X42" s="547" t="e">
        <f t="shared" si="13"/>
        <v>#REF!</v>
      </c>
      <c r="Y42" s="545">
        <f t="shared" si="22"/>
        <v>4848.5200000000004</v>
      </c>
      <c r="Z42" s="524" t="e">
        <f t="shared" si="23"/>
        <v>#REF!</v>
      </c>
      <c r="AA42" s="524" t="e">
        <f>$AB$32 + IF($B$2="mil",1,0.0254)*DDR2Specs!$E$9</f>
        <v>#REF!</v>
      </c>
      <c r="AB42" s="524" t="e">
        <f>$AA$32 + IF($B$2="mil",1,0.0254)*DDR2Specs!$F$9</f>
        <v>#REF!</v>
      </c>
      <c r="AC42" s="546" t="e">
        <f t="shared" si="14"/>
        <v>#REF!</v>
      </c>
      <c r="AD42" s="547" t="e">
        <f t="shared" si="15"/>
        <v>#REF!</v>
      </c>
      <c r="AE42" s="527" t="e">
        <f t="shared" si="24"/>
        <v>#REF!</v>
      </c>
      <c r="AF42" s="528" t="e">
        <f t="shared" si="16"/>
        <v>#REF!</v>
      </c>
      <c r="AG42" s="528" t="e">
        <f t="shared" si="17"/>
        <v>#REF!</v>
      </c>
      <c r="AH42" s="528" t="e">
        <f t="shared" ca="1" si="25"/>
        <v>#NAME?</v>
      </c>
      <c r="AI42" s="528" t="e">
        <f t="shared" si="26"/>
        <v>#REF!</v>
      </c>
      <c r="AJ42" s="528" t="e">
        <f t="shared" si="27"/>
        <v>#REF!</v>
      </c>
      <c r="AK42" s="528" t="e">
        <f t="shared" si="18"/>
        <v>#REF!</v>
      </c>
      <c r="AL42" s="528" t="e">
        <f t="shared" si="28"/>
        <v>#REF!</v>
      </c>
      <c r="AM42" s="528" t="e">
        <f t="shared" si="19"/>
        <v>#REF!</v>
      </c>
      <c r="AN42" s="528" t="e">
        <f t="shared" ca="1" si="29"/>
        <v>#NAME?</v>
      </c>
      <c r="AO42" s="528" t="e">
        <f t="shared" ca="1" si="30"/>
        <v>#NAME?</v>
      </c>
      <c r="AP42" s="528" t="e">
        <f t="shared" si="31"/>
        <v>#REF!</v>
      </c>
      <c r="AQ42" s="528" t="e">
        <f t="shared" si="32"/>
        <v>#REF!</v>
      </c>
      <c r="AR42" s="528" t="e">
        <f t="shared" si="33"/>
        <v>#REF!</v>
      </c>
      <c r="AS42" s="529" t="e">
        <f t="shared" si="34"/>
        <v>#REF!</v>
      </c>
      <c r="AT42" s="162" t="e">
        <f t="shared" ca="1" si="35"/>
        <v>#REF!</v>
      </c>
    </row>
    <row r="43" spans="1:47" s="162" customFormat="1">
      <c r="A43" s="240" t="s">
        <v>48</v>
      </c>
      <c r="B43" s="480" t="s">
        <v>449</v>
      </c>
      <c r="C43" s="635">
        <v>442.40157480314963</v>
      </c>
      <c r="D43" s="188"/>
      <c r="E43" s="622">
        <v>22.63</v>
      </c>
      <c r="F43" s="622">
        <v>0</v>
      </c>
      <c r="G43" s="622">
        <v>1971.45</v>
      </c>
      <c r="H43" s="333"/>
      <c r="I43" s="335"/>
      <c r="J43" s="334">
        <v>0</v>
      </c>
      <c r="K43" s="622">
        <v>63.71</v>
      </c>
      <c r="L43" s="336"/>
      <c r="M43" s="623">
        <v>1585.37</v>
      </c>
      <c r="N43" s="623">
        <v>482.58</v>
      </c>
      <c r="O43" s="238"/>
      <c r="P43" s="623">
        <v>647.4</v>
      </c>
      <c r="Q43" s="623">
        <v>159.66999999999999</v>
      </c>
      <c r="R43" s="623">
        <v>221.46</v>
      </c>
      <c r="S43" s="545">
        <f t="shared" si="20"/>
        <v>4869.0999999999995</v>
      </c>
      <c r="T43" s="524" t="e">
        <f t="shared" si="21"/>
        <v>#REF!</v>
      </c>
      <c r="U43" s="524" t="e">
        <f>$V$32 + IF($B$2="mil",1,0.0254)*DDR2Specs!$E$9</f>
        <v>#REF!</v>
      </c>
      <c r="V43" s="547" t="e">
        <f>$U$32 + IF($B$2="mil",1,0.0254)*DDR2Specs!$F$9</f>
        <v>#REF!</v>
      </c>
      <c r="W43" s="546" t="e">
        <f t="shared" si="12"/>
        <v>#REF!</v>
      </c>
      <c r="X43" s="547" t="e">
        <f t="shared" si="13"/>
        <v>#REF!</v>
      </c>
      <c r="Y43" s="545">
        <f t="shared" si="22"/>
        <v>4930.8899999999994</v>
      </c>
      <c r="Z43" s="524" t="e">
        <f t="shared" si="23"/>
        <v>#REF!</v>
      </c>
      <c r="AA43" s="524" t="e">
        <f>$AB$32 + IF($B$2="mil",1,0.0254)*DDR2Specs!$E$9</f>
        <v>#REF!</v>
      </c>
      <c r="AB43" s="524" t="e">
        <f>$AA$32 + IF($B$2="mil",1,0.0254)*DDR2Specs!$F$9</f>
        <v>#REF!</v>
      </c>
      <c r="AC43" s="546" t="e">
        <f t="shared" si="14"/>
        <v>#REF!</v>
      </c>
      <c r="AD43" s="547" t="e">
        <f t="shared" si="15"/>
        <v>#REF!</v>
      </c>
      <c r="AE43" s="527" t="e">
        <f t="shared" si="24"/>
        <v>#REF!</v>
      </c>
      <c r="AF43" s="528" t="e">
        <f t="shared" si="16"/>
        <v>#REF!</v>
      </c>
      <c r="AG43" s="528" t="e">
        <f t="shared" si="17"/>
        <v>#REF!</v>
      </c>
      <c r="AH43" s="528" t="e">
        <f t="shared" ca="1" si="25"/>
        <v>#NAME?</v>
      </c>
      <c r="AI43" s="528" t="e">
        <f t="shared" si="26"/>
        <v>#REF!</v>
      </c>
      <c r="AJ43" s="528" t="e">
        <f t="shared" si="27"/>
        <v>#REF!</v>
      </c>
      <c r="AK43" s="528" t="e">
        <f t="shared" si="18"/>
        <v>#REF!</v>
      </c>
      <c r="AL43" s="528" t="e">
        <f t="shared" si="28"/>
        <v>#REF!</v>
      </c>
      <c r="AM43" s="528" t="e">
        <f t="shared" si="19"/>
        <v>#REF!</v>
      </c>
      <c r="AN43" s="528" t="e">
        <f t="shared" ca="1" si="29"/>
        <v>#NAME?</v>
      </c>
      <c r="AO43" s="528" t="e">
        <f t="shared" ca="1" si="30"/>
        <v>#NAME?</v>
      </c>
      <c r="AP43" s="528" t="e">
        <f t="shared" si="31"/>
        <v>#REF!</v>
      </c>
      <c r="AQ43" s="528" t="e">
        <f t="shared" si="32"/>
        <v>#REF!</v>
      </c>
      <c r="AR43" s="528" t="e">
        <f t="shared" si="33"/>
        <v>#REF!</v>
      </c>
      <c r="AS43" s="529" t="e">
        <f t="shared" si="34"/>
        <v>#REF!</v>
      </c>
      <c r="AT43" s="162" t="e">
        <f t="shared" ca="1" si="35"/>
        <v>#REF!</v>
      </c>
    </row>
    <row r="44" spans="1:47" s="162" customFormat="1">
      <c r="A44" s="240" t="s">
        <v>50</v>
      </c>
      <c r="B44" s="480" t="s">
        <v>450</v>
      </c>
      <c r="C44" s="635">
        <v>397.71653543307087</v>
      </c>
      <c r="D44" s="188"/>
      <c r="E44" s="622">
        <v>22.63</v>
      </c>
      <c r="F44" s="622">
        <v>0</v>
      </c>
      <c r="G44" s="622">
        <v>2381.19</v>
      </c>
      <c r="H44" s="333"/>
      <c r="I44" s="335"/>
      <c r="J44" s="334">
        <v>0</v>
      </c>
      <c r="K44" s="622">
        <v>36.64</v>
      </c>
      <c r="L44" s="336"/>
      <c r="M44" s="623">
        <v>1329.43</v>
      </c>
      <c r="N44" s="623">
        <v>522.86</v>
      </c>
      <c r="O44" s="238"/>
      <c r="P44" s="623">
        <v>681.36</v>
      </c>
      <c r="Q44" s="623">
        <v>151.82</v>
      </c>
      <c r="R44" s="623">
        <v>210.58</v>
      </c>
      <c r="S44" s="545">
        <f t="shared" si="20"/>
        <v>5089.2899999999991</v>
      </c>
      <c r="T44" s="524" t="e">
        <f t="shared" si="21"/>
        <v>#REF!</v>
      </c>
      <c r="U44" s="524" t="e">
        <f>$V$32 + IF($B$2="mil",1,0.0254)*DDR2Specs!$E$9</f>
        <v>#REF!</v>
      </c>
      <c r="V44" s="547" t="e">
        <f>$U$32 + IF($B$2="mil",1,0.0254)*DDR2Specs!$F$9</f>
        <v>#REF!</v>
      </c>
      <c r="W44" s="546" t="e">
        <f t="shared" si="12"/>
        <v>#REF!</v>
      </c>
      <c r="X44" s="547" t="e">
        <f t="shared" si="13"/>
        <v>#REF!</v>
      </c>
      <c r="Y44" s="545">
        <f t="shared" si="22"/>
        <v>5148.0499999999993</v>
      </c>
      <c r="Z44" s="524" t="e">
        <f t="shared" si="23"/>
        <v>#REF!</v>
      </c>
      <c r="AA44" s="524" t="e">
        <f>$AB$32 + IF($B$2="mil",1,0.0254)*DDR2Specs!$E$9</f>
        <v>#REF!</v>
      </c>
      <c r="AB44" s="524" t="e">
        <f>$AA$32 + IF($B$2="mil",1,0.0254)*DDR2Specs!$F$9</f>
        <v>#REF!</v>
      </c>
      <c r="AC44" s="546" t="e">
        <f t="shared" si="14"/>
        <v>#REF!</v>
      </c>
      <c r="AD44" s="547" t="e">
        <f t="shared" si="15"/>
        <v>#REF!</v>
      </c>
      <c r="AE44" s="527" t="e">
        <f t="shared" si="24"/>
        <v>#REF!</v>
      </c>
      <c r="AF44" s="528" t="e">
        <f t="shared" si="16"/>
        <v>#REF!</v>
      </c>
      <c r="AG44" s="528" t="e">
        <f t="shared" si="17"/>
        <v>#REF!</v>
      </c>
      <c r="AH44" s="528" t="e">
        <f t="shared" ca="1" si="25"/>
        <v>#NAME?</v>
      </c>
      <c r="AI44" s="528" t="e">
        <f t="shared" si="26"/>
        <v>#REF!</v>
      </c>
      <c r="AJ44" s="528" t="e">
        <f t="shared" si="27"/>
        <v>#REF!</v>
      </c>
      <c r="AK44" s="528" t="e">
        <f t="shared" si="18"/>
        <v>#REF!</v>
      </c>
      <c r="AL44" s="528" t="e">
        <f t="shared" si="28"/>
        <v>#REF!</v>
      </c>
      <c r="AM44" s="528" t="e">
        <f t="shared" si="19"/>
        <v>#REF!</v>
      </c>
      <c r="AN44" s="528" t="e">
        <f t="shared" ca="1" si="29"/>
        <v>#NAME?</v>
      </c>
      <c r="AO44" s="528" t="e">
        <f t="shared" ca="1" si="30"/>
        <v>#NAME?</v>
      </c>
      <c r="AP44" s="528" t="e">
        <f t="shared" si="31"/>
        <v>#REF!</v>
      </c>
      <c r="AQ44" s="528" t="e">
        <f t="shared" si="32"/>
        <v>#REF!</v>
      </c>
      <c r="AR44" s="528" t="e">
        <f t="shared" si="33"/>
        <v>#REF!</v>
      </c>
      <c r="AS44" s="529" t="e">
        <f t="shared" si="34"/>
        <v>#REF!</v>
      </c>
      <c r="AT44" s="162" t="e">
        <f t="shared" ca="1" si="35"/>
        <v>#REF!</v>
      </c>
    </row>
    <row r="45" spans="1:47" s="162" customFormat="1">
      <c r="A45" s="240" t="s">
        <v>51</v>
      </c>
      <c r="B45" s="480" t="s">
        <v>451</v>
      </c>
      <c r="C45" s="635">
        <v>543.54330708661416</v>
      </c>
      <c r="D45" s="188"/>
      <c r="E45" s="622">
        <v>22.63</v>
      </c>
      <c r="F45" s="622">
        <v>0</v>
      </c>
      <c r="G45" s="622">
        <v>2063.87</v>
      </c>
      <c r="H45" s="333"/>
      <c r="I45" s="335"/>
      <c r="J45" s="334">
        <v>0</v>
      </c>
      <c r="K45" s="622">
        <v>32.5</v>
      </c>
      <c r="L45" s="336"/>
      <c r="M45" s="623">
        <v>1373.98</v>
      </c>
      <c r="N45" s="623">
        <v>543.11</v>
      </c>
      <c r="O45" s="238"/>
      <c r="P45" s="623">
        <v>652.37</v>
      </c>
      <c r="Q45" s="623">
        <v>157.78</v>
      </c>
      <c r="R45" s="623">
        <v>181.24</v>
      </c>
      <c r="S45" s="545">
        <f t="shared" si="20"/>
        <v>4813.74</v>
      </c>
      <c r="T45" s="524" t="e">
        <f t="shared" si="21"/>
        <v>#REF!</v>
      </c>
      <c r="U45" s="524" t="e">
        <f>$V$32 + IF($B$2="mil",1,0.0254)*DDR2Specs!$E$9</f>
        <v>#REF!</v>
      </c>
      <c r="V45" s="547" t="e">
        <f>$U$32 + IF($B$2="mil",1,0.0254)*DDR2Specs!$F$9</f>
        <v>#REF!</v>
      </c>
      <c r="W45" s="546" t="e">
        <f t="shared" si="12"/>
        <v>#REF!</v>
      </c>
      <c r="X45" s="547" t="e">
        <f t="shared" si="13"/>
        <v>#REF!</v>
      </c>
      <c r="Y45" s="545">
        <f t="shared" si="22"/>
        <v>4837.2</v>
      </c>
      <c r="Z45" s="524" t="e">
        <f t="shared" si="23"/>
        <v>#REF!</v>
      </c>
      <c r="AA45" s="524" t="e">
        <f>$AB$32 + IF($B$2="mil",1,0.0254)*DDR2Specs!$E$9</f>
        <v>#REF!</v>
      </c>
      <c r="AB45" s="524" t="e">
        <f>$AA$32 + IF($B$2="mil",1,0.0254)*DDR2Specs!$F$9</f>
        <v>#REF!</v>
      </c>
      <c r="AC45" s="546" t="e">
        <f t="shared" si="14"/>
        <v>#REF!</v>
      </c>
      <c r="AD45" s="547" t="e">
        <f t="shared" si="15"/>
        <v>#REF!</v>
      </c>
      <c r="AE45" s="527" t="e">
        <f t="shared" si="24"/>
        <v>#REF!</v>
      </c>
      <c r="AF45" s="528" t="e">
        <f t="shared" si="16"/>
        <v>#REF!</v>
      </c>
      <c r="AG45" s="528" t="e">
        <f t="shared" si="17"/>
        <v>#REF!</v>
      </c>
      <c r="AH45" s="528" t="e">
        <f t="shared" ca="1" si="25"/>
        <v>#NAME?</v>
      </c>
      <c r="AI45" s="528" t="e">
        <f t="shared" si="26"/>
        <v>#REF!</v>
      </c>
      <c r="AJ45" s="528" t="e">
        <f t="shared" si="27"/>
        <v>#REF!</v>
      </c>
      <c r="AK45" s="528" t="e">
        <f t="shared" si="18"/>
        <v>#REF!</v>
      </c>
      <c r="AL45" s="528" t="e">
        <f t="shared" si="28"/>
        <v>#REF!</v>
      </c>
      <c r="AM45" s="528" t="e">
        <f t="shared" si="19"/>
        <v>#REF!</v>
      </c>
      <c r="AN45" s="528" t="e">
        <f t="shared" ca="1" si="29"/>
        <v>#NAME?</v>
      </c>
      <c r="AO45" s="528" t="e">
        <f t="shared" ca="1" si="30"/>
        <v>#NAME?</v>
      </c>
      <c r="AP45" s="528" t="e">
        <f t="shared" si="31"/>
        <v>#REF!</v>
      </c>
      <c r="AQ45" s="528" t="e">
        <f t="shared" si="32"/>
        <v>#REF!</v>
      </c>
      <c r="AR45" s="528" t="e">
        <f t="shared" si="33"/>
        <v>#REF!</v>
      </c>
      <c r="AS45" s="529" t="e">
        <f t="shared" si="34"/>
        <v>#REF!</v>
      </c>
      <c r="AT45" s="162" t="e">
        <f t="shared" ca="1" si="35"/>
        <v>#REF!</v>
      </c>
    </row>
    <row r="46" spans="1:47" s="162" customFormat="1">
      <c r="A46" s="240" t="s">
        <v>52</v>
      </c>
      <c r="B46" s="480" t="s">
        <v>452</v>
      </c>
      <c r="C46" s="635">
        <v>492.79527559055117</v>
      </c>
      <c r="D46" s="188"/>
      <c r="E46" s="622">
        <v>22.63</v>
      </c>
      <c r="F46" s="622">
        <v>0</v>
      </c>
      <c r="G46" s="622">
        <v>2110.69</v>
      </c>
      <c r="H46" s="333"/>
      <c r="I46" s="335"/>
      <c r="J46" s="334">
        <v>0</v>
      </c>
      <c r="K46" s="622">
        <v>84.57</v>
      </c>
      <c r="L46" s="336"/>
      <c r="M46" s="623">
        <v>1682.43</v>
      </c>
      <c r="N46" s="623">
        <v>576.96</v>
      </c>
      <c r="O46" s="238"/>
      <c r="P46" s="623">
        <v>656.89</v>
      </c>
      <c r="Q46" s="623">
        <v>170.19</v>
      </c>
      <c r="R46" s="623">
        <v>237.45</v>
      </c>
      <c r="S46" s="545">
        <f t="shared" si="20"/>
        <v>5219.79</v>
      </c>
      <c r="T46" s="524" t="e">
        <f t="shared" si="21"/>
        <v>#REF!</v>
      </c>
      <c r="U46" s="524" t="e">
        <f>$V$32 + IF($B$2="mil",1,0.0254)*DDR2Specs!$E$9</f>
        <v>#REF!</v>
      </c>
      <c r="V46" s="547" t="e">
        <f>$U$32 + IF($B$2="mil",1,0.0254)*DDR2Specs!$F$9</f>
        <v>#REF!</v>
      </c>
      <c r="W46" s="546" t="e">
        <f t="shared" si="12"/>
        <v>#REF!</v>
      </c>
      <c r="X46" s="547" t="e">
        <f t="shared" si="13"/>
        <v>#REF!</v>
      </c>
      <c r="Y46" s="545">
        <f t="shared" si="22"/>
        <v>5287.05</v>
      </c>
      <c r="Z46" s="524" t="e">
        <f t="shared" si="23"/>
        <v>#REF!</v>
      </c>
      <c r="AA46" s="524" t="e">
        <f>$AB$32 + IF($B$2="mil",1,0.0254)*DDR2Specs!$E$9</f>
        <v>#REF!</v>
      </c>
      <c r="AB46" s="524" t="e">
        <f>$AA$32 + IF($B$2="mil",1,0.0254)*DDR2Specs!$F$9</f>
        <v>#REF!</v>
      </c>
      <c r="AC46" s="546" t="e">
        <f t="shared" si="14"/>
        <v>#REF!</v>
      </c>
      <c r="AD46" s="547" t="e">
        <f t="shared" si="15"/>
        <v>#REF!</v>
      </c>
      <c r="AE46" s="527" t="e">
        <f t="shared" si="24"/>
        <v>#REF!</v>
      </c>
      <c r="AF46" s="528" t="e">
        <f t="shared" si="16"/>
        <v>#REF!</v>
      </c>
      <c r="AG46" s="528" t="e">
        <f t="shared" si="17"/>
        <v>#REF!</v>
      </c>
      <c r="AH46" s="528" t="e">
        <f t="shared" ca="1" si="25"/>
        <v>#NAME?</v>
      </c>
      <c r="AI46" s="528" t="e">
        <f t="shared" si="26"/>
        <v>#REF!</v>
      </c>
      <c r="AJ46" s="528" t="e">
        <f t="shared" si="27"/>
        <v>#REF!</v>
      </c>
      <c r="AK46" s="528" t="e">
        <f t="shared" si="18"/>
        <v>#REF!</v>
      </c>
      <c r="AL46" s="528" t="e">
        <f t="shared" si="28"/>
        <v>#REF!</v>
      </c>
      <c r="AM46" s="528" t="e">
        <f t="shared" si="19"/>
        <v>#REF!</v>
      </c>
      <c r="AN46" s="528" t="e">
        <f t="shared" ca="1" si="29"/>
        <v>#NAME?</v>
      </c>
      <c r="AO46" s="528" t="e">
        <f t="shared" ca="1" si="30"/>
        <v>#NAME?</v>
      </c>
      <c r="AP46" s="528" t="e">
        <f t="shared" si="31"/>
        <v>#REF!</v>
      </c>
      <c r="AQ46" s="528" t="e">
        <f t="shared" si="32"/>
        <v>#REF!</v>
      </c>
      <c r="AR46" s="528" t="e">
        <f t="shared" si="33"/>
        <v>#REF!</v>
      </c>
      <c r="AS46" s="529" t="e">
        <f t="shared" si="34"/>
        <v>#REF!</v>
      </c>
      <c r="AT46" s="162" t="e">
        <f t="shared" ca="1" si="35"/>
        <v>#REF!</v>
      </c>
    </row>
    <row r="47" spans="1:47" s="162" customFormat="1">
      <c r="A47" s="240" t="s">
        <v>53</v>
      </c>
      <c r="B47" s="480" t="s">
        <v>332</v>
      </c>
      <c r="C47" s="635">
        <v>514.48818897637796</v>
      </c>
      <c r="D47" s="188"/>
      <c r="E47" s="622">
        <v>22.63</v>
      </c>
      <c r="F47" s="622">
        <v>0</v>
      </c>
      <c r="G47" s="622">
        <v>2153.7399999999998</v>
      </c>
      <c r="H47" s="333"/>
      <c r="I47" s="335"/>
      <c r="J47" s="334">
        <v>0</v>
      </c>
      <c r="K47" s="622">
        <v>40.78</v>
      </c>
      <c r="L47" s="336"/>
      <c r="M47" s="623">
        <v>1425.4</v>
      </c>
      <c r="N47" s="623">
        <v>504.28</v>
      </c>
      <c r="O47" s="238"/>
      <c r="P47" s="623">
        <v>651.33000000000004</v>
      </c>
      <c r="Q47" s="623">
        <v>169.13</v>
      </c>
      <c r="R47" s="623">
        <v>198.17</v>
      </c>
      <c r="S47" s="545">
        <f t="shared" si="20"/>
        <v>4926.51</v>
      </c>
      <c r="T47" s="524" t="e">
        <f t="shared" si="21"/>
        <v>#REF!</v>
      </c>
      <c r="U47" s="524" t="e">
        <f>$V$32 + IF($B$2="mil",1,0.0254)*DDR2Specs!$E$9</f>
        <v>#REF!</v>
      </c>
      <c r="V47" s="547" t="e">
        <f>$U$32 + IF($B$2="mil",1,0.0254)*DDR2Specs!$F$9</f>
        <v>#REF!</v>
      </c>
      <c r="W47" s="546" t="e">
        <f t="shared" si="12"/>
        <v>#REF!</v>
      </c>
      <c r="X47" s="547" t="e">
        <f t="shared" si="13"/>
        <v>#REF!</v>
      </c>
      <c r="Y47" s="545">
        <f t="shared" si="22"/>
        <v>4955.55</v>
      </c>
      <c r="Z47" s="524" t="e">
        <f t="shared" si="23"/>
        <v>#REF!</v>
      </c>
      <c r="AA47" s="524" t="e">
        <f>$AB$32 + IF($B$2="mil",1,0.0254)*DDR2Specs!$E$9</f>
        <v>#REF!</v>
      </c>
      <c r="AB47" s="524" t="e">
        <f>$AA$32 + IF($B$2="mil",1,0.0254)*DDR2Specs!$F$9</f>
        <v>#REF!</v>
      </c>
      <c r="AC47" s="546" t="e">
        <f t="shared" si="14"/>
        <v>#REF!</v>
      </c>
      <c r="AD47" s="547" t="e">
        <f t="shared" si="15"/>
        <v>#REF!</v>
      </c>
      <c r="AE47" s="527" t="e">
        <f t="shared" si="24"/>
        <v>#REF!</v>
      </c>
      <c r="AF47" s="528" t="e">
        <f t="shared" si="16"/>
        <v>#REF!</v>
      </c>
      <c r="AG47" s="528" t="e">
        <f t="shared" si="17"/>
        <v>#REF!</v>
      </c>
      <c r="AH47" s="528" t="e">
        <f t="shared" ca="1" si="25"/>
        <v>#NAME?</v>
      </c>
      <c r="AI47" s="528" t="e">
        <f t="shared" si="26"/>
        <v>#REF!</v>
      </c>
      <c r="AJ47" s="528" t="e">
        <f t="shared" si="27"/>
        <v>#REF!</v>
      </c>
      <c r="AK47" s="528" t="e">
        <f t="shared" si="18"/>
        <v>#REF!</v>
      </c>
      <c r="AL47" s="528" t="e">
        <f t="shared" si="28"/>
        <v>#REF!</v>
      </c>
      <c r="AM47" s="528" t="e">
        <f t="shared" si="19"/>
        <v>#REF!</v>
      </c>
      <c r="AN47" s="528" t="e">
        <f t="shared" ca="1" si="29"/>
        <v>#NAME?</v>
      </c>
      <c r="AO47" s="528" t="e">
        <f t="shared" ca="1" si="30"/>
        <v>#NAME?</v>
      </c>
      <c r="AP47" s="528" t="e">
        <f t="shared" si="31"/>
        <v>#REF!</v>
      </c>
      <c r="AQ47" s="528" t="e">
        <f t="shared" si="32"/>
        <v>#REF!</v>
      </c>
      <c r="AR47" s="528" t="e">
        <f t="shared" si="33"/>
        <v>#REF!</v>
      </c>
      <c r="AS47" s="529" t="e">
        <f t="shared" si="34"/>
        <v>#REF!</v>
      </c>
      <c r="AT47" s="162" t="e">
        <f t="shared" ca="1" si="35"/>
        <v>#REF!</v>
      </c>
    </row>
    <row r="48" spans="1:47" s="213" customFormat="1" ht="11.25">
      <c r="A48" s="205" t="s">
        <v>230</v>
      </c>
      <c r="B48" s="205"/>
      <c r="C48" s="639"/>
      <c r="D48" s="179"/>
      <c r="E48" s="155"/>
      <c r="F48" s="206"/>
      <c r="G48" s="338"/>
      <c r="H48" s="338"/>
      <c r="I48" s="339"/>
      <c r="J48" s="338"/>
      <c r="K48" s="338"/>
      <c r="L48" s="338"/>
      <c r="M48" s="338"/>
      <c r="N48" s="338"/>
      <c r="O48" s="183"/>
      <c r="P48" s="627"/>
      <c r="Q48" s="627"/>
      <c r="R48" s="627"/>
      <c r="S48" s="207"/>
      <c r="T48" s="207"/>
      <c r="U48" s="207"/>
      <c r="V48" s="571"/>
      <c r="W48" s="430"/>
      <c r="X48" s="430"/>
      <c r="Y48" s="430"/>
      <c r="Z48" s="430"/>
      <c r="AA48" s="430"/>
      <c r="AB48" s="430"/>
      <c r="AC48" s="430"/>
      <c r="AD48" s="430"/>
      <c r="AE48" s="430"/>
      <c r="AF48" s="548"/>
      <c r="AG48" s="179"/>
      <c r="AH48" s="179"/>
      <c r="AI48" s="179"/>
      <c r="AJ48" s="179"/>
      <c r="AK48" s="179"/>
      <c r="AL48" s="179"/>
      <c r="AM48" s="179"/>
      <c r="AN48" s="179"/>
      <c r="AO48" s="179"/>
      <c r="AP48" s="179"/>
      <c r="AQ48" s="430"/>
      <c r="AR48" s="179"/>
      <c r="AS48" s="562"/>
    </row>
    <row r="49" spans="1:47" s="162" customFormat="1">
      <c r="A49" s="185" t="s">
        <v>54</v>
      </c>
      <c r="B49" s="480" t="s">
        <v>453</v>
      </c>
      <c r="C49" s="635">
        <v>428.58267716535431</v>
      </c>
      <c r="D49" s="188"/>
      <c r="E49" s="622">
        <v>22.63</v>
      </c>
      <c r="F49" s="622">
        <v>0</v>
      </c>
      <c r="G49" s="622">
        <v>2396.7800000000002</v>
      </c>
      <c r="H49" s="341"/>
      <c r="I49" s="335"/>
      <c r="J49" s="341">
        <v>0</v>
      </c>
      <c r="K49" s="623">
        <v>53.71</v>
      </c>
      <c r="L49" s="336"/>
      <c r="M49" s="623">
        <v>1284.8900000000001</v>
      </c>
      <c r="N49" s="623">
        <v>495.02</v>
      </c>
      <c r="O49" s="238"/>
      <c r="P49" s="623">
        <v>683.57</v>
      </c>
      <c r="Q49" s="623">
        <v>98.19</v>
      </c>
      <c r="R49" s="623">
        <v>148.94999999999999</v>
      </c>
      <c r="S49" s="545">
        <f t="shared" si="20"/>
        <v>4981.079999999999</v>
      </c>
      <c r="T49" s="524" t="e">
        <f t="shared" si="21"/>
        <v>#REF!</v>
      </c>
      <c r="U49" s="524" t="e">
        <f>$V$32 + IF($B$2="mil",1,0.0254)*DDR2Specs!$E$9</f>
        <v>#REF!</v>
      </c>
      <c r="V49" s="547" t="e">
        <f>$U$32 + IF($B$2="mil",1,0.0254)*DDR2Specs!$F$9</f>
        <v>#REF!</v>
      </c>
      <c r="W49" s="546" t="e">
        <f>IF($T49&lt;$U49,$U49-$T49,"Pass")</f>
        <v>#REF!</v>
      </c>
      <c r="X49" s="547" t="e">
        <f>IF($T49&gt;$V49,$T49-$V49,"Pass")</f>
        <v>#REF!</v>
      </c>
      <c r="Y49" s="545">
        <f t="shared" si="22"/>
        <v>5031.8399999999992</v>
      </c>
      <c r="Z49" s="524" t="e">
        <f t="shared" si="23"/>
        <v>#REF!</v>
      </c>
      <c r="AA49" s="524" t="e">
        <f>$AB$32 + IF($B$2="mil",1,0.0254)*DDR2Specs!$E$9</f>
        <v>#REF!</v>
      </c>
      <c r="AB49" s="524" t="e">
        <f>$AA$32 + IF($B$2="mil",1,0.0254)*DDR2Specs!$F$9</f>
        <v>#REF!</v>
      </c>
      <c r="AC49" s="546" t="e">
        <f>IF($Z49&lt;$AA49,$AA49-$Z49,"Pass")</f>
        <v>#REF!</v>
      </c>
      <c r="AD49" s="547" t="e">
        <f>IF($Z49&gt;$AB49,$Z49-$AB49,"Pass")</f>
        <v>#REF!</v>
      </c>
      <c r="AE49" s="527" t="e">
        <f>IF($E49&lt;=IF($B$2="mil",1,0.0254)*50,"Pass",IF($B$2="mil",1,0.0254)*50-$E49)</f>
        <v>#REF!</v>
      </c>
      <c r="AF49" s="528" t="e">
        <f>IF($F49&lt;=IF($B$2="mil",1,0.0254)*500,"Pass",IF($B$2="mil",1,0.0254)*500-$F49)</f>
        <v>#REF!</v>
      </c>
      <c r="AG49" s="528" t="e">
        <f>IF($J49&lt;=IF($B$2="mil",1,0.0254)*1000,"Pass",IF($B$2="mil",1,0.0254)*1000-$J49)</f>
        <v>#REF!</v>
      </c>
      <c r="AH49" s="528" t="e">
        <f ca="1">CheckLength2(1200,J49,K49,0)</f>
        <v>#NAME?</v>
      </c>
      <c r="AI49" s="528" t="e">
        <f>IF(M49&lt;=IF($B$2="mil",1,0.0254)*2000,"Pass",IF($B$2="mil",1,0.0254)*2000-M49)</f>
        <v>#REF!</v>
      </c>
      <c r="AJ49" s="528" t="e">
        <f>IF(N49&lt;=IF($B$2="mil",1,0.0254)*1000,"Pass",IF($B$2="mil",1,0.0254)*1000-N49)</f>
        <v>#REF!</v>
      </c>
      <c r="AK49" s="528" t="e">
        <f>IF(MAX(N49,P101)-MIN(N49,P101)&lt;=IF($B$2="mil",1,0.0254)*50,"Pass",MAX(N49,P101)-MIN(N49,P101)-IF($B$2="mil",1,0.0254)*50)</f>
        <v>#REF!</v>
      </c>
      <c r="AL49" s="528" t="e">
        <f>IF($P49&lt;=IF($B$2="mil",1,0.0254)*1000,"Pass",IF($B$2="mil",1,0.0254)*1000-$P49)</f>
        <v>#REF!</v>
      </c>
      <c r="AM49" s="528" t="e">
        <f>IF(MAX(P49,P127)-MIN(P49,P127)&lt;=IF($B$2="mil",1,0.0254)*50,"Pass",MAX(P49,P127)-MIN(P49,P127)-IF($B$2="mil",1,0.0254)*50)</f>
        <v>#REF!</v>
      </c>
      <c r="AN49" s="528" t="e">
        <f ca="1">CheckLength2(IF($B$2="mil",1,0.0254)*1200,P49,Q49,0)</f>
        <v>#NAME?</v>
      </c>
      <c r="AO49" s="528" t="e">
        <f ca="1">CheckLength2(IF($B$2="mil",1,0.0254)*1200,P49,R49,0)</f>
        <v>#NAME?</v>
      </c>
      <c r="AP49" s="528" t="e">
        <f>IF(AND($S49&gt;=IF($B$2="mil",1,0.0254)*500, $S49&lt;=IF($B$2="mil",1,0.0254)*6500),"Pass",IF($B$2="mil",1,0.0254)*6500-$S49)</f>
        <v>#REF!</v>
      </c>
      <c r="AQ49" s="528" t="e">
        <f>IF(AND($T49&gt;=IF($B$2="mil",1,0.0254)*500, $T49&lt;=IF($B$2="mil",1,0.0254)*7000),"Pass",IF($B$2="mil",1,0.0254)*7000-$T49)</f>
        <v>#REF!</v>
      </c>
      <c r="AR49" s="528" t="e">
        <f>IF(AND($Y49&gt;=IF($B$2="mil",1,0.0254)*500, $Y49&lt;=IF($B$2="mil",1,0.0254)*6500),"Pass",IF($B$2="mil",1,0.0254)*6500-$Y49)</f>
        <v>#REF!</v>
      </c>
      <c r="AS49" s="529" t="e">
        <f>IF(AND($Z49&gt;=IF($B$2="mil",1,0.0254)*500, $Z49&lt;=IF($B$2="mil",1,0.0254)*7000),"Pass",IF($B$2="mil",1,0.0254)*7000-$Z49)</f>
        <v>#REF!</v>
      </c>
      <c r="AT49" s="162" t="e">
        <f t="shared" ca="1" si="35"/>
        <v>#REF!</v>
      </c>
    </row>
    <row r="50" spans="1:47" s="162" customFormat="1">
      <c r="A50" s="241" t="s">
        <v>55</v>
      </c>
      <c r="B50" s="480" t="s">
        <v>366</v>
      </c>
      <c r="C50" s="635">
        <v>331.69291338582678</v>
      </c>
      <c r="D50" s="264"/>
      <c r="E50" s="622">
        <v>22.63</v>
      </c>
      <c r="F50" s="622">
        <v>0</v>
      </c>
      <c r="G50" s="622">
        <v>2100.77</v>
      </c>
      <c r="H50" s="341"/>
      <c r="I50" s="335"/>
      <c r="J50" s="341">
        <v>0</v>
      </c>
      <c r="K50" s="623">
        <v>86.64</v>
      </c>
      <c r="L50" s="336"/>
      <c r="M50" s="623">
        <v>1717.92</v>
      </c>
      <c r="N50" s="623">
        <v>491.61</v>
      </c>
      <c r="O50" s="238"/>
      <c r="P50" s="623">
        <v>709.63</v>
      </c>
      <c r="Q50" s="623">
        <v>70.63</v>
      </c>
      <c r="R50" s="623">
        <v>139.15</v>
      </c>
      <c r="S50" s="545">
        <f t="shared" si="20"/>
        <v>5113.1899999999996</v>
      </c>
      <c r="T50" s="524" t="e">
        <f t="shared" si="21"/>
        <v>#REF!</v>
      </c>
      <c r="U50" s="524" t="e">
        <f>$V$32 + IF($B$2="mil",1,0.0254)*DDR2Specs!$E$9</f>
        <v>#REF!</v>
      </c>
      <c r="V50" s="547" t="e">
        <f>$U$32 + IF($B$2="mil",1,0.0254)*DDR2Specs!$F$9</f>
        <v>#REF!</v>
      </c>
      <c r="W50" s="546" t="e">
        <f>IF($T50&lt;$U50,$U50-$T50,"Pass")</f>
        <v>#REF!</v>
      </c>
      <c r="X50" s="547" t="e">
        <f>IF($T50&gt;$V50,$T50-$V50,"Pass")</f>
        <v>#REF!</v>
      </c>
      <c r="Y50" s="545">
        <f t="shared" si="22"/>
        <v>5181.7099999999991</v>
      </c>
      <c r="Z50" s="524" t="e">
        <f t="shared" si="23"/>
        <v>#REF!</v>
      </c>
      <c r="AA50" s="524" t="e">
        <f>$AB$32 + IF($B$2="mil",1,0.0254)*DDR2Specs!$E$9</f>
        <v>#REF!</v>
      </c>
      <c r="AB50" s="524" t="e">
        <f>$AA$32 + IF($B$2="mil",1,0.0254)*DDR2Specs!$F$9</f>
        <v>#REF!</v>
      </c>
      <c r="AC50" s="546" t="e">
        <f>IF($Z50&lt;$AA50,$AA50-$Z50,"Pass")</f>
        <v>#REF!</v>
      </c>
      <c r="AD50" s="547" t="e">
        <f>IF($Z50&gt;$AB50,$Z50-$AB50,"Pass")</f>
        <v>#REF!</v>
      </c>
      <c r="AE50" s="527" t="e">
        <f>IF($E50&lt;=IF($B$2="mil",1,0.0254)*50,"Pass",IF($B$2="mil",1,0.0254)*50-$E50)</f>
        <v>#REF!</v>
      </c>
      <c r="AF50" s="528" t="e">
        <f>IF($F50&lt;=IF($B$2="mil",1,0.0254)*500,"Pass",IF($B$2="mil",1,0.0254)*500-$F50)</f>
        <v>#REF!</v>
      </c>
      <c r="AG50" s="528" t="e">
        <f>IF($J50&lt;=IF($B$2="mil",1,0.0254)*1000,"Pass",IF($B$2="mil",1,0.0254)*1000-$J50)</f>
        <v>#REF!</v>
      </c>
      <c r="AH50" s="528" t="e">
        <f ca="1">CheckLength2(1200,J50,K50,0)</f>
        <v>#NAME?</v>
      </c>
      <c r="AI50" s="528" t="e">
        <f>IF(M50&lt;=IF($B$2="mil",1,0.0254)*2000,"Pass",IF($B$2="mil",1,0.0254)*2000-M50)</f>
        <v>#REF!</v>
      </c>
      <c r="AJ50" s="528" t="e">
        <f>IF(N50&lt;=IF($B$2="mil",1,0.0254)*1000,"Pass",IF($B$2="mil",1,0.0254)*1000-N50)</f>
        <v>#REF!</v>
      </c>
      <c r="AK50" s="528" t="e">
        <f>IF(MAX(N50,P102)-MIN(N50,P102)&lt;=IF($B$2="mil",1,0.0254)*50,"Pass",MAX(N50,P102)-MIN(N50,P102)-IF($B$2="mil",1,0.0254)*50)</f>
        <v>#REF!</v>
      </c>
      <c r="AL50" s="528" t="e">
        <f>IF($P50&lt;=IF($B$2="mil",1,0.0254)*1000,"Pass",IF($B$2="mil",1,0.0254)*1000-$P50)</f>
        <v>#REF!</v>
      </c>
      <c r="AM50" s="528" t="e">
        <f>IF(MAX(P50,P128)-MIN(P50,P128)&lt;=IF($B$2="mil",1,0.0254)*50,"Pass",MAX(P50,P128)-MIN(P50,P128)-IF($B$2="mil",1,0.0254)*50)</f>
        <v>#REF!</v>
      </c>
      <c r="AN50" s="528" t="e">
        <f ca="1">CheckLength2(IF($B$2="mil",1,0.0254)*1200,P50,Q50,0)</f>
        <v>#NAME?</v>
      </c>
      <c r="AO50" s="528" t="e">
        <f ca="1">CheckLength2(IF($B$2="mil",1,0.0254)*1200,P50,R50,0)</f>
        <v>#NAME?</v>
      </c>
      <c r="AP50" s="528" t="e">
        <f>IF(AND($S50&gt;=IF($B$2="mil",1,0.0254)*500, $S50&lt;=IF($B$2="mil",1,0.0254)*6500),"Pass",IF($B$2="mil",1,0.0254)*6500-$S50)</f>
        <v>#REF!</v>
      </c>
      <c r="AQ50" s="528" t="e">
        <f>IF(AND($T50&gt;=IF($B$2="mil",1,0.0254)*500, $T50&lt;=IF($B$2="mil",1,0.0254)*7000),"Pass",IF($B$2="mil",1,0.0254)*7000-$T50)</f>
        <v>#REF!</v>
      </c>
      <c r="AR50" s="528" t="e">
        <f>IF(AND($Y50&gt;=IF($B$2="mil",1,0.0254)*500, $Y50&lt;=IF($B$2="mil",1,0.0254)*6500),"Pass",IF($B$2="mil",1,0.0254)*6500-$Y50)</f>
        <v>#REF!</v>
      </c>
      <c r="AS50" s="529" t="e">
        <f>IF(AND($Z50&gt;=IF($B$2="mil",1,0.0254)*500, $Z50&lt;=IF($B$2="mil",1,0.0254)*7000),"Pass",IF($B$2="mil",1,0.0254)*7000-$Z50)</f>
        <v>#REF!</v>
      </c>
      <c r="AT50" s="162" t="e">
        <f t="shared" ca="1" si="35"/>
        <v>#REF!</v>
      </c>
    </row>
    <row r="51" spans="1:47" s="162" customFormat="1">
      <c r="A51" s="241" t="s">
        <v>56</v>
      </c>
      <c r="B51" s="480" t="s">
        <v>454</v>
      </c>
      <c r="C51" s="635">
        <v>384.5275590551181</v>
      </c>
      <c r="D51" s="216"/>
      <c r="E51" s="622">
        <v>22.63</v>
      </c>
      <c r="F51" s="622">
        <v>0</v>
      </c>
      <c r="G51" s="622">
        <v>2096.4</v>
      </c>
      <c r="H51" s="341"/>
      <c r="I51" s="335"/>
      <c r="J51" s="341">
        <v>0</v>
      </c>
      <c r="K51" s="623">
        <v>36.64</v>
      </c>
      <c r="L51" s="336"/>
      <c r="M51" s="623">
        <v>1593.17</v>
      </c>
      <c r="N51" s="623">
        <v>597.14</v>
      </c>
      <c r="O51" s="238"/>
      <c r="P51" s="623">
        <v>695.96</v>
      </c>
      <c r="Q51" s="623">
        <v>153.29</v>
      </c>
      <c r="R51" s="623">
        <v>175.61</v>
      </c>
      <c r="S51" s="545">
        <f t="shared" si="20"/>
        <v>5158.59</v>
      </c>
      <c r="T51" s="524" t="e">
        <f t="shared" si="21"/>
        <v>#REF!</v>
      </c>
      <c r="U51" s="524" t="e">
        <f>$V$32 + IF($B$2="mil",1,0.0254)*DDR2Specs!$E$9</f>
        <v>#REF!</v>
      </c>
      <c r="V51" s="547" t="e">
        <f>$U$32 + IF($B$2="mil",1,0.0254)*DDR2Specs!$F$9</f>
        <v>#REF!</v>
      </c>
      <c r="W51" s="546" t="e">
        <f>IF($T51&lt;$U51,$U51-$T51,"Pass")</f>
        <v>#REF!</v>
      </c>
      <c r="X51" s="547" t="e">
        <f>IF($T51&gt;$V51,$T51-$V51,"Pass")</f>
        <v>#REF!</v>
      </c>
      <c r="Y51" s="545">
        <f t="shared" si="22"/>
        <v>5180.91</v>
      </c>
      <c r="Z51" s="524" t="e">
        <f t="shared" si="23"/>
        <v>#REF!</v>
      </c>
      <c r="AA51" s="524" t="e">
        <f>$AB$32 + IF($B$2="mil",1,0.0254)*DDR2Specs!$E$9</f>
        <v>#REF!</v>
      </c>
      <c r="AB51" s="524" t="e">
        <f>$AA$32 + IF($B$2="mil",1,0.0254)*DDR2Specs!$F$9</f>
        <v>#REF!</v>
      </c>
      <c r="AC51" s="546" t="e">
        <f>IF($Z51&lt;$AA51,$AA51-$Z51,"Pass")</f>
        <v>#REF!</v>
      </c>
      <c r="AD51" s="547" t="e">
        <f>IF($Z51&gt;$AB51,$Z51-$AB51,"Pass")</f>
        <v>#REF!</v>
      </c>
      <c r="AE51" s="527" t="e">
        <f>IF($E51&lt;=IF($B$2="mil",1,0.0254)*50,"Pass",IF($B$2="mil",1,0.0254)*50-$E51)</f>
        <v>#REF!</v>
      </c>
      <c r="AF51" s="528" t="e">
        <f>IF($F51&lt;=IF($B$2="mil",1,0.0254)*500,"Pass",IF($B$2="mil",1,0.0254)*500-$F51)</f>
        <v>#REF!</v>
      </c>
      <c r="AG51" s="528" t="e">
        <f>IF($J51&lt;=IF($B$2="mil",1,0.0254)*1000,"Pass",IF($B$2="mil",1,0.0254)*1000-$J51)</f>
        <v>#REF!</v>
      </c>
      <c r="AH51" s="528" t="e">
        <f ca="1">CheckLength2(1200,J51,K51,0)</f>
        <v>#NAME?</v>
      </c>
      <c r="AI51" s="528" t="e">
        <f>IF(M51&lt;=IF($B$2="mil",1,0.0254)*2000,"Pass",IF($B$2="mil",1,0.0254)*2000-M51)</f>
        <v>#REF!</v>
      </c>
      <c r="AJ51" s="528" t="e">
        <f>IF(N51&lt;=IF($B$2="mil",1,0.0254)*1000,"Pass",IF($B$2="mil",1,0.0254)*1000-N51)</f>
        <v>#REF!</v>
      </c>
      <c r="AK51" s="528" t="e">
        <f>IF(MAX(N51,P103)-MIN(N51,P103)&lt;=IF($B$2="mil",1,0.0254)*50,"Pass",MAX(N51,P103)-MIN(N51,P103)-IF($B$2="mil",1,0.0254)*50)</f>
        <v>#REF!</v>
      </c>
      <c r="AL51" s="528" t="e">
        <f>IF($P51&lt;=IF($B$2="mil",1,0.0254)*1000,"Pass",IF($B$2="mil",1,0.0254)*1000-$P51)</f>
        <v>#REF!</v>
      </c>
      <c r="AM51" s="528" t="e">
        <f>IF(MAX(P51,P129)-MIN(P51,P129)&lt;=IF($B$2="mil",1,0.0254)*50,"Pass",MAX(P51,P129)-MIN(P51,P129)-IF($B$2="mil",1,0.0254)*50)</f>
        <v>#REF!</v>
      </c>
      <c r="AN51" s="528" t="e">
        <f ca="1">CheckLength2(IF($B$2="mil",1,0.0254)*1200,P51,Q51,0)</f>
        <v>#NAME?</v>
      </c>
      <c r="AO51" s="528" t="e">
        <f ca="1">CheckLength2(IF($B$2="mil",1,0.0254)*1200,P51,R51,0)</f>
        <v>#NAME?</v>
      </c>
      <c r="AP51" s="528" t="e">
        <f>IF(AND($S51&gt;=IF($B$2="mil",1,0.0254)*500, $S51&lt;=IF($B$2="mil",1,0.0254)*6500),"Pass",IF($B$2="mil",1,0.0254)*6500-$S51)</f>
        <v>#REF!</v>
      </c>
      <c r="AQ51" s="528" t="e">
        <f>IF(AND($T51&gt;=IF($B$2="mil",1,0.0254)*500, $T51&lt;=IF($B$2="mil",1,0.0254)*7000),"Pass",IF($B$2="mil",1,0.0254)*7000-$T51)</f>
        <v>#REF!</v>
      </c>
      <c r="AR51" s="528" t="e">
        <f>IF(AND($Y51&gt;=IF($B$2="mil",1,0.0254)*500, $Y51&lt;=IF($B$2="mil",1,0.0254)*6500),"Pass",IF($B$2="mil",1,0.0254)*6500-$Y51)</f>
        <v>#REF!</v>
      </c>
      <c r="AS51" s="529" t="e">
        <f>IF(AND($Z51&gt;=IF($B$2="mil",1,0.0254)*500, $Z51&lt;=IF($B$2="mil",1,0.0254)*7000),"Pass",IF($B$2="mil",1,0.0254)*7000-$Z51)</f>
        <v>#REF!</v>
      </c>
      <c r="AT51" s="162" t="e">
        <f t="shared" ca="1" si="35"/>
        <v>#REF!</v>
      </c>
    </row>
    <row r="52" spans="1:47" s="213" customFormat="1" ht="11.25">
      <c r="A52" s="205" t="s">
        <v>231</v>
      </c>
      <c r="B52" s="205"/>
      <c r="C52" s="639"/>
      <c r="D52" s="179"/>
      <c r="E52" s="155"/>
      <c r="F52" s="206"/>
      <c r="G52" s="338"/>
      <c r="H52" s="338"/>
      <c r="I52" s="339"/>
      <c r="J52" s="338"/>
      <c r="K52" s="338"/>
      <c r="L52" s="338"/>
      <c r="M52" s="338"/>
      <c r="N52" s="627"/>
      <c r="O52" s="155"/>
      <c r="P52" s="627"/>
      <c r="Q52" s="627"/>
      <c r="R52" s="627"/>
      <c r="S52" s="207"/>
      <c r="T52" s="207"/>
      <c r="U52" s="207"/>
      <c r="V52" s="571"/>
      <c r="W52" s="430"/>
      <c r="X52" s="430"/>
      <c r="Y52" s="430"/>
      <c r="Z52" s="430"/>
      <c r="AA52" s="430"/>
      <c r="AB52" s="430"/>
      <c r="AC52" s="430"/>
      <c r="AD52" s="430"/>
      <c r="AE52" s="430"/>
      <c r="AF52" s="548"/>
      <c r="AG52" s="430"/>
      <c r="AH52" s="430"/>
      <c r="AI52" s="430"/>
      <c r="AJ52" s="430"/>
      <c r="AK52" s="430"/>
      <c r="AL52" s="430"/>
      <c r="AM52" s="430"/>
      <c r="AN52" s="430"/>
      <c r="AO52" s="430"/>
      <c r="AP52" s="430"/>
      <c r="AQ52" s="430"/>
      <c r="AR52" s="430"/>
      <c r="AS52" s="562"/>
    </row>
    <row r="53" spans="1:47" s="162" customFormat="1">
      <c r="A53" s="185" t="s">
        <v>58</v>
      </c>
      <c r="B53" s="480" t="s">
        <v>439</v>
      </c>
      <c r="C53" s="635">
        <v>462.71653543307087</v>
      </c>
      <c r="D53" s="188"/>
      <c r="E53" s="622">
        <v>22.63</v>
      </c>
      <c r="F53" s="622">
        <v>0</v>
      </c>
      <c r="G53" s="622">
        <v>2005.3</v>
      </c>
      <c r="H53" s="341"/>
      <c r="I53" s="335"/>
      <c r="J53" s="341">
        <v>0</v>
      </c>
      <c r="K53" s="623">
        <v>94.93</v>
      </c>
      <c r="L53" s="336"/>
      <c r="M53" s="623">
        <v>1756.05</v>
      </c>
      <c r="N53" s="623">
        <v>425.86</v>
      </c>
      <c r="O53" s="238"/>
      <c r="P53" s="623">
        <v>690.96</v>
      </c>
      <c r="Q53" s="623">
        <v>69.92</v>
      </c>
      <c r="R53" s="623">
        <v>95.54</v>
      </c>
      <c r="S53" s="545">
        <f t="shared" si="20"/>
        <v>4970.72</v>
      </c>
      <c r="T53" s="524" t="e">
        <f t="shared" si="21"/>
        <v>#REF!</v>
      </c>
      <c r="U53" s="524" t="e">
        <f>$V$32 + IF($B$2="mil",1,0.0254)*DDR2Specs!$E$9</f>
        <v>#REF!</v>
      </c>
      <c r="V53" s="547" t="e">
        <f>$U$32 + IF($B$2="mil",1,0.0254)*DDR2Specs!$F$9</f>
        <v>#REF!</v>
      </c>
      <c r="W53" s="546" t="e">
        <f>IF($T53&lt;$U53,$U53-$T53,"Pass")</f>
        <v>#REF!</v>
      </c>
      <c r="X53" s="547" t="e">
        <f>IF($T53&gt;$V53,$T53-$V53,"Pass")</f>
        <v>#REF!</v>
      </c>
      <c r="Y53" s="545">
        <f t="shared" si="22"/>
        <v>4996.34</v>
      </c>
      <c r="Z53" s="524" t="e">
        <f t="shared" si="23"/>
        <v>#REF!</v>
      </c>
      <c r="AA53" s="524" t="e">
        <f>$AB$32 + IF($B$2="mil",1,0.0254)*DDR2Specs!$E$9</f>
        <v>#REF!</v>
      </c>
      <c r="AB53" s="524" t="e">
        <f>$AA$32 + IF($B$2="mil",1,0.0254)*DDR2Specs!$F$9</f>
        <v>#REF!</v>
      </c>
      <c r="AC53" s="546" t="e">
        <f>IF($Z53&lt;$AA53,$AA53-$Z53,"Pass")</f>
        <v>#REF!</v>
      </c>
      <c r="AD53" s="547" t="e">
        <f>IF($Z53&gt;$AB53,$Z53-$AB53,"Pass")</f>
        <v>#REF!</v>
      </c>
      <c r="AE53" s="527" t="e">
        <f>IF($E53&lt;=IF($B$2="mil",1,0.0254)*50,"Pass",IF($B$2="mil",1,0.0254)*50-$E53)</f>
        <v>#REF!</v>
      </c>
      <c r="AF53" s="528" t="e">
        <f>IF($F53&lt;=IF($B$2="mil",1,0.0254)*500,"Pass",IF($B$2="mil",1,0.0254)*500-$F53)</f>
        <v>#REF!</v>
      </c>
      <c r="AG53" s="528" t="e">
        <f>IF($J53&lt;=IF($B$2="mil",1,0.0254)*1000,"Pass",IF($B$2="mil",1,0.0254)*1000-$J53)</f>
        <v>#REF!</v>
      </c>
      <c r="AH53" s="528" t="e">
        <f ca="1">CheckLength2(1200,J53,K53,0)</f>
        <v>#NAME?</v>
      </c>
      <c r="AI53" s="528" t="e">
        <f>IF(M53&lt;=IF($B$2="mil",1,0.0254)*2000,"Pass",IF($B$2="mil",1,0.0254)*2000-M53)</f>
        <v>#REF!</v>
      </c>
      <c r="AJ53" s="528" t="e">
        <f>IF(N53&lt;=IF($B$2="mil",1,0.0254)*1000,"Pass",IF($B$2="mil",1,0.0254)*1000-N53)</f>
        <v>#REF!</v>
      </c>
      <c r="AK53" s="528" t="e">
        <f>IF(MAX(N53,P105)-MIN(N53,P105)&lt;=IF($B$2="mil",1,0.0254)*50,"Pass",MAX(N53,P105)-MIN(N53,P105)-IF($B$2="mil",1,0.0254)*50)</f>
        <v>#REF!</v>
      </c>
      <c r="AL53" s="528" t="e">
        <f>IF($P53&lt;=IF($B$2="mil",1,0.0254)*1000,"Pass",IF($B$2="mil",1,0.0254)*1000-$P53)</f>
        <v>#REF!</v>
      </c>
      <c r="AM53" s="528" t="e">
        <f>IF(MAX(P53,P131)-MIN(P53,P131)&lt;=IF($B$2="mil",1,0.0254)*50,"Pass",MAX(P53,P131)-MIN(P53,P131)-IF($B$2="mil",1,0.0254)*50)</f>
        <v>#REF!</v>
      </c>
      <c r="AN53" s="528" t="e">
        <f ca="1">CheckLength2(IF($B$2="mil",1,0.0254)*1200,P53,Q53,0)</f>
        <v>#NAME?</v>
      </c>
      <c r="AO53" s="528" t="e">
        <f ca="1">CheckLength2(IF($B$2="mil",1,0.0254)*1200,P53,R53,0)</f>
        <v>#NAME?</v>
      </c>
      <c r="AP53" s="528" t="e">
        <f>IF(AND($S53&gt;=IF($B$2="mil",1,0.0254)*500, $S53&lt;=IF($B$2="mil",1,0.0254)*6500),"Pass",IF($B$2="mil",1,0.0254)*6500-$S53)</f>
        <v>#REF!</v>
      </c>
      <c r="AQ53" s="528" t="e">
        <f>IF(AND($T53&gt;=IF($B$2="mil",1,0.0254)*500, $T53&lt;=IF($B$2="mil",1,0.0254)*7000),"Pass",IF($B$2="mil",1,0.0254)*7000-$T53)</f>
        <v>#REF!</v>
      </c>
      <c r="AR53" s="528" t="e">
        <f>IF(AND($Y53&gt;=IF($B$2="mil",1,0.0254)*500, $Y53&lt;=IF($B$2="mil",1,0.0254)*6500),"Pass",IF($B$2="mil",1,0.0254)*6500-$Y53)</f>
        <v>#REF!</v>
      </c>
      <c r="AS53" s="529" t="e">
        <f>IF(AND($Z53&gt;=IF($B$2="mil",1,0.0254)*500, $Z53&lt;=IF($B$2="mil",1,0.0254)*7000),"Pass",IF($B$2="mil",1,0.0254)*7000-$Z53)</f>
        <v>#REF!</v>
      </c>
      <c r="AT53" s="162" t="e">
        <f t="shared" ca="1" si="35"/>
        <v>#REF!</v>
      </c>
    </row>
    <row r="54" spans="1:47" s="162" customFormat="1">
      <c r="A54" s="240" t="s">
        <v>59</v>
      </c>
      <c r="B54" s="480" t="s">
        <v>455</v>
      </c>
      <c r="C54" s="635">
        <v>452.16535433070862</v>
      </c>
      <c r="D54" s="188"/>
      <c r="E54" s="622">
        <v>22.63</v>
      </c>
      <c r="F54" s="622">
        <v>0</v>
      </c>
      <c r="G54" s="622">
        <v>2288.04</v>
      </c>
      <c r="H54" s="341"/>
      <c r="I54" s="335"/>
      <c r="J54" s="341">
        <v>0</v>
      </c>
      <c r="K54" s="623">
        <v>82.5</v>
      </c>
      <c r="L54" s="336"/>
      <c r="M54" s="623">
        <v>1305.94</v>
      </c>
      <c r="N54" s="623">
        <v>517.80999999999995</v>
      </c>
      <c r="O54" s="238"/>
      <c r="P54" s="623">
        <v>698.28</v>
      </c>
      <c r="Q54" s="623">
        <v>83.86</v>
      </c>
      <c r="R54" s="623">
        <v>92.89</v>
      </c>
      <c r="S54" s="545">
        <f t="shared" si="20"/>
        <v>4916.5600000000004</v>
      </c>
      <c r="T54" s="524" t="e">
        <f t="shared" si="21"/>
        <v>#REF!</v>
      </c>
      <c r="U54" s="524" t="e">
        <f>$V$32 + IF($B$2="mil",1,0.0254)*DDR2Specs!$E$9</f>
        <v>#REF!</v>
      </c>
      <c r="V54" s="547" t="e">
        <f>$U$32 + IF($B$2="mil",1,0.0254)*DDR2Specs!$F$9</f>
        <v>#REF!</v>
      </c>
      <c r="W54" s="546" t="e">
        <f>IF($T54&lt;$U54,$U54-$T54,"Pass")</f>
        <v>#REF!</v>
      </c>
      <c r="X54" s="547" t="e">
        <f>IF($T54&gt;$V54,$T54-$V54,"Pass")</f>
        <v>#REF!</v>
      </c>
      <c r="Y54" s="545">
        <f t="shared" si="22"/>
        <v>4925.5900000000011</v>
      </c>
      <c r="Z54" s="524" t="e">
        <f t="shared" si="23"/>
        <v>#REF!</v>
      </c>
      <c r="AA54" s="524" t="e">
        <f>$AB$32 + IF($B$2="mil",1,0.0254)*DDR2Specs!$E$9</f>
        <v>#REF!</v>
      </c>
      <c r="AB54" s="524" t="e">
        <f>$AA$32 + IF($B$2="mil",1,0.0254)*DDR2Specs!$F$9</f>
        <v>#REF!</v>
      </c>
      <c r="AC54" s="546" t="e">
        <f>IF($Z54&lt;$AA54,$AA54-$Z54,"Pass")</f>
        <v>#REF!</v>
      </c>
      <c r="AD54" s="547" t="e">
        <f>IF($Z54&gt;$AB54,$Z54-$AB54,"Pass")</f>
        <v>#REF!</v>
      </c>
      <c r="AE54" s="527" t="e">
        <f>IF($E54&lt;=IF($B$2="mil",1,0.0254)*50,"Pass",IF($B$2="mil",1,0.0254)*50-$E54)</f>
        <v>#REF!</v>
      </c>
      <c r="AF54" s="528" t="e">
        <f>IF($F54&lt;=IF($B$2="mil",1,0.0254)*500,"Pass",IF($B$2="mil",1,0.0254)*500-$F54)</f>
        <v>#REF!</v>
      </c>
      <c r="AG54" s="528" t="e">
        <f>IF($J54&lt;=IF($B$2="mil",1,0.0254)*1000,"Pass",IF($B$2="mil",1,0.0254)*1000-$J54)</f>
        <v>#REF!</v>
      </c>
      <c r="AH54" s="528" t="e">
        <f ca="1">CheckLength2(1200,J54,K54,0)</f>
        <v>#NAME?</v>
      </c>
      <c r="AI54" s="528" t="e">
        <f>IF(M54&lt;=IF($B$2="mil",1,0.0254)*2000,"Pass",IF($B$2="mil",1,0.0254)*2000-M54)</f>
        <v>#REF!</v>
      </c>
      <c r="AJ54" s="528" t="e">
        <f>IF(N54&lt;=IF($B$2="mil",1,0.0254)*1000,"Pass",IF($B$2="mil",1,0.0254)*1000-N54)</f>
        <v>#REF!</v>
      </c>
      <c r="AK54" s="528" t="e">
        <f>IF(MAX(N54,P106)-MIN(N54,P106)&lt;=IF($B$2="mil",1,0.0254)*50,"Pass",MAX(N54,P106)-MIN(N54,P106)-IF($B$2="mil",1,0.0254)*50)</f>
        <v>#REF!</v>
      </c>
      <c r="AL54" s="528" t="e">
        <f>IF($P54&lt;=IF($B$2="mil",1,0.0254)*1000,"Pass",IF($B$2="mil",1,0.0254)*1000-$P54)</f>
        <v>#REF!</v>
      </c>
      <c r="AM54" s="528" t="e">
        <f>IF(MAX(P54,P132)-MIN(P54,P132)&lt;=IF($B$2="mil",1,0.0254)*50,"Pass",MAX(P54,P132)-MIN(P54,P132)-IF($B$2="mil",1,0.0254)*50)</f>
        <v>#REF!</v>
      </c>
      <c r="AN54" s="528" t="e">
        <f ca="1">CheckLength2(IF($B$2="mil",1,0.0254)*1200,P54,Q54,0)</f>
        <v>#NAME?</v>
      </c>
      <c r="AO54" s="528" t="e">
        <f ca="1">CheckLength2(IF($B$2="mil",1,0.0254)*1200,P54,R54,0)</f>
        <v>#NAME?</v>
      </c>
      <c r="AP54" s="528" t="e">
        <f>IF(AND($S54&gt;=IF($B$2="mil",1,0.0254)*500, $S54&lt;=IF($B$2="mil",1,0.0254)*6500),"Pass",IF($B$2="mil",1,0.0254)*6500-$S54)</f>
        <v>#REF!</v>
      </c>
      <c r="AQ54" s="528" t="e">
        <f>IF(AND($T54&gt;=IF($B$2="mil",1,0.0254)*500, $T54&lt;=IF($B$2="mil",1,0.0254)*7000),"Pass",IF($B$2="mil",1,0.0254)*7000-$T54)</f>
        <v>#REF!</v>
      </c>
      <c r="AR54" s="528" t="e">
        <f>IF(AND($Y54&gt;=IF($B$2="mil",1,0.0254)*500, $Y54&lt;=IF($B$2="mil",1,0.0254)*6500),"Pass",IF($B$2="mil",1,0.0254)*6500-$Y54)</f>
        <v>#REF!</v>
      </c>
      <c r="AS54" s="529" t="e">
        <f>IF(AND($Z54&gt;=IF($B$2="mil",1,0.0254)*500, $Z54&lt;=IF($B$2="mil",1,0.0254)*7000),"Pass",IF($B$2="mil",1,0.0254)*7000-$Z54)</f>
        <v>#REF!</v>
      </c>
      <c r="AT54" s="162" t="e">
        <f t="shared" ca="1" si="35"/>
        <v>#REF!</v>
      </c>
    </row>
    <row r="55" spans="1:47" s="162" customFormat="1" ht="13.5" thickBot="1">
      <c r="A55" s="240" t="s">
        <v>60</v>
      </c>
      <c r="B55" s="480" t="s">
        <v>440</v>
      </c>
      <c r="C55" s="635">
        <v>581.1811023622048</v>
      </c>
      <c r="D55" s="203"/>
      <c r="E55" s="622">
        <v>22.63</v>
      </c>
      <c r="F55" s="622">
        <v>0</v>
      </c>
      <c r="G55" s="622">
        <v>2599.61</v>
      </c>
      <c r="H55" s="341"/>
      <c r="I55" s="335"/>
      <c r="J55" s="341">
        <v>0</v>
      </c>
      <c r="K55" s="623">
        <v>86.64</v>
      </c>
      <c r="L55" s="336"/>
      <c r="M55" s="623">
        <v>1082.02</v>
      </c>
      <c r="N55" s="623">
        <v>551.28</v>
      </c>
      <c r="O55" s="260"/>
      <c r="P55" s="623">
        <v>691.6</v>
      </c>
      <c r="Q55" s="623">
        <v>99.14</v>
      </c>
      <c r="R55" s="623">
        <v>50.88</v>
      </c>
      <c r="S55" s="545">
        <f t="shared" si="20"/>
        <v>5046.2800000000007</v>
      </c>
      <c r="T55" s="524" t="e">
        <f>$S55+IF($B$2="mil",1,0.0254)*$C55</f>
        <v>#REF!</v>
      </c>
      <c r="U55" s="524" t="e">
        <f>$V$32 + IF($B$2="mil",1,0.0254)*DDR2Specs!$E$9</f>
        <v>#REF!</v>
      </c>
      <c r="V55" s="547" t="e">
        <f>$U$32 + IF($B$2="mil",1,0.0254)*DDR2Specs!$F$9</f>
        <v>#REF!</v>
      </c>
      <c r="W55" s="546" t="e">
        <f>IF($T55&lt;$U55,$U55-$T55,"Pass")</f>
        <v>#REF!</v>
      </c>
      <c r="X55" s="547" t="e">
        <f>IF($T55&gt;$V55,$T55-$V55,"Pass")</f>
        <v>#REF!</v>
      </c>
      <c r="Y55" s="545">
        <f t="shared" si="22"/>
        <v>4998.0200000000004</v>
      </c>
      <c r="Z55" s="524" t="e">
        <f>$Y55+IF($B$2="mil",1,0.0254)*$C55</f>
        <v>#REF!</v>
      </c>
      <c r="AA55" s="524" t="e">
        <f>$AB$32 + IF($B$2="mil",1,0.0254)*DDR2Specs!$E$9</f>
        <v>#REF!</v>
      </c>
      <c r="AB55" s="524" t="e">
        <f>$AA$32 + IF($B$2="mil",1,0.0254)*DDR2Specs!$F$9</f>
        <v>#REF!</v>
      </c>
      <c r="AC55" s="546" t="e">
        <f>IF($Z55&lt;$AA55,$AA55-$Z55,"Pass")</f>
        <v>#REF!</v>
      </c>
      <c r="AD55" s="547" t="e">
        <f>IF($Z55&gt;$AB55,$Z55-$AB55,"Pass")</f>
        <v>#REF!</v>
      </c>
      <c r="AE55" s="527" t="e">
        <f>IF($E55&lt;=IF($B$2="mil",1,0.0254)*50,"Pass",IF($B$2="mil",1,0.0254)*50-$E55)</f>
        <v>#REF!</v>
      </c>
      <c r="AF55" s="528" t="e">
        <f>IF($F55&lt;=IF($B$2="mil",1,0.0254)*500,"Pass",IF($B$2="mil",1,0.0254)*500-$F55)</f>
        <v>#REF!</v>
      </c>
      <c r="AG55" s="528" t="e">
        <f>IF($J55&lt;=IF($B$2="mil",1,0.0254)*1000,"Pass",IF($B$2="mil",1,0.0254)*1000-$J55)</f>
        <v>#REF!</v>
      </c>
      <c r="AH55" s="528" t="e">
        <f ca="1">CheckLength2(1200,J55,K55,0)</f>
        <v>#NAME?</v>
      </c>
      <c r="AI55" s="528" t="e">
        <f>IF(M55&lt;=IF($B$2="mil",1,0.0254)*2000,"Pass",IF($B$2="mil",1,0.0254)*2000-M55)</f>
        <v>#REF!</v>
      </c>
      <c r="AJ55" s="528" t="e">
        <f>IF(N55&lt;=IF($B$2="mil",1,0.0254)*1000,"Pass",IF($B$2="mil",1,0.0254)*1000-N55)</f>
        <v>#REF!</v>
      </c>
      <c r="AK55" s="528" t="e">
        <f>IF(MAX(N55,P107)-MIN(N55,P107)&lt;=IF($B$2="mil",1,0.0254)*50,"Pass",MAX(N55,P107)-MIN(N55,P107)-IF($B$2="mil",1,0.0254)*50)</f>
        <v>#REF!</v>
      </c>
      <c r="AL55" s="528" t="e">
        <f>IF($P55&lt;=IF($B$2="mil",1,0.0254)*1000,"Pass",IF($B$2="mil",1,0.0254)*1000-$P55)</f>
        <v>#REF!</v>
      </c>
      <c r="AM55" s="528" t="e">
        <f>IF(MAX(P55,P133)-MIN(P55,P133)&lt;=IF($B$2="mil",1,0.0254)*50,"Pass",MAX(P55,P133)-MIN(P55,P133)-IF($B$2="mil",1,0.0254)*50)</f>
        <v>#REF!</v>
      </c>
      <c r="AN55" s="528" t="e">
        <f ca="1">CheckLength2(IF($B$2="mil",1,0.0254)*1200,P55,Q55,0)</f>
        <v>#NAME?</v>
      </c>
      <c r="AO55" s="528" t="e">
        <f ca="1">CheckLength2(IF($B$2="mil",1,0.0254)*1200,P55,R55,0)</f>
        <v>#NAME?</v>
      </c>
      <c r="AP55" s="528" t="e">
        <f>IF(AND($S55&gt;=IF($B$2="mil",1,0.0254)*500, $S55&lt;=IF($B$2="mil",1,0.0254)*6500),"Pass",IF($B$2="mil",1,0.0254)*6500-$S55)</f>
        <v>#REF!</v>
      </c>
      <c r="AQ55" s="528" t="e">
        <f>IF(AND($T55&gt;=IF($B$2="mil",1,0.0254)*500, $T55&lt;=IF($B$2="mil",1,0.0254)*7000),"Pass",IF($B$2="mil",1,0.0254)*7000-$T55)</f>
        <v>#REF!</v>
      </c>
      <c r="AR55" s="528" t="e">
        <f>IF(AND($Y55&gt;=IF($B$2="mil",1,0.0254)*500, $Y55&lt;=IF($B$2="mil",1,0.0254)*6500),"Pass",IF($B$2="mil",1,0.0254)*6500-$Y55)</f>
        <v>#REF!</v>
      </c>
      <c r="AS55" s="529" t="e">
        <f>IF(AND($Z55&gt;=IF($B$2="mil",1,0.0254)*500, $Z55&lt;=IF($B$2="mil",1,0.0254)*7000),"Pass",IF($B$2="mil",1,0.0254)*7000-$Z55)</f>
        <v>#REF!</v>
      </c>
      <c r="AT55" s="162" t="e">
        <f t="shared" ca="1" si="35"/>
        <v>#REF!</v>
      </c>
    </row>
    <row r="56" spans="1:47" ht="65.25" customHeight="1">
      <c r="N56" s="3"/>
      <c r="O56" s="3"/>
      <c r="P56" s="329" t="s">
        <v>457</v>
      </c>
      <c r="Q56" s="330" t="s">
        <v>389</v>
      </c>
      <c r="R56" s="330" t="s">
        <v>390</v>
      </c>
      <c r="S56" s="550" t="e">
        <f>"Total MB Length to U2 (L0+L1+L2+L5+L6-1+L8-3) ["&amp;$B$2&amp;"]"</f>
        <v>#REF!</v>
      </c>
      <c r="T56" s="550" t="e">
        <f>"Total Pad to Pin U2 (P1+L0+L1+L2+L5+L6-1+L8-3) ["&amp;$B$2&amp;"]"</f>
        <v>#REF!</v>
      </c>
      <c r="U56" s="551" t="e">
        <f>"Target Min Length to U2["&amp;$B$2&amp;"]"</f>
        <v>#REF!</v>
      </c>
      <c r="V56" s="552" t="e">
        <f>"Target Max Length to U2 ["&amp;$B$2&amp;"]"</f>
        <v>#REF!</v>
      </c>
      <c r="W56" s="553" t="e">
        <f>"Routed Too Short to U2 [" &amp;$B$2&amp;"]"</f>
        <v>#REF!</v>
      </c>
      <c r="X56" s="551" t="e">
        <f>"Routed Too Long to U2 [" &amp;$B$2&amp;"]"</f>
        <v>#REF!</v>
      </c>
      <c r="Y56" s="550" t="e">
        <f>"Total MB Length to U6 (L0+L1+L2+L5+L6-1+L8-4) ["&amp;$B$2&amp;"]"</f>
        <v>#REF!</v>
      </c>
      <c r="Z56" s="550" t="e">
        <f>"Total Pad to Pin U6 (P1+L0+L1+L2+L5+L6-1+L8-4) ["&amp;$B$2&amp;"]"</f>
        <v>#REF!</v>
      </c>
      <c r="AA56" s="551" t="e">
        <f>"Target Min Length to U6["&amp;$B$2&amp;"]"</f>
        <v>#REF!</v>
      </c>
      <c r="AB56" s="552" t="e">
        <f>"Target Max Length to U6 ["&amp;$B$2&amp;"]"</f>
        <v>#REF!</v>
      </c>
      <c r="AC56" s="553" t="e">
        <f>"Routed Too Short to U6 [" &amp;$B$2&amp;"]"</f>
        <v>#REF!</v>
      </c>
      <c r="AD56" s="551" t="e">
        <f>"Routed Too Long to U6 [" &amp;$B$2&amp;"]"</f>
        <v>#REF!</v>
      </c>
      <c r="AE56" s="554"/>
      <c r="AF56" s="554"/>
      <c r="AG56" s="554"/>
      <c r="AH56" s="554"/>
      <c r="AI56" s="554"/>
      <c r="AJ56" s="554"/>
      <c r="AK56" s="554"/>
      <c r="AL56" s="554"/>
      <c r="AM56" s="555" t="s">
        <v>457</v>
      </c>
      <c r="AN56" s="556" t="e">
        <f>"L8-3 Length Test (&lt;=" &amp; IF($B$2="mil",1,0.0254)*200&amp;$B$2&amp;") or (L6-1+L8-3&lt;= "&amp;IF($B$2="mil",1,0.0254)*1200&amp;$B$2&amp;")"</f>
        <v>#REF!</v>
      </c>
      <c r="AO56" s="556" t="e">
        <f>"L8-4 Length Test (&lt;=" &amp; IF($B$2="mil",1,0.0254)*200&amp;$B$2&amp;") or (L6-1+L8-4&lt;= "&amp;IF($B$2="mil",1,0.0254)*1200&amp;$B$2&amp;")"</f>
        <v>#REF!</v>
      </c>
      <c r="AP56" s="552" t="e">
        <f>"Total Length to U2 (L0+L1+L2+L5+L6-1+L8-3)Test ("&amp;IF($B$2="mil",1,0.0254)*500&amp;"-"&amp;IF($B$2="mil",1,0.0254)*6500&amp;IF($B$2="mil","mil","mm")&amp;")"</f>
        <v>#REF!</v>
      </c>
      <c r="AQ56" s="552" t="e">
        <f>"Total Length to U2 (P1+L0+L1+L2+L5+L6-1+L8-3) Test (&lt;="&amp;IF($B$2="mil",1,25.4)*7000&amp;IF($B$2="mil","mil","mm")&amp;")"</f>
        <v>#REF!</v>
      </c>
      <c r="AR56" s="556" t="e">
        <f>"Total Length to U6 (L0+L1+L2+L5+L6-1+L8-4)Test ("&amp;IF($B$2="mil",1,0.0254)*500&amp;"-"&amp;IF($B$2="mil",1,0.0254)*6500&amp;IF($B$2="mil","mil","mm")&amp;")"</f>
        <v>#REF!</v>
      </c>
      <c r="AS56" s="552" t="e">
        <f>"Total Length to U6 (P1+L0+L1+L2+L5+L6-1+L8-4) Test (&lt;="&amp;IF($B$2="mil",1,25.4)*7000&amp;IF($B$2="mil","mil","mm")&amp;")"</f>
        <v>#REF!</v>
      </c>
      <c r="AT56" s="3"/>
      <c r="AU56" s="3"/>
    </row>
    <row r="57" spans="1:47">
      <c r="N57" s="3"/>
      <c r="O57" s="3"/>
      <c r="P57" s="155" t="s">
        <v>210</v>
      </c>
      <c r="Q57" s="156"/>
      <c r="R57" s="156"/>
      <c r="S57" s="156"/>
      <c r="T57" s="156"/>
      <c r="U57" s="156"/>
      <c r="V57" s="430"/>
      <c r="W57" s="156"/>
      <c r="X57" s="156"/>
      <c r="Y57" s="156"/>
      <c r="Z57" s="156"/>
      <c r="AA57" s="156"/>
      <c r="AB57" s="156"/>
      <c r="AC57" s="156"/>
      <c r="AD57" s="156"/>
      <c r="AE57" s="554"/>
      <c r="AF57" s="554"/>
      <c r="AG57" s="554"/>
      <c r="AH57" s="554"/>
      <c r="AI57" s="554"/>
      <c r="AJ57" s="554"/>
      <c r="AK57" s="554"/>
      <c r="AL57" s="554"/>
      <c r="AM57" s="155" t="s">
        <v>210</v>
      </c>
      <c r="AN57" s="156"/>
      <c r="AO57" s="156"/>
      <c r="AP57" s="156"/>
      <c r="AQ57" s="156"/>
      <c r="AR57" s="156"/>
      <c r="AS57" s="158"/>
      <c r="AT57" s="3"/>
      <c r="AU57" s="3"/>
    </row>
    <row r="58" spans="1:47">
      <c r="N58" s="3"/>
      <c r="O58" s="3"/>
      <c r="P58" s="263" t="s">
        <v>214</v>
      </c>
      <c r="Q58" s="166"/>
      <c r="R58" s="166"/>
      <c r="S58" s="166"/>
      <c r="T58" s="558" t="s">
        <v>227</v>
      </c>
      <c r="U58" s="542" t="e">
        <f>MIN('DDR2 Clocks - 4L'!$O$9:$O$10)</f>
        <v>#REF!</v>
      </c>
      <c r="V58" s="539" t="e">
        <f>MAX('DDR2 Clocks - 4L'!$O$9:$O$10)</f>
        <v>#REF!</v>
      </c>
      <c r="W58" s="542"/>
      <c r="X58" s="168"/>
      <c r="Y58" s="166"/>
      <c r="Z58" s="558" t="s">
        <v>285</v>
      </c>
      <c r="AA58" s="542" t="e">
        <f>MIN('DDR2 Clocks - 4L'!$O$11:$O$12)</f>
        <v>#REF!</v>
      </c>
      <c r="AB58" s="541" t="e">
        <f>MAX('DDR2 Clocks - 4L'!$O$11:$O$12)</f>
        <v>#REF!</v>
      </c>
      <c r="AC58" s="542"/>
      <c r="AD58" s="168"/>
      <c r="AE58" s="554"/>
      <c r="AF58" s="554"/>
      <c r="AG58" s="554"/>
      <c r="AH58" s="554"/>
      <c r="AI58" s="554"/>
      <c r="AJ58" s="554"/>
      <c r="AK58" s="554"/>
      <c r="AL58" s="554"/>
      <c r="AM58" s="163" t="s">
        <v>214</v>
      </c>
      <c r="AN58" s="538"/>
      <c r="AO58" s="538"/>
      <c r="AP58" s="538"/>
      <c r="AQ58" s="538"/>
      <c r="AR58" s="538"/>
      <c r="AS58" s="539"/>
      <c r="AT58" s="3"/>
      <c r="AU58" s="3"/>
    </row>
    <row r="59" spans="1:47">
      <c r="N59" s="3"/>
      <c r="O59" s="3"/>
      <c r="P59" s="205" t="s">
        <v>229</v>
      </c>
      <c r="Q59" s="181"/>
      <c r="R59" s="181"/>
      <c r="S59" s="181"/>
      <c r="T59" s="181"/>
      <c r="U59" s="179"/>
      <c r="V59" s="570"/>
      <c r="W59" s="531"/>
      <c r="X59" s="179"/>
      <c r="Y59" s="181"/>
      <c r="Z59" s="181"/>
      <c r="AA59" s="179"/>
      <c r="AB59" s="531"/>
      <c r="AC59" s="531"/>
      <c r="AD59" s="179"/>
      <c r="AE59" s="554"/>
      <c r="AF59" s="554"/>
      <c r="AG59" s="554"/>
      <c r="AH59" s="554"/>
      <c r="AI59" s="554"/>
      <c r="AJ59" s="554"/>
      <c r="AK59" s="554"/>
      <c r="AL59" s="554"/>
      <c r="AM59" s="155" t="s">
        <v>229</v>
      </c>
      <c r="AN59" s="179"/>
      <c r="AO59" s="179"/>
      <c r="AP59" s="179"/>
      <c r="AQ59" s="179"/>
      <c r="AR59" s="179"/>
      <c r="AS59" s="273"/>
      <c r="AT59" s="3"/>
      <c r="AU59" s="3"/>
    </row>
    <row r="60" spans="1:47">
      <c r="N60" s="3"/>
      <c r="O60" s="3"/>
      <c r="P60" s="186" t="s">
        <v>196</v>
      </c>
      <c r="Q60" s="622">
        <v>150.02000000000001</v>
      </c>
      <c r="R60" s="622">
        <v>178.91</v>
      </c>
      <c r="S60" s="545">
        <f>SUM($E34:$G34,$M34,$N34,$Q60)</f>
        <v>4371.67</v>
      </c>
      <c r="T60" s="534" t="e">
        <f>$S60+IF($B$2="mil",1,0.0254)*$C34</f>
        <v>#REF!</v>
      </c>
      <c r="U60" s="524" t="e">
        <f>$V$58 + IF($B$2="mil",1,0.0254)*DDR2Specs!$E$9</f>
        <v>#REF!</v>
      </c>
      <c r="V60" s="547" t="e">
        <f>$U$58 + IF($B$2="mil",1,0.0254)*DDR2Specs!$F$9</f>
        <v>#REF!</v>
      </c>
      <c r="W60" s="546" t="e">
        <f t="shared" ref="W60:W73" si="36">IF($T60&lt;$U60,$U60-$T60,"Pass")</f>
        <v>#REF!</v>
      </c>
      <c r="X60" s="547" t="e">
        <f t="shared" ref="X60:X73" si="37">IF($T60&gt;$V60,$T60-$V60,"Pass")</f>
        <v>#REF!</v>
      </c>
      <c r="Y60" s="545">
        <f>SUM($E34:$G34,$M34,$N34,$R60)</f>
        <v>4400.5599999999995</v>
      </c>
      <c r="Z60" s="534" t="e">
        <f>$Y60+IF($B$2="mil",1,0.0254)*$C34</f>
        <v>#REF!</v>
      </c>
      <c r="AA60" s="524" t="e">
        <f>$AB$58 + IF($B$2="mil",1,0.0254)*DDR2Specs!$E$9</f>
        <v>#REF!</v>
      </c>
      <c r="AB60" s="524" t="e">
        <f>$AA$58 + IF($B$2="mil",1,0.0254)*DDR2Specs!$F$9</f>
        <v>#REF!</v>
      </c>
      <c r="AC60" s="546" t="e">
        <f t="shared" ref="AC60:AC73" si="38">IF($Z60&lt;$AA60,$AA60-$Z60,"Pass")</f>
        <v>#REF!</v>
      </c>
      <c r="AD60" s="547" t="e">
        <f t="shared" ref="AD60:AD73" si="39">IF($Z60&gt;$AB60,$Z60-$AB60,"Pass")</f>
        <v>#REF!</v>
      </c>
      <c r="AE60" s="554"/>
      <c r="AF60" s="554"/>
      <c r="AG60" s="554"/>
      <c r="AH60" s="554"/>
      <c r="AI60" s="554"/>
      <c r="AJ60" s="554"/>
      <c r="AK60" s="554"/>
      <c r="AL60" s="554"/>
      <c r="AM60" s="559" t="s">
        <v>196</v>
      </c>
      <c r="AN60" s="528" t="e">
        <f ca="1">CheckLength2(IF($B$2="mil",1,0.0254)*1200,N34,Q60,0)</f>
        <v>#NAME?</v>
      </c>
      <c r="AO60" s="528" t="e">
        <f ca="1">CheckLength2(IF($B$2="mil",1,0.0254)*1200,N34,R60,0)</f>
        <v>#NAME?</v>
      </c>
      <c r="AP60" s="528" t="e">
        <f>IF(AND(S60&gt;=IF($B$2="mil",1,0.0254)*500, $S60&lt;=IF($B$2="mil",1,0.0254)*6500),"Pass",IF($B$2="mil",1,0.0254)*6500-$S60)</f>
        <v>#REF!</v>
      </c>
      <c r="AQ60" s="560" t="e">
        <f>IF(AND($T60&gt;=IF($B$2="mil",1,0.0254)*500, $T60&lt;=IF($B$2="mil",1,0.0254)*7000),"Pass",IF($B$2="mil",1,0.0254)*7000-$T60)</f>
        <v>#REF!</v>
      </c>
      <c r="AR60" s="528" t="e">
        <f>IF(AND($Y60&gt;=IF($B$2="mil",1,0.0254)*500, $Y60&lt;=IF($B$2="mil",1,0.0254)*6500),"Pass",IF($B$2="mil",1,0.0254)*6500-$Y60)</f>
        <v>#REF!</v>
      </c>
      <c r="AS60" s="529" t="e">
        <f>IF(AND($Z60&gt;=IF($B$2="mil",1,0.0254)*500, $Z60&lt;=IF($B$2="mil",1,0.0254)*7000),"Pass",IF($B$2="mil",1,0.0254)*7000-$Z60)</f>
        <v>#REF!</v>
      </c>
      <c r="AT60" s="162" t="e">
        <f ca="1">IF(AND(W60="Pass",X60="Pass",AN60="Pass",AO60="Pass",AP60="Pass",AQ60="Pass",AR60="Pass",AS60="Pass"),"Pass","Fail")</f>
        <v>#REF!</v>
      </c>
      <c r="AU60" s="162" t="e">
        <f ca="1">IF(AND(AT60="Pass",AT61="Pass",AT62="Pass",AT63="Pass",AT64="Pass",AT65="Pass",AT65="Pass",AT66="Pass",AT67="Pass",AT68="Pass",AT69="Pass",AT70="Pass"),"Pass","Fail")</f>
        <v>#REF!</v>
      </c>
    </row>
    <row r="61" spans="1:47">
      <c r="N61" s="3"/>
      <c r="O61" s="3"/>
      <c r="P61" s="243" t="s">
        <v>39</v>
      </c>
      <c r="Q61" s="622">
        <v>152.9</v>
      </c>
      <c r="R61" s="622">
        <v>90.94</v>
      </c>
      <c r="S61" s="545">
        <f t="shared" ref="S61:S81" si="40">SUM($E35:$G35,$M35,$N35,$Q61)</f>
        <v>4264.6099999999997</v>
      </c>
      <c r="T61" s="534" t="e">
        <f t="shared" ref="T61:T80" si="41">$S61+IF($B$2="mil",1,0.0254)*$C35</f>
        <v>#REF!</v>
      </c>
      <c r="U61" s="524" t="e">
        <f>$V$58 + IF($B$2="mil",1,0.0254)*DDR2Specs!$E$9</f>
        <v>#REF!</v>
      </c>
      <c r="V61" s="547" t="e">
        <f>$U$58 + IF($B$2="mil",1,0.0254)*DDR2Specs!$F$9</f>
        <v>#REF!</v>
      </c>
      <c r="W61" s="546" t="e">
        <f t="shared" si="36"/>
        <v>#REF!</v>
      </c>
      <c r="X61" s="547" t="e">
        <f t="shared" si="37"/>
        <v>#REF!</v>
      </c>
      <c r="Y61" s="545">
        <f t="shared" ref="Y61:Y81" si="42">SUM($E35:$G35,$M35,$N35,$R61)</f>
        <v>4202.6499999999996</v>
      </c>
      <c r="Z61" s="534" t="e">
        <f t="shared" ref="Z61:Z80" si="43">$Y61+IF($B$2="mil",1,0.0254)*$C35</f>
        <v>#REF!</v>
      </c>
      <c r="AA61" s="524" t="e">
        <f>$AB$58 + IF($B$2="mil",1,0.0254)*DDR2Specs!$E$9</f>
        <v>#REF!</v>
      </c>
      <c r="AB61" s="524" t="e">
        <f>$AA$58 + IF($B$2="mil",1,0.0254)*DDR2Specs!$F$9</f>
        <v>#REF!</v>
      </c>
      <c r="AC61" s="546" t="e">
        <f t="shared" si="38"/>
        <v>#REF!</v>
      </c>
      <c r="AD61" s="547" t="e">
        <f t="shared" si="39"/>
        <v>#REF!</v>
      </c>
      <c r="AE61" s="554"/>
      <c r="AF61" s="554"/>
      <c r="AG61" s="554"/>
      <c r="AH61" s="554"/>
      <c r="AI61" s="554"/>
      <c r="AJ61" s="554"/>
      <c r="AK61" s="554"/>
      <c r="AL61" s="554"/>
      <c r="AM61" s="561" t="s">
        <v>39</v>
      </c>
      <c r="AN61" s="528" t="e">
        <f t="shared" ref="AN61:AN73" ca="1" si="44">CheckLength2(IF($B$2="mil",1,0.0254)*1200,N35,Q61,0)</f>
        <v>#NAME?</v>
      </c>
      <c r="AO61" s="528" t="e">
        <f t="shared" ref="AO61:AO73" ca="1" si="45">CheckLength2(IF($B$2="mil",1,0.0254)*1200,N35,R61,0)</f>
        <v>#NAME?</v>
      </c>
      <c r="AP61" s="528" t="e">
        <f t="shared" ref="AP61:AP73" si="46">IF(AND(S61&gt;=IF($B$2="mil",1,0.0254)*500, $S61&lt;=IF($B$2="mil",1,0.0254)*6500),"Pass",IF($B$2="mil",1,0.0254)*6500-$S61)</f>
        <v>#REF!</v>
      </c>
      <c r="AQ61" s="560" t="e">
        <f t="shared" ref="AQ61:AQ73" si="47">IF(AND($T61&gt;=IF($B$2="mil",1,0.0254)*500, $T61&lt;=IF($B$2="mil",1,0.0254)*7000),"Pass",IF($B$2="mil",1,0.0254)*7000-$T61)</f>
        <v>#REF!</v>
      </c>
      <c r="AR61" s="528" t="e">
        <f t="shared" ref="AR61:AR73" si="48">IF(AND($Y61&gt;=IF($B$2="mil",1,0.0254)*500, $Y61&lt;=IF($B$2="mil",1,0.0254)*6500),"Pass",IF($B$2="mil",1,0.0254)*6500-$Y61)</f>
        <v>#REF!</v>
      </c>
      <c r="AS61" s="529" t="e">
        <f t="shared" ref="AS61:AS73" si="49">IF(AND($Z61&gt;=IF($B$2="mil",1,0.0254)*500, $Z61&lt;=IF($B$2="mil",1,0.0254)*7000),"Pass",IF($B$2="mil",1,0.0254)*7000-$Z61)</f>
        <v>#REF!</v>
      </c>
      <c r="AT61" s="162" t="e">
        <f t="shared" ref="AT61:AT81" ca="1" si="50">IF(AND(W61="Pass",X61="Pass",AN61="Pass",AO61="Pass",AP61="Pass",AQ61="Pass",AR61="Pass",AS61="Pass"),"Pass","Fail")</f>
        <v>#REF!</v>
      </c>
      <c r="AU61" s="162" t="e">
        <f ca="1">IF(AND(AT71="Pass",AT72="Pass",AT73="Pass",AT75="Pass",AT76="Pass",AT77="Pass",AT79="Pass",AT80="Pass",AT81="Pass"),"Pass","Fail")</f>
        <v>#REF!</v>
      </c>
    </row>
    <row r="62" spans="1:47">
      <c r="N62" s="3"/>
      <c r="O62" s="3"/>
      <c r="P62" s="243" t="s">
        <v>40</v>
      </c>
      <c r="Q62" s="622">
        <v>110.29</v>
      </c>
      <c r="R62" s="622">
        <v>93.97</v>
      </c>
      <c r="S62" s="545">
        <f t="shared" si="40"/>
        <v>4437.7800000000007</v>
      </c>
      <c r="T62" s="534" t="e">
        <f t="shared" si="41"/>
        <v>#REF!</v>
      </c>
      <c r="U62" s="524" t="e">
        <f>$V$58 + IF($B$2="mil",1,0.0254)*DDR2Specs!$E$9</f>
        <v>#REF!</v>
      </c>
      <c r="V62" s="547" t="e">
        <f>$U$58 + IF($B$2="mil",1,0.0254)*DDR2Specs!$F$9</f>
        <v>#REF!</v>
      </c>
      <c r="W62" s="546" t="e">
        <f t="shared" si="36"/>
        <v>#REF!</v>
      </c>
      <c r="X62" s="547" t="e">
        <f t="shared" si="37"/>
        <v>#REF!</v>
      </c>
      <c r="Y62" s="545">
        <f t="shared" si="42"/>
        <v>4421.4600000000009</v>
      </c>
      <c r="Z62" s="534" t="e">
        <f t="shared" si="43"/>
        <v>#REF!</v>
      </c>
      <c r="AA62" s="524" t="e">
        <f>$AB$58 + IF($B$2="mil",1,0.0254)*DDR2Specs!$E$9</f>
        <v>#REF!</v>
      </c>
      <c r="AB62" s="524" t="e">
        <f>$AA$58 + IF($B$2="mil",1,0.0254)*DDR2Specs!$F$9</f>
        <v>#REF!</v>
      </c>
      <c r="AC62" s="546" t="e">
        <f t="shared" si="38"/>
        <v>#REF!</v>
      </c>
      <c r="AD62" s="547" t="e">
        <f t="shared" si="39"/>
        <v>#REF!</v>
      </c>
      <c r="AE62" s="554"/>
      <c r="AF62" s="554"/>
      <c r="AG62" s="554"/>
      <c r="AH62" s="554"/>
      <c r="AI62" s="554"/>
      <c r="AJ62" s="554"/>
      <c r="AK62" s="554"/>
      <c r="AL62" s="554"/>
      <c r="AM62" s="561" t="s">
        <v>40</v>
      </c>
      <c r="AN62" s="528" t="e">
        <f t="shared" ca="1" si="44"/>
        <v>#NAME?</v>
      </c>
      <c r="AO62" s="528" t="e">
        <f t="shared" ca="1" si="45"/>
        <v>#NAME?</v>
      </c>
      <c r="AP62" s="528" t="e">
        <f t="shared" si="46"/>
        <v>#REF!</v>
      </c>
      <c r="AQ62" s="560" t="e">
        <f t="shared" si="47"/>
        <v>#REF!</v>
      </c>
      <c r="AR62" s="528" t="e">
        <f t="shared" si="48"/>
        <v>#REF!</v>
      </c>
      <c r="AS62" s="529" t="e">
        <f t="shared" si="49"/>
        <v>#REF!</v>
      </c>
      <c r="AT62" s="162" t="e">
        <f t="shared" ca="1" si="50"/>
        <v>#REF!</v>
      </c>
      <c r="AU62" s="3"/>
    </row>
    <row r="63" spans="1:47">
      <c r="N63" s="3"/>
      <c r="O63" s="3"/>
      <c r="P63" s="243" t="s">
        <v>41</v>
      </c>
      <c r="Q63" s="622">
        <v>373.57</v>
      </c>
      <c r="R63" s="622">
        <v>427.63</v>
      </c>
      <c r="S63" s="545">
        <f t="shared" si="40"/>
        <v>4299.25</v>
      </c>
      <c r="T63" s="534" t="e">
        <f t="shared" si="41"/>
        <v>#REF!</v>
      </c>
      <c r="U63" s="524" t="e">
        <f>$V$58 + IF($B$2="mil",1,0.0254)*DDR2Specs!$E$9</f>
        <v>#REF!</v>
      </c>
      <c r="V63" s="547" t="e">
        <f>$U$58 + IF($B$2="mil",1,0.0254)*DDR2Specs!$F$9</f>
        <v>#REF!</v>
      </c>
      <c r="W63" s="546" t="e">
        <f t="shared" si="36"/>
        <v>#REF!</v>
      </c>
      <c r="X63" s="547" t="e">
        <f t="shared" si="37"/>
        <v>#REF!</v>
      </c>
      <c r="Y63" s="545">
        <f t="shared" si="42"/>
        <v>4353.3100000000004</v>
      </c>
      <c r="Z63" s="534" t="e">
        <f t="shared" si="43"/>
        <v>#REF!</v>
      </c>
      <c r="AA63" s="524" t="e">
        <f>$AB$58 + IF($B$2="mil",1,0.0254)*DDR2Specs!$E$9</f>
        <v>#REF!</v>
      </c>
      <c r="AB63" s="524" t="e">
        <f>$AA$58 + IF($B$2="mil",1,0.0254)*DDR2Specs!$F$9</f>
        <v>#REF!</v>
      </c>
      <c r="AC63" s="546" t="e">
        <f t="shared" si="38"/>
        <v>#REF!</v>
      </c>
      <c r="AD63" s="547" t="e">
        <f t="shared" si="39"/>
        <v>#REF!</v>
      </c>
      <c r="AE63" s="554"/>
      <c r="AF63" s="554"/>
      <c r="AG63" s="554"/>
      <c r="AH63" s="554"/>
      <c r="AI63" s="554"/>
      <c r="AJ63" s="554"/>
      <c r="AK63" s="554"/>
      <c r="AL63" s="554"/>
      <c r="AM63" s="561" t="s">
        <v>41</v>
      </c>
      <c r="AN63" s="528" t="e">
        <f t="shared" ca="1" si="44"/>
        <v>#NAME?</v>
      </c>
      <c r="AO63" s="528" t="e">
        <f t="shared" ca="1" si="45"/>
        <v>#NAME?</v>
      </c>
      <c r="AP63" s="528" t="e">
        <f t="shared" si="46"/>
        <v>#REF!</v>
      </c>
      <c r="AQ63" s="560" t="e">
        <f t="shared" si="47"/>
        <v>#REF!</v>
      </c>
      <c r="AR63" s="528" t="e">
        <f t="shared" si="48"/>
        <v>#REF!</v>
      </c>
      <c r="AS63" s="529" t="e">
        <f t="shared" si="49"/>
        <v>#REF!</v>
      </c>
      <c r="AT63" s="162" t="e">
        <f t="shared" ca="1" si="50"/>
        <v>#REF!</v>
      </c>
      <c r="AU63" s="3"/>
    </row>
    <row r="64" spans="1:47">
      <c r="N64" s="3"/>
      <c r="O64" s="3"/>
      <c r="P64" s="243" t="s">
        <v>42</v>
      </c>
      <c r="Q64" s="622">
        <v>369.56</v>
      </c>
      <c r="R64" s="622">
        <v>401.77</v>
      </c>
      <c r="S64" s="545">
        <f t="shared" si="40"/>
        <v>4461.93</v>
      </c>
      <c r="T64" s="534" t="e">
        <f t="shared" si="41"/>
        <v>#REF!</v>
      </c>
      <c r="U64" s="524" t="e">
        <f>$V$58 + IF($B$2="mil",1,0.0254)*DDR2Specs!$E$9</f>
        <v>#REF!</v>
      </c>
      <c r="V64" s="547" t="e">
        <f>$U$58 + IF($B$2="mil",1,0.0254)*DDR2Specs!$F$9</f>
        <v>#REF!</v>
      </c>
      <c r="W64" s="546" t="e">
        <f t="shared" si="36"/>
        <v>#REF!</v>
      </c>
      <c r="X64" s="547" t="e">
        <f t="shared" si="37"/>
        <v>#REF!</v>
      </c>
      <c r="Y64" s="545">
        <f t="shared" si="42"/>
        <v>4494.1399999999994</v>
      </c>
      <c r="Z64" s="534" t="e">
        <f t="shared" si="43"/>
        <v>#REF!</v>
      </c>
      <c r="AA64" s="524" t="e">
        <f>$AB$58 + IF($B$2="mil",1,0.0254)*DDR2Specs!$E$9</f>
        <v>#REF!</v>
      </c>
      <c r="AB64" s="524" t="e">
        <f>$AA$58 + IF($B$2="mil",1,0.0254)*DDR2Specs!$F$9</f>
        <v>#REF!</v>
      </c>
      <c r="AC64" s="546" t="e">
        <f t="shared" si="38"/>
        <v>#REF!</v>
      </c>
      <c r="AD64" s="547" t="e">
        <f t="shared" si="39"/>
        <v>#REF!</v>
      </c>
      <c r="AE64" s="554"/>
      <c r="AF64" s="554"/>
      <c r="AG64" s="554"/>
      <c r="AH64" s="554"/>
      <c r="AI64" s="554"/>
      <c r="AJ64" s="554"/>
      <c r="AK64" s="554"/>
      <c r="AL64" s="554"/>
      <c r="AM64" s="561" t="s">
        <v>42</v>
      </c>
      <c r="AN64" s="528" t="e">
        <f t="shared" ca="1" si="44"/>
        <v>#NAME?</v>
      </c>
      <c r="AO64" s="528" t="e">
        <f t="shared" ca="1" si="45"/>
        <v>#NAME?</v>
      </c>
      <c r="AP64" s="528" t="e">
        <f t="shared" si="46"/>
        <v>#REF!</v>
      </c>
      <c r="AQ64" s="560" t="e">
        <f t="shared" si="47"/>
        <v>#REF!</v>
      </c>
      <c r="AR64" s="528" t="e">
        <f t="shared" si="48"/>
        <v>#REF!</v>
      </c>
      <c r="AS64" s="529" t="e">
        <f t="shared" si="49"/>
        <v>#REF!</v>
      </c>
      <c r="AT64" s="162" t="e">
        <f t="shared" ca="1" si="50"/>
        <v>#REF!</v>
      </c>
      <c r="AU64" s="3"/>
    </row>
    <row r="65" spans="14:47">
      <c r="N65" s="3"/>
      <c r="O65" s="3"/>
      <c r="P65" s="243" t="s">
        <v>43</v>
      </c>
      <c r="Q65" s="622">
        <v>136.13</v>
      </c>
      <c r="R65" s="622">
        <v>197.23</v>
      </c>
      <c r="S65" s="545">
        <f t="shared" si="40"/>
        <v>4425.83</v>
      </c>
      <c r="T65" s="534" t="e">
        <f t="shared" si="41"/>
        <v>#REF!</v>
      </c>
      <c r="U65" s="524" t="e">
        <f>$V$58 + IF($B$2="mil",1,0.0254)*DDR2Specs!$E$9</f>
        <v>#REF!</v>
      </c>
      <c r="V65" s="547" t="e">
        <f>$U$58 + IF($B$2="mil",1,0.0254)*DDR2Specs!$F$9</f>
        <v>#REF!</v>
      </c>
      <c r="W65" s="546" t="e">
        <f t="shared" si="36"/>
        <v>#REF!</v>
      </c>
      <c r="X65" s="547" t="e">
        <f t="shared" si="37"/>
        <v>#REF!</v>
      </c>
      <c r="Y65" s="545">
        <f t="shared" si="42"/>
        <v>4486.9299999999994</v>
      </c>
      <c r="Z65" s="534" t="e">
        <f t="shared" si="43"/>
        <v>#REF!</v>
      </c>
      <c r="AA65" s="524" t="e">
        <f>$AB$58 + IF($B$2="mil",1,0.0254)*DDR2Specs!$E$9</f>
        <v>#REF!</v>
      </c>
      <c r="AB65" s="524" t="e">
        <f>$AA$58 + IF($B$2="mil",1,0.0254)*DDR2Specs!$F$9</f>
        <v>#REF!</v>
      </c>
      <c r="AC65" s="546" t="e">
        <f t="shared" si="38"/>
        <v>#REF!</v>
      </c>
      <c r="AD65" s="547" t="e">
        <f t="shared" si="39"/>
        <v>#REF!</v>
      </c>
      <c r="AE65" s="554"/>
      <c r="AF65" s="554"/>
      <c r="AG65" s="554"/>
      <c r="AH65" s="554"/>
      <c r="AI65" s="554"/>
      <c r="AJ65" s="554"/>
      <c r="AK65" s="554"/>
      <c r="AL65" s="554"/>
      <c r="AM65" s="561" t="s">
        <v>43</v>
      </c>
      <c r="AN65" s="528" t="e">
        <f t="shared" ca="1" si="44"/>
        <v>#NAME?</v>
      </c>
      <c r="AO65" s="528" t="e">
        <f t="shared" ca="1" si="45"/>
        <v>#NAME?</v>
      </c>
      <c r="AP65" s="528" t="e">
        <f t="shared" si="46"/>
        <v>#REF!</v>
      </c>
      <c r="AQ65" s="560" t="e">
        <f t="shared" si="47"/>
        <v>#REF!</v>
      </c>
      <c r="AR65" s="528" t="e">
        <f t="shared" si="48"/>
        <v>#REF!</v>
      </c>
      <c r="AS65" s="529" t="e">
        <f t="shared" si="49"/>
        <v>#REF!</v>
      </c>
      <c r="AT65" s="162" t="e">
        <f t="shared" ca="1" si="50"/>
        <v>#REF!</v>
      </c>
      <c r="AU65" s="3"/>
    </row>
    <row r="66" spans="14:47">
      <c r="N66" s="3"/>
      <c r="O66" s="3"/>
      <c r="P66" s="243" t="s">
        <v>44</v>
      </c>
      <c r="Q66" s="622">
        <v>135.08000000000001</v>
      </c>
      <c r="R66" s="622">
        <v>164.7</v>
      </c>
      <c r="S66" s="545">
        <f t="shared" si="40"/>
        <v>4265.46</v>
      </c>
      <c r="T66" s="534" t="e">
        <f t="shared" si="41"/>
        <v>#REF!</v>
      </c>
      <c r="U66" s="524" t="e">
        <f>$V$58 + IF($B$2="mil",1,0.0254)*DDR2Specs!$E$9</f>
        <v>#REF!</v>
      </c>
      <c r="V66" s="547" t="e">
        <f>$U$58 + IF($B$2="mil",1,0.0254)*DDR2Specs!$F$9</f>
        <v>#REF!</v>
      </c>
      <c r="W66" s="546" t="e">
        <f t="shared" si="36"/>
        <v>#REF!</v>
      </c>
      <c r="X66" s="547" t="e">
        <f t="shared" si="37"/>
        <v>#REF!</v>
      </c>
      <c r="Y66" s="545">
        <f t="shared" si="42"/>
        <v>4295.08</v>
      </c>
      <c r="Z66" s="534" t="e">
        <f t="shared" si="43"/>
        <v>#REF!</v>
      </c>
      <c r="AA66" s="524" t="e">
        <f>$AB$58 + IF($B$2="mil",1,0.0254)*DDR2Specs!$E$9</f>
        <v>#REF!</v>
      </c>
      <c r="AB66" s="524" t="e">
        <f>$AA$58 + IF($B$2="mil",1,0.0254)*DDR2Specs!$F$9</f>
        <v>#REF!</v>
      </c>
      <c r="AC66" s="546" t="e">
        <f t="shared" si="38"/>
        <v>#REF!</v>
      </c>
      <c r="AD66" s="547" t="e">
        <f t="shared" si="39"/>
        <v>#REF!</v>
      </c>
      <c r="AE66" s="554"/>
      <c r="AF66" s="554"/>
      <c r="AG66" s="554"/>
      <c r="AH66" s="554"/>
      <c r="AI66" s="554"/>
      <c r="AJ66" s="554"/>
      <c r="AK66" s="554"/>
      <c r="AL66" s="554"/>
      <c r="AM66" s="561" t="s">
        <v>44</v>
      </c>
      <c r="AN66" s="528" t="e">
        <f t="shared" ca="1" si="44"/>
        <v>#NAME?</v>
      </c>
      <c r="AO66" s="528" t="e">
        <f t="shared" ca="1" si="45"/>
        <v>#NAME?</v>
      </c>
      <c r="AP66" s="528" t="e">
        <f t="shared" si="46"/>
        <v>#REF!</v>
      </c>
      <c r="AQ66" s="560" t="e">
        <f t="shared" si="47"/>
        <v>#REF!</v>
      </c>
      <c r="AR66" s="528" t="e">
        <f t="shared" si="48"/>
        <v>#REF!</v>
      </c>
      <c r="AS66" s="529" t="e">
        <f t="shared" si="49"/>
        <v>#REF!</v>
      </c>
      <c r="AT66" s="162" t="e">
        <f t="shared" ca="1" si="50"/>
        <v>#REF!</v>
      </c>
      <c r="AU66" s="3"/>
    </row>
    <row r="67" spans="14:47">
      <c r="N67" s="3"/>
      <c r="O67" s="3"/>
      <c r="P67" s="243" t="s">
        <v>46</v>
      </c>
      <c r="Q67" s="622">
        <v>256.72000000000003</v>
      </c>
      <c r="R67" s="622">
        <v>318.58</v>
      </c>
      <c r="S67" s="545">
        <f t="shared" si="40"/>
        <v>4198.53</v>
      </c>
      <c r="T67" s="534" t="e">
        <f t="shared" si="41"/>
        <v>#REF!</v>
      </c>
      <c r="U67" s="524" t="e">
        <f>$V$58 + IF($B$2="mil",1,0.0254)*DDR2Specs!$E$9</f>
        <v>#REF!</v>
      </c>
      <c r="V67" s="547" t="e">
        <f>$U$58 + IF($B$2="mil",1,0.0254)*DDR2Specs!$F$9</f>
        <v>#REF!</v>
      </c>
      <c r="W67" s="546" t="e">
        <f t="shared" si="36"/>
        <v>#REF!</v>
      </c>
      <c r="X67" s="547" t="e">
        <f t="shared" si="37"/>
        <v>#REF!</v>
      </c>
      <c r="Y67" s="545">
        <f t="shared" si="42"/>
        <v>4260.3900000000003</v>
      </c>
      <c r="Z67" s="534" t="e">
        <f t="shared" si="43"/>
        <v>#REF!</v>
      </c>
      <c r="AA67" s="524" t="e">
        <f>$AB$58 + IF($B$2="mil",1,0.0254)*DDR2Specs!$E$9</f>
        <v>#REF!</v>
      </c>
      <c r="AB67" s="524" t="e">
        <f>$AA$58 + IF($B$2="mil",1,0.0254)*DDR2Specs!$F$9</f>
        <v>#REF!</v>
      </c>
      <c r="AC67" s="546" t="e">
        <f t="shared" si="38"/>
        <v>#REF!</v>
      </c>
      <c r="AD67" s="547" t="e">
        <f t="shared" si="39"/>
        <v>#REF!</v>
      </c>
      <c r="AE67" s="554"/>
      <c r="AF67" s="554"/>
      <c r="AG67" s="554"/>
      <c r="AH67" s="554"/>
      <c r="AI67" s="554"/>
      <c r="AJ67" s="554"/>
      <c r="AK67" s="554"/>
      <c r="AL67" s="554"/>
      <c r="AM67" s="561" t="s">
        <v>46</v>
      </c>
      <c r="AN67" s="528" t="e">
        <f t="shared" ca="1" si="44"/>
        <v>#NAME?</v>
      </c>
      <c r="AO67" s="528" t="e">
        <f t="shared" ca="1" si="45"/>
        <v>#NAME?</v>
      </c>
      <c r="AP67" s="528" t="e">
        <f t="shared" si="46"/>
        <v>#REF!</v>
      </c>
      <c r="AQ67" s="560" t="e">
        <f t="shared" si="47"/>
        <v>#REF!</v>
      </c>
      <c r="AR67" s="528" t="e">
        <f t="shared" si="48"/>
        <v>#REF!</v>
      </c>
      <c r="AS67" s="529" t="e">
        <f t="shared" si="49"/>
        <v>#REF!</v>
      </c>
      <c r="AT67" s="162" t="e">
        <f t="shared" ca="1" si="50"/>
        <v>#REF!</v>
      </c>
      <c r="AU67" s="3"/>
    </row>
    <row r="68" spans="14:47">
      <c r="N68" s="3"/>
      <c r="O68" s="3"/>
      <c r="P68" s="243" t="s">
        <v>47</v>
      </c>
      <c r="Q68" s="622">
        <v>255.28</v>
      </c>
      <c r="R68" s="622">
        <v>284.73</v>
      </c>
      <c r="S68" s="545">
        <f t="shared" si="40"/>
        <v>4165.25</v>
      </c>
      <c r="T68" s="534" t="e">
        <f t="shared" si="41"/>
        <v>#REF!</v>
      </c>
      <c r="U68" s="524" t="e">
        <f>$V$58 + IF($B$2="mil",1,0.0254)*DDR2Specs!$E$9</f>
        <v>#REF!</v>
      </c>
      <c r="V68" s="547" t="e">
        <f>$U$58 + IF($B$2="mil",1,0.0254)*DDR2Specs!$F$9</f>
        <v>#REF!</v>
      </c>
      <c r="W68" s="546" t="e">
        <f t="shared" si="36"/>
        <v>#REF!</v>
      </c>
      <c r="X68" s="547" t="e">
        <f t="shared" si="37"/>
        <v>#REF!</v>
      </c>
      <c r="Y68" s="545">
        <f t="shared" si="42"/>
        <v>4194.7</v>
      </c>
      <c r="Z68" s="534" t="e">
        <f t="shared" si="43"/>
        <v>#REF!</v>
      </c>
      <c r="AA68" s="524" t="e">
        <f>$AB$58 + IF($B$2="mil",1,0.0254)*DDR2Specs!$E$9</f>
        <v>#REF!</v>
      </c>
      <c r="AB68" s="524" t="e">
        <f>$AA$58 + IF($B$2="mil",1,0.0254)*DDR2Specs!$F$9</f>
        <v>#REF!</v>
      </c>
      <c r="AC68" s="546" t="e">
        <f t="shared" si="38"/>
        <v>#REF!</v>
      </c>
      <c r="AD68" s="547" t="e">
        <f t="shared" si="39"/>
        <v>#REF!</v>
      </c>
      <c r="AE68" s="554"/>
      <c r="AF68" s="554"/>
      <c r="AG68" s="554"/>
      <c r="AH68" s="554"/>
      <c r="AI68" s="554"/>
      <c r="AJ68" s="554"/>
      <c r="AK68" s="554"/>
      <c r="AL68" s="554"/>
      <c r="AM68" s="561" t="s">
        <v>47</v>
      </c>
      <c r="AN68" s="528" t="e">
        <f t="shared" ca="1" si="44"/>
        <v>#NAME?</v>
      </c>
      <c r="AO68" s="528" t="e">
        <f t="shared" ca="1" si="45"/>
        <v>#NAME?</v>
      </c>
      <c r="AP68" s="528" t="e">
        <f t="shared" si="46"/>
        <v>#REF!</v>
      </c>
      <c r="AQ68" s="560" t="e">
        <f t="shared" si="47"/>
        <v>#REF!</v>
      </c>
      <c r="AR68" s="528" t="e">
        <f t="shared" si="48"/>
        <v>#REF!</v>
      </c>
      <c r="AS68" s="529" t="e">
        <f t="shared" si="49"/>
        <v>#REF!</v>
      </c>
      <c r="AT68" s="162" t="e">
        <f t="shared" ca="1" si="50"/>
        <v>#REF!</v>
      </c>
      <c r="AU68" s="3"/>
    </row>
    <row r="69" spans="14:47">
      <c r="N69" s="3"/>
      <c r="O69" s="3"/>
      <c r="P69" s="243" t="s">
        <v>48</v>
      </c>
      <c r="Q69" s="622">
        <v>159.25</v>
      </c>
      <c r="R69" s="622">
        <v>221.46</v>
      </c>
      <c r="S69" s="545">
        <f t="shared" si="40"/>
        <v>4221.28</v>
      </c>
      <c r="T69" s="534" t="e">
        <f t="shared" si="41"/>
        <v>#REF!</v>
      </c>
      <c r="U69" s="524" t="e">
        <f>$V$58 + IF($B$2="mil",1,0.0254)*DDR2Specs!$E$9</f>
        <v>#REF!</v>
      </c>
      <c r="V69" s="547" t="e">
        <f>$U$58 + IF($B$2="mil",1,0.0254)*DDR2Specs!$F$9</f>
        <v>#REF!</v>
      </c>
      <c r="W69" s="546" t="e">
        <f t="shared" si="36"/>
        <v>#REF!</v>
      </c>
      <c r="X69" s="547" t="e">
        <f t="shared" si="37"/>
        <v>#REF!</v>
      </c>
      <c r="Y69" s="545">
        <f t="shared" si="42"/>
        <v>4283.49</v>
      </c>
      <c r="Z69" s="534" t="e">
        <f t="shared" si="43"/>
        <v>#REF!</v>
      </c>
      <c r="AA69" s="524" t="e">
        <f>$AB$58 + IF($B$2="mil",1,0.0254)*DDR2Specs!$E$9</f>
        <v>#REF!</v>
      </c>
      <c r="AB69" s="524" t="e">
        <f>$AA$58 + IF($B$2="mil",1,0.0254)*DDR2Specs!$F$9</f>
        <v>#REF!</v>
      </c>
      <c r="AC69" s="546" t="e">
        <f t="shared" si="38"/>
        <v>#REF!</v>
      </c>
      <c r="AD69" s="547" t="e">
        <f t="shared" si="39"/>
        <v>#REF!</v>
      </c>
      <c r="AE69" s="554"/>
      <c r="AF69" s="554"/>
      <c r="AG69" s="554"/>
      <c r="AH69" s="554"/>
      <c r="AI69" s="554"/>
      <c r="AJ69" s="554"/>
      <c r="AK69" s="554"/>
      <c r="AL69" s="554"/>
      <c r="AM69" s="561" t="s">
        <v>48</v>
      </c>
      <c r="AN69" s="528" t="e">
        <f t="shared" ca="1" si="44"/>
        <v>#NAME?</v>
      </c>
      <c r="AO69" s="528" t="e">
        <f t="shared" ca="1" si="45"/>
        <v>#NAME?</v>
      </c>
      <c r="AP69" s="528" t="e">
        <f t="shared" si="46"/>
        <v>#REF!</v>
      </c>
      <c r="AQ69" s="560" t="e">
        <f t="shared" si="47"/>
        <v>#REF!</v>
      </c>
      <c r="AR69" s="528" t="e">
        <f t="shared" si="48"/>
        <v>#REF!</v>
      </c>
      <c r="AS69" s="529" t="e">
        <f t="shared" si="49"/>
        <v>#REF!</v>
      </c>
      <c r="AT69" s="162" t="e">
        <f t="shared" ca="1" si="50"/>
        <v>#REF!</v>
      </c>
      <c r="AU69" s="3"/>
    </row>
    <row r="70" spans="14:47">
      <c r="N70" s="3"/>
      <c r="O70" s="3"/>
      <c r="P70" s="243" t="s">
        <v>50</v>
      </c>
      <c r="Q70" s="622">
        <v>158.11000000000001</v>
      </c>
      <c r="R70" s="622">
        <v>209.85</v>
      </c>
      <c r="S70" s="545">
        <f t="shared" si="40"/>
        <v>4414.2199999999993</v>
      </c>
      <c r="T70" s="534" t="e">
        <f t="shared" si="41"/>
        <v>#REF!</v>
      </c>
      <c r="U70" s="524" t="e">
        <f>$V$58 + IF($B$2="mil",1,0.0254)*DDR2Specs!$E$9</f>
        <v>#REF!</v>
      </c>
      <c r="V70" s="547" t="e">
        <f>$U$58 + IF($B$2="mil",1,0.0254)*DDR2Specs!$F$9</f>
        <v>#REF!</v>
      </c>
      <c r="W70" s="546" t="e">
        <f t="shared" si="36"/>
        <v>#REF!</v>
      </c>
      <c r="X70" s="547" t="e">
        <f t="shared" si="37"/>
        <v>#REF!</v>
      </c>
      <c r="Y70" s="545">
        <f t="shared" si="42"/>
        <v>4465.96</v>
      </c>
      <c r="Z70" s="534" t="e">
        <f t="shared" si="43"/>
        <v>#REF!</v>
      </c>
      <c r="AA70" s="524" t="e">
        <f>$AB$58 + IF($B$2="mil",1,0.0254)*DDR2Specs!$E$9</f>
        <v>#REF!</v>
      </c>
      <c r="AB70" s="524" t="e">
        <f>$AA$58 + IF($B$2="mil",1,0.0254)*DDR2Specs!$F$9</f>
        <v>#REF!</v>
      </c>
      <c r="AC70" s="546" t="e">
        <f t="shared" si="38"/>
        <v>#REF!</v>
      </c>
      <c r="AD70" s="547" t="e">
        <f t="shared" si="39"/>
        <v>#REF!</v>
      </c>
      <c r="AE70" s="554"/>
      <c r="AF70" s="554"/>
      <c r="AG70" s="554"/>
      <c r="AH70" s="554"/>
      <c r="AI70" s="554"/>
      <c r="AJ70" s="554"/>
      <c r="AK70" s="554"/>
      <c r="AL70" s="554"/>
      <c r="AM70" s="561" t="s">
        <v>50</v>
      </c>
      <c r="AN70" s="528" t="e">
        <f t="shared" ca="1" si="44"/>
        <v>#NAME?</v>
      </c>
      <c r="AO70" s="528" t="e">
        <f t="shared" ca="1" si="45"/>
        <v>#NAME?</v>
      </c>
      <c r="AP70" s="528" t="e">
        <f t="shared" si="46"/>
        <v>#REF!</v>
      </c>
      <c r="AQ70" s="560" t="e">
        <f t="shared" si="47"/>
        <v>#REF!</v>
      </c>
      <c r="AR70" s="528" t="e">
        <f t="shared" si="48"/>
        <v>#REF!</v>
      </c>
      <c r="AS70" s="529" t="e">
        <f t="shared" si="49"/>
        <v>#REF!</v>
      </c>
      <c r="AT70" s="162" t="e">
        <f t="shared" ca="1" si="50"/>
        <v>#REF!</v>
      </c>
      <c r="AU70" s="3"/>
    </row>
    <row r="71" spans="14:47">
      <c r="N71" s="3"/>
      <c r="O71" s="3"/>
      <c r="P71" s="243" t="s">
        <v>51</v>
      </c>
      <c r="Q71" s="622">
        <v>157.82</v>
      </c>
      <c r="R71" s="622">
        <v>181.24</v>
      </c>
      <c r="S71" s="545">
        <f t="shared" si="40"/>
        <v>4161.41</v>
      </c>
      <c r="T71" s="534" t="e">
        <f t="shared" si="41"/>
        <v>#REF!</v>
      </c>
      <c r="U71" s="524" t="e">
        <f>$V$58 + IF($B$2="mil",1,0.0254)*DDR2Specs!$E$9</f>
        <v>#REF!</v>
      </c>
      <c r="V71" s="547" t="e">
        <f>$U$58 + IF($B$2="mil",1,0.0254)*DDR2Specs!$F$9</f>
        <v>#REF!</v>
      </c>
      <c r="W71" s="546" t="e">
        <f t="shared" si="36"/>
        <v>#REF!</v>
      </c>
      <c r="X71" s="547" t="e">
        <f t="shared" si="37"/>
        <v>#REF!</v>
      </c>
      <c r="Y71" s="545">
        <f t="shared" si="42"/>
        <v>4184.83</v>
      </c>
      <c r="Z71" s="534" t="e">
        <f t="shared" si="43"/>
        <v>#REF!</v>
      </c>
      <c r="AA71" s="524" t="e">
        <f>$AB$58 + IF($B$2="mil",1,0.0254)*DDR2Specs!$E$9</f>
        <v>#REF!</v>
      </c>
      <c r="AB71" s="524" t="e">
        <f>$AA$58 + IF($B$2="mil",1,0.0254)*DDR2Specs!$F$9</f>
        <v>#REF!</v>
      </c>
      <c r="AC71" s="546" t="e">
        <f t="shared" si="38"/>
        <v>#REF!</v>
      </c>
      <c r="AD71" s="547" t="e">
        <f t="shared" si="39"/>
        <v>#REF!</v>
      </c>
      <c r="AE71" s="554"/>
      <c r="AF71" s="554"/>
      <c r="AG71" s="554"/>
      <c r="AH71" s="554"/>
      <c r="AI71" s="554"/>
      <c r="AJ71" s="554"/>
      <c r="AK71" s="554"/>
      <c r="AL71" s="554"/>
      <c r="AM71" s="561" t="s">
        <v>51</v>
      </c>
      <c r="AN71" s="528" t="e">
        <f t="shared" ca="1" si="44"/>
        <v>#NAME?</v>
      </c>
      <c r="AO71" s="528" t="e">
        <f t="shared" ca="1" si="45"/>
        <v>#NAME?</v>
      </c>
      <c r="AP71" s="528" t="e">
        <f t="shared" si="46"/>
        <v>#REF!</v>
      </c>
      <c r="AQ71" s="560" t="e">
        <f t="shared" si="47"/>
        <v>#REF!</v>
      </c>
      <c r="AR71" s="528" t="e">
        <f t="shared" si="48"/>
        <v>#REF!</v>
      </c>
      <c r="AS71" s="529" t="e">
        <f t="shared" si="49"/>
        <v>#REF!</v>
      </c>
      <c r="AT71" s="162" t="e">
        <f t="shared" ca="1" si="50"/>
        <v>#REF!</v>
      </c>
      <c r="AU71" s="3"/>
    </row>
    <row r="72" spans="14:47">
      <c r="N72" s="3"/>
      <c r="O72" s="3"/>
      <c r="P72" s="243" t="s">
        <v>52</v>
      </c>
      <c r="Q72" s="622">
        <v>170.19</v>
      </c>
      <c r="R72" s="622">
        <v>237.45</v>
      </c>
      <c r="S72" s="545">
        <f t="shared" si="40"/>
        <v>4562.8999999999996</v>
      </c>
      <c r="T72" s="534" t="e">
        <f t="shared" si="41"/>
        <v>#REF!</v>
      </c>
      <c r="U72" s="524" t="e">
        <f>$V$58 + IF($B$2="mil",1,0.0254)*DDR2Specs!$E$9</f>
        <v>#REF!</v>
      </c>
      <c r="V72" s="547" t="e">
        <f>$U$58 + IF($B$2="mil",1,0.0254)*DDR2Specs!$F$9</f>
        <v>#REF!</v>
      </c>
      <c r="W72" s="546" t="e">
        <f t="shared" si="36"/>
        <v>#REF!</v>
      </c>
      <c r="X72" s="547" t="e">
        <f t="shared" si="37"/>
        <v>#REF!</v>
      </c>
      <c r="Y72" s="545">
        <f t="shared" si="42"/>
        <v>4630.16</v>
      </c>
      <c r="Z72" s="534" t="e">
        <f t="shared" si="43"/>
        <v>#REF!</v>
      </c>
      <c r="AA72" s="524" t="e">
        <f>$AB$58 + IF($B$2="mil",1,0.0254)*DDR2Specs!$E$9</f>
        <v>#REF!</v>
      </c>
      <c r="AB72" s="524" t="e">
        <f>$AA$58 + IF($B$2="mil",1,0.0254)*DDR2Specs!$F$9</f>
        <v>#REF!</v>
      </c>
      <c r="AC72" s="546" t="e">
        <f t="shared" si="38"/>
        <v>#REF!</v>
      </c>
      <c r="AD72" s="547" t="e">
        <f t="shared" si="39"/>
        <v>#REF!</v>
      </c>
      <c r="AE72" s="554"/>
      <c r="AF72" s="554"/>
      <c r="AG72" s="554"/>
      <c r="AH72" s="554"/>
      <c r="AI72" s="554"/>
      <c r="AJ72" s="554"/>
      <c r="AK72" s="554"/>
      <c r="AL72" s="554"/>
      <c r="AM72" s="561" t="s">
        <v>52</v>
      </c>
      <c r="AN72" s="528" t="e">
        <f t="shared" ca="1" si="44"/>
        <v>#NAME?</v>
      </c>
      <c r="AO72" s="528" t="e">
        <f t="shared" ca="1" si="45"/>
        <v>#NAME?</v>
      </c>
      <c r="AP72" s="528" t="e">
        <f t="shared" si="46"/>
        <v>#REF!</v>
      </c>
      <c r="AQ72" s="560" t="e">
        <f t="shared" si="47"/>
        <v>#REF!</v>
      </c>
      <c r="AR72" s="528" t="e">
        <f t="shared" si="48"/>
        <v>#REF!</v>
      </c>
      <c r="AS72" s="529" t="e">
        <f t="shared" si="49"/>
        <v>#REF!</v>
      </c>
      <c r="AT72" s="162" t="e">
        <f t="shared" ca="1" si="50"/>
        <v>#REF!</v>
      </c>
      <c r="AU72" s="3"/>
    </row>
    <row r="73" spans="14:47">
      <c r="N73" s="3"/>
      <c r="O73" s="3"/>
      <c r="P73" s="243" t="s">
        <v>53</v>
      </c>
      <c r="Q73" s="622">
        <v>169.13</v>
      </c>
      <c r="R73" s="622">
        <v>198.17</v>
      </c>
      <c r="S73" s="545">
        <f t="shared" si="40"/>
        <v>4275.18</v>
      </c>
      <c r="T73" s="534" t="e">
        <f t="shared" si="41"/>
        <v>#REF!</v>
      </c>
      <c r="U73" s="524" t="e">
        <f>$V$58 + IF($B$2="mil",1,0.0254)*DDR2Specs!$E$9</f>
        <v>#REF!</v>
      </c>
      <c r="V73" s="547" t="e">
        <f>$U$58 + IF($B$2="mil",1,0.0254)*DDR2Specs!$F$9</f>
        <v>#REF!</v>
      </c>
      <c r="W73" s="546" t="e">
        <f t="shared" si="36"/>
        <v>#REF!</v>
      </c>
      <c r="X73" s="547" t="e">
        <f t="shared" si="37"/>
        <v>#REF!</v>
      </c>
      <c r="Y73" s="545">
        <f t="shared" si="42"/>
        <v>4304.22</v>
      </c>
      <c r="Z73" s="534" t="e">
        <f t="shared" si="43"/>
        <v>#REF!</v>
      </c>
      <c r="AA73" s="524" t="e">
        <f>$AB$58 + IF($B$2="mil",1,0.0254)*DDR2Specs!$E$9</f>
        <v>#REF!</v>
      </c>
      <c r="AB73" s="524" t="e">
        <f>$AA$58 + IF($B$2="mil",1,0.0254)*DDR2Specs!$F$9</f>
        <v>#REF!</v>
      </c>
      <c r="AC73" s="546" t="e">
        <f t="shared" si="38"/>
        <v>#REF!</v>
      </c>
      <c r="AD73" s="547" t="e">
        <f t="shared" si="39"/>
        <v>#REF!</v>
      </c>
      <c r="AE73" s="554"/>
      <c r="AF73" s="554"/>
      <c r="AG73" s="554"/>
      <c r="AH73" s="554"/>
      <c r="AI73" s="554"/>
      <c r="AJ73" s="554"/>
      <c r="AK73" s="554"/>
      <c r="AL73" s="554"/>
      <c r="AM73" s="561" t="s">
        <v>53</v>
      </c>
      <c r="AN73" s="528" t="e">
        <f t="shared" ca="1" si="44"/>
        <v>#NAME?</v>
      </c>
      <c r="AO73" s="528" t="e">
        <f t="shared" ca="1" si="45"/>
        <v>#NAME?</v>
      </c>
      <c r="AP73" s="528" t="e">
        <f t="shared" si="46"/>
        <v>#REF!</v>
      </c>
      <c r="AQ73" s="560" t="e">
        <f t="shared" si="47"/>
        <v>#REF!</v>
      </c>
      <c r="AR73" s="528" t="e">
        <f t="shared" si="48"/>
        <v>#REF!</v>
      </c>
      <c r="AS73" s="529" t="e">
        <f t="shared" si="49"/>
        <v>#REF!</v>
      </c>
      <c r="AT73" s="162" t="e">
        <f t="shared" ca="1" si="50"/>
        <v>#REF!</v>
      </c>
      <c r="AU73" s="3"/>
    </row>
    <row r="74" spans="14:47">
      <c r="N74" s="3"/>
      <c r="O74" s="3"/>
      <c r="P74" s="205" t="s">
        <v>230</v>
      </c>
      <c r="Q74" s="331"/>
      <c r="R74" s="331"/>
      <c r="S74" s="207"/>
      <c r="T74" s="207"/>
      <c r="U74" s="207"/>
      <c r="V74" s="571"/>
      <c r="W74" s="430"/>
      <c r="X74" s="430"/>
      <c r="Y74" s="207"/>
      <c r="Z74" s="207"/>
      <c r="AA74" s="207"/>
      <c r="AB74" s="207"/>
      <c r="AC74" s="430"/>
      <c r="AD74" s="430"/>
      <c r="AE74" s="554"/>
      <c r="AF74" s="554"/>
      <c r="AG74" s="554"/>
      <c r="AH74" s="554"/>
      <c r="AI74" s="554"/>
      <c r="AJ74" s="554"/>
      <c r="AK74" s="554"/>
      <c r="AL74" s="554"/>
      <c r="AM74" s="155" t="s">
        <v>230</v>
      </c>
      <c r="AN74" s="179"/>
      <c r="AO74" s="179"/>
      <c r="AP74" s="179"/>
      <c r="AQ74" s="562"/>
      <c r="AR74" s="179"/>
      <c r="AS74" s="562"/>
      <c r="AT74" s="3"/>
      <c r="AU74" s="3"/>
    </row>
    <row r="75" spans="14:47">
      <c r="N75" s="3"/>
      <c r="O75" s="3"/>
      <c r="P75" s="185" t="s">
        <v>54</v>
      </c>
      <c r="Q75" s="623">
        <v>111.06</v>
      </c>
      <c r="R75" s="623">
        <v>152.4</v>
      </c>
      <c r="S75" s="545">
        <f t="shared" si="40"/>
        <v>4310.38</v>
      </c>
      <c r="T75" s="534" t="e">
        <f t="shared" si="41"/>
        <v>#REF!</v>
      </c>
      <c r="U75" s="524" t="e">
        <f>$V$58 + IF($B$2="mil",1,0.0254)*DDR2Specs!$E$9</f>
        <v>#REF!</v>
      </c>
      <c r="V75" s="547" t="e">
        <f>$U$58 + IF($B$2="mil",1,0.0254)*DDR2Specs!$F$9</f>
        <v>#REF!</v>
      </c>
      <c r="W75" s="546" t="e">
        <f>IF($T75&lt;$U75,$U75-$T75,"Pass")</f>
        <v>#REF!</v>
      </c>
      <c r="X75" s="547" t="e">
        <f>IF($T75&gt;$V75,$T75-$V75,"Pass")</f>
        <v>#REF!</v>
      </c>
      <c r="Y75" s="545">
        <f t="shared" si="42"/>
        <v>4351.7199999999993</v>
      </c>
      <c r="Z75" s="534" t="e">
        <f t="shared" si="43"/>
        <v>#REF!</v>
      </c>
      <c r="AA75" s="524" t="e">
        <f>$AB$58 + IF($B$2="mil",1,0.0254)*DDR2Specs!$E$9</f>
        <v>#REF!</v>
      </c>
      <c r="AB75" s="524" t="e">
        <f>$AA$58 + IF($B$2="mil",1,0.0254)*DDR2Specs!$F$9</f>
        <v>#REF!</v>
      </c>
      <c r="AC75" s="546" t="e">
        <f>IF($Z75&lt;$AA75,$AA75-$Z75,"Pass")</f>
        <v>#REF!</v>
      </c>
      <c r="AD75" s="547" t="e">
        <f>IF($Z75&gt;$AB75,$Z75-$AB75,"Pass")</f>
        <v>#REF!</v>
      </c>
      <c r="AE75" s="554"/>
      <c r="AF75" s="554"/>
      <c r="AG75" s="554"/>
      <c r="AH75" s="554"/>
      <c r="AI75" s="554"/>
      <c r="AJ75" s="554"/>
      <c r="AK75" s="554"/>
      <c r="AL75" s="554"/>
      <c r="AM75" s="559" t="s">
        <v>54</v>
      </c>
      <c r="AN75" s="528" t="e">
        <f ca="1">CheckLength2(IF($B$2="mil",1,0.0254)*1200,N49,Q75,0)</f>
        <v>#NAME?</v>
      </c>
      <c r="AO75" s="528" t="e">
        <f ca="1">CheckLength2(IF($B$2="mil",1,0.0254)*1200,N49,R75,0)</f>
        <v>#NAME?</v>
      </c>
      <c r="AP75" s="528" t="e">
        <f>IF(AND(S75&gt;=IF($B$2="mil",1,0.0254)*500, $S75&lt;=IF($B$2="mil",1,0.0254)*6500),"Pass",IF($B$2="mil",1,0.0254)*6500-$S75)</f>
        <v>#REF!</v>
      </c>
      <c r="AQ75" s="560" t="e">
        <f>IF(AND($T75&gt;=IF($B$2="mil",1,0.0254)*500, $T75&lt;=IF($B$2="mil",1,0.0254)*7000),"Pass",IF($B$2="mil",1,0.0254)*7000-$T75)</f>
        <v>#REF!</v>
      </c>
      <c r="AR75" s="528" t="e">
        <f>IF(AND($Y75&gt;=IF($B$2="mil",1,0.0254)*500, $Y75&lt;=IF($B$2="mil",1,0.0254)*6500),"Pass",IF($B$2="mil",1,0.0254)*6500-$Y75)</f>
        <v>#REF!</v>
      </c>
      <c r="AS75" s="529" t="e">
        <f>IF(AND($Z75&gt;=IF($B$2="mil",1,0.0254)*500, $Z75&lt;=IF($B$2="mil",1,0.0254)*7000),"Pass",IF($B$2="mil",1,0.0254)*7000-$Z75)</f>
        <v>#REF!</v>
      </c>
      <c r="AT75" s="162" t="e">
        <f t="shared" ca="1" si="50"/>
        <v>#REF!</v>
      </c>
      <c r="AU75" s="3"/>
    </row>
    <row r="76" spans="14:47">
      <c r="N76" s="3"/>
      <c r="O76" s="3"/>
      <c r="P76" s="241" t="s">
        <v>55</v>
      </c>
      <c r="Q76" s="623">
        <v>74.88</v>
      </c>
      <c r="R76" s="623">
        <v>137.08000000000001</v>
      </c>
      <c r="S76" s="545">
        <f t="shared" si="40"/>
        <v>4407.8100000000004</v>
      </c>
      <c r="T76" s="534" t="e">
        <f t="shared" si="41"/>
        <v>#REF!</v>
      </c>
      <c r="U76" s="524" t="e">
        <f>$V$58 + IF($B$2="mil",1,0.0254)*DDR2Specs!$E$9</f>
        <v>#REF!</v>
      </c>
      <c r="V76" s="547" t="e">
        <f>$U$58 + IF($B$2="mil",1,0.0254)*DDR2Specs!$F$9</f>
        <v>#REF!</v>
      </c>
      <c r="W76" s="546" t="e">
        <f>IF($T76&lt;$U76,$U76-$T76,"Pass")</f>
        <v>#REF!</v>
      </c>
      <c r="X76" s="547" t="e">
        <f>IF($T76&gt;$V76,$T76-$V76,"Pass")</f>
        <v>#REF!</v>
      </c>
      <c r="Y76" s="545">
        <f t="shared" si="42"/>
        <v>4470.01</v>
      </c>
      <c r="Z76" s="534" t="e">
        <f t="shared" si="43"/>
        <v>#REF!</v>
      </c>
      <c r="AA76" s="524" t="e">
        <f>$AB$58 + IF($B$2="mil",1,0.0254)*DDR2Specs!$E$9</f>
        <v>#REF!</v>
      </c>
      <c r="AB76" s="524" t="e">
        <f>$AA$58 + IF($B$2="mil",1,0.0254)*DDR2Specs!$F$9</f>
        <v>#REF!</v>
      </c>
      <c r="AC76" s="546" t="e">
        <f>IF($Z76&lt;$AA76,$AA76-$Z76,"Pass")</f>
        <v>#REF!</v>
      </c>
      <c r="AD76" s="547" t="e">
        <f>IF($Z76&gt;$AB76,$Z76-$AB76,"Pass")</f>
        <v>#REF!</v>
      </c>
      <c r="AE76" s="554"/>
      <c r="AF76" s="554"/>
      <c r="AG76" s="554"/>
      <c r="AH76" s="554"/>
      <c r="AI76" s="554"/>
      <c r="AJ76" s="554"/>
      <c r="AK76" s="554"/>
      <c r="AL76" s="554"/>
      <c r="AM76" s="563" t="s">
        <v>55</v>
      </c>
      <c r="AN76" s="528" t="e">
        <f ca="1">CheckLength2(IF($B$2="mil",1,0.0254)*1200,N50,Q76,0)</f>
        <v>#NAME?</v>
      </c>
      <c r="AO76" s="528" t="e">
        <f ca="1">CheckLength2(IF($B$2="mil",1,0.0254)*1200,N50,R76,0)</f>
        <v>#NAME?</v>
      </c>
      <c r="AP76" s="528" t="e">
        <f>IF(AND(S76&gt;=IF($B$2="mil",1,0.0254)*500, $S76&lt;=IF($B$2="mil",1,0.0254)*6500),"Pass",IF($B$2="mil",1,0.0254)*6500-$S76)</f>
        <v>#REF!</v>
      </c>
      <c r="AQ76" s="560" t="e">
        <f>IF(AND($T76&gt;=IF($B$2="mil",1,0.0254)*500, $T76&lt;=IF($B$2="mil",1,0.0254)*7000),"Pass",IF($B$2="mil",1,0.0254)*7000-$T76)</f>
        <v>#REF!</v>
      </c>
      <c r="AR76" s="528" t="e">
        <f>IF(AND($Y76&gt;=IF($B$2="mil",1,0.0254)*500, $Y76&lt;=IF($B$2="mil",1,0.0254)*6500),"Pass",IF($B$2="mil",1,0.0254)*6500-$Y76)</f>
        <v>#REF!</v>
      </c>
      <c r="AS76" s="529" t="e">
        <f>IF(AND($Z76&gt;=IF($B$2="mil",1,0.0254)*500, $Z76&lt;=IF($B$2="mil",1,0.0254)*7000),"Pass",IF($B$2="mil",1,0.0254)*7000-$Z76)</f>
        <v>#REF!</v>
      </c>
      <c r="AT76" s="162" t="e">
        <f t="shared" ca="1" si="50"/>
        <v>#REF!</v>
      </c>
      <c r="AU76" s="3"/>
    </row>
    <row r="77" spans="14:47">
      <c r="N77" s="3"/>
      <c r="O77" s="3"/>
      <c r="P77" s="241" t="s">
        <v>56</v>
      </c>
      <c r="Q77" s="623">
        <v>157.32</v>
      </c>
      <c r="R77" s="623">
        <v>179.65</v>
      </c>
      <c r="S77" s="545">
        <f t="shared" si="40"/>
        <v>4466.66</v>
      </c>
      <c r="T77" s="534" t="e">
        <f t="shared" si="41"/>
        <v>#REF!</v>
      </c>
      <c r="U77" s="524" t="e">
        <f>$V$58 + IF($B$2="mil",1,0.0254)*DDR2Specs!$E$9</f>
        <v>#REF!</v>
      </c>
      <c r="V77" s="547" t="e">
        <f>$U$58 + IF($B$2="mil",1,0.0254)*DDR2Specs!$F$9</f>
        <v>#REF!</v>
      </c>
      <c r="W77" s="546" t="e">
        <f>IF($T77&lt;$U77,$U77-$T77,"Pass")</f>
        <v>#REF!</v>
      </c>
      <c r="X77" s="547" t="e">
        <f>IF($T77&gt;$V77,$T77-$V77,"Pass")</f>
        <v>#REF!</v>
      </c>
      <c r="Y77" s="545">
        <f t="shared" si="42"/>
        <v>4488.99</v>
      </c>
      <c r="Z77" s="534" t="e">
        <f t="shared" si="43"/>
        <v>#REF!</v>
      </c>
      <c r="AA77" s="524" t="e">
        <f>$AB$58 + IF($B$2="mil",1,0.0254)*DDR2Specs!$E$9</f>
        <v>#REF!</v>
      </c>
      <c r="AB77" s="524" t="e">
        <f>$AA$58 + IF($B$2="mil",1,0.0254)*DDR2Specs!$F$9</f>
        <v>#REF!</v>
      </c>
      <c r="AC77" s="546" t="e">
        <f>IF($Z77&lt;$AA77,$AA77-$Z77,"Pass")</f>
        <v>#REF!</v>
      </c>
      <c r="AD77" s="547" t="e">
        <f>IF($Z77&gt;$AB77,$Z77-$AB77,"Pass")</f>
        <v>#REF!</v>
      </c>
      <c r="AE77" s="554"/>
      <c r="AF77" s="554"/>
      <c r="AG77" s="554"/>
      <c r="AH77" s="554"/>
      <c r="AI77" s="554"/>
      <c r="AJ77" s="554"/>
      <c r="AK77" s="564"/>
      <c r="AL77" s="554"/>
      <c r="AM77" s="563" t="s">
        <v>56</v>
      </c>
      <c r="AN77" s="528" t="e">
        <f ca="1">CheckLength2(IF($B$2="mil",1,0.0254)*1200,N51,Q77,0)</f>
        <v>#NAME?</v>
      </c>
      <c r="AO77" s="528" t="e">
        <f ca="1">CheckLength2(IF($B$2="mil",1,0.0254)*1200,N51,R77,0)</f>
        <v>#NAME?</v>
      </c>
      <c r="AP77" s="528" t="e">
        <f>IF(AND(S77&gt;=IF($B$2="mil",1,0.0254)*500, $S77&lt;=IF($B$2="mil",1,0.0254)*6500),"Pass",IF($B$2="mil",1,0.0254)*6500-$S77)</f>
        <v>#REF!</v>
      </c>
      <c r="AQ77" s="560" t="e">
        <f>IF(AND($T77&gt;=IF($B$2="mil",1,0.0254)*500, $T77&lt;=IF($B$2="mil",1,0.0254)*7000),"Pass",IF($B$2="mil",1,0.0254)*7000-$T77)</f>
        <v>#REF!</v>
      </c>
      <c r="AR77" s="528" t="e">
        <f>IF(AND($Y77&gt;=IF($B$2="mil",1,0.0254)*500, $Y77&lt;=IF($B$2="mil",1,0.0254)*6500),"Pass",IF($B$2="mil",1,0.0254)*6500-$Y77)</f>
        <v>#REF!</v>
      </c>
      <c r="AS77" s="529" t="e">
        <f>IF(AND($Z77&gt;=IF($B$2="mil",1,0.0254)*500, $Z77&lt;=IF($B$2="mil",1,0.0254)*7000),"Pass",IF($B$2="mil",1,0.0254)*7000-$Z77)</f>
        <v>#REF!</v>
      </c>
      <c r="AT77" s="162" t="e">
        <f t="shared" ca="1" si="50"/>
        <v>#REF!</v>
      </c>
      <c r="AU77" s="3"/>
    </row>
    <row r="78" spans="14:47">
      <c r="N78" s="3"/>
      <c r="O78" s="3"/>
      <c r="P78" s="205" t="s">
        <v>231</v>
      </c>
      <c r="Q78" s="207"/>
      <c r="R78" s="207"/>
      <c r="S78" s="207"/>
      <c r="T78" s="207"/>
      <c r="U78" s="207"/>
      <c r="V78" s="571"/>
      <c r="W78" s="430"/>
      <c r="X78" s="430"/>
      <c r="Y78" s="207"/>
      <c r="Z78" s="207"/>
      <c r="AA78" s="207"/>
      <c r="AB78" s="207"/>
      <c r="AC78" s="430"/>
      <c r="AD78" s="430"/>
      <c r="AE78" s="554"/>
      <c r="AF78" s="554"/>
      <c r="AG78" s="554"/>
      <c r="AH78" s="554"/>
      <c r="AI78" s="554"/>
      <c r="AJ78" s="554"/>
      <c r="AK78" s="554"/>
      <c r="AL78" s="554"/>
      <c r="AM78" s="155" t="s">
        <v>231</v>
      </c>
      <c r="AN78" s="430"/>
      <c r="AO78" s="430"/>
      <c r="AP78" s="430"/>
      <c r="AQ78" s="562"/>
      <c r="AR78" s="430"/>
      <c r="AS78" s="562"/>
      <c r="AT78" s="3"/>
      <c r="AU78" s="3"/>
    </row>
    <row r="79" spans="14:47">
      <c r="N79" s="3"/>
      <c r="O79" s="3"/>
      <c r="P79" s="185" t="s">
        <v>58</v>
      </c>
      <c r="Q79" s="623">
        <v>76.510000000000005</v>
      </c>
      <c r="R79" s="623">
        <v>98.38</v>
      </c>
      <c r="S79" s="545">
        <f t="shared" si="40"/>
        <v>4286.3500000000004</v>
      </c>
      <c r="T79" s="534" t="e">
        <f t="shared" si="41"/>
        <v>#REF!</v>
      </c>
      <c r="U79" s="524" t="e">
        <f>$V$58 + IF($B$2="mil",1,0.0254)*DDR2Specs!$E$9</f>
        <v>#REF!</v>
      </c>
      <c r="V79" s="547" t="e">
        <f>$U$58 + IF($B$2="mil",1,0.0254)*DDR2Specs!$F$9</f>
        <v>#REF!</v>
      </c>
      <c r="W79" s="546" t="e">
        <f>IF($T79&lt;$U79,$U79-$T79,"Pass")</f>
        <v>#REF!</v>
      </c>
      <c r="X79" s="547" t="e">
        <f>IF($T79&gt;$V79,$T79-$V79,"Pass")</f>
        <v>#REF!</v>
      </c>
      <c r="Y79" s="545">
        <f t="shared" si="42"/>
        <v>4308.22</v>
      </c>
      <c r="Z79" s="534" t="e">
        <f t="shared" si="43"/>
        <v>#REF!</v>
      </c>
      <c r="AA79" s="524" t="e">
        <f>$AB$58 + IF($B$2="mil",1,0.0254)*DDR2Specs!$E$9</f>
        <v>#REF!</v>
      </c>
      <c r="AB79" s="524" t="e">
        <f>$AA$58 + IF($B$2="mil",1,0.0254)*DDR2Specs!$F$9</f>
        <v>#REF!</v>
      </c>
      <c r="AC79" s="546" t="e">
        <f>IF($Z79&lt;$AA79,$AA79-$Z79,"Pass")</f>
        <v>#REF!</v>
      </c>
      <c r="AD79" s="547" t="e">
        <f>IF($Z79&gt;$AB79,$Z79-$AB79,"Pass")</f>
        <v>#REF!</v>
      </c>
      <c r="AE79" s="554"/>
      <c r="AF79" s="554"/>
      <c r="AG79" s="554"/>
      <c r="AH79" s="554"/>
      <c r="AI79" s="554"/>
      <c r="AJ79" s="554"/>
      <c r="AK79" s="554"/>
      <c r="AL79" s="554"/>
      <c r="AM79" s="559" t="s">
        <v>58</v>
      </c>
      <c r="AN79" s="528" t="e">
        <f ca="1">CheckLength2(IF($B$2="mil",1,0.0254)*1200,N53,Q79,0)</f>
        <v>#NAME?</v>
      </c>
      <c r="AO79" s="528" t="e">
        <f ca="1">CheckLength2(IF($B$2="mil",1,0.0254)*1200,N53,R79,0)</f>
        <v>#NAME?</v>
      </c>
      <c r="AP79" s="528" t="e">
        <f>IF(AND(S79&gt;=IF($B$2="mil",1,0.0254)*500, $S79&lt;=IF($B$2="mil",1,0.0254)*6500),"Pass",IF($B$2="mil",1,0.0254)*6500-$S79)</f>
        <v>#REF!</v>
      </c>
      <c r="AQ79" s="560" t="e">
        <f>IF(AND($T79&gt;=IF($B$2="mil",1,0.0254)*500, $T79&lt;=IF($B$2="mil",1,0.0254)*7000),"Pass",IF($B$2="mil",1,0.0254)*7000-$T79)</f>
        <v>#REF!</v>
      </c>
      <c r="AR79" s="528" t="e">
        <f>IF(AND($Y79&gt;=IF($B$2="mil",1,0.0254)*500, $Y79&lt;=IF($B$2="mil",1,0.0254)*6500),"Pass",IF($B$2="mil",1,0.0254)*6500-$Y79)</f>
        <v>#REF!</v>
      </c>
      <c r="AS79" s="529" t="e">
        <f>IF(AND($Z79&gt;=IF($B$2="mil",1,0.0254)*500, $Z79&lt;=IF($B$2="mil",1,0.0254)*7000),"Pass",IF($B$2="mil",1,0.0254)*7000-$Z79)</f>
        <v>#REF!</v>
      </c>
      <c r="AT79" s="162" t="e">
        <f t="shared" ca="1" si="50"/>
        <v>#REF!</v>
      </c>
      <c r="AU79" s="3"/>
    </row>
    <row r="80" spans="14:47">
      <c r="N80" s="3"/>
      <c r="O80" s="3"/>
      <c r="P80" s="240" t="s">
        <v>59</v>
      </c>
      <c r="Q80" s="623">
        <v>82.91</v>
      </c>
      <c r="R80" s="623">
        <v>95.65</v>
      </c>
      <c r="S80" s="545">
        <f t="shared" si="40"/>
        <v>4217.33</v>
      </c>
      <c r="T80" s="534" t="e">
        <f t="shared" si="41"/>
        <v>#REF!</v>
      </c>
      <c r="U80" s="524" t="e">
        <f>$V$58 + IF($B$2="mil",1,0.0254)*DDR2Specs!$E$9</f>
        <v>#REF!</v>
      </c>
      <c r="V80" s="547" t="e">
        <f>$U$58 + IF($B$2="mil",1,0.0254)*DDR2Specs!$F$9</f>
        <v>#REF!</v>
      </c>
      <c r="W80" s="546" t="e">
        <f>IF($T80&lt;$U80,$U80-$T80,"Pass")</f>
        <v>#REF!</v>
      </c>
      <c r="X80" s="547" t="e">
        <f>IF($T80&gt;$V80,$T80-$V80,"Pass")</f>
        <v>#REF!</v>
      </c>
      <c r="Y80" s="545">
        <f t="shared" si="42"/>
        <v>4230.07</v>
      </c>
      <c r="Z80" s="534" t="e">
        <f t="shared" si="43"/>
        <v>#REF!</v>
      </c>
      <c r="AA80" s="524" t="e">
        <f>$AB$58 + IF($B$2="mil",1,0.0254)*DDR2Specs!$E$9</f>
        <v>#REF!</v>
      </c>
      <c r="AB80" s="524" t="e">
        <f>$AA$58 + IF($B$2="mil",1,0.0254)*DDR2Specs!$F$9</f>
        <v>#REF!</v>
      </c>
      <c r="AC80" s="546" t="e">
        <f>IF($Z80&lt;$AA80,$AA80-$Z80,"Pass")</f>
        <v>#REF!</v>
      </c>
      <c r="AD80" s="547" t="e">
        <f>IF($Z80&gt;$AB80,$Z80-$AB80,"Pass")</f>
        <v>#REF!</v>
      </c>
      <c r="AE80" s="554"/>
      <c r="AF80" s="554"/>
      <c r="AG80" s="554"/>
      <c r="AH80" s="554"/>
      <c r="AI80" s="554"/>
      <c r="AJ80" s="554"/>
      <c r="AK80" s="554"/>
      <c r="AL80" s="554"/>
      <c r="AM80" s="561" t="s">
        <v>59</v>
      </c>
      <c r="AN80" s="528" t="e">
        <f ca="1">CheckLength2(IF($B$2="mil",1,0.0254)*1200,N54,Q80,0)</f>
        <v>#NAME?</v>
      </c>
      <c r="AO80" s="528" t="e">
        <f ca="1">CheckLength2(IF($B$2="mil",1,0.0254)*1200,N54,R80,0)</f>
        <v>#NAME?</v>
      </c>
      <c r="AP80" s="528" t="e">
        <f>IF(AND(S80&gt;=IF($B$2="mil",1,0.0254)*500, $S80&lt;=IF($B$2="mil",1,0.0254)*6500),"Pass",IF($B$2="mil",1,0.0254)*6500-$S80)</f>
        <v>#REF!</v>
      </c>
      <c r="AQ80" s="560" t="e">
        <f>IF(AND($T80&gt;=IF($B$2="mil",1,0.0254)*500, $T80&lt;=IF($B$2="mil",1,0.0254)*7000),"Pass",IF($B$2="mil",1,0.0254)*7000-$T80)</f>
        <v>#REF!</v>
      </c>
      <c r="AR80" s="528" t="e">
        <f>IF(AND($Y80&gt;=IF($B$2="mil",1,0.0254)*500, $Y80&lt;=IF($B$2="mil",1,0.0254)*6500),"Pass",IF($B$2="mil",1,0.0254)*6500-$Y80)</f>
        <v>#REF!</v>
      </c>
      <c r="AS80" s="529" t="e">
        <f>IF(AND($Z80&gt;=IF($B$2="mil",1,0.0254)*500, $Z80&lt;=IF($B$2="mil",1,0.0254)*7000),"Pass",IF($B$2="mil",1,0.0254)*7000-$Z80)</f>
        <v>#REF!</v>
      </c>
      <c r="AT80" s="162" t="e">
        <f t="shared" ca="1" si="50"/>
        <v>#REF!</v>
      </c>
      <c r="AU80" s="3"/>
    </row>
    <row r="81" spans="5:47">
      <c r="M81" s="353"/>
      <c r="N81" s="3"/>
      <c r="O81" s="3"/>
      <c r="P81" s="240" t="s">
        <v>60</v>
      </c>
      <c r="Q81" s="623">
        <v>107.41</v>
      </c>
      <c r="R81" s="623">
        <v>46.82</v>
      </c>
      <c r="S81" s="545">
        <f t="shared" si="40"/>
        <v>4362.95</v>
      </c>
      <c r="T81" s="534" t="e">
        <f>$S81+IF($B$2="mil",1,0.0254)*$C55</f>
        <v>#REF!</v>
      </c>
      <c r="U81" s="524" t="e">
        <f>$V$58 + IF($B$2="mil",1,0.0254)*DDR2Specs!$E$9</f>
        <v>#REF!</v>
      </c>
      <c r="V81" s="547" t="e">
        <f>$U$58 + IF($B$2="mil",1,0.0254)*DDR2Specs!$F$9</f>
        <v>#REF!</v>
      </c>
      <c r="W81" s="546" t="e">
        <f>IF($T81&lt;$U81,$U81-$T81,"Pass")</f>
        <v>#REF!</v>
      </c>
      <c r="X81" s="547" t="e">
        <f>IF($T81&gt;$V81,$T81-$V81,"Pass")</f>
        <v>#REF!</v>
      </c>
      <c r="Y81" s="545">
        <f t="shared" si="42"/>
        <v>4302.3599999999997</v>
      </c>
      <c r="Z81" s="534" t="e">
        <f>$Y81+IF($B$2="mil",1,0.0254)*$C55</f>
        <v>#REF!</v>
      </c>
      <c r="AA81" s="524" t="e">
        <f>$AB$58 + IF($B$2="mil",1,0.0254)*DDR2Specs!$E$9</f>
        <v>#REF!</v>
      </c>
      <c r="AB81" s="524" t="e">
        <f>$AA$58 + IF($B$2="mil",1,0.0254)*DDR2Specs!$F$9</f>
        <v>#REF!</v>
      </c>
      <c r="AC81" s="546" t="e">
        <f>IF($Z81&lt;$AA81,$AA81-$Z81,"Pass")</f>
        <v>#REF!</v>
      </c>
      <c r="AD81" s="547" t="e">
        <f>IF($Z81&gt;$AB81,$Z81-$AB81,"Pass")</f>
        <v>#REF!</v>
      </c>
      <c r="AE81" s="554"/>
      <c r="AF81" s="554"/>
      <c r="AG81" s="554"/>
      <c r="AH81" s="554"/>
      <c r="AI81" s="554"/>
      <c r="AJ81" s="554"/>
      <c r="AK81" s="554"/>
      <c r="AL81" s="554"/>
      <c r="AM81" s="561" t="s">
        <v>60</v>
      </c>
      <c r="AN81" s="528" t="e">
        <f ca="1">CheckLength2(IF($B$2="mil",1,0.0254)*1200,N55,Q81,0)</f>
        <v>#NAME?</v>
      </c>
      <c r="AO81" s="528" t="e">
        <f ca="1">CheckLength2(IF($B$2="mil",1,0.0254)*1200,N55,R81,0)</f>
        <v>#NAME?</v>
      </c>
      <c r="AP81" s="528" t="e">
        <f>IF(AND(S81&gt;=IF($B$2="mil",1,0.0254)*500, $S81&lt;=IF($B$2="mil",1,0.0254)*6500),"Pass",IF($B$2="mil",1,0.0254)*6500-$S81)</f>
        <v>#REF!</v>
      </c>
      <c r="AQ81" s="560" t="e">
        <f>IF(AND($T81&gt;=IF($B$2="mil",1,0.0254)*500, $T81&lt;=IF($B$2="mil",1,0.0254)*7000),"Pass",IF($B$2="mil",1,0.0254)*7000-$T81)</f>
        <v>#REF!</v>
      </c>
      <c r="AR81" s="528" t="e">
        <f>IF(AND($Y81&gt;=IF($B$2="mil",1,0.0254)*500, $Y81&lt;=IF($B$2="mil",1,0.0254)*6500),"Pass",IF($B$2="mil",1,0.0254)*6500-$Y81)</f>
        <v>#REF!</v>
      </c>
      <c r="AS81" s="529" t="e">
        <f>IF(AND($Z81&gt;=IF($B$2="mil",1,0.0254)*500, $Z81&lt;=IF($B$2="mil",1,0.0254)*7000),"Pass",IF($B$2="mil",1,0.0254)*7000-$Z81)</f>
        <v>#REF!</v>
      </c>
      <c r="AT81" s="162" t="e">
        <f t="shared" ca="1" si="50"/>
        <v>#REF!</v>
      </c>
      <c r="AU81" s="3"/>
    </row>
    <row r="82" spans="5:47">
      <c r="N82" s="329" t="s">
        <v>457</v>
      </c>
      <c r="O82" s="329"/>
      <c r="P82" s="144" t="e">
        <f>"Trace L6-2 ["&amp;$B$2&amp;"]"</f>
        <v>#REF!</v>
      </c>
      <c r="Q82" s="144" t="e">
        <f>"Trace L8-5 to U3 ["&amp;$B$2&amp;"]"</f>
        <v>#REF!</v>
      </c>
      <c r="R82" s="144" t="e">
        <f>"Trace L8-6 to U7 ["&amp;$B$2&amp;"]"</f>
        <v>#REF!</v>
      </c>
      <c r="S82" s="550" t="e">
        <f>"Total MB Length to U3 (L0+L1+L2+L5+L6-2+L8-5) ["&amp;$B$2&amp;"]"</f>
        <v>#REF!</v>
      </c>
      <c r="T82" s="550" t="e">
        <f>"Total Pad to Pin U3 (P1+L0+L1+L2+L5+L6-2+L8-5) ["&amp;$B$2&amp;"]"</f>
        <v>#REF!</v>
      </c>
      <c r="U82" s="551" t="e">
        <f>"Target Min Length to U3["&amp;$B$2&amp;"]"</f>
        <v>#REF!</v>
      </c>
      <c r="V82" s="552" t="e">
        <f>"Target Max Length to U3 ["&amp;$B$2&amp;"]"</f>
        <v>#REF!</v>
      </c>
      <c r="W82" s="553" t="e">
        <f>"Routed Too Short to U3 [" &amp;$B$2&amp;"]"</f>
        <v>#REF!</v>
      </c>
      <c r="X82" s="551" t="e">
        <f>"Routed Too Long to U3 [" &amp;$B$2&amp;"]"</f>
        <v>#REF!</v>
      </c>
      <c r="Y82" s="550" t="e">
        <f>"Total MB Length to U7 (L0+L1+L2+L5+L6-2+L8-6) ["&amp;$B$2&amp;"]"</f>
        <v>#REF!</v>
      </c>
      <c r="Z82" s="550" t="e">
        <f>"Total Pad to Pin U7 (P1+L0+L1+L2+L5+L6-2+L8-6) ["&amp;$B$2&amp;"]"</f>
        <v>#REF!</v>
      </c>
      <c r="AA82" s="551" t="e">
        <f>"Target Min Length to U7["&amp;$B$2&amp;"]"</f>
        <v>#REF!</v>
      </c>
      <c r="AB82" s="552" t="e">
        <f>"Target Max Length to U7 ["&amp;$B$2&amp;"]"</f>
        <v>#REF!</v>
      </c>
      <c r="AC82" s="553" t="e">
        <f>"Routed Too Short to U7 [" &amp;$B$2&amp;"]"</f>
        <v>#REF!</v>
      </c>
      <c r="AD82" s="551" t="e">
        <f>"Routed Too Long to U7 [" &amp;$B$2&amp;"]"</f>
        <v>#REF!</v>
      </c>
      <c r="AE82" s="554"/>
      <c r="AF82" s="554"/>
      <c r="AG82" s="554"/>
      <c r="AH82" s="554"/>
      <c r="AI82" s="555" t="s">
        <v>457</v>
      </c>
      <c r="AJ82" s="556" t="e">
        <f>"L6-2 Length Test (&lt;=" &amp; IF($B$2="mil",1,0.0254)*1000&amp;$B$2&amp;")"</f>
        <v>#REF!</v>
      </c>
      <c r="AK82" s="554"/>
      <c r="AL82" s="554"/>
      <c r="AM82" s="555" t="s">
        <v>457</v>
      </c>
      <c r="AN82" s="556" t="e">
        <f>"L8-5 Length Test (&lt;=" &amp; IF($B$2="mil",1,0.0254)*200&amp;$B$2&amp;") or (L6-2+L8-5&lt;= "&amp;IF($B$2="mil",1,0.0254)*1200&amp;$B$2&amp;")"</f>
        <v>#REF!</v>
      </c>
      <c r="AO82" s="556" t="e">
        <f>"L8-6 Length Test (&lt;=" &amp; IF($B$2="mil",1,0.0254)*200&amp;$B$2&amp;") or (L6-2+L8-6&lt;= "&amp;IF($B$2="mil",1,0.0254)*1200&amp;$B$2&amp;")"</f>
        <v>#REF!</v>
      </c>
      <c r="AP82" s="552" t="e">
        <f>"Total Length to U3 (L0+L1+L2+L5+L6-2+L8-5) Test ("&amp;IF($B$2="mil",1,0.0254)*500&amp;"-"&amp;IF($B$2="mil",1,0.0254)*6500&amp;IF($B$2="mil","mil","mm")&amp;")"</f>
        <v>#REF!</v>
      </c>
      <c r="AQ82" s="552" t="e">
        <f>"Total Length to U3 (P1+L0+L1+L2+L5+L6-2+L8-5) Test (&lt;="&amp;IF($B$2="mil",1,25.4)*7000&amp;IF($B$2="mil","mil","mm")&amp;")"</f>
        <v>#REF!</v>
      </c>
      <c r="AR82" s="556" t="e">
        <f>"Total Length to U7 (L0+L1+L2+L5+L6-2+L8-6) Test ("&amp;IF($B$2="mil",1,0.0254)*500&amp;"-"&amp;IF($B$2="mil",1,0.0254)*6500&amp;IF($B$2="mil","mil","mm")&amp;")"</f>
        <v>#REF!</v>
      </c>
      <c r="AS82" s="552" t="e">
        <f>"Total Length to U7 (P1+L0+L1+L2+L5+L6-2+L8-6) Test (&lt;="&amp;IF($B$2="mil",1,25.4)*7000&amp;IF($B$2="mil","mil","mm")&amp;")"</f>
        <v>#REF!</v>
      </c>
      <c r="AT82" s="3"/>
      <c r="AU82" s="3"/>
    </row>
    <row r="83" spans="5:47">
      <c r="N83" s="155" t="s">
        <v>210</v>
      </c>
      <c r="O83" s="155"/>
      <c r="P83" s="156"/>
      <c r="Q83" s="156"/>
      <c r="R83" s="156"/>
      <c r="S83" s="156"/>
      <c r="T83" s="156"/>
      <c r="U83" s="156"/>
      <c r="V83" s="430"/>
      <c r="W83" s="156"/>
      <c r="X83" s="156"/>
      <c r="Y83" s="156"/>
      <c r="Z83" s="156"/>
      <c r="AA83" s="156"/>
      <c r="AB83" s="156"/>
      <c r="AC83" s="156"/>
      <c r="AD83" s="156"/>
      <c r="AE83" s="554"/>
      <c r="AF83" s="554"/>
      <c r="AG83" s="554"/>
      <c r="AH83" s="554"/>
      <c r="AI83" s="155" t="s">
        <v>210</v>
      </c>
      <c r="AJ83" s="156"/>
      <c r="AK83" s="554"/>
      <c r="AL83" s="554"/>
      <c r="AM83" s="155" t="s">
        <v>210</v>
      </c>
      <c r="AN83" s="156"/>
      <c r="AO83" s="156"/>
      <c r="AP83" s="156"/>
      <c r="AQ83" s="158"/>
      <c r="AR83" s="156"/>
      <c r="AS83" s="158"/>
      <c r="AT83" s="3"/>
      <c r="AU83" s="3"/>
    </row>
    <row r="84" spans="5:47">
      <c r="N84" s="263" t="s">
        <v>214</v>
      </c>
      <c r="O84" s="263"/>
      <c r="P84" s="166"/>
      <c r="Q84" s="166"/>
      <c r="R84" s="166"/>
      <c r="S84" s="166"/>
      <c r="T84" s="558" t="s">
        <v>226</v>
      </c>
      <c r="U84" s="542" t="e">
        <f>MIN('DDR2 Clocks - 4L'!$O$13:$O$14)</f>
        <v>#REF!</v>
      </c>
      <c r="V84" s="539" t="e">
        <f>MAX('DDR2 Clocks - 4L'!$O$13:$O$14)</f>
        <v>#REF!</v>
      </c>
      <c r="W84" s="542"/>
      <c r="X84" s="168"/>
      <c r="Y84" s="166"/>
      <c r="Z84" s="558" t="s">
        <v>286</v>
      </c>
      <c r="AA84" s="542" t="e">
        <f>MIN('DDR2 Clocks - 4L'!$O$15:$O$16)</f>
        <v>#REF!</v>
      </c>
      <c r="AB84" s="541" t="e">
        <f>MAX('DDR2 Clocks - 4L'!$O$15:$O$16)</f>
        <v>#REF!</v>
      </c>
      <c r="AC84" s="542"/>
      <c r="AD84" s="168"/>
      <c r="AE84" s="554"/>
      <c r="AF84" s="554"/>
      <c r="AG84" s="554"/>
      <c r="AH84" s="554"/>
      <c r="AI84" s="163" t="s">
        <v>214</v>
      </c>
      <c r="AJ84" s="538"/>
      <c r="AK84" s="554"/>
      <c r="AL84" s="554"/>
      <c r="AM84" s="163" t="s">
        <v>214</v>
      </c>
      <c r="AN84" s="538"/>
      <c r="AO84" s="538"/>
      <c r="AP84" s="538"/>
      <c r="AQ84" s="539"/>
      <c r="AR84" s="538"/>
      <c r="AS84" s="539"/>
      <c r="AT84" s="3"/>
      <c r="AU84" s="3"/>
    </row>
    <row r="85" spans="5:47">
      <c r="N85" s="205" t="s">
        <v>229</v>
      </c>
      <c r="O85" s="410"/>
      <c r="P85" s="181"/>
      <c r="Q85" s="181"/>
      <c r="R85" s="181"/>
      <c r="S85" s="181"/>
      <c r="T85" s="181"/>
      <c r="U85" s="179"/>
      <c r="V85" s="570"/>
      <c r="W85" s="531"/>
      <c r="X85" s="179"/>
      <c r="Y85" s="181"/>
      <c r="Z85" s="181"/>
      <c r="AA85" s="179"/>
      <c r="AB85" s="531"/>
      <c r="AC85" s="531"/>
      <c r="AD85" s="179"/>
      <c r="AE85" s="554"/>
      <c r="AF85" s="554"/>
      <c r="AG85" s="554"/>
      <c r="AH85" s="554"/>
      <c r="AI85" s="155" t="s">
        <v>229</v>
      </c>
      <c r="AJ85" s="179"/>
      <c r="AK85" s="554"/>
      <c r="AL85" s="554"/>
      <c r="AM85" s="155" t="s">
        <v>229</v>
      </c>
      <c r="AN85" s="179"/>
      <c r="AO85" s="179"/>
      <c r="AP85" s="179"/>
      <c r="AQ85" s="273"/>
      <c r="AR85" s="179"/>
      <c r="AS85" s="273"/>
      <c r="AT85" s="3"/>
      <c r="AU85" s="3"/>
    </row>
    <row r="86" spans="5:47">
      <c r="N86" s="186" t="s">
        <v>196</v>
      </c>
      <c r="O86" s="186"/>
      <c r="P86" s="622">
        <v>427.6</v>
      </c>
      <c r="Q86" s="622">
        <v>150.75</v>
      </c>
      <c r="R86" s="622">
        <v>179.25</v>
      </c>
      <c r="S86" s="545">
        <f>SUM($E34:$G34,$M34,$P86,$Q86)</f>
        <v>4331.72</v>
      </c>
      <c r="T86" s="534" t="e">
        <f>$S86+IF($B$2="mil",1,0.0254)*$C34</f>
        <v>#REF!</v>
      </c>
      <c r="U86" s="524" t="e">
        <f>$V$84 + IF($B$2="mil",1,0.0254)*DDR2Specs!$E$9</f>
        <v>#REF!</v>
      </c>
      <c r="V86" s="547" t="e">
        <f>$U$84 + IF($B$2="mil",1,0.0254)*DDR2Specs!$F$9</f>
        <v>#REF!</v>
      </c>
      <c r="W86" s="546" t="e">
        <f t="shared" ref="W86:W99" si="51">IF($T86&lt;$U86,$U86-$T86,"Pass")</f>
        <v>#REF!</v>
      </c>
      <c r="X86" s="547" t="e">
        <f t="shared" ref="X86:X99" si="52">IF($T86&gt;$V86,$T86-$V86,"Pass")</f>
        <v>#REF!</v>
      </c>
      <c r="Y86" s="545">
        <f>SUM($E34:$G34,$M34,$P86,$R86)</f>
        <v>4360.22</v>
      </c>
      <c r="Z86" s="534" t="e">
        <f>$Y86+IF($B$2="mil",1,0.0254)*$C34</f>
        <v>#REF!</v>
      </c>
      <c r="AA86" s="524" t="e">
        <f>$AB$84 + IF($B$2="mil",1,0.0254)*DDR2Specs!$E$9</f>
        <v>#REF!</v>
      </c>
      <c r="AB86" s="524" t="e">
        <f>$AA$84 + IF($B$2="mil",1,0.0254)*DDR2Specs!$F$9</f>
        <v>#REF!</v>
      </c>
      <c r="AC86" s="546" t="e">
        <f t="shared" ref="AC86:AC99" si="53">IF($Z86&lt;$AA86,$AA86-$Z86,"Pass")</f>
        <v>#REF!</v>
      </c>
      <c r="AD86" s="547" t="e">
        <f t="shared" ref="AD86:AD99" si="54">IF($Z86&gt;$AB86,$Z86-$AB86,"Pass")</f>
        <v>#REF!</v>
      </c>
      <c r="AE86" s="554"/>
      <c r="AF86" s="554"/>
      <c r="AG86" s="554"/>
      <c r="AH86" s="554"/>
      <c r="AI86" s="565" t="s">
        <v>196</v>
      </c>
      <c r="AJ86" s="560" t="e">
        <f>IF(P86&lt;=IF($B$2="mil",1,0.0254)*1000,"Pass",IF($B$2="mil",1,0.0254)*1000-P86)</f>
        <v>#REF!</v>
      </c>
      <c r="AK86" s="554"/>
      <c r="AL86" s="554"/>
      <c r="AM86" s="559" t="s">
        <v>196</v>
      </c>
      <c r="AN86" s="528" t="e">
        <f ca="1">CheckLength2(IF($B$2="mil",1,0.0254)*1200,P86,Q86,0)</f>
        <v>#NAME?</v>
      </c>
      <c r="AO86" s="528" t="e">
        <f ca="1">CheckLength2(IF($B$2="mil",1,0.0254)*1200,P86,R86,0)</f>
        <v>#NAME?</v>
      </c>
      <c r="AP86" s="528" t="e">
        <f>IF(AND(S86&gt;=IF($B$2="mil",1,0.0254)*500, $S86&lt;=IF($B$2="mil",1,0.0254)*6500),"Pass",IF($B$2="mil",1,0.0254)*6500-$S86)</f>
        <v>#REF!</v>
      </c>
      <c r="AQ86" s="560" t="e">
        <f>IF(AND($T86&gt;=IF($B$2="mil",1,0.0254)*500, $T86&lt;=IF($B$2="mil",1,0.0254)*7000),"Pass",IF($B$2="mil",1,0.0254)*7000-$T86)</f>
        <v>#REF!</v>
      </c>
      <c r="AR86" s="528" t="e">
        <f>IF(AND($Y86&gt;=IF($B$2="mil",1,0.0254)*500, $Y86&lt;=IF($B$2="mil",1,0.0254)*6500),"Pass",IF($B$2="mil",1,0.0254)*6500-$Y86)</f>
        <v>#REF!</v>
      </c>
      <c r="AS86" s="529" t="e">
        <f>IF(AND($Z86&gt;=IF($B$2="mil",1,0.0254)*500, $Z86&lt;=IF($B$2="mil",1,0.0254)*7000),"Pass",IF($B$2="mil",1,0.0254)*7000-$Z86)</f>
        <v>#REF!</v>
      </c>
      <c r="AT86" s="162" t="e">
        <f ca="1">IF(AND(W86="Pass",X86="Pass",AN86="Pass",AO86="Pass",AP86="Pass",AQ86="Pass",AR86="Pass",AS86="Pass"),"Pass","Fail")</f>
        <v>#REF!</v>
      </c>
      <c r="AU86" s="162" t="e">
        <f ca="1">IF(AND(AT86="Pass",AT87="Pass",AT88="Pass",AT89="Pass",AT90="Pass",AT91="Pass",AT92="Pass",AT93="Pass",AT94="Pass",AT95="Pass",AT96="Pass"),"Pass","Fail")</f>
        <v>#REF!</v>
      </c>
    </row>
    <row r="87" spans="5:47">
      <c r="N87" s="243" t="s">
        <v>39</v>
      </c>
      <c r="O87" s="243"/>
      <c r="P87" s="622">
        <v>547.28</v>
      </c>
      <c r="Q87" s="622">
        <v>151.04</v>
      </c>
      <c r="R87" s="622">
        <v>85.57</v>
      </c>
      <c r="S87" s="545">
        <f t="shared" ref="S87:S98" si="55">SUM($E35:$G35,$M35,$P87,$Q87)</f>
        <v>4253.6399999999994</v>
      </c>
      <c r="T87" s="534" t="e">
        <f t="shared" ref="T87:T106" si="56">$S87+IF($B$2="mil",1,0.0254)*$C35</f>
        <v>#REF!</v>
      </c>
      <c r="U87" s="524" t="e">
        <f>$V$84 + IF($B$2="mil",1,0.0254)*DDR2Specs!$E$9</f>
        <v>#REF!</v>
      </c>
      <c r="V87" s="547" t="e">
        <f>$U$84 + IF($B$2="mil",1,0.0254)*DDR2Specs!$F$9</f>
        <v>#REF!</v>
      </c>
      <c r="W87" s="546" t="e">
        <f t="shared" si="51"/>
        <v>#REF!</v>
      </c>
      <c r="X87" s="547" t="e">
        <f t="shared" si="52"/>
        <v>#REF!</v>
      </c>
      <c r="Y87" s="545">
        <f t="shared" ref="Y87:Y107" si="57">SUM($E35:$G35,$M35,$P87,$R87)</f>
        <v>4188.1699999999992</v>
      </c>
      <c r="Z87" s="534" t="e">
        <f t="shared" ref="Z87:Z106" si="58">$Y87+IF($B$2="mil",1,0.0254)*$C35</f>
        <v>#REF!</v>
      </c>
      <c r="AA87" s="524" t="e">
        <f>$AB$84 + IF($B$2="mil",1,0.0254)*DDR2Specs!$E$9</f>
        <v>#REF!</v>
      </c>
      <c r="AB87" s="524" t="e">
        <f>$AA$84 + IF($B$2="mil",1,0.0254)*DDR2Specs!$F$9</f>
        <v>#REF!</v>
      </c>
      <c r="AC87" s="546" t="e">
        <f t="shared" si="53"/>
        <v>#REF!</v>
      </c>
      <c r="AD87" s="547" t="e">
        <f t="shared" si="54"/>
        <v>#REF!</v>
      </c>
      <c r="AE87" s="554"/>
      <c r="AF87" s="554"/>
      <c r="AG87" s="554"/>
      <c r="AH87" s="554"/>
      <c r="AI87" s="566" t="s">
        <v>39</v>
      </c>
      <c r="AJ87" s="560" t="e">
        <f t="shared" ref="AJ87:AJ99" si="59">IF(P87&lt;=IF($B$2="mil",1,0.0254)*1000,"Pass",IF($B$2="mil",1,0.0254)*1000-P87)</f>
        <v>#REF!</v>
      </c>
      <c r="AK87" s="554"/>
      <c r="AL87" s="554"/>
      <c r="AM87" s="561" t="s">
        <v>39</v>
      </c>
      <c r="AN87" s="528" t="e">
        <f t="shared" ref="AN87:AN99" ca="1" si="60">CheckLength2(IF($B$2="mil",1,0.0254)*1200,P87,Q87,0)</f>
        <v>#NAME?</v>
      </c>
      <c r="AO87" s="528" t="e">
        <f t="shared" ref="AO87:AO99" ca="1" si="61">CheckLength2(IF($B$2="mil",1,0.0254)*1200,P87,R87,0)</f>
        <v>#NAME?</v>
      </c>
      <c r="AP87" s="528" t="e">
        <f t="shared" ref="AP87:AP99" si="62">IF(AND(S87&gt;=IF($B$2="mil",1,0.0254)*500, $S87&lt;=IF($B$2="mil",1,0.0254)*6500),"Pass",IF($B$2="mil",1,0.0254)*6500-$S87)</f>
        <v>#REF!</v>
      </c>
      <c r="AQ87" s="560" t="e">
        <f t="shared" ref="AQ87:AQ99" si="63">IF(AND($T87&gt;=IF($B$2="mil",1,0.0254)*500, $T87&lt;=IF($B$2="mil",1,0.0254)*7000),"Pass",IF($B$2="mil",1,0.0254)*7000-$T87)</f>
        <v>#REF!</v>
      </c>
      <c r="AR87" s="528" t="e">
        <f t="shared" ref="AR87:AR99" si="64">IF(AND($Y87&gt;=IF($B$2="mil",1,0.0254)*500, $Y87&lt;=IF($B$2="mil",1,0.0254)*6500),"Pass",IF($B$2="mil",1,0.0254)*6500-$Y87)</f>
        <v>#REF!</v>
      </c>
      <c r="AS87" s="529" t="e">
        <f t="shared" ref="AS87:AS99" si="65">IF(AND($Z87&gt;=IF($B$2="mil",1,0.0254)*500, $Z87&lt;=IF($B$2="mil",1,0.0254)*7000),"Pass",IF($B$2="mil",1,0.0254)*7000-$Z87)</f>
        <v>#REF!</v>
      </c>
      <c r="AT87" s="162" t="e">
        <f t="shared" ref="AT87:AT107" ca="1" si="66">IF(AND(W87="Pass",X87="Pass",AN87="Pass",AO87="Pass",AP87="Pass",AQ87="Pass",AR87="Pass",AS87="Pass"),"Pass","Fail")</f>
        <v>#REF!</v>
      </c>
      <c r="AU87" s="162" t="e">
        <f ca="1">IF(AND(AT97="Pass",AT98="Pass",AT99="Pass",AT101="Pass",AT102="Pass",AT103="Pass",AT105="Pass",AT106="Pass",AT107="Pass"),"Pass","Fail")</f>
        <v>#REF!</v>
      </c>
    </row>
    <row r="88" spans="5:47">
      <c r="N88" s="243" t="s">
        <v>40</v>
      </c>
      <c r="O88" s="243"/>
      <c r="P88" s="622">
        <v>458.46</v>
      </c>
      <c r="Q88" s="622">
        <v>104.19</v>
      </c>
      <c r="R88" s="622">
        <v>89.68</v>
      </c>
      <c r="S88" s="545">
        <f t="shared" si="55"/>
        <v>4406.38</v>
      </c>
      <c r="T88" s="534" t="e">
        <f t="shared" si="56"/>
        <v>#REF!</v>
      </c>
      <c r="U88" s="524" t="e">
        <f>$V$84 + IF($B$2="mil",1,0.0254)*DDR2Specs!$E$9</f>
        <v>#REF!</v>
      </c>
      <c r="V88" s="547" t="e">
        <f>$U$84 + IF($B$2="mil",1,0.0254)*DDR2Specs!$F$9</f>
        <v>#REF!</v>
      </c>
      <c r="W88" s="546" t="e">
        <f t="shared" si="51"/>
        <v>#REF!</v>
      </c>
      <c r="X88" s="547" t="e">
        <f t="shared" si="52"/>
        <v>#REF!</v>
      </c>
      <c r="Y88" s="545">
        <f t="shared" si="57"/>
        <v>4391.8700000000008</v>
      </c>
      <c r="Z88" s="534" t="e">
        <f t="shared" si="58"/>
        <v>#REF!</v>
      </c>
      <c r="AA88" s="524" t="e">
        <f>$AB$84 + IF($B$2="mil",1,0.0254)*DDR2Specs!$E$9</f>
        <v>#REF!</v>
      </c>
      <c r="AB88" s="524" t="e">
        <f>$AA$84 + IF($B$2="mil",1,0.0254)*DDR2Specs!$F$9</f>
        <v>#REF!</v>
      </c>
      <c r="AC88" s="546" t="e">
        <f t="shared" si="53"/>
        <v>#REF!</v>
      </c>
      <c r="AD88" s="547" t="e">
        <f t="shared" si="54"/>
        <v>#REF!</v>
      </c>
      <c r="AE88" s="554"/>
      <c r="AF88" s="554"/>
      <c r="AG88" s="554"/>
      <c r="AH88" s="554"/>
      <c r="AI88" s="566" t="s">
        <v>40</v>
      </c>
      <c r="AJ88" s="560" t="e">
        <f t="shared" si="59"/>
        <v>#REF!</v>
      </c>
      <c r="AK88" s="554"/>
      <c r="AL88" s="554"/>
      <c r="AM88" s="561" t="s">
        <v>40</v>
      </c>
      <c r="AN88" s="528" t="e">
        <f t="shared" ca="1" si="60"/>
        <v>#NAME?</v>
      </c>
      <c r="AO88" s="528" t="e">
        <f t="shared" ca="1" si="61"/>
        <v>#NAME?</v>
      </c>
      <c r="AP88" s="528" t="e">
        <f t="shared" si="62"/>
        <v>#REF!</v>
      </c>
      <c r="AQ88" s="560" t="e">
        <f t="shared" si="63"/>
        <v>#REF!</v>
      </c>
      <c r="AR88" s="528" t="e">
        <f t="shared" si="64"/>
        <v>#REF!</v>
      </c>
      <c r="AS88" s="529" t="e">
        <f t="shared" si="65"/>
        <v>#REF!</v>
      </c>
      <c r="AT88" s="162" t="e">
        <f t="shared" ca="1" si="66"/>
        <v>#REF!</v>
      </c>
      <c r="AU88" s="3"/>
    </row>
    <row r="89" spans="5:47">
      <c r="N89" s="243" t="s">
        <v>41</v>
      </c>
      <c r="O89" s="243"/>
      <c r="P89" s="622">
        <v>500.92</v>
      </c>
      <c r="Q89" s="622">
        <v>373.47</v>
      </c>
      <c r="R89" s="622">
        <v>424.94</v>
      </c>
      <c r="S89" s="545">
        <f t="shared" si="55"/>
        <v>4299</v>
      </c>
      <c r="T89" s="534" t="e">
        <f t="shared" si="56"/>
        <v>#REF!</v>
      </c>
      <c r="U89" s="524" t="e">
        <f>$V$84 + IF($B$2="mil",1,0.0254)*DDR2Specs!$E$9</f>
        <v>#REF!</v>
      </c>
      <c r="V89" s="547" t="e">
        <f>$U$84 + IF($B$2="mil",1,0.0254)*DDR2Specs!$F$9</f>
        <v>#REF!</v>
      </c>
      <c r="W89" s="546" t="e">
        <f t="shared" si="51"/>
        <v>#REF!</v>
      </c>
      <c r="X89" s="547" t="e">
        <f t="shared" si="52"/>
        <v>#REF!</v>
      </c>
      <c r="Y89" s="545">
        <f t="shared" si="57"/>
        <v>4350.47</v>
      </c>
      <c r="Z89" s="534" t="e">
        <f t="shared" si="58"/>
        <v>#REF!</v>
      </c>
      <c r="AA89" s="524" t="e">
        <f>$AB$84 + IF($B$2="mil",1,0.0254)*DDR2Specs!$E$9</f>
        <v>#REF!</v>
      </c>
      <c r="AB89" s="524" t="e">
        <f>$AA$84 + IF($B$2="mil",1,0.0254)*DDR2Specs!$F$9</f>
        <v>#REF!</v>
      </c>
      <c r="AC89" s="546" t="e">
        <f t="shared" si="53"/>
        <v>#REF!</v>
      </c>
      <c r="AD89" s="547" t="e">
        <f t="shared" si="54"/>
        <v>#REF!</v>
      </c>
      <c r="AE89" s="554"/>
      <c r="AF89" s="554"/>
      <c r="AG89" s="554"/>
      <c r="AH89" s="554"/>
      <c r="AI89" s="566" t="s">
        <v>41</v>
      </c>
      <c r="AJ89" s="560" t="e">
        <f t="shared" si="59"/>
        <v>#REF!</v>
      </c>
      <c r="AK89" s="554"/>
      <c r="AL89" s="554"/>
      <c r="AM89" s="561" t="s">
        <v>41</v>
      </c>
      <c r="AN89" s="528" t="e">
        <f t="shared" ca="1" si="60"/>
        <v>#NAME?</v>
      </c>
      <c r="AO89" s="528" t="e">
        <f t="shared" ca="1" si="61"/>
        <v>#NAME?</v>
      </c>
      <c r="AP89" s="528" t="e">
        <f t="shared" si="62"/>
        <v>#REF!</v>
      </c>
      <c r="AQ89" s="560" t="e">
        <f t="shared" si="63"/>
        <v>#REF!</v>
      </c>
      <c r="AR89" s="528" t="e">
        <f t="shared" si="64"/>
        <v>#REF!</v>
      </c>
      <c r="AS89" s="529" t="e">
        <f t="shared" si="65"/>
        <v>#REF!</v>
      </c>
      <c r="AT89" s="162" t="e">
        <f t="shared" ca="1" si="66"/>
        <v>#REF!</v>
      </c>
      <c r="AU89" s="3"/>
    </row>
    <row r="90" spans="5:47">
      <c r="E90" s="272"/>
      <c r="F90" s="272"/>
      <c r="G90" s="272"/>
      <c r="H90" s="272"/>
      <c r="N90" s="243" t="s">
        <v>42</v>
      </c>
      <c r="O90" s="243"/>
      <c r="P90" s="622">
        <v>502.29</v>
      </c>
      <c r="Q90" s="622">
        <v>369.56</v>
      </c>
      <c r="R90" s="622">
        <v>402.05</v>
      </c>
      <c r="S90" s="545">
        <f t="shared" si="55"/>
        <v>4452.34</v>
      </c>
      <c r="T90" s="534" t="e">
        <f t="shared" si="56"/>
        <v>#REF!</v>
      </c>
      <c r="U90" s="524" t="e">
        <f>$V$84 + IF($B$2="mil",1,0.0254)*DDR2Specs!$E$9</f>
        <v>#REF!</v>
      </c>
      <c r="V90" s="547" t="e">
        <f>$U$84 + IF($B$2="mil",1,0.0254)*DDR2Specs!$F$9</f>
        <v>#REF!</v>
      </c>
      <c r="W90" s="546" t="e">
        <f t="shared" si="51"/>
        <v>#REF!</v>
      </c>
      <c r="X90" s="547" t="e">
        <f t="shared" si="52"/>
        <v>#REF!</v>
      </c>
      <c r="Y90" s="545">
        <f t="shared" si="57"/>
        <v>4484.83</v>
      </c>
      <c r="Z90" s="534" t="e">
        <f t="shared" si="58"/>
        <v>#REF!</v>
      </c>
      <c r="AA90" s="524" t="e">
        <f>$AB$84 + IF($B$2="mil",1,0.0254)*DDR2Specs!$E$9</f>
        <v>#REF!</v>
      </c>
      <c r="AB90" s="524" t="e">
        <f>$AA$84 + IF($B$2="mil",1,0.0254)*DDR2Specs!$F$9</f>
        <v>#REF!</v>
      </c>
      <c r="AC90" s="546" t="e">
        <f t="shared" si="53"/>
        <v>#REF!</v>
      </c>
      <c r="AD90" s="547" t="e">
        <f t="shared" si="54"/>
        <v>#REF!</v>
      </c>
      <c r="AE90" s="554"/>
      <c r="AF90" s="554"/>
      <c r="AG90" s="554"/>
      <c r="AH90" s="554"/>
      <c r="AI90" s="566" t="s">
        <v>42</v>
      </c>
      <c r="AJ90" s="560" t="e">
        <f t="shared" si="59"/>
        <v>#REF!</v>
      </c>
      <c r="AK90" s="554"/>
      <c r="AL90" s="554"/>
      <c r="AM90" s="561" t="s">
        <v>42</v>
      </c>
      <c r="AN90" s="528" t="e">
        <f t="shared" ca="1" si="60"/>
        <v>#NAME?</v>
      </c>
      <c r="AO90" s="528" t="e">
        <f t="shared" ca="1" si="61"/>
        <v>#NAME?</v>
      </c>
      <c r="AP90" s="528" t="e">
        <f t="shared" si="62"/>
        <v>#REF!</v>
      </c>
      <c r="AQ90" s="560" t="e">
        <f t="shared" si="63"/>
        <v>#REF!</v>
      </c>
      <c r="AR90" s="528" t="e">
        <f t="shared" si="64"/>
        <v>#REF!</v>
      </c>
      <c r="AS90" s="529" t="e">
        <f t="shared" si="65"/>
        <v>#REF!</v>
      </c>
      <c r="AT90" s="162" t="e">
        <f t="shared" ca="1" si="66"/>
        <v>#REF!</v>
      </c>
      <c r="AU90" s="3"/>
    </row>
    <row r="91" spans="5:47">
      <c r="E91" s="272"/>
      <c r="F91" s="272"/>
      <c r="G91" s="272"/>
      <c r="H91" s="272"/>
      <c r="N91" s="243" t="s">
        <v>43</v>
      </c>
      <c r="O91" s="243"/>
      <c r="P91" s="622">
        <v>438.87</v>
      </c>
      <c r="Q91" s="622">
        <v>136.13</v>
      </c>
      <c r="R91" s="622">
        <v>197.23</v>
      </c>
      <c r="S91" s="545">
        <f t="shared" si="55"/>
        <v>4386.7</v>
      </c>
      <c r="T91" s="534" t="e">
        <f t="shared" si="56"/>
        <v>#REF!</v>
      </c>
      <c r="U91" s="524" t="e">
        <f>$V$84 + IF($B$2="mil",1,0.0254)*DDR2Specs!$E$9</f>
        <v>#REF!</v>
      </c>
      <c r="V91" s="547" t="e">
        <f>$U$84 + IF($B$2="mil",1,0.0254)*DDR2Specs!$F$9</f>
        <v>#REF!</v>
      </c>
      <c r="W91" s="546" t="e">
        <f t="shared" si="51"/>
        <v>#REF!</v>
      </c>
      <c r="X91" s="547" t="e">
        <f t="shared" si="52"/>
        <v>#REF!</v>
      </c>
      <c r="Y91" s="545">
        <f t="shared" si="57"/>
        <v>4447.7999999999993</v>
      </c>
      <c r="Z91" s="534" t="e">
        <f t="shared" si="58"/>
        <v>#REF!</v>
      </c>
      <c r="AA91" s="524" t="e">
        <f>$AB$84 + IF($B$2="mil",1,0.0254)*DDR2Specs!$E$9</f>
        <v>#REF!</v>
      </c>
      <c r="AB91" s="524" t="e">
        <f>$AA$84 + IF($B$2="mil",1,0.0254)*DDR2Specs!$F$9</f>
        <v>#REF!</v>
      </c>
      <c r="AC91" s="546" t="e">
        <f t="shared" si="53"/>
        <v>#REF!</v>
      </c>
      <c r="AD91" s="547" t="e">
        <f t="shared" si="54"/>
        <v>#REF!</v>
      </c>
      <c r="AE91" s="554"/>
      <c r="AF91" s="554"/>
      <c r="AG91" s="554"/>
      <c r="AH91" s="554"/>
      <c r="AI91" s="566" t="s">
        <v>43</v>
      </c>
      <c r="AJ91" s="560" t="e">
        <f t="shared" si="59"/>
        <v>#REF!</v>
      </c>
      <c r="AK91" s="554"/>
      <c r="AL91" s="554"/>
      <c r="AM91" s="561" t="s">
        <v>43</v>
      </c>
      <c r="AN91" s="528" t="e">
        <f t="shared" ca="1" si="60"/>
        <v>#NAME?</v>
      </c>
      <c r="AO91" s="528" t="e">
        <f t="shared" ca="1" si="61"/>
        <v>#NAME?</v>
      </c>
      <c r="AP91" s="528" t="e">
        <f t="shared" si="62"/>
        <v>#REF!</v>
      </c>
      <c r="AQ91" s="560" t="e">
        <f t="shared" si="63"/>
        <v>#REF!</v>
      </c>
      <c r="AR91" s="528" t="e">
        <f t="shared" si="64"/>
        <v>#REF!</v>
      </c>
      <c r="AS91" s="529" t="e">
        <f t="shared" si="65"/>
        <v>#REF!</v>
      </c>
      <c r="AT91" s="162" t="e">
        <f t="shared" ca="1" si="66"/>
        <v>#REF!</v>
      </c>
      <c r="AU91" s="3"/>
    </row>
    <row r="92" spans="5:47">
      <c r="E92" s="272"/>
      <c r="F92" s="272"/>
      <c r="G92" s="272"/>
      <c r="H92" s="272"/>
      <c r="N92" s="243" t="s">
        <v>44</v>
      </c>
      <c r="O92" s="243"/>
      <c r="P92" s="622">
        <v>590.58000000000004</v>
      </c>
      <c r="Q92" s="622">
        <v>135.09</v>
      </c>
      <c r="R92" s="622">
        <v>164.7</v>
      </c>
      <c r="S92" s="545">
        <f t="shared" si="55"/>
        <v>4298.1100000000006</v>
      </c>
      <c r="T92" s="534" t="e">
        <f t="shared" si="56"/>
        <v>#REF!</v>
      </c>
      <c r="U92" s="524" t="e">
        <f>$V$84 + IF($B$2="mil",1,0.0254)*DDR2Specs!$E$9</f>
        <v>#REF!</v>
      </c>
      <c r="V92" s="547" t="e">
        <f>$U$84 + IF($B$2="mil",1,0.0254)*DDR2Specs!$F$9</f>
        <v>#REF!</v>
      </c>
      <c r="W92" s="546" t="e">
        <f t="shared" si="51"/>
        <v>#REF!</v>
      </c>
      <c r="X92" s="547" t="e">
        <f t="shared" si="52"/>
        <v>#REF!</v>
      </c>
      <c r="Y92" s="545">
        <f t="shared" si="57"/>
        <v>4327.72</v>
      </c>
      <c r="Z92" s="534" t="e">
        <f t="shared" si="58"/>
        <v>#REF!</v>
      </c>
      <c r="AA92" s="524" t="e">
        <f>$AB$84 + IF($B$2="mil",1,0.0254)*DDR2Specs!$E$9</f>
        <v>#REF!</v>
      </c>
      <c r="AB92" s="524" t="e">
        <f>$AA$84 + IF($B$2="mil",1,0.0254)*DDR2Specs!$F$9</f>
        <v>#REF!</v>
      </c>
      <c r="AC92" s="546" t="e">
        <f t="shared" si="53"/>
        <v>#REF!</v>
      </c>
      <c r="AD92" s="547" t="e">
        <f t="shared" si="54"/>
        <v>#REF!</v>
      </c>
      <c r="AE92" s="554"/>
      <c r="AF92" s="554"/>
      <c r="AG92" s="554"/>
      <c r="AH92" s="554"/>
      <c r="AI92" s="566" t="s">
        <v>44</v>
      </c>
      <c r="AJ92" s="560" t="e">
        <f t="shared" si="59"/>
        <v>#REF!</v>
      </c>
      <c r="AK92" s="554"/>
      <c r="AL92" s="554"/>
      <c r="AM92" s="561" t="s">
        <v>44</v>
      </c>
      <c r="AN92" s="528" t="e">
        <f t="shared" ca="1" si="60"/>
        <v>#NAME?</v>
      </c>
      <c r="AO92" s="528" t="e">
        <f t="shared" ca="1" si="61"/>
        <v>#NAME?</v>
      </c>
      <c r="AP92" s="528" t="e">
        <f t="shared" si="62"/>
        <v>#REF!</v>
      </c>
      <c r="AQ92" s="560" t="e">
        <f t="shared" si="63"/>
        <v>#REF!</v>
      </c>
      <c r="AR92" s="528" t="e">
        <f t="shared" si="64"/>
        <v>#REF!</v>
      </c>
      <c r="AS92" s="529" t="e">
        <f t="shared" si="65"/>
        <v>#REF!</v>
      </c>
      <c r="AT92" s="162" t="e">
        <f t="shared" ca="1" si="66"/>
        <v>#REF!</v>
      </c>
      <c r="AU92" s="3"/>
    </row>
    <row r="93" spans="5:47">
      <c r="E93" s="272"/>
      <c r="F93" s="272"/>
      <c r="G93" s="272"/>
      <c r="H93" s="272"/>
      <c r="N93" s="243" t="s">
        <v>46</v>
      </c>
      <c r="O93" s="243"/>
      <c r="P93" s="622">
        <v>530.82000000000005</v>
      </c>
      <c r="Q93" s="622">
        <v>256.72000000000003</v>
      </c>
      <c r="R93" s="622">
        <v>318.58</v>
      </c>
      <c r="S93" s="545">
        <f t="shared" si="55"/>
        <v>4230.9800000000005</v>
      </c>
      <c r="T93" s="534" t="e">
        <f t="shared" si="56"/>
        <v>#REF!</v>
      </c>
      <c r="U93" s="524" t="e">
        <f>$V$84 + IF($B$2="mil",1,0.0254)*DDR2Specs!$E$9</f>
        <v>#REF!</v>
      </c>
      <c r="V93" s="547" t="e">
        <f>$U$84 + IF($B$2="mil",1,0.0254)*DDR2Specs!$F$9</f>
        <v>#REF!</v>
      </c>
      <c r="W93" s="546" t="e">
        <f t="shared" si="51"/>
        <v>#REF!</v>
      </c>
      <c r="X93" s="547" t="e">
        <f t="shared" si="52"/>
        <v>#REF!</v>
      </c>
      <c r="Y93" s="545">
        <f t="shared" si="57"/>
        <v>4292.84</v>
      </c>
      <c r="Z93" s="534" t="e">
        <f t="shared" si="58"/>
        <v>#REF!</v>
      </c>
      <c r="AA93" s="524" t="e">
        <f>$AB$84 + IF($B$2="mil",1,0.0254)*DDR2Specs!$E$9</f>
        <v>#REF!</v>
      </c>
      <c r="AB93" s="524" t="e">
        <f>$AA$84 + IF($B$2="mil",1,0.0254)*DDR2Specs!$F$9</f>
        <v>#REF!</v>
      </c>
      <c r="AC93" s="546" t="e">
        <f t="shared" si="53"/>
        <v>#REF!</v>
      </c>
      <c r="AD93" s="547" t="e">
        <f t="shared" si="54"/>
        <v>#REF!</v>
      </c>
      <c r="AE93" s="554"/>
      <c r="AF93" s="554"/>
      <c r="AG93" s="554"/>
      <c r="AH93" s="554"/>
      <c r="AI93" s="566" t="s">
        <v>46</v>
      </c>
      <c r="AJ93" s="560" t="e">
        <f t="shared" si="59"/>
        <v>#REF!</v>
      </c>
      <c r="AK93" s="554"/>
      <c r="AL93" s="554"/>
      <c r="AM93" s="561" t="s">
        <v>46</v>
      </c>
      <c r="AN93" s="528" t="e">
        <f t="shared" ca="1" si="60"/>
        <v>#NAME?</v>
      </c>
      <c r="AO93" s="528" t="e">
        <f t="shared" ca="1" si="61"/>
        <v>#NAME?</v>
      </c>
      <c r="AP93" s="528" t="e">
        <f t="shared" si="62"/>
        <v>#REF!</v>
      </c>
      <c r="AQ93" s="560" t="e">
        <f t="shared" si="63"/>
        <v>#REF!</v>
      </c>
      <c r="AR93" s="528" t="e">
        <f t="shared" si="64"/>
        <v>#REF!</v>
      </c>
      <c r="AS93" s="529" t="e">
        <f t="shared" si="65"/>
        <v>#REF!</v>
      </c>
      <c r="AT93" s="162" t="e">
        <f t="shared" ca="1" si="66"/>
        <v>#REF!</v>
      </c>
      <c r="AU93" s="3"/>
    </row>
    <row r="94" spans="5:47">
      <c r="E94" s="272"/>
      <c r="F94" s="272"/>
      <c r="G94" s="272"/>
      <c r="H94" s="272"/>
      <c r="N94" s="243" t="s">
        <v>47</v>
      </c>
      <c r="O94" s="243"/>
      <c r="P94" s="622">
        <v>513.70000000000005</v>
      </c>
      <c r="Q94" s="622">
        <v>255.28</v>
      </c>
      <c r="R94" s="622">
        <v>284.73</v>
      </c>
      <c r="S94" s="545">
        <f t="shared" si="55"/>
        <v>4209.8399999999992</v>
      </c>
      <c r="T94" s="534" t="e">
        <f t="shared" si="56"/>
        <v>#REF!</v>
      </c>
      <c r="U94" s="524" t="e">
        <f>$V$84 + IF($B$2="mil",1,0.0254)*DDR2Specs!$E$9</f>
        <v>#REF!</v>
      </c>
      <c r="V94" s="547" t="e">
        <f>$U$84 + IF($B$2="mil",1,0.0254)*DDR2Specs!$F$9</f>
        <v>#REF!</v>
      </c>
      <c r="W94" s="546" t="e">
        <f t="shared" si="51"/>
        <v>#REF!</v>
      </c>
      <c r="X94" s="547" t="e">
        <f t="shared" si="52"/>
        <v>#REF!</v>
      </c>
      <c r="Y94" s="545">
        <f t="shared" si="57"/>
        <v>4239.2899999999991</v>
      </c>
      <c r="Z94" s="534" t="e">
        <f t="shared" si="58"/>
        <v>#REF!</v>
      </c>
      <c r="AA94" s="524" t="e">
        <f>$AB$84 + IF($B$2="mil",1,0.0254)*DDR2Specs!$E$9</f>
        <v>#REF!</v>
      </c>
      <c r="AB94" s="524" t="e">
        <f>$AA$84 + IF($B$2="mil",1,0.0254)*DDR2Specs!$F$9</f>
        <v>#REF!</v>
      </c>
      <c r="AC94" s="546" t="e">
        <f t="shared" si="53"/>
        <v>#REF!</v>
      </c>
      <c r="AD94" s="547" t="e">
        <f t="shared" si="54"/>
        <v>#REF!</v>
      </c>
      <c r="AE94" s="554"/>
      <c r="AF94" s="554"/>
      <c r="AG94" s="554"/>
      <c r="AH94" s="554"/>
      <c r="AI94" s="566" t="s">
        <v>47</v>
      </c>
      <c r="AJ94" s="560" t="e">
        <f t="shared" si="59"/>
        <v>#REF!</v>
      </c>
      <c r="AK94" s="554"/>
      <c r="AL94" s="554"/>
      <c r="AM94" s="561" t="s">
        <v>47</v>
      </c>
      <c r="AN94" s="528" t="e">
        <f t="shared" ca="1" si="60"/>
        <v>#NAME?</v>
      </c>
      <c r="AO94" s="528" t="e">
        <f t="shared" ca="1" si="61"/>
        <v>#NAME?</v>
      </c>
      <c r="AP94" s="528" t="e">
        <f t="shared" si="62"/>
        <v>#REF!</v>
      </c>
      <c r="AQ94" s="560" t="e">
        <f t="shared" si="63"/>
        <v>#REF!</v>
      </c>
      <c r="AR94" s="528" t="e">
        <f t="shared" si="64"/>
        <v>#REF!</v>
      </c>
      <c r="AS94" s="529" t="e">
        <f t="shared" si="65"/>
        <v>#REF!</v>
      </c>
      <c r="AT94" s="162" t="e">
        <f t="shared" ca="1" si="66"/>
        <v>#REF!</v>
      </c>
      <c r="AU94" s="3"/>
    </row>
    <row r="95" spans="5:47">
      <c r="E95" s="272"/>
      <c r="F95" s="272"/>
      <c r="G95" s="272"/>
      <c r="H95" s="272"/>
      <c r="N95" s="243" t="s">
        <v>48</v>
      </c>
      <c r="O95" s="243"/>
      <c r="P95" s="622">
        <v>520.42999999999995</v>
      </c>
      <c r="Q95" s="622">
        <v>159.25</v>
      </c>
      <c r="R95" s="622">
        <v>221.46</v>
      </c>
      <c r="S95" s="545">
        <f t="shared" si="55"/>
        <v>4259.13</v>
      </c>
      <c r="T95" s="534" t="e">
        <f t="shared" si="56"/>
        <v>#REF!</v>
      </c>
      <c r="U95" s="524" t="e">
        <f>$V$84 + IF($B$2="mil",1,0.0254)*DDR2Specs!$E$9</f>
        <v>#REF!</v>
      </c>
      <c r="V95" s="547" t="e">
        <f>$U$84 + IF($B$2="mil",1,0.0254)*DDR2Specs!$F$9</f>
        <v>#REF!</v>
      </c>
      <c r="W95" s="546" t="e">
        <f t="shared" si="51"/>
        <v>#REF!</v>
      </c>
      <c r="X95" s="547" t="e">
        <f t="shared" si="52"/>
        <v>#REF!</v>
      </c>
      <c r="Y95" s="545">
        <f t="shared" si="57"/>
        <v>4321.34</v>
      </c>
      <c r="Z95" s="534" t="e">
        <f t="shared" si="58"/>
        <v>#REF!</v>
      </c>
      <c r="AA95" s="524" t="e">
        <f>$AB$84 + IF($B$2="mil",1,0.0254)*DDR2Specs!$E$9</f>
        <v>#REF!</v>
      </c>
      <c r="AB95" s="524" t="e">
        <f>$AA$84 + IF($B$2="mil",1,0.0254)*DDR2Specs!$F$9</f>
        <v>#REF!</v>
      </c>
      <c r="AC95" s="546" t="e">
        <f t="shared" si="53"/>
        <v>#REF!</v>
      </c>
      <c r="AD95" s="547" t="e">
        <f t="shared" si="54"/>
        <v>#REF!</v>
      </c>
      <c r="AE95" s="554"/>
      <c r="AF95" s="554"/>
      <c r="AG95" s="554"/>
      <c r="AH95" s="554"/>
      <c r="AI95" s="566" t="s">
        <v>48</v>
      </c>
      <c r="AJ95" s="560" t="e">
        <f t="shared" si="59"/>
        <v>#REF!</v>
      </c>
      <c r="AK95" s="554"/>
      <c r="AL95" s="554"/>
      <c r="AM95" s="561" t="s">
        <v>48</v>
      </c>
      <c r="AN95" s="528" t="e">
        <f t="shared" ca="1" si="60"/>
        <v>#NAME?</v>
      </c>
      <c r="AO95" s="528" t="e">
        <f t="shared" ca="1" si="61"/>
        <v>#NAME?</v>
      </c>
      <c r="AP95" s="528" t="e">
        <f t="shared" si="62"/>
        <v>#REF!</v>
      </c>
      <c r="AQ95" s="560" t="e">
        <f t="shared" si="63"/>
        <v>#REF!</v>
      </c>
      <c r="AR95" s="528" t="e">
        <f t="shared" si="64"/>
        <v>#REF!</v>
      </c>
      <c r="AS95" s="529" t="e">
        <f t="shared" si="65"/>
        <v>#REF!</v>
      </c>
      <c r="AT95" s="162" t="e">
        <f t="shared" ca="1" si="66"/>
        <v>#REF!</v>
      </c>
      <c r="AU95" s="3"/>
    </row>
    <row r="96" spans="5:47">
      <c r="N96" s="243" t="s">
        <v>50</v>
      </c>
      <c r="O96" s="243"/>
      <c r="P96" s="622">
        <v>493.32</v>
      </c>
      <c r="Q96" s="622">
        <v>151.81</v>
      </c>
      <c r="R96" s="622">
        <v>210.59</v>
      </c>
      <c r="S96" s="545">
        <f t="shared" si="55"/>
        <v>4378.38</v>
      </c>
      <c r="T96" s="534" t="e">
        <f t="shared" si="56"/>
        <v>#REF!</v>
      </c>
      <c r="U96" s="524" t="e">
        <f>$V$84 + IF($B$2="mil",1,0.0254)*DDR2Specs!$E$9</f>
        <v>#REF!</v>
      </c>
      <c r="V96" s="547" t="e">
        <f>$U$84 + IF($B$2="mil",1,0.0254)*DDR2Specs!$F$9</f>
        <v>#REF!</v>
      </c>
      <c r="W96" s="546" t="e">
        <f t="shared" si="51"/>
        <v>#REF!</v>
      </c>
      <c r="X96" s="547" t="e">
        <f t="shared" si="52"/>
        <v>#REF!</v>
      </c>
      <c r="Y96" s="545">
        <f t="shared" si="57"/>
        <v>4437.16</v>
      </c>
      <c r="Z96" s="534" t="e">
        <f t="shared" si="58"/>
        <v>#REF!</v>
      </c>
      <c r="AA96" s="524" t="e">
        <f>$AB$84 + IF($B$2="mil",1,0.0254)*DDR2Specs!$E$9</f>
        <v>#REF!</v>
      </c>
      <c r="AB96" s="524" t="e">
        <f>$AA$84 + IF($B$2="mil",1,0.0254)*DDR2Specs!$F$9</f>
        <v>#REF!</v>
      </c>
      <c r="AC96" s="546" t="e">
        <f t="shared" si="53"/>
        <v>#REF!</v>
      </c>
      <c r="AD96" s="547" t="e">
        <f t="shared" si="54"/>
        <v>#REF!</v>
      </c>
      <c r="AE96" s="554"/>
      <c r="AF96" s="554"/>
      <c r="AG96" s="554"/>
      <c r="AH96" s="554"/>
      <c r="AI96" s="566" t="s">
        <v>50</v>
      </c>
      <c r="AJ96" s="560" t="e">
        <f t="shared" si="59"/>
        <v>#REF!</v>
      </c>
      <c r="AK96" s="554"/>
      <c r="AL96" s="554"/>
      <c r="AM96" s="561" t="s">
        <v>50</v>
      </c>
      <c r="AN96" s="528" t="e">
        <f t="shared" ca="1" si="60"/>
        <v>#NAME?</v>
      </c>
      <c r="AO96" s="528" t="e">
        <f t="shared" ca="1" si="61"/>
        <v>#NAME?</v>
      </c>
      <c r="AP96" s="528" t="e">
        <f t="shared" si="62"/>
        <v>#REF!</v>
      </c>
      <c r="AQ96" s="560" t="e">
        <f t="shared" si="63"/>
        <v>#REF!</v>
      </c>
      <c r="AR96" s="528" t="e">
        <f t="shared" si="64"/>
        <v>#REF!</v>
      </c>
      <c r="AS96" s="529" t="e">
        <f t="shared" si="65"/>
        <v>#REF!</v>
      </c>
      <c r="AT96" s="162" t="e">
        <f t="shared" ca="1" si="66"/>
        <v>#REF!</v>
      </c>
      <c r="AU96" s="3"/>
    </row>
    <row r="97" spans="5:47">
      <c r="N97" s="243" t="s">
        <v>51</v>
      </c>
      <c r="O97" s="243"/>
      <c r="P97" s="622">
        <v>570.98</v>
      </c>
      <c r="Q97" s="622">
        <v>157.78</v>
      </c>
      <c r="R97" s="622">
        <v>181.24</v>
      </c>
      <c r="S97" s="545">
        <f t="shared" si="55"/>
        <v>4189.24</v>
      </c>
      <c r="T97" s="534" t="e">
        <f t="shared" si="56"/>
        <v>#REF!</v>
      </c>
      <c r="U97" s="524" t="e">
        <f>$V$84 + IF($B$2="mil",1,0.0254)*DDR2Specs!$E$9</f>
        <v>#REF!</v>
      </c>
      <c r="V97" s="547" t="e">
        <f>$U$84 + IF($B$2="mil",1,0.0254)*DDR2Specs!$F$9</f>
        <v>#REF!</v>
      </c>
      <c r="W97" s="546" t="e">
        <f t="shared" si="51"/>
        <v>#REF!</v>
      </c>
      <c r="X97" s="547" t="e">
        <f t="shared" si="52"/>
        <v>#REF!</v>
      </c>
      <c r="Y97" s="545">
        <f t="shared" si="57"/>
        <v>4212.7</v>
      </c>
      <c r="Z97" s="534" t="e">
        <f t="shared" si="58"/>
        <v>#REF!</v>
      </c>
      <c r="AA97" s="524" t="e">
        <f>$AB$84 + IF($B$2="mil",1,0.0254)*DDR2Specs!$E$9</f>
        <v>#REF!</v>
      </c>
      <c r="AB97" s="524" t="e">
        <f>$AA$84 + IF($B$2="mil",1,0.0254)*DDR2Specs!$F$9</f>
        <v>#REF!</v>
      </c>
      <c r="AC97" s="546" t="e">
        <f t="shared" si="53"/>
        <v>#REF!</v>
      </c>
      <c r="AD97" s="547" t="e">
        <f t="shared" si="54"/>
        <v>#REF!</v>
      </c>
      <c r="AE97" s="554"/>
      <c r="AF97" s="554"/>
      <c r="AG97" s="554"/>
      <c r="AH97" s="554"/>
      <c r="AI97" s="566" t="s">
        <v>51</v>
      </c>
      <c r="AJ97" s="560" t="e">
        <f t="shared" si="59"/>
        <v>#REF!</v>
      </c>
      <c r="AK97" s="554"/>
      <c r="AL97" s="554"/>
      <c r="AM97" s="561" t="s">
        <v>51</v>
      </c>
      <c r="AN97" s="528" t="e">
        <f t="shared" ca="1" si="60"/>
        <v>#NAME?</v>
      </c>
      <c r="AO97" s="528" t="e">
        <f t="shared" ca="1" si="61"/>
        <v>#NAME?</v>
      </c>
      <c r="AP97" s="528" t="e">
        <f t="shared" si="62"/>
        <v>#REF!</v>
      </c>
      <c r="AQ97" s="560" t="e">
        <f t="shared" si="63"/>
        <v>#REF!</v>
      </c>
      <c r="AR97" s="528" t="e">
        <f t="shared" si="64"/>
        <v>#REF!</v>
      </c>
      <c r="AS97" s="529" t="e">
        <f t="shared" si="65"/>
        <v>#REF!</v>
      </c>
      <c r="AT97" s="162" t="e">
        <f t="shared" ca="1" si="66"/>
        <v>#REF!</v>
      </c>
      <c r="AU97" s="3"/>
    </row>
    <row r="98" spans="5:47">
      <c r="N98" s="243" t="s">
        <v>52</v>
      </c>
      <c r="O98" s="243"/>
      <c r="P98" s="622">
        <v>614.04999999999995</v>
      </c>
      <c r="Q98" s="622">
        <v>170.19</v>
      </c>
      <c r="R98" s="622">
        <v>237.25</v>
      </c>
      <c r="S98" s="545">
        <f t="shared" si="55"/>
        <v>4599.99</v>
      </c>
      <c r="T98" s="534" t="e">
        <f t="shared" si="56"/>
        <v>#REF!</v>
      </c>
      <c r="U98" s="524" t="e">
        <f>$V$84 + IF($B$2="mil",1,0.0254)*DDR2Specs!$E$9</f>
        <v>#REF!</v>
      </c>
      <c r="V98" s="547" t="e">
        <f>$U$84 + IF($B$2="mil",1,0.0254)*DDR2Specs!$F$9</f>
        <v>#REF!</v>
      </c>
      <c r="W98" s="546" t="e">
        <f t="shared" si="51"/>
        <v>#REF!</v>
      </c>
      <c r="X98" s="547" t="e">
        <f t="shared" si="52"/>
        <v>#REF!</v>
      </c>
      <c r="Y98" s="545">
        <f t="shared" si="57"/>
        <v>4667.05</v>
      </c>
      <c r="Z98" s="534" t="e">
        <f t="shared" si="58"/>
        <v>#REF!</v>
      </c>
      <c r="AA98" s="524" t="e">
        <f>$AB$84 + IF($B$2="mil",1,0.0254)*DDR2Specs!$E$9</f>
        <v>#REF!</v>
      </c>
      <c r="AB98" s="524" t="e">
        <f>$AA$84 + IF($B$2="mil",1,0.0254)*DDR2Specs!$F$9</f>
        <v>#REF!</v>
      </c>
      <c r="AC98" s="546" t="e">
        <f t="shared" si="53"/>
        <v>#REF!</v>
      </c>
      <c r="AD98" s="547" t="e">
        <f t="shared" si="54"/>
        <v>#REF!</v>
      </c>
      <c r="AE98" s="554"/>
      <c r="AF98" s="554"/>
      <c r="AG98" s="554"/>
      <c r="AH98" s="554"/>
      <c r="AI98" s="566" t="s">
        <v>52</v>
      </c>
      <c r="AJ98" s="560" t="e">
        <f t="shared" si="59"/>
        <v>#REF!</v>
      </c>
      <c r="AK98" s="554"/>
      <c r="AL98" s="554"/>
      <c r="AM98" s="561" t="s">
        <v>52</v>
      </c>
      <c r="AN98" s="528" t="e">
        <f t="shared" ca="1" si="60"/>
        <v>#NAME?</v>
      </c>
      <c r="AO98" s="528" t="e">
        <f t="shared" ca="1" si="61"/>
        <v>#NAME?</v>
      </c>
      <c r="AP98" s="528" t="e">
        <f t="shared" si="62"/>
        <v>#REF!</v>
      </c>
      <c r="AQ98" s="560" t="e">
        <f t="shared" si="63"/>
        <v>#REF!</v>
      </c>
      <c r="AR98" s="528" t="e">
        <f t="shared" si="64"/>
        <v>#REF!</v>
      </c>
      <c r="AS98" s="529" t="e">
        <f t="shared" si="65"/>
        <v>#REF!</v>
      </c>
      <c r="AT98" s="162" t="e">
        <f t="shared" ca="1" si="66"/>
        <v>#REF!</v>
      </c>
      <c r="AU98" s="3"/>
    </row>
    <row r="99" spans="5:47" ht="15.75">
      <c r="E99" s="417"/>
      <c r="N99" s="243" t="s">
        <v>53</v>
      </c>
      <c r="O99" s="243"/>
      <c r="P99" s="622">
        <v>505.62</v>
      </c>
      <c r="Q99" s="622">
        <v>169.13</v>
      </c>
      <c r="R99" s="622">
        <v>198.17</v>
      </c>
      <c r="S99" s="545">
        <f>SUM($E47:$G47,$M47,$P99,$Q99)</f>
        <v>4276.5200000000004</v>
      </c>
      <c r="T99" s="534" t="e">
        <f t="shared" si="56"/>
        <v>#REF!</v>
      </c>
      <c r="U99" s="524" t="e">
        <f>$V$84 + IF($B$2="mil",1,0.0254)*DDR2Specs!$E$9</f>
        <v>#REF!</v>
      </c>
      <c r="V99" s="547" t="e">
        <f>$U$84 + IF($B$2="mil",1,0.0254)*DDR2Specs!$F$9</f>
        <v>#REF!</v>
      </c>
      <c r="W99" s="546" t="e">
        <f t="shared" si="51"/>
        <v>#REF!</v>
      </c>
      <c r="X99" s="547" t="e">
        <f t="shared" si="52"/>
        <v>#REF!</v>
      </c>
      <c r="Y99" s="545">
        <f t="shared" si="57"/>
        <v>4305.5600000000004</v>
      </c>
      <c r="Z99" s="534" t="e">
        <f t="shared" si="58"/>
        <v>#REF!</v>
      </c>
      <c r="AA99" s="524" t="e">
        <f>$AB$84 + IF($B$2="mil",1,0.0254)*DDR2Specs!$E$9</f>
        <v>#REF!</v>
      </c>
      <c r="AB99" s="524" t="e">
        <f>$AA$84 + IF($B$2="mil",1,0.0254)*DDR2Specs!$F$9</f>
        <v>#REF!</v>
      </c>
      <c r="AC99" s="546" t="e">
        <f t="shared" si="53"/>
        <v>#REF!</v>
      </c>
      <c r="AD99" s="547" t="e">
        <f t="shared" si="54"/>
        <v>#REF!</v>
      </c>
      <c r="AE99" s="554"/>
      <c r="AF99" s="554"/>
      <c r="AG99" s="554"/>
      <c r="AH99" s="554"/>
      <c r="AI99" s="566" t="s">
        <v>53</v>
      </c>
      <c r="AJ99" s="560" t="e">
        <f t="shared" si="59"/>
        <v>#REF!</v>
      </c>
      <c r="AK99" s="554"/>
      <c r="AL99" s="554"/>
      <c r="AM99" s="561" t="s">
        <v>53</v>
      </c>
      <c r="AN99" s="528" t="e">
        <f t="shared" ca="1" si="60"/>
        <v>#NAME?</v>
      </c>
      <c r="AO99" s="528" t="e">
        <f t="shared" ca="1" si="61"/>
        <v>#NAME?</v>
      </c>
      <c r="AP99" s="528" t="e">
        <f t="shared" si="62"/>
        <v>#REF!</v>
      </c>
      <c r="AQ99" s="560" t="e">
        <f t="shared" si="63"/>
        <v>#REF!</v>
      </c>
      <c r="AR99" s="528" t="e">
        <f t="shared" si="64"/>
        <v>#REF!</v>
      </c>
      <c r="AS99" s="529" t="e">
        <f t="shared" si="65"/>
        <v>#REF!</v>
      </c>
      <c r="AT99" s="162" t="e">
        <f t="shared" ca="1" si="66"/>
        <v>#REF!</v>
      </c>
      <c r="AU99" s="3"/>
    </row>
    <row r="100" spans="5:47">
      <c r="N100" s="205" t="s">
        <v>230</v>
      </c>
      <c r="O100" s="205"/>
      <c r="P100" s="338"/>
      <c r="Q100" s="331"/>
      <c r="R100" s="331"/>
      <c r="S100" s="207"/>
      <c r="T100" s="207"/>
      <c r="U100" s="207"/>
      <c r="V100" s="571"/>
      <c r="W100" s="430"/>
      <c r="X100" s="430"/>
      <c r="Y100" s="207"/>
      <c r="Z100" s="207"/>
      <c r="AA100" s="207"/>
      <c r="AB100" s="207"/>
      <c r="AC100" s="430"/>
      <c r="AD100" s="430"/>
      <c r="AE100" s="554"/>
      <c r="AF100" s="554"/>
      <c r="AG100" s="554"/>
      <c r="AH100" s="554"/>
      <c r="AI100" s="155" t="s">
        <v>230</v>
      </c>
      <c r="AJ100" s="273"/>
      <c r="AK100" s="554"/>
      <c r="AL100" s="554"/>
      <c r="AM100" s="155" t="s">
        <v>230</v>
      </c>
      <c r="AN100" s="179"/>
      <c r="AO100" s="179"/>
      <c r="AP100" s="179"/>
      <c r="AQ100" s="562"/>
      <c r="AR100" s="179"/>
      <c r="AS100" s="562"/>
      <c r="AT100" s="3"/>
      <c r="AU100" s="3"/>
    </row>
    <row r="101" spans="5:47">
      <c r="N101" s="186" t="s">
        <v>54</v>
      </c>
      <c r="O101" s="186"/>
      <c r="P101" s="622">
        <v>501.06</v>
      </c>
      <c r="Q101" s="623">
        <v>98.68</v>
      </c>
      <c r="R101" s="623">
        <v>147.49</v>
      </c>
      <c r="S101" s="545">
        <f>SUM($E49:$G49,$M49,$P101,$Q101)</f>
        <v>4304.0400000000009</v>
      </c>
      <c r="T101" s="534" t="e">
        <f t="shared" si="56"/>
        <v>#REF!</v>
      </c>
      <c r="U101" s="524" t="e">
        <f>$V$84 + IF($B$2="mil",1,0.0254)*DDR2Specs!$E$9</f>
        <v>#REF!</v>
      </c>
      <c r="V101" s="547" t="e">
        <f>$U$84 + IF($B$2="mil",1,0.0254)*DDR2Specs!$F$9</f>
        <v>#REF!</v>
      </c>
      <c r="W101" s="546" t="e">
        <f>IF($T101&lt;$U101,$U101-$T101,"Pass")</f>
        <v>#REF!</v>
      </c>
      <c r="X101" s="547" t="e">
        <f>IF($T101&gt;$V101,$T101-$V101,"Pass")</f>
        <v>#REF!</v>
      </c>
      <c r="Y101" s="545">
        <f t="shared" si="57"/>
        <v>4352.8500000000004</v>
      </c>
      <c r="Z101" s="534" t="e">
        <f t="shared" si="58"/>
        <v>#REF!</v>
      </c>
      <c r="AA101" s="524" t="e">
        <f>$AB$84 + IF($B$2="mil",1,0.0254)*DDR2Specs!$E$9</f>
        <v>#REF!</v>
      </c>
      <c r="AB101" s="524" t="e">
        <f>$AA$84 + IF($B$2="mil",1,0.0254)*DDR2Specs!$F$9</f>
        <v>#REF!</v>
      </c>
      <c r="AC101" s="546" t="e">
        <f>IF($Z101&lt;$AA101,$AA101-$Z101,"Pass")</f>
        <v>#REF!</v>
      </c>
      <c r="AD101" s="547" t="e">
        <f>IF($Z101&gt;$AB101,$Z101-$AB101,"Pass")</f>
        <v>#REF!</v>
      </c>
      <c r="AE101" s="554"/>
      <c r="AF101" s="554"/>
      <c r="AG101" s="554"/>
      <c r="AH101" s="554"/>
      <c r="AI101" s="565" t="s">
        <v>54</v>
      </c>
      <c r="AJ101" s="560" t="e">
        <f>IF(P101&lt;=IF($B$2="mil",1,0.0254)*1000,"Pass",IF($B$2="mil",1,0.0254)*1000-P101)</f>
        <v>#REF!</v>
      </c>
      <c r="AK101" s="554"/>
      <c r="AL101" s="554"/>
      <c r="AM101" s="559" t="s">
        <v>54</v>
      </c>
      <c r="AN101" s="528" t="e">
        <f ca="1">CheckLength2(IF($B$2="mil",1,0.0254)*1200,P101,Q101,0)</f>
        <v>#NAME?</v>
      </c>
      <c r="AO101" s="528" t="e">
        <f ca="1">CheckLength2(IF($B$2="mil",1,0.0254)*1200,P101,R101,0)</f>
        <v>#NAME?</v>
      </c>
      <c r="AP101" s="528" t="e">
        <f>IF(AND(S101&gt;=IF($B$2="mil",1,0.0254)*500, $S101&lt;=IF($B$2="mil",1,0.0254)*6500),"Pass",IF($B$2="mil",1,0.0254)*6500-$S101)</f>
        <v>#REF!</v>
      </c>
      <c r="AQ101" s="560" t="e">
        <f>IF(AND($T101&gt;=IF($B$2="mil",1,0.0254)*500, $T101&lt;=IF($B$2="mil",1,0.0254)*7000),"Pass",IF($B$2="mil",1,0.0254)*7000-$T101)</f>
        <v>#REF!</v>
      </c>
      <c r="AR101" s="528" t="e">
        <f>IF(AND($Y101&gt;=IF($B$2="mil",1,0.0254)*500, $Y101&lt;=IF($B$2="mil",1,0.0254)*6500),"Pass",IF($B$2="mil",1,0.0254)*6500-$Y101)</f>
        <v>#REF!</v>
      </c>
      <c r="AS101" s="529" t="e">
        <f>IF(AND($Z101&gt;=IF($B$2="mil",1,0.0254)*500, $Z101&lt;=IF($B$2="mil",1,0.0254)*7000),"Pass",IF($B$2="mil",1,0.0254)*7000-$Z101)</f>
        <v>#REF!</v>
      </c>
      <c r="AT101" s="162" t="e">
        <f t="shared" ca="1" si="66"/>
        <v>#REF!</v>
      </c>
      <c r="AU101" s="3"/>
    </row>
    <row r="102" spans="5:47">
      <c r="N102" s="242" t="s">
        <v>55</v>
      </c>
      <c r="O102" s="242"/>
      <c r="P102" s="622">
        <v>472.14</v>
      </c>
      <c r="Q102" s="623">
        <v>70.63</v>
      </c>
      <c r="R102" s="623">
        <v>143.30000000000001</v>
      </c>
      <c r="S102" s="545">
        <f>SUM($E50:$G50,$M50,$P102,$Q102)</f>
        <v>4384.09</v>
      </c>
      <c r="T102" s="534" t="e">
        <f t="shared" si="56"/>
        <v>#REF!</v>
      </c>
      <c r="U102" s="524" t="e">
        <f>$V$84 + IF($B$2="mil",1,0.0254)*DDR2Specs!$E$9</f>
        <v>#REF!</v>
      </c>
      <c r="V102" s="547" t="e">
        <f>$U$84 + IF($B$2="mil",1,0.0254)*DDR2Specs!$F$9</f>
        <v>#REF!</v>
      </c>
      <c r="W102" s="546" t="e">
        <f>IF($T102&lt;$U102,$U102-$T102,"Pass")</f>
        <v>#REF!</v>
      </c>
      <c r="X102" s="547" t="e">
        <f>IF($T102&gt;$V102,$T102-$V102,"Pass")</f>
        <v>#REF!</v>
      </c>
      <c r="Y102" s="545">
        <f t="shared" si="57"/>
        <v>4456.76</v>
      </c>
      <c r="Z102" s="534" t="e">
        <f t="shared" si="58"/>
        <v>#REF!</v>
      </c>
      <c r="AA102" s="524" t="e">
        <f>$AB$84 + IF($B$2="mil",1,0.0254)*DDR2Specs!$E$9</f>
        <v>#REF!</v>
      </c>
      <c r="AB102" s="524" t="e">
        <f>$AA$84 + IF($B$2="mil",1,0.0254)*DDR2Specs!$F$9</f>
        <v>#REF!</v>
      </c>
      <c r="AC102" s="546" t="e">
        <f>IF($Z102&lt;$AA102,$AA102-$Z102,"Pass")</f>
        <v>#REF!</v>
      </c>
      <c r="AD102" s="547" t="e">
        <f>IF($Z102&gt;$AB102,$Z102-$AB102,"Pass")</f>
        <v>#REF!</v>
      </c>
      <c r="AE102" s="554"/>
      <c r="AF102" s="554"/>
      <c r="AG102" s="554"/>
      <c r="AH102" s="554"/>
      <c r="AI102" s="567" t="s">
        <v>55</v>
      </c>
      <c r="AJ102" s="560" t="e">
        <f>IF(P102&lt;=IF($B$2="mil",1,0.0254)*1000,"Pass",IF($B$2="mil",1,0.0254)*1000-P102)</f>
        <v>#REF!</v>
      </c>
      <c r="AK102" s="554"/>
      <c r="AL102" s="554"/>
      <c r="AM102" s="563" t="s">
        <v>55</v>
      </c>
      <c r="AN102" s="528" t="e">
        <f ca="1">CheckLength2(IF($B$2="mil",1,0.0254)*1200,P102,Q102,0)</f>
        <v>#NAME?</v>
      </c>
      <c r="AO102" s="528" t="e">
        <f ca="1">CheckLength2(IF($B$2="mil",1,0.0254)*1200,P102,R102,0)</f>
        <v>#NAME?</v>
      </c>
      <c r="AP102" s="528" t="e">
        <f>IF(AND(S102&gt;=IF($B$2="mil",1,0.0254)*500, $S102&lt;=IF($B$2="mil",1,0.0254)*6500),"Pass",IF($B$2="mil",1,0.0254)*6500-$S102)</f>
        <v>#REF!</v>
      </c>
      <c r="AQ102" s="560" t="e">
        <f>IF(AND($T102&gt;=IF($B$2="mil",1,0.0254)*500, $T102&lt;=IF($B$2="mil",1,0.0254)*7000),"Pass",IF($B$2="mil",1,0.0254)*7000-$T102)</f>
        <v>#REF!</v>
      </c>
      <c r="AR102" s="528" t="e">
        <f>IF(AND($Y102&gt;=IF($B$2="mil",1,0.0254)*500, $Y102&lt;=IF($B$2="mil",1,0.0254)*6500),"Pass",IF($B$2="mil",1,0.0254)*6500-$Y102)</f>
        <v>#REF!</v>
      </c>
      <c r="AS102" s="529" t="e">
        <f>IF(AND($Z102&gt;=IF($B$2="mil",1,0.0254)*500, $Z102&lt;=IF($B$2="mil",1,0.0254)*7000),"Pass",IF($B$2="mil",1,0.0254)*7000-$Z102)</f>
        <v>#REF!</v>
      </c>
      <c r="AT102" s="162" t="e">
        <f t="shared" ca="1" si="66"/>
        <v>#REF!</v>
      </c>
      <c r="AU102" s="3"/>
    </row>
    <row r="103" spans="5:47">
      <c r="N103" s="242" t="s">
        <v>56</v>
      </c>
      <c r="O103" s="242"/>
      <c r="P103" s="622">
        <v>637.47</v>
      </c>
      <c r="Q103" s="623">
        <v>153.83000000000001</v>
      </c>
      <c r="R103" s="623">
        <v>185.75</v>
      </c>
      <c r="S103" s="545">
        <f>SUM($E51:$G51,$M51,$P103,$Q103)</f>
        <v>4503.5</v>
      </c>
      <c r="T103" s="534" t="e">
        <f t="shared" si="56"/>
        <v>#REF!</v>
      </c>
      <c r="U103" s="524" t="e">
        <f>$V$84 + IF($B$2="mil",1,0.0254)*DDR2Specs!$E$9</f>
        <v>#REF!</v>
      </c>
      <c r="V103" s="547" t="e">
        <f>$U$84 + IF($B$2="mil",1,0.0254)*DDR2Specs!$F$9</f>
        <v>#REF!</v>
      </c>
      <c r="W103" s="546" t="e">
        <f>IF($T103&lt;$U103,$U103-$T103,"Pass")</f>
        <v>#REF!</v>
      </c>
      <c r="X103" s="547" t="e">
        <f>IF($T103&gt;$V103,$T103-$V103,"Pass")</f>
        <v>#REF!</v>
      </c>
      <c r="Y103" s="545">
        <f t="shared" si="57"/>
        <v>4535.42</v>
      </c>
      <c r="Z103" s="534" t="e">
        <f t="shared" si="58"/>
        <v>#REF!</v>
      </c>
      <c r="AA103" s="524" t="e">
        <f>$AB$84 + IF($B$2="mil",1,0.0254)*DDR2Specs!$E$9</f>
        <v>#REF!</v>
      </c>
      <c r="AB103" s="524" t="e">
        <f>$AA$84 + IF($B$2="mil",1,0.0254)*DDR2Specs!$F$9</f>
        <v>#REF!</v>
      </c>
      <c r="AC103" s="546" t="e">
        <f>IF($Z103&lt;$AA103,$AA103-$Z103,"Pass")</f>
        <v>#REF!</v>
      </c>
      <c r="AD103" s="547" t="e">
        <f>IF($Z103&gt;$AB103,$Z103-$AB103,"Pass")</f>
        <v>#REF!</v>
      </c>
      <c r="AE103" s="554"/>
      <c r="AF103" s="554"/>
      <c r="AG103" s="554"/>
      <c r="AH103" s="554"/>
      <c r="AI103" s="567" t="s">
        <v>56</v>
      </c>
      <c r="AJ103" s="560" t="e">
        <f>IF(P103&lt;=IF($B$2="mil",1,0.0254)*1000,"Pass",IF($B$2="mil",1,0.0254)*1000-P103)</f>
        <v>#REF!</v>
      </c>
      <c r="AK103" s="554"/>
      <c r="AL103" s="554"/>
      <c r="AM103" s="563" t="s">
        <v>56</v>
      </c>
      <c r="AN103" s="528" t="e">
        <f ca="1">CheckLength2(IF($B$2="mil",1,0.0254)*1200,P103,Q103,0)</f>
        <v>#NAME?</v>
      </c>
      <c r="AO103" s="528" t="e">
        <f ca="1">CheckLength2(IF($B$2="mil",1,0.0254)*1200,P103,R103,0)</f>
        <v>#NAME?</v>
      </c>
      <c r="AP103" s="528" t="e">
        <f>IF(AND(S103&gt;=IF($B$2="mil",1,0.0254)*500, $S103&lt;=IF($B$2="mil",1,0.0254)*6500),"Pass",IF($B$2="mil",1,0.0254)*6500-$S103)</f>
        <v>#REF!</v>
      </c>
      <c r="AQ103" s="560" t="e">
        <f>IF(AND($T103&gt;=IF($B$2="mil",1,0.0254)*500, $T103&lt;=IF($B$2="mil",1,0.0254)*7000),"Pass",IF($B$2="mil",1,0.0254)*7000-$T103)</f>
        <v>#REF!</v>
      </c>
      <c r="AR103" s="528" t="e">
        <f>IF(AND($Y103&gt;=IF($B$2="mil",1,0.0254)*500, $Y103&lt;=IF($B$2="mil",1,0.0254)*6500),"Pass",IF($B$2="mil",1,0.0254)*6500-$Y103)</f>
        <v>#REF!</v>
      </c>
      <c r="AS103" s="529" t="e">
        <f>IF(AND($Z103&gt;=IF($B$2="mil",1,0.0254)*500, $Z103&lt;=IF($B$2="mil",1,0.0254)*7000),"Pass",IF($B$2="mil",1,0.0254)*7000-$Z103)</f>
        <v>#REF!</v>
      </c>
      <c r="AT103" s="162" t="e">
        <f t="shared" ca="1" si="66"/>
        <v>#REF!</v>
      </c>
      <c r="AU103" s="3"/>
    </row>
    <row r="104" spans="5:47">
      <c r="N104" s="205" t="s">
        <v>231</v>
      </c>
      <c r="O104" s="205"/>
      <c r="P104" s="338"/>
      <c r="Q104" s="207"/>
      <c r="R104" s="207"/>
      <c r="S104" s="207"/>
      <c r="T104" s="207"/>
      <c r="U104" s="207"/>
      <c r="V104" s="571"/>
      <c r="W104" s="430"/>
      <c r="X104" s="430"/>
      <c r="Y104" s="207"/>
      <c r="Z104" s="207"/>
      <c r="AA104" s="207"/>
      <c r="AB104" s="207"/>
      <c r="AC104" s="430"/>
      <c r="AD104" s="430"/>
      <c r="AE104" s="554"/>
      <c r="AF104" s="554"/>
      <c r="AG104" s="554"/>
      <c r="AH104" s="554"/>
      <c r="AI104" s="155" t="s">
        <v>231</v>
      </c>
      <c r="AJ104" s="562"/>
      <c r="AK104" s="554"/>
      <c r="AL104" s="554"/>
      <c r="AM104" s="155" t="s">
        <v>231</v>
      </c>
      <c r="AN104" s="430"/>
      <c r="AO104" s="430"/>
      <c r="AP104" s="430"/>
      <c r="AQ104" s="562"/>
      <c r="AR104" s="430"/>
      <c r="AS104" s="562"/>
      <c r="AT104" s="3"/>
      <c r="AU104" s="3"/>
    </row>
    <row r="105" spans="5:47">
      <c r="N105" s="186" t="s">
        <v>58</v>
      </c>
      <c r="O105" s="186"/>
      <c r="P105" s="622">
        <v>468.72</v>
      </c>
      <c r="Q105" s="623">
        <v>70.95</v>
      </c>
      <c r="R105" s="623">
        <v>95.54</v>
      </c>
      <c r="S105" s="545">
        <f>SUM($E53:$G53,$M53,$P105,$Q105)</f>
        <v>4323.6499999999996</v>
      </c>
      <c r="T105" s="534" t="e">
        <f t="shared" si="56"/>
        <v>#REF!</v>
      </c>
      <c r="U105" s="524" t="e">
        <f>$V$84 + IF($B$2="mil",1,0.0254)*DDR2Specs!$E$9</f>
        <v>#REF!</v>
      </c>
      <c r="V105" s="547" t="e">
        <f>$U$84 + IF($B$2="mil",1,0.0254)*DDR2Specs!$F$9</f>
        <v>#REF!</v>
      </c>
      <c r="W105" s="546" t="e">
        <f>IF($T105&lt;$U105,$U105-$T105,"Pass")</f>
        <v>#REF!</v>
      </c>
      <c r="X105" s="547" t="e">
        <f>IF($T105&gt;$V105,$T105-$V105,"Pass")</f>
        <v>#REF!</v>
      </c>
      <c r="Y105" s="545">
        <f t="shared" si="57"/>
        <v>4348.24</v>
      </c>
      <c r="Z105" s="534" t="e">
        <f t="shared" si="58"/>
        <v>#REF!</v>
      </c>
      <c r="AA105" s="524" t="e">
        <f>$AB$84 + IF($B$2="mil",1,0.0254)*DDR2Specs!$E$9</f>
        <v>#REF!</v>
      </c>
      <c r="AB105" s="524" t="e">
        <f>$AA$84 + IF($B$2="mil",1,0.0254)*DDR2Specs!$F$9</f>
        <v>#REF!</v>
      </c>
      <c r="AC105" s="546" t="e">
        <f>IF($Z105&lt;$AA105,$AA105-$Z105,"Pass")</f>
        <v>#REF!</v>
      </c>
      <c r="AD105" s="547" t="e">
        <f>IF($Z105&gt;$AB105,$Z105-$AB105,"Pass")</f>
        <v>#REF!</v>
      </c>
      <c r="AE105" s="554"/>
      <c r="AF105" s="554"/>
      <c r="AG105" s="554"/>
      <c r="AH105" s="554"/>
      <c r="AI105" s="565" t="s">
        <v>58</v>
      </c>
      <c r="AJ105" s="560" t="e">
        <f>IF(P105&lt;=IF($B$2="mil",1,0.0254)*1000,"Pass",IF($B$2="mil",1,0.0254)*1000-P105)</f>
        <v>#REF!</v>
      </c>
      <c r="AK105" s="554"/>
      <c r="AL105" s="554"/>
      <c r="AM105" s="559" t="s">
        <v>58</v>
      </c>
      <c r="AN105" s="528" t="e">
        <f ca="1">CheckLength2(IF($B$2="mil",1,0.0254)*1200,P105,Q105,0)</f>
        <v>#NAME?</v>
      </c>
      <c r="AO105" s="528" t="e">
        <f ca="1">CheckLength2(IF($B$2="mil",1,0.0254)*1200,P105,R105,0)</f>
        <v>#NAME?</v>
      </c>
      <c r="AP105" s="528" t="e">
        <f>IF(AND(S105&gt;=IF($B$2="mil",1,0.0254)*500, $S105&lt;=IF($B$2="mil",1,0.0254)*6500),"Pass",IF($B$2="mil",1,0.0254)*6500-$S105)</f>
        <v>#REF!</v>
      </c>
      <c r="AQ105" s="560" t="e">
        <f>IF(AND($T105&gt;=IF($B$2="mil",1,0.0254)*500, $T105&lt;=IF($B$2="mil",1,0.0254)*7000),"Pass",IF($B$2="mil",1,0.0254)*7000-$T105)</f>
        <v>#REF!</v>
      </c>
      <c r="AR105" s="528" t="e">
        <f>IF(AND($Y105&gt;=IF($B$2="mil",1,0.0254)*500, $Y105&lt;=IF($B$2="mil",1,0.0254)*6500),"Pass",IF($B$2="mil",1,0.0254)*6500-$Y105)</f>
        <v>#REF!</v>
      </c>
      <c r="AS105" s="529" t="e">
        <f>IF(AND($Z105&gt;=IF($B$2="mil",1,0.0254)*500, $Z105&lt;=IF($B$2="mil",1,0.0254)*7000),"Pass",IF($B$2="mil",1,0.0254)*7000-$Z105)</f>
        <v>#REF!</v>
      </c>
      <c r="AT105" s="162" t="e">
        <f t="shared" ca="1" si="66"/>
        <v>#REF!</v>
      </c>
      <c r="AU105" s="3"/>
    </row>
    <row r="106" spans="5:47">
      <c r="N106" s="243" t="s">
        <v>59</v>
      </c>
      <c r="O106" s="243"/>
      <c r="P106" s="622">
        <v>565.59</v>
      </c>
      <c r="Q106" s="623">
        <v>83.42</v>
      </c>
      <c r="R106" s="623">
        <v>92.89</v>
      </c>
      <c r="S106" s="545">
        <f>SUM($E54:$G54,$M54,$P106,$Q106)</f>
        <v>4265.62</v>
      </c>
      <c r="T106" s="534" t="e">
        <f t="shared" si="56"/>
        <v>#REF!</v>
      </c>
      <c r="U106" s="524" t="e">
        <f>$V$84 + IF($B$2="mil",1,0.0254)*DDR2Specs!$E$9</f>
        <v>#REF!</v>
      </c>
      <c r="V106" s="547" t="e">
        <f>$U$84 + IF($B$2="mil",1,0.0254)*DDR2Specs!$F$9</f>
        <v>#REF!</v>
      </c>
      <c r="W106" s="546" t="e">
        <f>IF($T106&lt;$U106,$U106-$T106,"Pass")</f>
        <v>#REF!</v>
      </c>
      <c r="X106" s="547" t="e">
        <f>IF($T106&gt;$V106,$T106-$V106,"Pass")</f>
        <v>#REF!</v>
      </c>
      <c r="Y106" s="545">
        <f t="shared" si="57"/>
        <v>4275.09</v>
      </c>
      <c r="Z106" s="534" t="e">
        <f t="shared" si="58"/>
        <v>#REF!</v>
      </c>
      <c r="AA106" s="524" t="e">
        <f>$AB$84 + IF($B$2="mil",1,0.0254)*DDR2Specs!$E$9</f>
        <v>#REF!</v>
      </c>
      <c r="AB106" s="524" t="e">
        <f>$AA$84 + IF($B$2="mil",1,0.0254)*DDR2Specs!$F$9</f>
        <v>#REF!</v>
      </c>
      <c r="AC106" s="546" t="e">
        <f>IF($Z106&lt;$AA106,$AA106-$Z106,"Pass")</f>
        <v>#REF!</v>
      </c>
      <c r="AD106" s="547" t="e">
        <f>IF($Z106&gt;$AB106,$Z106-$AB106,"Pass")</f>
        <v>#REF!</v>
      </c>
      <c r="AE106" s="554"/>
      <c r="AF106" s="554"/>
      <c r="AG106" s="554"/>
      <c r="AH106" s="554"/>
      <c r="AI106" s="566" t="s">
        <v>59</v>
      </c>
      <c r="AJ106" s="560" t="e">
        <f>IF(P106&lt;=IF($B$2="mil",1,0.0254)*1000,"Pass",IF($B$2="mil",1,0.0254)*1000-P106)</f>
        <v>#REF!</v>
      </c>
      <c r="AK106" s="554"/>
      <c r="AL106" s="554"/>
      <c r="AM106" s="561" t="s">
        <v>59</v>
      </c>
      <c r="AN106" s="528" t="e">
        <f ca="1">CheckLength2(IF($B$2="mil",1,0.0254)*1200,P106,Q106,0)</f>
        <v>#NAME?</v>
      </c>
      <c r="AO106" s="528" t="e">
        <f ca="1">CheckLength2(IF($B$2="mil",1,0.0254)*1200,P106,R106,0)</f>
        <v>#NAME?</v>
      </c>
      <c r="AP106" s="528" t="e">
        <f>IF(AND(S106&gt;=IF($B$2="mil",1,0.0254)*500, $S106&lt;=IF($B$2="mil",1,0.0254)*6500),"Pass",IF($B$2="mil",1,0.0254)*6500-$S106)</f>
        <v>#REF!</v>
      </c>
      <c r="AQ106" s="560" t="e">
        <f>IF(AND($T106&gt;=IF($B$2="mil",1,0.0254)*500, $T106&lt;=IF($B$2="mil",1,0.0254)*7000),"Pass",IF($B$2="mil",1,0.0254)*7000-$T106)</f>
        <v>#REF!</v>
      </c>
      <c r="AR106" s="528" t="e">
        <f>IF(AND($Y106&gt;=IF($B$2="mil",1,0.0254)*500, $Y106&lt;=IF($B$2="mil",1,0.0254)*6500),"Pass",IF($B$2="mil",1,0.0254)*6500-$Y106)</f>
        <v>#REF!</v>
      </c>
      <c r="AS106" s="529" t="e">
        <f>IF(AND($Z106&gt;=IF($B$2="mil",1,0.0254)*500, $Z106&lt;=IF($B$2="mil",1,0.0254)*7000),"Pass",IF($B$2="mil",1,0.0254)*7000-$Z106)</f>
        <v>#REF!</v>
      </c>
      <c r="AT106" s="162" t="e">
        <f t="shared" ca="1" si="66"/>
        <v>#REF!</v>
      </c>
      <c r="AU106" s="3"/>
    </row>
    <row r="107" spans="5:47">
      <c r="N107" s="243" t="s">
        <v>60</v>
      </c>
      <c r="O107" s="243"/>
      <c r="P107" s="622">
        <v>571.29999999999995</v>
      </c>
      <c r="Q107" s="623">
        <v>108.65</v>
      </c>
      <c r="R107" s="623">
        <v>46.75</v>
      </c>
      <c r="S107" s="545">
        <f>SUM($E55:$G55,$M55,$P107,$Q107)</f>
        <v>4384.21</v>
      </c>
      <c r="T107" s="534" t="e">
        <f>$S107+IF($B$2="mil",1,0.0254)*$C55</f>
        <v>#REF!</v>
      </c>
      <c r="U107" s="524" t="e">
        <f>$V$84 + IF($B$2="mil",1,0.0254)*DDR2Specs!$E$9</f>
        <v>#REF!</v>
      </c>
      <c r="V107" s="547" t="e">
        <f>$U$84 + IF($B$2="mil",1,0.0254)*DDR2Specs!$F$9</f>
        <v>#REF!</v>
      </c>
      <c r="W107" s="546" t="e">
        <f>IF($T107&lt;$U107,$U107-$T107,"Pass")</f>
        <v>#REF!</v>
      </c>
      <c r="X107" s="547" t="e">
        <f>IF($T107&gt;$V107,$T107-$V107,"Pass")</f>
        <v>#REF!</v>
      </c>
      <c r="Y107" s="545">
        <f t="shared" si="57"/>
        <v>4322.3100000000004</v>
      </c>
      <c r="Z107" s="534" t="e">
        <f>$Y107+IF($B$2="mil",1,0.0254)*$C55</f>
        <v>#REF!</v>
      </c>
      <c r="AA107" s="524" t="e">
        <f>$AB$84 + IF($B$2="mil",1,0.0254)*DDR2Specs!$E$9</f>
        <v>#REF!</v>
      </c>
      <c r="AB107" s="524" t="e">
        <f>$AA$84 + IF($B$2="mil",1,0.0254)*DDR2Specs!$F$9</f>
        <v>#REF!</v>
      </c>
      <c r="AC107" s="546" t="e">
        <f>IF($Z107&lt;$AA107,$AA107-$Z107,"Pass")</f>
        <v>#REF!</v>
      </c>
      <c r="AD107" s="547" t="e">
        <f>IF($Z107&gt;$AB107,$Z107-$AB107,"Pass")</f>
        <v>#REF!</v>
      </c>
      <c r="AE107" s="554"/>
      <c r="AF107" s="554"/>
      <c r="AG107" s="554"/>
      <c r="AH107" s="554"/>
      <c r="AI107" s="566" t="s">
        <v>60</v>
      </c>
      <c r="AJ107" s="560" t="e">
        <f>IF(P107&lt;=IF($B$2="mil",1,0.0254)*1000,"Pass",IF($B$2="mil",1,0.0254)*1000-P107)</f>
        <v>#REF!</v>
      </c>
      <c r="AK107" s="554"/>
      <c r="AL107" s="554"/>
      <c r="AM107" s="561" t="s">
        <v>60</v>
      </c>
      <c r="AN107" s="528" t="e">
        <f ca="1">CheckLength2(IF($B$2="mil",1,0.0254)*1200,P107,Q107,0)</f>
        <v>#NAME?</v>
      </c>
      <c r="AO107" s="528" t="e">
        <f ca="1">CheckLength2(IF($B$2="mil",1,0.0254)*1200,P107,R107,0)</f>
        <v>#NAME?</v>
      </c>
      <c r="AP107" s="528" t="e">
        <f>IF(AND(S107&gt;=IF($B$2="mil",1,0.0254)*500, $S107&lt;=IF($B$2="mil",1,0.0254)*6500),"Pass",IF($B$2="mil",1,0.0254)*6500-$S107)</f>
        <v>#REF!</v>
      </c>
      <c r="AQ107" s="560" t="e">
        <f>IF(AND($T107&gt;=IF($B$2="mil",1,0.0254)*500, $T107&lt;=IF($B$2="mil",1,0.0254)*7000),"Pass",IF($B$2="mil",1,0.0254)*7000-$T107)</f>
        <v>#REF!</v>
      </c>
      <c r="AR107" s="528" t="e">
        <f>IF(AND($Y107&gt;=IF($B$2="mil",1,0.0254)*500, $Y107&lt;=IF($B$2="mil",1,0.0254)*6500),"Pass",IF($B$2="mil",1,0.0254)*6500-$Y107)</f>
        <v>#REF!</v>
      </c>
      <c r="AS107" s="529" t="e">
        <f>IF(AND($Z107&gt;=IF($B$2="mil",1,0.0254)*500, $Z107&lt;=IF($B$2="mil",1,0.0254)*7000),"Pass",IF($B$2="mil",1,0.0254)*7000-$Z107)</f>
        <v>#REF!</v>
      </c>
      <c r="AT107" s="162" t="e">
        <f t="shared" ca="1" si="66"/>
        <v>#REF!</v>
      </c>
      <c r="AU107" s="3"/>
    </row>
    <row r="108" spans="5:47">
      <c r="N108" s="329" t="s">
        <v>457</v>
      </c>
      <c r="O108" s="329"/>
      <c r="P108" s="144" t="e">
        <f>"Trace L7-2 ["&amp;$B$2&amp;"]"</f>
        <v>#REF!</v>
      </c>
      <c r="Q108" s="144" t="e">
        <f>"Trace L8-7 to U4 ["&amp;$B$2&amp;"]"</f>
        <v>#REF!</v>
      </c>
      <c r="R108" s="144" t="e">
        <f>"Trace L8-8 to U8 ["&amp;$B$2&amp;"]"</f>
        <v>#REF!</v>
      </c>
      <c r="S108" s="550" t="e">
        <f>"Total MB Length to U4 (L0+L1+L2+L5+L6-2+L7-2+L8-7) ["&amp;$B$2&amp;"]"</f>
        <v>#REF!</v>
      </c>
      <c r="T108" s="550" t="e">
        <f>"Total Pad to Pin U4 (P1+LL0+L1+L2+L5+L6-2+L7-2+L8-7) ["&amp;$B$2&amp;"]"</f>
        <v>#REF!</v>
      </c>
      <c r="U108" s="551" t="e">
        <f>"Target Min Length  to U4["&amp;$B$2&amp;"]"</f>
        <v>#REF!</v>
      </c>
      <c r="V108" s="552" t="e">
        <f>"Target Max Length  to U4 ["&amp;$B$2&amp;"]"</f>
        <v>#REF!</v>
      </c>
      <c r="W108" s="553" t="e">
        <f>"Routed Too Short to U4 [" &amp;$B$2&amp;"]"</f>
        <v>#REF!</v>
      </c>
      <c r="X108" s="551" t="e">
        <f>"Routed Too Long to U4 [" &amp;$B$2&amp;"]"</f>
        <v>#REF!</v>
      </c>
      <c r="Y108" s="550" t="e">
        <f>"Total MB Length to U8 (L0+L1+L2+L5+L6-2+L7-2+L8-8) ["&amp;$B$2&amp;"]"</f>
        <v>#REF!</v>
      </c>
      <c r="Z108" s="550" t="e">
        <f>"Total Pad to Pin U8 (P1+L0+L1+L2+L5+L6-2+L7-2+L8-8) ["&amp;$B$2&amp;"]"</f>
        <v>#REF!</v>
      </c>
      <c r="AA108" s="551" t="e">
        <f>"Target Min Length  to U8["&amp;$B$2&amp;"]"</f>
        <v>#REF!</v>
      </c>
      <c r="AB108" s="552" t="e">
        <f>"Target Max Length  to U8 ["&amp;$B$2&amp;"]"</f>
        <v>#REF!</v>
      </c>
      <c r="AC108" s="553" t="e">
        <f>"Routed Too Short to U8 [" &amp;$B$2&amp;"]"</f>
        <v>#REF!</v>
      </c>
      <c r="AD108" s="551" t="e">
        <f>"Routed Too Long to U8 [" &amp;$B$2&amp;"]"</f>
        <v>#REF!</v>
      </c>
      <c r="AE108" s="554"/>
      <c r="AF108" s="554"/>
      <c r="AG108" s="554"/>
      <c r="AH108" s="554"/>
      <c r="AI108" s="554"/>
      <c r="AJ108" s="554"/>
      <c r="AK108" s="568" t="s">
        <v>457</v>
      </c>
      <c r="AL108" s="552" t="e">
        <f>"L7-2 Length Test (&lt;=" &amp; IF($B$2="mil",1,0.0254)*1000&amp;$B$2&amp;")"</f>
        <v>#REF!</v>
      </c>
      <c r="AM108" s="554"/>
      <c r="AN108" s="556" t="e">
        <f>"L8-7 Length Test (&lt;=" &amp; IF($B$2="mil",1,0.0254)*200&amp;$B$2&amp;") or (L7-2+L8-7&lt;= "&amp;IF($B$2="mil",1,0.0254)*1200&amp;$B$2&amp;")"</f>
        <v>#REF!</v>
      </c>
      <c r="AO108" s="556" t="e">
        <f>"L8-8 Length Test (&lt;=" &amp; IF($B$2="mil",1,0.0254)*200&amp;$B$2&amp;") or (L7-2+L8-8&lt;= "&amp;IF($B$2="mil",1,0.0254)*1200&amp;$B$2&amp;")"</f>
        <v>#REF!</v>
      </c>
      <c r="AP108" s="552" t="e">
        <f>"Total Length to U4 (L0+L1+L2+L5+L6-2+L7-2+L8-7) Test ("&amp;IF($B$2="mil",1,0.0254)*500&amp;"-"&amp;IF($B$2="mil",1,0.0254)*6500&amp;IF($B$2="mil","mil","mm")&amp;")"</f>
        <v>#REF!</v>
      </c>
      <c r="AQ108" s="552" t="e">
        <f>"Total Length to U4 (P1+L0+L1+L2+L5+L6-2+L7-2+L8-7) Test (&lt;="&amp;IF($B$2="mil",1,25.4)*7000&amp;IF($B$2="mil","mil","mm")&amp;")"</f>
        <v>#REF!</v>
      </c>
      <c r="AR108" s="556" t="e">
        <f>"Total Length to U8 (L0+L1+L2+L5+L6-2+L7-2+L8-8) Test ("&amp;IF($B$2="mil",1,0.0254)*500&amp;"-"&amp;IF($B$2="mil",1,0.0254)*6500&amp;IF($B$2="mil","mil","mm")&amp;")"</f>
        <v>#REF!</v>
      </c>
      <c r="AS108" s="552" t="e">
        <f>"Total Length to U8 (P1+L0+L1+L2+L5+L6-2+L7-2+L8-8) Test (&lt;="&amp;IF($B$2="mil",1,25.4)*7000&amp;IF($B$2="mil","mil","mm")&amp;")"</f>
        <v>#REF!</v>
      </c>
      <c r="AT108" s="3"/>
      <c r="AU108" s="3"/>
    </row>
    <row r="109" spans="5:47">
      <c r="N109" s="155" t="s">
        <v>210</v>
      </c>
      <c r="O109" s="155"/>
      <c r="P109" s="156"/>
      <c r="Q109" s="156"/>
      <c r="R109" s="156"/>
      <c r="S109" s="156"/>
      <c r="T109" s="156"/>
      <c r="U109" s="156"/>
      <c r="V109" s="430"/>
      <c r="W109" s="156"/>
      <c r="X109" s="156"/>
      <c r="Y109" s="156"/>
      <c r="Z109" s="156"/>
      <c r="AA109" s="156"/>
      <c r="AB109" s="156"/>
      <c r="AC109" s="156"/>
      <c r="AD109" s="156"/>
      <c r="AE109" s="554"/>
      <c r="AF109" s="554"/>
      <c r="AG109" s="554"/>
      <c r="AH109" s="554"/>
      <c r="AI109" s="554"/>
      <c r="AJ109" s="554"/>
      <c r="AK109" s="155" t="s">
        <v>210</v>
      </c>
      <c r="AL109" s="158"/>
      <c r="AM109" s="554"/>
      <c r="AN109" s="156"/>
      <c r="AO109" s="156"/>
      <c r="AP109" s="156"/>
      <c r="AQ109" s="158"/>
      <c r="AR109" s="156"/>
      <c r="AS109" s="158"/>
      <c r="AT109" s="3"/>
      <c r="AU109" s="3"/>
    </row>
    <row r="110" spans="5:47">
      <c r="N110" s="263" t="s">
        <v>214</v>
      </c>
      <c r="O110" s="263"/>
      <c r="P110" s="166"/>
      <c r="Q110" s="166"/>
      <c r="R110" s="166"/>
      <c r="S110" s="166"/>
      <c r="T110" s="558" t="s">
        <v>225</v>
      </c>
      <c r="U110" s="542" t="e">
        <f>MIN('DDR2 Clocks - 4L'!$O$17:$O$18)</f>
        <v>#REF!</v>
      </c>
      <c r="V110" s="539" t="e">
        <f>MAX('DDR2 Clocks - 4L'!$O$17:$O$18)</f>
        <v>#REF!</v>
      </c>
      <c r="W110" s="542"/>
      <c r="X110" s="168"/>
      <c r="Y110" s="166"/>
      <c r="Z110" s="558" t="s">
        <v>287</v>
      </c>
      <c r="AA110" s="542" t="e">
        <f>MIN('DDR2 Clocks - 4L'!$O$19:$O$20)</f>
        <v>#REF!</v>
      </c>
      <c r="AB110" s="541" t="e">
        <f>MAX('DDR2 Clocks - 4L'!$O$19:$O$20)</f>
        <v>#REF!</v>
      </c>
      <c r="AC110" s="542"/>
      <c r="AD110" s="168"/>
      <c r="AE110" s="554"/>
      <c r="AF110" s="554"/>
      <c r="AG110" s="554"/>
      <c r="AH110" s="554"/>
      <c r="AI110" s="554"/>
      <c r="AJ110" s="554"/>
      <c r="AK110" s="164" t="s">
        <v>214</v>
      </c>
      <c r="AL110" s="539"/>
      <c r="AM110" s="554"/>
      <c r="AN110" s="538"/>
      <c r="AO110" s="538"/>
      <c r="AP110" s="538"/>
      <c r="AQ110" s="539"/>
      <c r="AR110" s="538"/>
      <c r="AS110" s="539"/>
      <c r="AT110" s="3"/>
      <c r="AU110" s="3"/>
    </row>
    <row r="111" spans="5:47">
      <c r="N111" s="205" t="s">
        <v>229</v>
      </c>
      <c r="O111" s="410"/>
      <c r="P111" s="181"/>
      <c r="Q111" s="181"/>
      <c r="R111" s="181"/>
      <c r="S111" s="181"/>
      <c r="T111" s="181"/>
      <c r="U111" s="179"/>
      <c r="V111" s="570"/>
      <c r="W111" s="531"/>
      <c r="X111" s="179"/>
      <c r="Y111" s="181"/>
      <c r="Z111" s="181"/>
      <c r="AA111" s="179"/>
      <c r="AB111" s="531"/>
      <c r="AC111" s="531"/>
      <c r="AD111" s="179"/>
      <c r="AE111" s="554"/>
      <c r="AF111" s="554"/>
      <c r="AG111" s="554"/>
      <c r="AH111" s="554"/>
      <c r="AI111" s="554"/>
      <c r="AJ111" s="554"/>
      <c r="AK111" s="155" t="s">
        <v>229</v>
      </c>
      <c r="AL111" s="273"/>
      <c r="AM111" s="554"/>
      <c r="AN111" s="179"/>
      <c r="AO111" s="179"/>
      <c r="AP111" s="179"/>
      <c r="AQ111" s="273"/>
      <c r="AR111" s="179"/>
      <c r="AS111" s="273"/>
      <c r="AT111" s="3"/>
      <c r="AU111" s="3"/>
    </row>
    <row r="112" spans="5:47">
      <c r="N112" s="186" t="s">
        <v>196</v>
      </c>
      <c r="O112" s="186"/>
      <c r="P112" s="622">
        <v>696.48</v>
      </c>
      <c r="Q112" s="622">
        <v>150.80000000000001</v>
      </c>
      <c r="R112" s="622">
        <v>179.25</v>
      </c>
      <c r="S112" s="545">
        <f>SUM($E34:$G34,$M34,$P112,$P86,$Q112)</f>
        <v>5028.2500000000009</v>
      </c>
      <c r="T112" s="534" t="e">
        <f>$S112+IF($B$2="mil",1,0.0254)*$C34</f>
        <v>#REF!</v>
      </c>
      <c r="U112" s="524" t="e">
        <f>$V$110 + IF($B$2="mil",1,0.0254)*DDR2Specs!$E$9</f>
        <v>#REF!</v>
      </c>
      <c r="V112" s="547" t="e">
        <f>$U$110 + IF($B$2="mil",1,0.0254)*DDR2Specs!$F$9</f>
        <v>#REF!</v>
      </c>
      <c r="W112" s="546" t="e">
        <f t="shared" ref="W112:W125" si="67">IF($T112&lt;$U112,$U112-$T112,"Pass")</f>
        <v>#REF!</v>
      </c>
      <c r="X112" s="547" t="e">
        <f t="shared" ref="X112:X125" si="68">IF($T112&gt;$V112,$T112-$V112,"Pass")</f>
        <v>#REF!</v>
      </c>
      <c r="Y112" s="545">
        <f>SUM($E34:$G34,$M34,$P112,$P86,$R112)</f>
        <v>5056.7000000000007</v>
      </c>
      <c r="Z112" s="534" t="e">
        <f>$Y112+IF($B$2="mil",1,0.0254)*$C34</f>
        <v>#REF!</v>
      </c>
      <c r="AA112" s="524" t="e">
        <f>$AB$110 + IF($B$2="mil",1,0.0254)*DDR2Specs!$E$9</f>
        <v>#REF!</v>
      </c>
      <c r="AB112" s="524" t="e">
        <f>$AA$110 + IF($B$2="mil",1,0.0254)*DDR2Specs!$F$9</f>
        <v>#REF!</v>
      </c>
      <c r="AC112" s="546" t="e">
        <f t="shared" ref="AC112:AC125" si="69">IF($Z112&lt;$AA112,$AA112-$Z112,"Pass")</f>
        <v>#REF!</v>
      </c>
      <c r="AD112" s="547" t="e">
        <f t="shared" ref="AD112:AD125" si="70">IF($Z112&gt;$AB112,$Z112-$AB112,"Pass")</f>
        <v>#REF!</v>
      </c>
      <c r="AE112" s="554"/>
      <c r="AF112" s="554"/>
      <c r="AG112" s="554"/>
      <c r="AH112" s="554"/>
      <c r="AI112" s="554"/>
      <c r="AJ112" s="554"/>
      <c r="AK112" s="565" t="s">
        <v>196</v>
      </c>
      <c r="AL112" s="560" t="e">
        <f>IF(P112&lt;=IF($B$2="mil",1,0.0254)*1000,"Pass",IF($B$2="mil",1,0.0254)*1000-P112)</f>
        <v>#REF!</v>
      </c>
      <c r="AM112" s="554"/>
      <c r="AN112" s="528" t="e">
        <f ca="1">CheckLength2(IF($B$2="mil",1,0.0254)*1200,P112,Q112,0)</f>
        <v>#NAME?</v>
      </c>
      <c r="AO112" s="528" t="e">
        <f ca="1">CheckLength2(IF($B$2="mil",1,0.0254)*1200,P112,R112,0)</f>
        <v>#NAME?</v>
      </c>
      <c r="AP112" s="528" t="e">
        <f>IF(AND(S112&gt;=IF($B$2="mil",1,0.0254)*500, $S112&lt;=IF($B$2="mil",1,0.0254)*6500),"Pass",IF($B$2="mil",1,0.0254)*6500-$S112)</f>
        <v>#REF!</v>
      </c>
      <c r="AQ112" s="560" t="e">
        <f>IF(AND($T112&gt;=IF($B$2="mil",1,0.0254)*500, $T112&lt;=IF($B$2="mil",1,0.0254)*7000),"Pass",IF($B$2="mil",1,0.0254)*7000-$T112)</f>
        <v>#REF!</v>
      </c>
      <c r="AR112" s="528" t="e">
        <f>IF(AND($Y112&gt;=IF($B$2="mil",1,0.0254)*500, $Y112&lt;=IF($B$2="mil",1,0.0254)*6500),"Pass",IF($B$2="mil",1,0.0254)*6500-$Y112)</f>
        <v>#REF!</v>
      </c>
      <c r="AS112" s="529" t="e">
        <f>IF(AND($Z112&gt;=IF($B$2="mil",1,0.0254)*500, $Z112&lt;=IF($B$2="mil",1,0.0254)*7000),"Pass",IF($B$2="mil",1,0.0254)*7000-$Z112)</f>
        <v>#REF!</v>
      </c>
      <c r="AT112" s="162" t="e">
        <f ca="1">IF(AND(W86="Pass",X86="Pass",AL112="Pass",AN112="Pass",AO112="Pass",AP112="Pass",AQ112="Pass",AR112="Pass",AS112="Pass"),"Pass","Fail")</f>
        <v>#REF!</v>
      </c>
      <c r="AU112" s="162" t="e">
        <f ca="1">IF(AND(AT112="Pass",AT113="Pass",AT114="Pass",AT115="Pass",AT116="Pass",AT117="Pass",AT118="Pass",AT119="Pass",AT120="Pass",AT121="Pass",AT122="Pass"),"Pass","Fail")</f>
        <v>#REF!</v>
      </c>
    </row>
    <row r="113" spans="14:47">
      <c r="N113" s="243" t="s">
        <v>39</v>
      </c>
      <c r="O113" s="243"/>
      <c r="P113" s="622">
        <v>674.74</v>
      </c>
      <c r="Q113" s="622">
        <v>150.6</v>
      </c>
      <c r="R113" s="622">
        <v>85.13</v>
      </c>
      <c r="S113" s="545">
        <f t="shared" ref="S113:S133" si="71">SUM($E35:$G35,$M35,$P113,$P87,$Q113)</f>
        <v>4927.9399999999996</v>
      </c>
      <c r="T113" s="534" t="e">
        <f t="shared" ref="T113:T133" si="72">$S113+IF($B$2="mil",1,0.0254)*$C35</f>
        <v>#REF!</v>
      </c>
      <c r="U113" s="524" t="e">
        <f>$V$110 + IF($B$2="mil",1,0.0254)*DDR2Specs!$E$9</f>
        <v>#REF!</v>
      </c>
      <c r="V113" s="547" t="e">
        <f>$U$110 + IF($B$2="mil",1,0.0254)*DDR2Specs!$F$9</f>
        <v>#REF!</v>
      </c>
      <c r="W113" s="546" t="e">
        <f t="shared" si="67"/>
        <v>#REF!</v>
      </c>
      <c r="X113" s="547" t="e">
        <f t="shared" si="68"/>
        <v>#REF!</v>
      </c>
      <c r="Y113" s="545">
        <f t="shared" ref="Y113:Y133" si="73">SUM($E35:$G35,$M35,$P113,$P87,$R113)</f>
        <v>4862.4699999999993</v>
      </c>
      <c r="Z113" s="534" t="e">
        <f t="shared" ref="Z113:Z133" si="74">$Y113+IF($B$2="mil",1,0.0254)*$C35</f>
        <v>#REF!</v>
      </c>
      <c r="AA113" s="524" t="e">
        <f>$AB$110 + IF($B$2="mil",1,0.0254)*DDR2Specs!$E$9</f>
        <v>#REF!</v>
      </c>
      <c r="AB113" s="524" t="e">
        <f>$AA$110 + IF($B$2="mil",1,0.0254)*DDR2Specs!$F$9</f>
        <v>#REF!</v>
      </c>
      <c r="AC113" s="546" t="e">
        <f t="shared" si="69"/>
        <v>#REF!</v>
      </c>
      <c r="AD113" s="547" t="e">
        <f t="shared" si="70"/>
        <v>#REF!</v>
      </c>
      <c r="AE113" s="554"/>
      <c r="AF113" s="554"/>
      <c r="AG113" s="554"/>
      <c r="AH113" s="554"/>
      <c r="AI113" s="554"/>
      <c r="AJ113" s="554"/>
      <c r="AK113" s="566" t="s">
        <v>39</v>
      </c>
      <c r="AL113" s="560" t="e">
        <f t="shared" ref="AL113:AL125" si="75">IF(P113&lt;=IF($B$2="mil",1,0.0254)*1000,"Pass",IF($B$2="mil",1,0.0254)*1000-P113)</f>
        <v>#REF!</v>
      </c>
      <c r="AM113" s="554"/>
      <c r="AN113" s="528" t="e">
        <f t="shared" ref="AN113:AN125" ca="1" si="76">CheckLength2(IF($B$2="mil",1,0.0254)*1200,P113,Q113,0)</f>
        <v>#NAME?</v>
      </c>
      <c r="AO113" s="528" t="e">
        <f t="shared" ref="AO113:AO125" ca="1" si="77">CheckLength2(IF($B$2="mil",1,0.0254)*1200,P113,R113,0)</f>
        <v>#NAME?</v>
      </c>
      <c r="AP113" s="528" t="e">
        <f t="shared" ref="AP113:AP125" si="78">IF(AND(S113&gt;=IF($B$2="mil",1,0.0254)*500, $S113&lt;=IF($B$2="mil",1,0.0254)*6500),"Pass",IF($B$2="mil",1,0.0254)*6500-$S113)</f>
        <v>#REF!</v>
      </c>
      <c r="AQ113" s="560" t="e">
        <f t="shared" ref="AQ113:AQ125" si="79">IF(AND($T113&gt;=IF($B$2="mil",1,0.0254)*500, $T113&lt;=IF($B$2="mil",1,0.0254)*7000),"Pass",IF($B$2="mil",1,0.0254)*7000-$T113)</f>
        <v>#REF!</v>
      </c>
      <c r="AR113" s="528" t="e">
        <f t="shared" ref="AR113:AR125" si="80">IF(AND($Y113&gt;=IF($B$2="mil",1,0.0254)*500, $Y113&lt;=IF($B$2="mil",1,0.0254)*6500),"Pass",IF($B$2="mil",1,0.0254)*6500-$Y113)</f>
        <v>#REF!</v>
      </c>
      <c r="AS113" s="529" t="e">
        <f t="shared" ref="AS113:AS125" si="81">IF(AND($Z113&gt;=IF($B$2="mil",1,0.0254)*500, $Z113&lt;=IF($B$2="mil",1,0.0254)*7000),"Pass",IF($B$2="mil",1,0.0254)*7000-$Z113)</f>
        <v>#REF!</v>
      </c>
      <c r="AT113" s="162" t="e">
        <f t="shared" ref="AT113:AT133" ca="1" si="82">IF(AND(W87="Pass",X87="Pass",AL113="Pass",AN113="Pass",AO113="Pass",AP113="Pass",AQ113="Pass",AR113="Pass",AS113="Pass"),"Pass","Fail")</f>
        <v>#REF!</v>
      </c>
      <c r="AU113" s="162" t="e">
        <f ca="1">IF(AND(AT123="Pass",AT124="Pass",AT125="Pass",AT127="Pass",AT128="Pass",AT129="Pass",AT131="Pass",AT132="Pass",AT133="Pass"),"Pass","Fail")</f>
        <v>#REF!</v>
      </c>
    </row>
    <row r="114" spans="14:47">
      <c r="N114" s="243" t="s">
        <v>40</v>
      </c>
      <c r="O114" s="243"/>
      <c r="P114" s="622">
        <v>709.74</v>
      </c>
      <c r="Q114" s="622">
        <v>104.19</v>
      </c>
      <c r="R114" s="622">
        <v>89.68</v>
      </c>
      <c r="S114" s="545">
        <f t="shared" si="71"/>
        <v>5116.12</v>
      </c>
      <c r="T114" s="534" t="e">
        <f t="shared" si="72"/>
        <v>#REF!</v>
      </c>
      <c r="U114" s="524" t="e">
        <f>$V$110 + IF($B$2="mil",1,0.0254)*DDR2Specs!$E$9</f>
        <v>#REF!</v>
      </c>
      <c r="V114" s="547" t="e">
        <f>$U$110 + IF($B$2="mil",1,0.0254)*DDR2Specs!$F$9</f>
        <v>#REF!</v>
      </c>
      <c r="W114" s="546" t="e">
        <f t="shared" si="67"/>
        <v>#REF!</v>
      </c>
      <c r="X114" s="547" t="e">
        <f t="shared" si="68"/>
        <v>#REF!</v>
      </c>
      <c r="Y114" s="545">
        <f t="shared" si="73"/>
        <v>5101.6100000000006</v>
      </c>
      <c r="Z114" s="534" t="e">
        <f t="shared" si="74"/>
        <v>#REF!</v>
      </c>
      <c r="AA114" s="524" t="e">
        <f>$AB$110 + IF($B$2="mil",1,0.0254)*DDR2Specs!$E$9</f>
        <v>#REF!</v>
      </c>
      <c r="AB114" s="524" t="e">
        <f>$AA$110 + IF($B$2="mil",1,0.0254)*DDR2Specs!$F$9</f>
        <v>#REF!</v>
      </c>
      <c r="AC114" s="546" t="e">
        <f t="shared" si="69"/>
        <v>#REF!</v>
      </c>
      <c r="AD114" s="547" t="e">
        <f t="shared" si="70"/>
        <v>#REF!</v>
      </c>
      <c r="AE114" s="554"/>
      <c r="AF114" s="554"/>
      <c r="AG114" s="554"/>
      <c r="AH114" s="554"/>
      <c r="AI114" s="554"/>
      <c r="AJ114" s="554"/>
      <c r="AK114" s="566" t="s">
        <v>40</v>
      </c>
      <c r="AL114" s="560" t="e">
        <f t="shared" si="75"/>
        <v>#REF!</v>
      </c>
      <c r="AM114" s="554"/>
      <c r="AN114" s="528" t="e">
        <f t="shared" ca="1" si="76"/>
        <v>#NAME?</v>
      </c>
      <c r="AO114" s="528" t="e">
        <f t="shared" ca="1" si="77"/>
        <v>#NAME?</v>
      </c>
      <c r="AP114" s="528" t="e">
        <f t="shared" si="78"/>
        <v>#REF!</v>
      </c>
      <c r="AQ114" s="560" t="e">
        <f t="shared" si="79"/>
        <v>#REF!</v>
      </c>
      <c r="AR114" s="528" t="e">
        <f t="shared" si="80"/>
        <v>#REF!</v>
      </c>
      <c r="AS114" s="529" t="e">
        <f t="shared" si="81"/>
        <v>#REF!</v>
      </c>
      <c r="AT114" s="162" t="e">
        <f t="shared" ca="1" si="82"/>
        <v>#REF!</v>
      </c>
      <c r="AU114" s="3"/>
    </row>
    <row r="115" spans="14:47">
      <c r="N115" s="243" t="s">
        <v>41</v>
      </c>
      <c r="O115" s="243"/>
      <c r="P115" s="622">
        <v>645.12</v>
      </c>
      <c r="Q115" s="622">
        <v>373.47</v>
      </c>
      <c r="R115" s="622">
        <v>427.53</v>
      </c>
      <c r="S115" s="545">
        <f t="shared" si="71"/>
        <v>4944.12</v>
      </c>
      <c r="T115" s="534" t="e">
        <f t="shared" si="72"/>
        <v>#REF!</v>
      </c>
      <c r="U115" s="524" t="e">
        <f>$V$110 + IF($B$2="mil",1,0.0254)*DDR2Specs!$E$9</f>
        <v>#REF!</v>
      </c>
      <c r="V115" s="547" t="e">
        <f>$U$110 + IF($B$2="mil",1,0.0254)*DDR2Specs!$F$9</f>
        <v>#REF!</v>
      </c>
      <c r="W115" s="546" t="e">
        <f t="shared" si="67"/>
        <v>#REF!</v>
      </c>
      <c r="X115" s="547" t="e">
        <f t="shared" si="68"/>
        <v>#REF!</v>
      </c>
      <c r="Y115" s="545">
        <f t="shared" si="73"/>
        <v>4998.1799999999994</v>
      </c>
      <c r="Z115" s="534" t="e">
        <f t="shared" si="74"/>
        <v>#REF!</v>
      </c>
      <c r="AA115" s="524" t="e">
        <f>$AB$110 + IF($B$2="mil",1,0.0254)*DDR2Specs!$E$9</f>
        <v>#REF!</v>
      </c>
      <c r="AB115" s="524" t="e">
        <f>$AA$110 + IF($B$2="mil",1,0.0254)*DDR2Specs!$F$9</f>
        <v>#REF!</v>
      </c>
      <c r="AC115" s="546" t="e">
        <f t="shared" si="69"/>
        <v>#REF!</v>
      </c>
      <c r="AD115" s="547" t="e">
        <f t="shared" si="70"/>
        <v>#REF!</v>
      </c>
      <c r="AE115" s="554"/>
      <c r="AF115" s="554"/>
      <c r="AG115" s="554"/>
      <c r="AH115" s="554"/>
      <c r="AI115" s="554"/>
      <c r="AJ115" s="554"/>
      <c r="AK115" s="566" t="s">
        <v>41</v>
      </c>
      <c r="AL115" s="560" t="e">
        <f t="shared" si="75"/>
        <v>#REF!</v>
      </c>
      <c r="AM115" s="554"/>
      <c r="AN115" s="528" t="e">
        <f t="shared" ca="1" si="76"/>
        <v>#NAME?</v>
      </c>
      <c r="AO115" s="528" t="e">
        <f t="shared" ca="1" si="77"/>
        <v>#NAME?</v>
      </c>
      <c r="AP115" s="528" t="e">
        <f t="shared" si="78"/>
        <v>#REF!</v>
      </c>
      <c r="AQ115" s="560" t="e">
        <f t="shared" si="79"/>
        <v>#REF!</v>
      </c>
      <c r="AR115" s="528" t="e">
        <f t="shared" si="80"/>
        <v>#REF!</v>
      </c>
      <c r="AS115" s="529" t="e">
        <f t="shared" si="81"/>
        <v>#REF!</v>
      </c>
      <c r="AT115" s="162" t="e">
        <f t="shared" ca="1" si="82"/>
        <v>#REF!</v>
      </c>
      <c r="AU115" s="3"/>
    </row>
    <row r="116" spans="14:47">
      <c r="N116" s="243" t="s">
        <v>42</v>
      </c>
      <c r="O116" s="243"/>
      <c r="P116" s="622">
        <v>643.25</v>
      </c>
      <c r="Q116" s="622">
        <v>369.56</v>
      </c>
      <c r="R116" s="622">
        <v>402.05</v>
      </c>
      <c r="S116" s="545">
        <f t="shared" si="71"/>
        <v>5095.59</v>
      </c>
      <c r="T116" s="534" t="e">
        <f t="shared" si="72"/>
        <v>#REF!</v>
      </c>
      <c r="U116" s="524" t="e">
        <f>$V$110 + IF($B$2="mil",1,0.0254)*DDR2Specs!$E$9</f>
        <v>#REF!</v>
      </c>
      <c r="V116" s="547" t="e">
        <f>$U$110 + IF($B$2="mil",1,0.0254)*DDR2Specs!$F$9</f>
        <v>#REF!</v>
      </c>
      <c r="W116" s="546" t="e">
        <f t="shared" si="67"/>
        <v>#REF!</v>
      </c>
      <c r="X116" s="547" t="e">
        <f t="shared" si="68"/>
        <v>#REF!</v>
      </c>
      <c r="Y116" s="545">
        <f t="shared" si="73"/>
        <v>5128.08</v>
      </c>
      <c r="Z116" s="534" t="e">
        <f t="shared" si="74"/>
        <v>#REF!</v>
      </c>
      <c r="AA116" s="524" t="e">
        <f>$AB$110 + IF($B$2="mil",1,0.0254)*DDR2Specs!$E$9</f>
        <v>#REF!</v>
      </c>
      <c r="AB116" s="524" t="e">
        <f>$AA$110 + IF($B$2="mil",1,0.0254)*DDR2Specs!$F$9</f>
        <v>#REF!</v>
      </c>
      <c r="AC116" s="546" t="e">
        <f t="shared" si="69"/>
        <v>#REF!</v>
      </c>
      <c r="AD116" s="547" t="e">
        <f t="shared" si="70"/>
        <v>#REF!</v>
      </c>
      <c r="AE116" s="554"/>
      <c r="AF116" s="554"/>
      <c r="AG116" s="554"/>
      <c r="AH116" s="554"/>
      <c r="AI116" s="554"/>
      <c r="AJ116" s="554"/>
      <c r="AK116" s="566" t="s">
        <v>42</v>
      </c>
      <c r="AL116" s="560" t="e">
        <f t="shared" si="75"/>
        <v>#REF!</v>
      </c>
      <c r="AM116" s="554"/>
      <c r="AN116" s="528" t="e">
        <f t="shared" ca="1" si="76"/>
        <v>#NAME?</v>
      </c>
      <c r="AO116" s="528" t="e">
        <f t="shared" ca="1" si="77"/>
        <v>#NAME?</v>
      </c>
      <c r="AP116" s="528" t="e">
        <f t="shared" si="78"/>
        <v>#REF!</v>
      </c>
      <c r="AQ116" s="560" t="e">
        <f t="shared" si="79"/>
        <v>#REF!</v>
      </c>
      <c r="AR116" s="528" t="e">
        <f t="shared" si="80"/>
        <v>#REF!</v>
      </c>
      <c r="AS116" s="529" t="e">
        <f t="shared" si="81"/>
        <v>#REF!</v>
      </c>
      <c r="AT116" s="162" t="e">
        <f t="shared" ca="1" si="82"/>
        <v>#REF!</v>
      </c>
      <c r="AU116" s="3"/>
    </row>
    <row r="117" spans="14:47">
      <c r="N117" s="243" t="s">
        <v>43</v>
      </c>
      <c r="O117" s="243"/>
      <c r="P117" s="622">
        <v>673.29</v>
      </c>
      <c r="Q117" s="622">
        <v>136.13</v>
      </c>
      <c r="R117" s="622">
        <v>197.23</v>
      </c>
      <c r="S117" s="545">
        <f t="shared" si="71"/>
        <v>5059.99</v>
      </c>
      <c r="T117" s="534" t="e">
        <f t="shared" si="72"/>
        <v>#REF!</v>
      </c>
      <c r="U117" s="524" t="e">
        <f>$V$110 + IF($B$2="mil",1,0.0254)*DDR2Specs!$E$9</f>
        <v>#REF!</v>
      </c>
      <c r="V117" s="547" t="e">
        <f>$U$110 + IF($B$2="mil",1,0.0254)*DDR2Specs!$F$9</f>
        <v>#REF!</v>
      </c>
      <c r="W117" s="546" t="e">
        <f t="shared" si="67"/>
        <v>#REF!</v>
      </c>
      <c r="X117" s="547" t="e">
        <f t="shared" si="68"/>
        <v>#REF!</v>
      </c>
      <c r="Y117" s="545">
        <f t="shared" si="73"/>
        <v>5121.0899999999992</v>
      </c>
      <c r="Z117" s="534" t="e">
        <f t="shared" si="74"/>
        <v>#REF!</v>
      </c>
      <c r="AA117" s="524" t="e">
        <f>$AB$110 + IF($B$2="mil",1,0.0254)*DDR2Specs!$E$9</f>
        <v>#REF!</v>
      </c>
      <c r="AB117" s="524" t="e">
        <f>$AA$110 + IF($B$2="mil",1,0.0254)*DDR2Specs!$F$9</f>
        <v>#REF!</v>
      </c>
      <c r="AC117" s="546" t="e">
        <f t="shared" si="69"/>
        <v>#REF!</v>
      </c>
      <c r="AD117" s="547" t="e">
        <f t="shared" si="70"/>
        <v>#REF!</v>
      </c>
      <c r="AE117" s="554"/>
      <c r="AF117" s="554"/>
      <c r="AG117" s="554"/>
      <c r="AH117" s="554"/>
      <c r="AI117" s="554"/>
      <c r="AJ117" s="554"/>
      <c r="AK117" s="566" t="s">
        <v>43</v>
      </c>
      <c r="AL117" s="560" t="e">
        <f t="shared" si="75"/>
        <v>#REF!</v>
      </c>
      <c r="AM117" s="554"/>
      <c r="AN117" s="528" t="e">
        <f t="shared" ca="1" si="76"/>
        <v>#NAME?</v>
      </c>
      <c r="AO117" s="528" t="e">
        <f t="shared" ca="1" si="77"/>
        <v>#NAME?</v>
      </c>
      <c r="AP117" s="528" t="e">
        <f t="shared" si="78"/>
        <v>#REF!</v>
      </c>
      <c r="AQ117" s="560" t="e">
        <f t="shared" si="79"/>
        <v>#REF!</v>
      </c>
      <c r="AR117" s="528" t="e">
        <f t="shared" si="80"/>
        <v>#REF!</v>
      </c>
      <c r="AS117" s="529" t="e">
        <f t="shared" si="81"/>
        <v>#REF!</v>
      </c>
      <c r="AT117" s="162" t="e">
        <f t="shared" ca="1" si="82"/>
        <v>#REF!</v>
      </c>
      <c r="AU117" s="3"/>
    </row>
    <row r="118" spans="14:47">
      <c r="N118" s="243" t="s">
        <v>44</v>
      </c>
      <c r="O118" s="243"/>
      <c r="P118" s="622">
        <v>679.71</v>
      </c>
      <c r="Q118" s="622">
        <v>135.09</v>
      </c>
      <c r="R118" s="622">
        <v>164.7</v>
      </c>
      <c r="S118" s="545">
        <f t="shared" si="71"/>
        <v>4977.82</v>
      </c>
      <c r="T118" s="534" t="e">
        <f t="shared" si="72"/>
        <v>#REF!</v>
      </c>
      <c r="U118" s="524" t="e">
        <f>$V$110 + IF($B$2="mil",1,0.0254)*DDR2Specs!$E$9</f>
        <v>#REF!</v>
      </c>
      <c r="V118" s="547" t="e">
        <f>$U$110 + IF($B$2="mil",1,0.0254)*DDR2Specs!$F$9</f>
        <v>#REF!</v>
      </c>
      <c r="W118" s="546" t="e">
        <f t="shared" si="67"/>
        <v>#REF!</v>
      </c>
      <c r="X118" s="547" t="e">
        <f t="shared" si="68"/>
        <v>#REF!</v>
      </c>
      <c r="Y118" s="545">
        <f t="shared" si="73"/>
        <v>5007.4299999999994</v>
      </c>
      <c r="Z118" s="534" t="e">
        <f t="shared" si="74"/>
        <v>#REF!</v>
      </c>
      <c r="AA118" s="524" t="e">
        <f>$AB$110 + IF($B$2="mil",1,0.0254)*DDR2Specs!$E$9</f>
        <v>#REF!</v>
      </c>
      <c r="AB118" s="524" t="e">
        <f>$AA$110 + IF($B$2="mil",1,0.0254)*DDR2Specs!$F$9</f>
        <v>#REF!</v>
      </c>
      <c r="AC118" s="546" t="e">
        <f t="shared" si="69"/>
        <v>#REF!</v>
      </c>
      <c r="AD118" s="547" t="e">
        <f t="shared" si="70"/>
        <v>#REF!</v>
      </c>
      <c r="AE118" s="554"/>
      <c r="AF118" s="554"/>
      <c r="AG118" s="554"/>
      <c r="AH118" s="554"/>
      <c r="AI118" s="554"/>
      <c r="AJ118" s="554"/>
      <c r="AK118" s="566" t="s">
        <v>44</v>
      </c>
      <c r="AL118" s="560" t="e">
        <f t="shared" si="75"/>
        <v>#REF!</v>
      </c>
      <c r="AM118" s="554"/>
      <c r="AN118" s="528" t="e">
        <f t="shared" ca="1" si="76"/>
        <v>#NAME?</v>
      </c>
      <c r="AO118" s="528" t="e">
        <f t="shared" ca="1" si="77"/>
        <v>#NAME?</v>
      </c>
      <c r="AP118" s="528" t="e">
        <f t="shared" si="78"/>
        <v>#REF!</v>
      </c>
      <c r="AQ118" s="560" t="e">
        <f t="shared" si="79"/>
        <v>#REF!</v>
      </c>
      <c r="AR118" s="528" t="e">
        <f t="shared" si="80"/>
        <v>#REF!</v>
      </c>
      <c r="AS118" s="529" t="e">
        <f t="shared" si="81"/>
        <v>#REF!</v>
      </c>
      <c r="AT118" s="162" t="e">
        <f t="shared" ca="1" si="82"/>
        <v>#REF!</v>
      </c>
      <c r="AU118" s="3"/>
    </row>
    <row r="119" spans="14:47">
      <c r="N119" s="243" t="s">
        <v>46</v>
      </c>
      <c r="O119" s="243"/>
      <c r="P119" s="622">
        <v>648.42999999999995</v>
      </c>
      <c r="Q119" s="622">
        <v>256.72000000000003</v>
      </c>
      <c r="R119" s="622">
        <v>318.58</v>
      </c>
      <c r="S119" s="545">
        <f t="shared" si="71"/>
        <v>4879.41</v>
      </c>
      <c r="T119" s="534" t="e">
        <f t="shared" si="72"/>
        <v>#REF!</v>
      </c>
      <c r="U119" s="524" t="e">
        <f>$V$110 + IF($B$2="mil",1,0.0254)*DDR2Specs!$E$9</f>
        <v>#REF!</v>
      </c>
      <c r="V119" s="547" t="e">
        <f>$U$110 + IF($B$2="mil",1,0.0254)*DDR2Specs!$F$9</f>
        <v>#REF!</v>
      </c>
      <c r="W119" s="546" t="e">
        <f t="shared" si="67"/>
        <v>#REF!</v>
      </c>
      <c r="X119" s="547" t="e">
        <f t="shared" si="68"/>
        <v>#REF!</v>
      </c>
      <c r="Y119" s="545">
        <f t="shared" si="73"/>
        <v>4941.2699999999995</v>
      </c>
      <c r="Z119" s="534" t="e">
        <f t="shared" si="74"/>
        <v>#REF!</v>
      </c>
      <c r="AA119" s="524" t="e">
        <f>$AB$110 + IF($B$2="mil",1,0.0254)*DDR2Specs!$E$9</f>
        <v>#REF!</v>
      </c>
      <c r="AB119" s="524" t="e">
        <f>$AA$110 + IF($B$2="mil",1,0.0254)*DDR2Specs!$F$9</f>
        <v>#REF!</v>
      </c>
      <c r="AC119" s="546" t="e">
        <f t="shared" si="69"/>
        <v>#REF!</v>
      </c>
      <c r="AD119" s="547" t="e">
        <f t="shared" si="70"/>
        <v>#REF!</v>
      </c>
      <c r="AE119" s="554"/>
      <c r="AF119" s="554"/>
      <c r="AG119" s="554"/>
      <c r="AH119" s="554"/>
      <c r="AI119" s="554"/>
      <c r="AJ119" s="554"/>
      <c r="AK119" s="566" t="s">
        <v>46</v>
      </c>
      <c r="AL119" s="560" t="e">
        <f t="shared" si="75"/>
        <v>#REF!</v>
      </c>
      <c r="AM119" s="554"/>
      <c r="AN119" s="528" t="e">
        <f t="shared" ca="1" si="76"/>
        <v>#NAME?</v>
      </c>
      <c r="AO119" s="528" t="e">
        <f t="shared" ca="1" si="77"/>
        <v>#NAME?</v>
      </c>
      <c r="AP119" s="528" t="e">
        <f t="shared" si="78"/>
        <v>#REF!</v>
      </c>
      <c r="AQ119" s="560" t="e">
        <f t="shared" si="79"/>
        <v>#REF!</v>
      </c>
      <c r="AR119" s="528" t="e">
        <f t="shared" si="80"/>
        <v>#REF!</v>
      </c>
      <c r="AS119" s="529" t="e">
        <f t="shared" si="81"/>
        <v>#REF!</v>
      </c>
      <c r="AT119" s="162" t="e">
        <f t="shared" ca="1" si="82"/>
        <v>#REF!</v>
      </c>
      <c r="AU119" s="3"/>
    </row>
    <row r="120" spans="14:47">
      <c r="N120" s="243" t="s">
        <v>47</v>
      </c>
      <c r="O120" s="243"/>
      <c r="P120" s="622">
        <v>644.08000000000004</v>
      </c>
      <c r="Q120" s="622">
        <v>255.28</v>
      </c>
      <c r="R120" s="622">
        <v>284.73</v>
      </c>
      <c r="S120" s="545">
        <f t="shared" si="71"/>
        <v>4853.9199999999992</v>
      </c>
      <c r="T120" s="534" t="e">
        <f t="shared" si="72"/>
        <v>#REF!</v>
      </c>
      <c r="U120" s="524" t="e">
        <f>$V$110 + IF($B$2="mil",1,0.0254)*DDR2Specs!$E$9</f>
        <v>#REF!</v>
      </c>
      <c r="V120" s="547" t="e">
        <f>$U$110 + IF($B$2="mil",1,0.0254)*DDR2Specs!$F$9</f>
        <v>#REF!</v>
      </c>
      <c r="W120" s="546" t="e">
        <f t="shared" si="67"/>
        <v>#REF!</v>
      </c>
      <c r="X120" s="547" t="e">
        <f t="shared" si="68"/>
        <v>#REF!</v>
      </c>
      <c r="Y120" s="545">
        <f t="shared" si="73"/>
        <v>4883.369999999999</v>
      </c>
      <c r="Z120" s="534" t="e">
        <f t="shared" si="74"/>
        <v>#REF!</v>
      </c>
      <c r="AA120" s="524" t="e">
        <f>$AB$110 + IF($B$2="mil",1,0.0254)*DDR2Specs!$E$9</f>
        <v>#REF!</v>
      </c>
      <c r="AB120" s="524" t="e">
        <f>$AA$110 + IF($B$2="mil",1,0.0254)*DDR2Specs!$F$9</f>
        <v>#REF!</v>
      </c>
      <c r="AC120" s="546" t="e">
        <f t="shared" si="69"/>
        <v>#REF!</v>
      </c>
      <c r="AD120" s="547" t="e">
        <f t="shared" si="70"/>
        <v>#REF!</v>
      </c>
      <c r="AE120" s="554"/>
      <c r="AF120" s="554"/>
      <c r="AG120" s="554"/>
      <c r="AH120" s="554"/>
      <c r="AI120" s="554"/>
      <c r="AJ120" s="554"/>
      <c r="AK120" s="566" t="s">
        <v>47</v>
      </c>
      <c r="AL120" s="560" t="e">
        <f t="shared" si="75"/>
        <v>#REF!</v>
      </c>
      <c r="AM120" s="554"/>
      <c r="AN120" s="528" t="e">
        <f t="shared" ca="1" si="76"/>
        <v>#NAME?</v>
      </c>
      <c r="AO120" s="528" t="e">
        <f t="shared" ca="1" si="77"/>
        <v>#NAME?</v>
      </c>
      <c r="AP120" s="528" t="e">
        <f t="shared" si="78"/>
        <v>#REF!</v>
      </c>
      <c r="AQ120" s="560" t="e">
        <f t="shared" si="79"/>
        <v>#REF!</v>
      </c>
      <c r="AR120" s="528" t="e">
        <f t="shared" si="80"/>
        <v>#REF!</v>
      </c>
      <c r="AS120" s="529" t="e">
        <f t="shared" si="81"/>
        <v>#REF!</v>
      </c>
      <c r="AT120" s="162" t="e">
        <f t="shared" ca="1" si="82"/>
        <v>#REF!</v>
      </c>
      <c r="AU120" s="3"/>
    </row>
    <row r="121" spans="14:47">
      <c r="N121" s="243" t="s">
        <v>48</v>
      </c>
      <c r="O121" s="243"/>
      <c r="P121" s="622">
        <v>655.05999999999995</v>
      </c>
      <c r="Q121" s="622">
        <v>159.25</v>
      </c>
      <c r="R121" s="622">
        <v>221.46</v>
      </c>
      <c r="S121" s="545">
        <f t="shared" si="71"/>
        <v>4914.1900000000005</v>
      </c>
      <c r="T121" s="534" t="e">
        <f t="shared" si="72"/>
        <v>#REF!</v>
      </c>
      <c r="U121" s="524" t="e">
        <f>$V$110 + IF($B$2="mil",1,0.0254)*DDR2Specs!$E$9</f>
        <v>#REF!</v>
      </c>
      <c r="V121" s="547" t="e">
        <f>$U$110 + IF($B$2="mil",1,0.0254)*DDR2Specs!$F$9</f>
        <v>#REF!</v>
      </c>
      <c r="W121" s="546" t="e">
        <f t="shared" si="67"/>
        <v>#REF!</v>
      </c>
      <c r="X121" s="547" t="e">
        <f t="shared" si="68"/>
        <v>#REF!</v>
      </c>
      <c r="Y121" s="545">
        <f t="shared" si="73"/>
        <v>4976.4000000000005</v>
      </c>
      <c r="Z121" s="534" t="e">
        <f t="shared" si="74"/>
        <v>#REF!</v>
      </c>
      <c r="AA121" s="524" t="e">
        <f>$AB$110 + IF($B$2="mil",1,0.0254)*DDR2Specs!$E$9</f>
        <v>#REF!</v>
      </c>
      <c r="AB121" s="524" t="e">
        <f>$AA$110 + IF($B$2="mil",1,0.0254)*DDR2Specs!$F$9</f>
        <v>#REF!</v>
      </c>
      <c r="AC121" s="546" t="e">
        <f t="shared" si="69"/>
        <v>#REF!</v>
      </c>
      <c r="AD121" s="547" t="e">
        <f t="shared" si="70"/>
        <v>#REF!</v>
      </c>
      <c r="AE121" s="554"/>
      <c r="AF121" s="554"/>
      <c r="AG121" s="554"/>
      <c r="AH121" s="554"/>
      <c r="AI121" s="554"/>
      <c r="AJ121" s="554"/>
      <c r="AK121" s="566" t="s">
        <v>48</v>
      </c>
      <c r="AL121" s="560" t="e">
        <f t="shared" si="75"/>
        <v>#REF!</v>
      </c>
      <c r="AM121" s="554"/>
      <c r="AN121" s="528" t="e">
        <f t="shared" ca="1" si="76"/>
        <v>#NAME?</v>
      </c>
      <c r="AO121" s="528" t="e">
        <f t="shared" ca="1" si="77"/>
        <v>#NAME?</v>
      </c>
      <c r="AP121" s="528" t="e">
        <f t="shared" si="78"/>
        <v>#REF!</v>
      </c>
      <c r="AQ121" s="560" t="e">
        <f t="shared" si="79"/>
        <v>#REF!</v>
      </c>
      <c r="AR121" s="528" t="e">
        <f t="shared" si="80"/>
        <v>#REF!</v>
      </c>
      <c r="AS121" s="529" t="e">
        <f t="shared" si="81"/>
        <v>#REF!</v>
      </c>
      <c r="AT121" s="162" t="e">
        <f t="shared" ca="1" si="82"/>
        <v>#REF!</v>
      </c>
      <c r="AU121" s="3"/>
    </row>
    <row r="122" spans="14:47">
      <c r="N122" s="243" t="s">
        <v>50</v>
      </c>
      <c r="O122" s="243"/>
      <c r="P122" s="622">
        <v>691.51</v>
      </c>
      <c r="Q122" s="622">
        <v>151.81</v>
      </c>
      <c r="R122" s="622">
        <v>210.57</v>
      </c>
      <c r="S122" s="545">
        <f t="shared" si="71"/>
        <v>5069.8900000000003</v>
      </c>
      <c r="T122" s="534" t="e">
        <f t="shared" si="72"/>
        <v>#REF!</v>
      </c>
      <c r="U122" s="524" t="e">
        <f>$V$110 + IF($B$2="mil",1,0.0254)*DDR2Specs!$E$9</f>
        <v>#REF!</v>
      </c>
      <c r="V122" s="547" t="e">
        <f>$U$110 + IF($B$2="mil",1,0.0254)*DDR2Specs!$F$9</f>
        <v>#REF!</v>
      </c>
      <c r="W122" s="546" t="e">
        <f t="shared" si="67"/>
        <v>#REF!</v>
      </c>
      <c r="X122" s="547" t="e">
        <f t="shared" si="68"/>
        <v>#REF!</v>
      </c>
      <c r="Y122" s="545">
        <f t="shared" si="73"/>
        <v>5128.6499999999996</v>
      </c>
      <c r="Z122" s="534" t="e">
        <f t="shared" si="74"/>
        <v>#REF!</v>
      </c>
      <c r="AA122" s="524" t="e">
        <f>$AB$110 + IF($B$2="mil",1,0.0254)*DDR2Specs!$E$9</f>
        <v>#REF!</v>
      </c>
      <c r="AB122" s="524" t="e">
        <f>$AA$110 + IF($B$2="mil",1,0.0254)*DDR2Specs!$F$9</f>
        <v>#REF!</v>
      </c>
      <c r="AC122" s="546" t="e">
        <f t="shared" si="69"/>
        <v>#REF!</v>
      </c>
      <c r="AD122" s="547" t="e">
        <f t="shared" si="70"/>
        <v>#REF!</v>
      </c>
      <c r="AE122" s="554"/>
      <c r="AF122" s="554"/>
      <c r="AG122" s="554"/>
      <c r="AH122" s="554"/>
      <c r="AI122" s="554"/>
      <c r="AJ122" s="554"/>
      <c r="AK122" s="566" t="s">
        <v>50</v>
      </c>
      <c r="AL122" s="560" t="e">
        <f t="shared" si="75"/>
        <v>#REF!</v>
      </c>
      <c r="AM122" s="554"/>
      <c r="AN122" s="528" t="e">
        <f t="shared" ca="1" si="76"/>
        <v>#NAME?</v>
      </c>
      <c r="AO122" s="528" t="e">
        <f t="shared" ca="1" si="77"/>
        <v>#NAME?</v>
      </c>
      <c r="AP122" s="528" t="e">
        <f t="shared" si="78"/>
        <v>#REF!</v>
      </c>
      <c r="AQ122" s="560" t="e">
        <f t="shared" si="79"/>
        <v>#REF!</v>
      </c>
      <c r="AR122" s="528" t="e">
        <f t="shared" si="80"/>
        <v>#REF!</v>
      </c>
      <c r="AS122" s="529" t="e">
        <f t="shared" si="81"/>
        <v>#REF!</v>
      </c>
      <c r="AT122" s="162" t="e">
        <f t="shared" ca="1" si="82"/>
        <v>#REF!</v>
      </c>
      <c r="AU122" s="3"/>
    </row>
    <row r="123" spans="14:47">
      <c r="N123" s="243" t="s">
        <v>51</v>
      </c>
      <c r="O123" s="243"/>
      <c r="P123" s="622">
        <v>660.03</v>
      </c>
      <c r="Q123" s="622">
        <v>157.78</v>
      </c>
      <c r="R123" s="622">
        <v>181.23</v>
      </c>
      <c r="S123" s="545">
        <f t="shared" si="71"/>
        <v>4849.2699999999995</v>
      </c>
      <c r="T123" s="534" t="e">
        <f t="shared" si="72"/>
        <v>#REF!</v>
      </c>
      <c r="U123" s="524" t="e">
        <f>$V$110 + IF($B$2="mil",1,0.0254)*DDR2Specs!$E$9</f>
        <v>#REF!</v>
      </c>
      <c r="V123" s="547" t="e">
        <f>$U$110 + IF($B$2="mil",1,0.0254)*DDR2Specs!$F$9</f>
        <v>#REF!</v>
      </c>
      <c r="W123" s="546" t="e">
        <f t="shared" si="67"/>
        <v>#REF!</v>
      </c>
      <c r="X123" s="547" t="e">
        <f t="shared" si="68"/>
        <v>#REF!</v>
      </c>
      <c r="Y123" s="545">
        <f t="shared" si="73"/>
        <v>4872.7199999999993</v>
      </c>
      <c r="Z123" s="534" t="e">
        <f t="shared" si="74"/>
        <v>#REF!</v>
      </c>
      <c r="AA123" s="524" t="e">
        <f>$AB$110 + IF($B$2="mil",1,0.0254)*DDR2Specs!$E$9</f>
        <v>#REF!</v>
      </c>
      <c r="AB123" s="524" t="e">
        <f>$AA$110 + IF($B$2="mil",1,0.0254)*DDR2Specs!$F$9</f>
        <v>#REF!</v>
      </c>
      <c r="AC123" s="546" t="e">
        <f t="shared" si="69"/>
        <v>#REF!</v>
      </c>
      <c r="AD123" s="547" t="e">
        <f t="shared" si="70"/>
        <v>#REF!</v>
      </c>
      <c r="AE123" s="554"/>
      <c r="AF123" s="554"/>
      <c r="AG123" s="554"/>
      <c r="AH123" s="554"/>
      <c r="AI123" s="554"/>
      <c r="AJ123" s="554"/>
      <c r="AK123" s="566" t="s">
        <v>51</v>
      </c>
      <c r="AL123" s="560" t="e">
        <f t="shared" si="75"/>
        <v>#REF!</v>
      </c>
      <c r="AM123" s="554"/>
      <c r="AN123" s="528" t="e">
        <f t="shared" ca="1" si="76"/>
        <v>#NAME?</v>
      </c>
      <c r="AO123" s="528" t="e">
        <f t="shared" ca="1" si="77"/>
        <v>#NAME?</v>
      </c>
      <c r="AP123" s="528" t="e">
        <f t="shared" si="78"/>
        <v>#REF!</v>
      </c>
      <c r="AQ123" s="560" t="e">
        <f t="shared" si="79"/>
        <v>#REF!</v>
      </c>
      <c r="AR123" s="528" t="e">
        <f t="shared" si="80"/>
        <v>#REF!</v>
      </c>
      <c r="AS123" s="529" t="e">
        <f t="shared" si="81"/>
        <v>#REF!</v>
      </c>
      <c r="AT123" s="162" t="e">
        <f t="shared" ca="1" si="82"/>
        <v>#REF!</v>
      </c>
      <c r="AU123" s="3"/>
    </row>
    <row r="124" spans="14:47">
      <c r="N124" s="243" t="s">
        <v>52</v>
      </c>
      <c r="O124" s="243"/>
      <c r="P124" s="622">
        <v>649.14</v>
      </c>
      <c r="Q124" s="622">
        <v>170.19</v>
      </c>
      <c r="R124" s="622">
        <v>237.45</v>
      </c>
      <c r="S124" s="545">
        <f t="shared" si="71"/>
        <v>5249.13</v>
      </c>
      <c r="T124" s="534" t="e">
        <f t="shared" si="72"/>
        <v>#REF!</v>
      </c>
      <c r="U124" s="524" t="e">
        <f>$V$110 + IF($B$2="mil",1,0.0254)*DDR2Specs!$E$9</f>
        <v>#REF!</v>
      </c>
      <c r="V124" s="547" t="e">
        <f>$U$110 + IF($B$2="mil",1,0.0254)*DDR2Specs!$F$9</f>
        <v>#REF!</v>
      </c>
      <c r="W124" s="546" t="e">
        <f t="shared" si="67"/>
        <v>#REF!</v>
      </c>
      <c r="X124" s="547" t="e">
        <f t="shared" si="68"/>
        <v>#REF!</v>
      </c>
      <c r="Y124" s="545">
        <f t="shared" si="73"/>
        <v>5316.39</v>
      </c>
      <c r="Z124" s="534" t="e">
        <f t="shared" si="74"/>
        <v>#REF!</v>
      </c>
      <c r="AA124" s="524" t="e">
        <f>$AB$110 + IF($B$2="mil",1,0.0254)*DDR2Specs!$E$9</f>
        <v>#REF!</v>
      </c>
      <c r="AB124" s="524" t="e">
        <f>$AA$110 + IF($B$2="mil",1,0.0254)*DDR2Specs!$F$9</f>
        <v>#REF!</v>
      </c>
      <c r="AC124" s="546" t="e">
        <f t="shared" si="69"/>
        <v>#REF!</v>
      </c>
      <c r="AD124" s="547" t="e">
        <f t="shared" si="70"/>
        <v>#REF!</v>
      </c>
      <c r="AE124" s="554"/>
      <c r="AF124" s="554"/>
      <c r="AG124" s="554"/>
      <c r="AH124" s="554"/>
      <c r="AI124" s="554"/>
      <c r="AJ124" s="554"/>
      <c r="AK124" s="566" t="s">
        <v>52</v>
      </c>
      <c r="AL124" s="560" t="e">
        <f t="shared" si="75"/>
        <v>#REF!</v>
      </c>
      <c r="AM124" s="554"/>
      <c r="AN124" s="528" t="e">
        <f t="shared" ca="1" si="76"/>
        <v>#NAME?</v>
      </c>
      <c r="AO124" s="528" t="e">
        <f t="shared" ca="1" si="77"/>
        <v>#NAME?</v>
      </c>
      <c r="AP124" s="528" t="e">
        <f t="shared" si="78"/>
        <v>#REF!</v>
      </c>
      <c r="AQ124" s="560" t="e">
        <f t="shared" si="79"/>
        <v>#REF!</v>
      </c>
      <c r="AR124" s="528" t="e">
        <f t="shared" si="80"/>
        <v>#REF!</v>
      </c>
      <c r="AS124" s="529" t="e">
        <f t="shared" si="81"/>
        <v>#REF!</v>
      </c>
      <c r="AT124" s="162" t="e">
        <f t="shared" ca="1" si="82"/>
        <v>#REF!</v>
      </c>
      <c r="AU124" s="3"/>
    </row>
    <row r="125" spans="14:47">
      <c r="N125" s="243" t="s">
        <v>53</v>
      </c>
      <c r="O125" s="243"/>
      <c r="P125" s="622">
        <v>643.25</v>
      </c>
      <c r="Q125" s="622">
        <v>169.13</v>
      </c>
      <c r="R125" s="622">
        <v>198.17</v>
      </c>
      <c r="S125" s="545">
        <f t="shared" si="71"/>
        <v>4919.7700000000004</v>
      </c>
      <c r="T125" s="534" t="e">
        <f t="shared" si="72"/>
        <v>#REF!</v>
      </c>
      <c r="U125" s="524" t="e">
        <f>$V$110 + IF($B$2="mil",1,0.0254)*DDR2Specs!$E$9</f>
        <v>#REF!</v>
      </c>
      <c r="V125" s="547" t="e">
        <f>$U$110 + IF($B$2="mil",1,0.0254)*DDR2Specs!$F$9</f>
        <v>#REF!</v>
      </c>
      <c r="W125" s="546" t="e">
        <f t="shared" si="67"/>
        <v>#REF!</v>
      </c>
      <c r="X125" s="547" t="e">
        <f t="shared" si="68"/>
        <v>#REF!</v>
      </c>
      <c r="Y125" s="545">
        <f t="shared" si="73"/>
        <v>4948.8100000000004</v>
      </c>
      <c r="Z125" s="534" t="e">
        <f t="shared" si="74"/>
        <v>#REF!</v>
      </c>
      <c r="AA125" s="524" t="e">
        <f>$AB$110 + IF($B$2="mil",1,0.0254)*DDR2Specs!$E$9</f>
        <v>#REF!</v>
      </c>
      <c r="AB125" s="524" t="e">
        <f>$AA$110 + IF($B$2="mil",1,0.0254)*DDR2Specs!$F$9</f>
        <v>#REF!</v>
      </c>
      <c r="AC125" s="546" t="e">
        <f t="shared" si="69"/>
        <v>#REF!</v>
      </c>
      <c r="AD125" s="547" t="e">
        <f t="shared" si="70"/>
        <v>#REF!</v>
      </c>
      <c r="AE125" s="554"/>
      <c r="AF125" s="554"/>
      <c r="AG125" s="554"/>
      <c r="AH125" s="554"/>
      <c r="AI125" s="554"/>
      <c r="AJ125" s="554"/>
      <c r="AK125" s="566" t="s">
        <v>53</v>
      </c>
      <c r="AL125" s="560" t="e">
        <f t="shared" si="75"/>
        <v>#REF!</v>
      </c>
      <c r="AM125" s="554"/>
      <c r="AN125" s="528" t="e">
        <f t="shared" ca="1" si="76"/>
        <v>#NAME?</v>
      </c>
      <c r="AO125" s="528" t="e">
        <f t="shared" ca="1" si="77"/>
        <v>#NAME?</v>
      </c>
      <c r="AP125" s="528" t="e">
        <f t="shared" si="78"/>
        <v>#REF!</v>
      </c>
      <c r="AQ125" s="560" t="e">
        <f t="shared" si="79"/>
        <v>#REF!</v>
      </c>
      <c r="AR125" s="528" t="e">
        <f t="shared" si="80"/>
        <v>#REF!</v>
      </c>
      <c r="AS125" s="529" t="e">
        <f t="shared" si="81"/>
        <v>#REF!</v>
      </c>
      <c r="AT125" s="162" t="e">
        <f t="shared" ca="1" si="82"/>
        <v>#REF!</v>
      </c>
      <c r="AU125" s="3"/>
    </row>
    <row r="126" spans="14:47">
      <c r="N126" s="205" t="s">
        <v>230</v>
      </c>
      <c r="O126" s="205"/>
      <c r="P126" s="338"/>
      <c r="Q126" s="338"/>
      <c r="R126" s="338"/>
      <c r="S126" s="207"/>
      <c r="T126" s="207"/>
      <c r="U126" s="207"/>
      <c r="V126" s="571"/>
      <c r="W126" s="430"/>
      <c r="X126" s="430"/>
      <c r="Y126" s="207"/>
      <c r="Z126" s="207"/>
      <c r="AA126" s="207"/>
      <c r="AB126" s="207"/>
      <c r="AC126" s="430"/>
      <c r="AD126" s="430"/>
      <c r="AE126" s="554"/>
      <c r="AF126" s="554"/>
      <c r="AG126" s="554"/>
      <c r="AH126" s="554"/>
      <c r="AI126" s="554"/>
      <c r="AJ126" s="554"/>
      <c r="AK126" s="155" t="s">
        <v>230</v>
      </c>
      <c r="AL126" s="273"/>
      <c r="AM126" s="554"/>
      <c r="AN126" s="179"/>
      <c r="AO126" s="179"/>
      <c r="AP126" s="179"/>
      <c r="AQ126" s="562"/>
      <c r="AR126" s="179"/>
      <c r="AS126" s="562"/>
      <c r="AT126" s="3"/>
      <c r="AU126" s="3"/>
    </row>
    <row r="127" spans="14:47">
      <c r="N127" s="186" t="s">
        <v>54</v>
      </c>
      <c r="O127" s="186"/>
      <c r="P127" s="622">
        <v>701.73</v>
      </c>
      <c r="Q127" s="623">
        <v>98.19</v>
      </c>
      <c r="R127" s="623">
        <v>147.97999999999999</v>
      </c>
      <c r="S127" s="545">
        <f t="shared" si="71"/>
        <v>5005.2800000000007</v>
      </c>
      <c r="T127" s="534" t="e">
        <f t="shared" si="72"/>
        <v>#REF!</v>
      </c>
      <c r="U127" s="524" t="e">
        <f>$V$110 + IF($B$2="mil",1,0.0254)*DDR2Specs!$E$9</f>
        <v>#REF!</v>
      </c>
      <c r="V127" s="547" t="e">
        <f>$U$110 + IF($B$2="mil",1,0.0254)*DDR2Specs!$F$9</f>
        <v>#REF!</v>
      </c>
      <c r="W127" s="546" t="e">
        <f>IF($T127&lt;$U127,$U127-$T127,"Pass")</f>
        <v>#REF!</v>
      </c>
      <c r="X127" s="547" t="e">
        <f>IF($T127&gt;$V127,$T127-$V127,"Pass")</f>
        <v>#REF!</v>
      </c>
      <c r="Y127" s="545">
        <f t="shared" si="73"/>
        <v>5055.0700000000006</v>
      </c>
      <c r="Z127" s="534" t="e">
        <f t="shared" si="74"/>
        <v>#REF!</v>
      </c>
      <c r="AA127" s="524" t="e">
        <f>$AB$110 + IF($B$2="mil",1,0.0254)*DDR2Specs!$E$9</f>
        <v>#REF!</v>
      </c>
      <c r="AB127" s="524" t="e">
        <f>$AA$110 + IF($B$2="mil",1,0.0254)*DDR2Specs!$F$9</f>
        <v>#REF!</v>
      </c>
      <c r="AC127" s="546" t="e">
        <f>IF($Z127&lt;$AA127,$AA127-$Z127,"Pass")</f>
        <v>#REF!</v>
      </c>
      <c r="AD127" s="547" t="e">
        <f>IF($Z127&gt;$AB127,$Z127-$AB127,"Pass")</f>
        <v>#REF!</v>
      </c>
      <c r="AE127" s="554"/>
      <c r="AF127" s="554"/>
      <c r="AG127" s="554"/>
      <c r="AH127" s="554"/>
      <c r="AI127" s="554"/>
      <c r="AJ127" s="554"/>
      <c r="AK127" s="565" t="s">
        <v>54</v>
      </c>
      <c r="AL127" s="560" t="e">
        <f>IF(P127&lt;=IF($B$2="mil",1,0.0254)*1000,"Pass",IF($B$2="mil",1,0.0254)*1000-P127)</f>
        <v>#REF!</v>
      </c>
      <c r="AM127" s="554"/>
      <c r="AN127" s="528" t="e">
        <f ca="1">CheckLength2(IF($B$2="mil",1,0.0254)*1200,P127,Q127,0)</f>
        <v>#NAME?</v>
      </c>
      <c r="AO127" s="528" t="e">
        <f ca="1">CheckLength2(IF($B$2="mil",1,0.0254)*1200,P127,R127,0)</f>
        <v>#NAME?</v>
      </c>
      <c r="AP127" s="528" t="e">
        <f>IF(AND(S127&gt;=IF($B$2="mil",1,0.0254)*500, $S127&lt;=IF($B$2="mil",1,0.0254)*6500),"Pass",IF($B$2="mil",1,0.0254)*6500-$S127)</f>
        <v>#REF!</v>
      </c>
      <c r="AQ127" s="560" t="e">
        <f>IF(AND($T127&gt;=IF($B$2="mil",1,0.0254)*500, $T127&lt;=IF($B$2="mil",1,0.0254)*7000),"Pass",IF($B$2="mil",1,0.0254)*7000-$T127)</f>
        <v>#REF!</v>
      </c>
      <c r="AR127" s="528" t="e">
        <f>IF(AND($Y127&gt;=IF($B$2="mil",1,0.0254)*500, $Y127&lt;=IF($B$2="mil",1,0.0254)*6500),"Pass",IF($B$2="mil",1,0.0254)*6500-$Y127)</f>
        <v>#REF!</v>
      </c>
      <c r="AS127" s="529" t="e">
        <f>IF(AND($Z127&gt;=IF($B$2="mil",1,0.0254)*500, $Z127&lt;=IF($B$2="mil",1,0.0254)*7000),"Pass",IF($B$2="mil",1,0.0254)*7000-$Z127)</f>
        <v>#REF!</v>
      </c>
      <c r="AT127" s="162" t="e">
        <f t="shared" ca="1" si="82"/>
        <v>#REF!</v>
      </c>
      <c r="AU127" s="3"/>
    </row>
    <row r="128" spans="14:47">
      <c r="N128" s="242" t="s">
        <v>55</v>
      </c>
      <c r="O128" s="242"/>
      <c r="P128" s="622">
        <v>687.99</v>
      </c>
      <c r="Q128" s="623">
        <v>70.63</v>
      </c>
      <c r="R128" s="623">
        <v>139.15</v>
      </c>
      <c r="S128" s="545">
        <f t="shared" si="71"/>
        <v>5072.0800000000008</v>
      </c>
      <c r="T128" s="534" t="e">
        <f t="shared" si="72"/>
        <v>#REF!</v>
      </c>
      <c r="U128" s="524" t="e">
        <f>$V$110 + IF($B$2="mil",1,0.0254)*DDR2Specs!$E$9</f>
        <v>#REF!</v>
      </c>
      <c r="V128" s="547" t="e">
        <f>$U$110 + IF($B$2="mil",1,0.0254)*DDR2Specs!$F$9</f>
        <v>#REF!</v>
      </c>
      <c r="W128" s="546" t="e">
        <f>IF($T128&lt;$U128,$U128-$T128,"Pass")</f>
        <v>#REF!</v>
      </c>
      <c r="X128" s="547" t="e">
        <f>IF($T128&gt;$V128,$T128-$V128,"Pass")</f>
        <v>#REF!</v>
      </c>
      <c r="Y128" s="545">
        <f t="shared" si="73"/>
        <v>5140.6000000000004</v>
      </c>
      <c r="Z128" s="534" t="e">
        <f t="shared" si="74"/>
        <v>#REF!</v>
      </c>
      <c r="AA128" s="524" t="e">
        <f>$AB$110 + IF($B$2="mil",1,0.0254)*DDR2Specs!$E$9</f>
        <v>#REF!</v>
      </c>
      <c r="AB128" s="524" t="e">
        <f>$AA$110 + IF($B$2="mil",1,0.0254)*DDR2Specs!$F$9</f>
        <v>#REF!</v>
      </c>
      <c r="AC128" s="546" t="e">
        <f>IF($Z128&lt;$AA128,$AA128-$Z128,"Pass")</f>
        <v>#REF!</v>
      </c>
      <c r="AD128" s="547" t="e">
        <f>IF($Z128&gt;$AB128,$Z128-$AB128,"Pass")</f>
        <v>#REF!</v>
      </c>
      <c r="AE128" s="554"/>
      <c r="AF128" s="554"/>
      <c r="AG128" s="554"/>
      <c r="AH128" s="554"/>
      <c r="AI128" s="554"/>
      <c r="AJ128" s="554"/>
      <c r="AK128" s="567" t="s">
        <v>55</v>
      </c>
      <c r="AL128" s="560" t="e">
        <f>IF(P128&lt;=IF($B$2="mil",1,0.0254)*1000,"Pass",IF($B$2="mil",1,0.0254)*1000-P128)</f>
        <v>#REF!</v>
      </c>
      <c r="AM128" s="554"/>
      <c r="AN128" s="528" t="e">
        <f ca="1">CheckLength2(IF($B$2="mil",1,0.0254)*1200,P128,Q128,0)</f>
        <v>#NAME?</v>
      </c>
      <c r="AO128" s="528" t="e">
        <f ca="1">CheckLength2(IF($B$2="mil",1,0.0254)*1200,P128,R128,0)</f>
        <v>#NAME?</v>
      </c>
      <c r="AP128" s="528" t="e">
        <f>IF(AND(S128&gt;=IF($B$2="mil",1,0.0254)*500, $S128&lt;=IF($B$2="mil",1,0.0254)*6500),"Pass",IF($B$2="mil",1,0.0254)*6500-$S128)</f>
        <v>#REF!</v>
      </c>
      <c r="AQ128" s="560" t="e">
        <f>IF(AND($T128&gt;=IF($B$2="mil",1,0.0254)*500, $T128&lt;=IF($B$2="mil",1,0.0254)*7000),"Pass",IF($B$2="mil",1,0.0254)*7000-$T128)</f>
        <v>#REF!</v>
      </c>
      <c r="AR128" s="528" t="e">
        <f>IF(AND($Y128&gt;=IF($B$2="mil",1,0.0254)*500, $Y128&lt;=IF($B$2="mil",1,0.0254)*6500),"Pass",IF($B$2="mil",1,0.0254)*6500-$Y128)</f>
        <v>#REF!</v>
      </c>
      <c r="AS128" s="529" t="e">
        <f>IF(AND($Z128&gt;=IF($B$2="mil",1,0.0254)*500, $Z128&lt;=IF($B$2="mil",1,0.0254)*7000),"Pass",IF($B$2="mil",1,0.0254)*7000-$Z128)</f>
        <v>#REF!</v>
      </c>
      <c r="AT128" s="162" t="e">
        <f t="shared" ca="1" si="82"/>
        <v>#REF!</v>
      </c>
      <c r="AU128" s="3"/>
    </row>
    <row r="129" spans="14:47">
      <c r="N129" s="242" t="s">
        <v>56</v>
      </c>
      <c r="O129" s="242"/>
      <c r="P129" s="622">
        <v>703.8</v>
      </c>
      <c r="Q129" s="623">
        <v>150.86000000000001</v>
      </c>
      <c r="R129" s="623">
        <v>174.58</v>
      </c>
      <c r="S129" s="545">
        <f t="shared" si="71"/>
        <v>5204.33</v>
      </c>
      <c r="T129" s="534" t="e">
        <f t="shared" si="72"/>
        <v>#REF!</v>
      </c>
      <c r="U129" s="524" t="e">
        <f>$V$110 + IF($B$2="mil",1,0.0254)*DDR2Specs!$E$9</f>
        <v>#REF!</v>
      </c>
      <c r="V129" s="547" t="e">
        <f>$U$110 + IF($B$2="mil",1,0.0254)*DDR2Specs!$F$9</f>
        <v>#REF!</v>
      </c>
      <c r="W129" s="546" t="e">
        <f>IF($T129&lt;$U129,$U129-$T129,"Pass")</f>
        <v>#REF!</v>
      </c>
      <c r="X129" s="547" t="e">
        <f>IF($T129&gt;$V129,$T129-$V129,"Pass")</f>
        <v>#REF!</v>
      </c>
      <c r="Y129" s="545">
        <f t="shared" si="73"/>
        <v>5228.05</v>
      </c>
      <c r="Z129" s="534" t="e">
        <f t="shared" si="74"/>
        <v>#REF!</v>
      </c>
      <c r="AA129" s="524" t="e">
        <f>$AB$110 + IF($B$2="mil",1,0.0254)*DDR2Specs!$E$9</f>
        <v>#REF!</v>
      </c>
      <c r="AB129" s="524" t="e">
        <f>$AA$110 + IF($B$2="mil",1,0.0254)*DDR2Specs!$F$9</f>
        <v>#REF!</v>
      </c>
      <c r="AC129" s="546" t="e">
        <f>IF($Z129&lt;$AA129,$AA129-$Z129,"Pass")</f>
        <v>#REF!</v>
      </c>
      <c r="AD129" s="547" t="e">
        <f>IF($Z129&gt;$AB129,$Z129-$AB129,"Pass")</f>
        <v>#REF!</v>
      </c>
      <c r="AE129" s="554"/>
      <c r="AF129" s="554"/>
      <c r="AG129" s="554"/>
      <c r="AH129" s="554"/>
      <c r="AI129" s="554"/>
      <c r="AJ129" s="554"/>
      <c r="AK129" s="567" t="s">
        <v>56</v>
      </c>
      <c r="AL129" s="560" t="e">
        <f>IF(P129&lt;=IF($B$2="mil",1,0.0254)*1000,"Pass",IF($B$2="mil",1,0.0254)*1000-P129)</f>
        <v>#REF!</v>
      </c>
      <c r="AM129" s="554"/>
      <c r="AN129" s="528" t="e">
        <f ca="1">CheckLength2(IF($B$2="mil",1,0.0254)*1200,P129,Q129,0)</f>
        <v>#NAME?</v>
      </c>
      <c r="AO129" s="528" t="e">
        <f ca="1">CheckLength2(IF($B$2="mil",1,0.0254)*1200,P129,R129,0)</f>
        <v>#NAME?</v>
      </c>
      <c r="AP129" s="528" t="e">
        <f>IF(AND(S129&gt;=IF($B$2="mil",1,0.0254)*500, $S129&lt;=IF($B$2="mil",1,0.0254)*6500),"Pass",IF($B$2="mil",1,0.0254)*6500-$S129)</f>
        <v>#REF!</v>
      </c>
      <c r="AQ129" s="560" t="e">
        <f>IF(AND($T129&gt;=IF($B$2="mil",1,0.0254)*500, $T129&lt;=IF($B$2="mil",1,0.0254)*7000),"Pass",IF($B$2="mil",1,0.0254)*7000-$T129)</f>
        <v>#REF!</v>
      </c>
      <c r="AR129" s="528" t="e">
        <f>IF(AND($Y129&gt;=IF($B$2="mil",1,0.0254)*500, $Y129&lt;=IF($B$2="mil",1,0.0254)*6500),"Pass",IF($B$2="mil",1,0.0254)*6500-$Y129)</f>
        <v>#REF!</v>
      </c>
      <c r="AS129" s="529" t="e">
        <f>IF(AND($Z129&gt;=IF($B$2="mil",1,0.0254)*500, $Z129&lt;=IF($B$2="mil",1,0.0254)*7000),"Pass",IF($B$2="mil",1,0.0254)*7000-$Z129)</f>
        <v>#REF!</v>
      </c>
      <c r="AT129" s="162" t="e">
        <f t="shared" ca="1" si="82"/>
        <v>#REF!</v>
      </c>
      <c r="AU129" s="3"/>
    </row>
    <row r="130" spans="14:47">
      <c r="N130" s="205" t="s">
        <v>231</v>
      </c>
      <c r="O130" s="205"/>
      <c r="P130" s="338"/>
      <c r="Q130" s="338"/>
      <c r="R130" s="338"/>
      <c r="S130" s="207"/>
      <c r="T130" s="207"/>
      <c r="U130" s="207"/>
      <c r="V130" s="571"/>
      <c r="W130" s="430"/>
      <c r="X130" s="430"/>
      <c r="Y130" s="207"/>
      <c r="Z130" s="207"/>
      <c r="AA130" s="207"/>
      <c r="AB130" s="207"/>
      <c r="AC130" s="430"/>
      <c r="AD130" s="430"/>
      <c r="AE130" s="554"/>
      <c r="AF130" s="554"/>
      <c r="AG130" s="554"/>
      <c r="AH130" s="554"/>
      <c r="AI130" s="554"/>
      <c r="AJ130" s="554"/>
      <c r="AK130" s="155" t="s">
        <v>231</v>
      </c>
      <c r="AL130" s="562"/>
      <c r="AM130" s="554"/>
      <c r="AN130" s="430"/>
      <c r="AO130" s="430"/>
      <c r="AP130" s="430"/>
      <c r="AQ130" s="562"/>
      <c r="AR130" s="430"/>
      <c r="AS130" s="562"/>
      <c r="AT130" s="3"/>
      <c r="AU130" s="3"/>
    </row>
    <row r="131" spans="14:47">
      <c r="N131" s="186" t="s">
        <v>58</v>
      </c>
      <c r="O131" s="186"/>
      <c r="P131" s="622">
        <v>694.41</v>
      </c>
      <c r="Q131" s="623">
        <v>70.95</v>
      </c>
      <c r="R131" s="623">
        <v>95.54</v>
      </c>
      <c r="S131" s="545">
        <f t="shared" si="71"/>
        <v>5018.0600000000004</v>
      </c>
      <c r="T131" s="534" t="e">
        <f t="shared" si="72"/>
        <v>#REF!</v>
      </c>
      <c r="U131" s="524" t="e">
        <f>$V$110 + IF($B$2="mil",1,0.0254)*DDR2Specs!$E$9</f>
        <v>#REF!</v>
      </c>
      <c r="V131" s="547" t="e">
        <f>$U$110 + IF($B$2="mil",1,0.0254)*DDR2Specs!$F$9</f>
        <v>#REF!</v>
      </c>
      <c r="W131" s="546" t="e">
        <f>IF($T131&lt;$U131,$U131-$T131,"Pass")</f>
        <v>#REF!</v>
      </c>
      <c r="X131" s="547" t="e">
        <f>IF($T131&gt;$V131,$T131-$V131,"Pass")</f>
        <v>#REF!</v>
      </c>
      <c r="Y131" s="545">
        <f t="shared" si="73"/>
        <v>5042.6500000000005</v>
      </c>
      <c r="Z131" s="534" t="e">
        <f t="shared" si="74"/>
        <v>#REF!</v>
      </c>
      <c r="AA131" s="524" t="e">
        <f>$AB$110 + IF($B$2="mil",1,0.0254)*DDR2Specs!$E$9</f>
        <v>#REF!</v>
      </c>
      <c r="AB131" s="524" t="e">
        <f>$AA$110 + IF($B$2="mil",1,0.0254)*DDR2Specs!$F$9</f>
        <v>#REF!</v>
      </c>
      <c r="AC131" s="546" t="e">
        <f>IF($Z131&lt;$AA131,$AA131-$Z131,"Pass")</f>
        <v>#REF!</v>
      </c>
      <c r="AD131" s="547" t="e">
        <f>IF($Z131&gt;$AB131,$Z131-$AB131,"Pass")</f>
        <v>#REF!</v>
      </c>
      <c r="AE131" s="554"/>
      <c r="AF131" s="554"/>
      <c r="AG131" s="554"/>
      <c r="AH131" s="554"/>
      <c r="AI131" s="554"/>
      <c r="AJ131" s="554"/>
      <c r="AK131" s="565" t="s">
        <v>58</v>
      </c>
      <c r="AL131" s="560" t="e">
        <f>IF(P131&lt;=IF($B$2="mil",1,0.0254)*1000,"Pass",IF($B$2="mil",1,0.0254)*1000-P131)</f>
        <v>#REF!</v>
      </c>
      <c r="AM131" s="554"/>
      <c r="AN131" s="528" t="e">
        <f ca="1">CheckLength2(IF($B$2="mil",1,0.0254)*1200,P131,Q131,0)</f>
        <v>#NAME?</v>
      </c>
      <c r="AO131" s="528" t="e">
        <f ca="1">CheckLength2(IF($B$2="mil",1,0.0254)*1200,P131,R131,0)</f>
        <v>#NAME?</v>
      </c>
      <c r="AP131" s="528" t="e">
        <f>IF(AND(S131&gt;=IF($B$2="mil",1,0.0254)*500, $S131&lt;=IF($B$2="mil",1,0.0254)*6500),"Pass",IF($B$2="mil",1,0.0254)*6500-$S131)</f>
        <v>#REF!</v>
      </c>
      <c r="AQ131" s="560" t="e">
        <f>IF(AND($T131&gt;=IF($B$2="mil",1,0.0254)*500, $T131&lt;=IF($B$2="mil",1,0.0254)*7000),"Pass",IF($B$2="mil",1,0.0254)*7000-$T131)</f>
        <v>#REF!</v>
      </c>
      <c r="AR131" s="528" t="e">
        <f>IF(AND($Y131&gt;=IF($B$2="mil",1,0.0254)*500, $Y131&lt;=IF($B$2="mil",1,0.0254)*6500),"Pass",IF($B$2="mil",1,0.0254)*6500-$Y131)</f>
        <v>#REF!</v>
      </c>
      <c r="AS131" s="529" t="e">
        <f>IF(AND($Z131&gt;=IF($B$2="mil",1,0.0254)*500, $Z131&lt;=IF($B$2="mil",1,0.0254)*7000),"Pass",IF($B$2="mil",1,0.0254)*7000-$Z131)</f>
        <v>#REF!</v>
      </c>
      <c r="AT131" s="162" t="e">
        <f t="shared" ca="1" si="82"/>
        <v>#REF!</v>
      </c>
      <c r="AU131" s="3"/>
    </row>
    <row r="132" spans="14:47">
      <c r="N132" s="243" t="s">
        <v>59</v>
      </c>
      <c r="O132" s="243"/>
      <c r="P132" s="622">
        <v>692.96</v>
      </c>
      <c r="Q132" s="623">
        <v>83.42</v>
      </c>
      <c r="R132" s="623">
        <v>92.89</v>
      </c>
      <c r="S132" s="545">
        <f t="shared" si="71"/>
        <v>4958.58</v>
      </c>
      <c r="T132" s="534" t="e">
        <f t="shared" si="72"/>
        <v>#REF!</v>
      </c>
      <c r="U132" s="524" t="e">
        <f>$V$110 + IF($B$2="mil",1,0.0254)*DDR2Specs!$E$9</f>
        <v>#REF!</v>
      </c>
      <c r="V132" s="547" t="e">
        <f>$U$110 + IF($B$2="mil",1,0.0254)*DDR2Specs!$F$9</f>
        <v>#REF!</v>
      </c>
      <c r="W132" s="546" t="e">
        <f>IF($T132&lt;$U132,$U132-$T132,"Pass")</f>
        <v>#REF!</v>
      </c>
      <c r="X132" s="547" t="e">
        <f>IF($T132&gt;$V132,$T132-$V132,"Pass")</f>
        <v>#REF!</v>
      </c>
      <c r="Y132" s="545">
        <f t="shared" si="73"/>
        <v>4968.05</v>
      </c>
      <c r="Z132" s="534" t="e">
        <f t="shared" si="74"/>
        <v>#REF!</v>
      </c>
      <c r="AA132" s="524" t="e">
        <f>$AB$110 + IF($B$2="mil",1,0.0254)*DDR2Specs!$E$9</f>
        <v>#REF!</v>
      </c>
      <c r="AB132" s="524" t="e">
        <f>$AA$110 + IF($B$2="mil",1,0.0254)*DDR2Specs!$F$9</f>
        <v>#REF!</v>
      </c>
      <c r="AC132" s="546" t="e">
        <f>IF($Z132&lt;$AA132,$AA132-$Z132,"Pass")</f>
        <v>#REF!</v>
      </c>
      <c r="AD132" s="547" t="e">
        <f>IF($Z132&gt;$AB132,$Z132-$AB132,"Pass")</f>
        <v>#REF!</v>
      </c>
      <c r="AE132" s="554"/>
      <c r="AF132" s="554"/>
      <c r="AG132" s="554"/>
      <c r="AH132" s="554"/>
      <c r="AI132" s="554"/>
      <c r="AJ132" s="554"/>
      <c r="AK132" s="566" t="s">
        <v>59</v>
      </c>
      <c r="AL132" s="560" t="e">
        <f>IF(P132&lt;=IF($B$2="mil",1,0.0254)*1000,"Pass",IF($B$2="mil",1,0.0254)*1000-P132)</f>
        <v>#REF!</v>
      </c>
      <c r="AM132" s="554"/>
      <c r="AN132" s="528" t="e">
        <f ca="1">CheckLength2(IF($B$2="mil",1,0.0254)*1200,P132,Q132,0)</f>
        <v>#NAME?</v>
      </c>
      <c r="AO132" s="528" t="e">
        <f ca="1">CheckLength2(IF($B$2="mil",1,0.0254)*1200,P132,R132,0)</f>
        <v>#NAME?</v>
      </c>
      <c r="AP132" s="528" t="e">
        <f>IF(AND(S132&gt;=IF($B$2="mil",1,0.0254)*500, $S132&lt;=IF($B$2="mil",1,0.0254)*6500),"Pass",IF($B$2="mil",1,0.0254)*6500-$S132)</f>
        <v>#REF!</v>
      </c>
      <c r="AQ132" s="560" t="e">
        <f>IF(AND($T132&gt;=IF($B$2="mil",1,0.0254)*500, $T132&lt;=IF($B$2="mil",1,0.0254)*7000),"Pass",IF($B$2="mil",1,0.0254)*7000-$T132)</f>
        <v>#REF!</v>
      </c>
      <c r="AR132" s="528" t="e">
        <f>IF(AND($Y132&gt;=IF($B$2="mil",1,0.0254)*500, $Y132&lt;=IF($B$2="mil",1,0.0254)*6500),"Pass",IF($B$2="mil",1,0.0254)*6500-$Y132)</f>
        <v>#REF!</v>
      </c>
      <c r="AS132" s="529" t="e">
        <f>IF(AND($Z132&gt;=IF($B$2="mil",1,0.0254)*500, $Z132&lt;=IF($B$2="mil",1,0.0254)*7000),"Pass",IF($B$2="mil",1,0.0254)*7000-$Z132)</f>
        <v>#REF!</v>
      </c>
      <c r="AT132" s="162" t="e">
        <f t="shared" ca="1" si="82"/>
        <v>#REF!</v>
      </c>
      <c r="AU132" s="3"/>
    </row>
    <row r="133" spans="14:47">
      <c r="N133" s="243" t="s">
        <v>60</v>
      </c>
      <c r="O133" s="243"/>
      <c r="P133" s="622">
        <v>712.82</v>
      </c>
      <c r="Q133" s="623">
        <v>95.07</v>
      </c>
      <c r="R133" s="623">
        <v>48.34</v>
      </c>
      <c r="S133" s="545">
        <f t="shared" si="71"/>
        <v>5083.45</v>
      </c>
      <c r="T133" s="534" t="e">
        <f t="shared" si="72"/>
        <v>#REF!</v>
      </c>
      <c r="U133" s="524" t="e">
        <f>$V$110 + IF($B$2="mil",1,0.0254)*DDR2Specs!$E$9</f>
        <v>#REF!</v>
      </c>
      <c r="V133" s="547" t="e">
        <f>$U$110 + IF($B$2="mil",1,0.0254)*DDR2Specs!$F$9</f>
        <v>#REF!</v>
      </c>
      <c r="W133" s="546" t="e">
        <f>IF($T133&lt;$U133,$U133-$T133,"Pass")</f>
        <v>#REF!</v>
      </c>
      <c r="X133" s="547" t="e">
        <f>IF($T133&gt;$V133,$T133-$V133,"Pass")</f>
        <v>#REF!</v>
      </c>
      <c r="Y133" s="545">
        <f t="shared" si="73"/>
        <v>5036.72</v>
      </c>
      <c r="Z133" s="534" t="e">
        <f t="shared" si="74"/>
        <v>#REF!</v>
      </c>
      <c r="AA133" s="524" t="e">
        <f>$AB$110 + IF($B$2="mil",1,0.0254)*DDR2Specs!$E$9</f>
        <v>#REF!</v>
      </c>
      <c r="AB133" s="524" t="e">
        <f>$AA$110 + IF($B$2="mil",1,0.0254)*DDR2Specs!$F$9</f>
        <v>#REF!</v>
      </c>
      <c r="AC133" s="546" t="e">
        <f>IF($Z133&lt;$AA133,$AA133-$Z133,"Pass")</f>
        <v>#REF!</v>
      </c>
      <c r="AD133" s="547" t="e">
        <f>IF($Z133&gt;$AB133,$Z133-$AB133,"Pass")</f>
        <v>#REF!</v>
      </c>
      <c r="AE133" s="554"/>
      <c r="AF133" s="554"/>
      <c r="AG133" s="554"/>
      <c r="AH133" s="554"/>
      <c r="AI133" s="554"/>
      <c r="AJ133" s="554"/>
      <c r="AK133" s="566" t="s">
        <v>60</v>
      </c>
      <c r="AL133" s="560" t="e">
        <f>IF(P133&lt;=IF($B$2="mil",1,0.0254)*1000,"Pass",IF($B$2="mil",1,0.0254)*1000-P133)</f>
        <v>#REF!</v>
      </c>
      <c r="AM133" s="554"/>
      <c r="AN133" s="528" t="e">
        <f ca="1">CheckLength2(IF($B$2="mil",1,0.0254)*1200,P133,Q133,0)</f>
        <v>#NAME?</v>
      </c>
      <c r="AO133" s="528" t="e">
        <f ca="1">CheckLength2(IF($B$2="mil",1,0.0254)*1200,P133,R133,0)</f>
        <v>#NAME?</v>
      </c>
      <c r="AP133" s="528" t="e">
        <f>IF(AND(S133&gt;=IF($B$2="mil",1,0.0254)*500, $S133&lt;=IF($B$2="mil",1,0.0254)*6500),"Pass",IF($B$2="mil",1,0.0254)*6500-$S133)</f>
        <v>#REF!</v>
      </c>
      <c r="AQ133" s="560" t="e">
        <f>IF(AND($T133&gt;=IF($B$2="mil",1,0.0254)*500, $T133&lt;=IF($B$2="mil",1,0.0254)*7000),"Pass",IF($B$2="mil",1,0.0254)*7000-$T133)</f>
        <v>#REF!</v>
      </c>
      <c r="AR133" s="528" t="e">
        <f>IF(AND($Y133&gt;=IF($B$2="mil",1,0.0254)*500, $Y133&lt;=IF($B$2="mil",1,0.0254)*6500),"Pass",IF($B$2="mil",1,0.0254)*6500-$Y133)</f>
        <v>#REF!</v>
      </c>
      <c r="AS133" s="529" t="e">
        <f>IF(AND($Z133&gt;=IF($B$2="mil",1,0.0254)*500, $Z133&lt;=IF($B$2="mil",1,0.0254)*7000),"Pass",IF($B$2="mil",1,0.0254)*7000-$Z133)</f>
        <v>#REF!</v>
      </c>
      <c r="AT133" s="162" t="e">
        <f t="shared" ca="1" si="82"/>
        <v>#REF!</v>
      </c>
      <c r="AU133" s="3"/>
    </row>
  </sheetData>
  <protectedRanges>
    <protectedRange sqref="Q79:R81 Q60:R73 Q75:R77 P86:R99 P101:R103 E7:H20 E22:H24 E26:H28 J26:K28 J22:K24 J7:K20 E34:H47 E49:H51 E53:H55 J53:K55 J49:K51 J34:K47 P112:R125 P127:R129 P131:R133 P105:R107" name="DDR2_COMMAND_8LTB"/>
  </protectedRanges>
  <mergeCells count="2">
    <mergeCell ref="A1:E1"/>
    <mergeCell ref="F1:G1"/>
  </mergeCells>
  <phoneticPr fontId="25" type="noConversion"/>
  <conditionalFormatting sqref="AJ86:AJ99 AN105:AS107 AK77 AL112:AL125 AN86:AS99 AJ101:AJ103 AL127:AL129 AN75:AS77 AN101:AS103 AF34:AS47 AJ105:AJ107 AN79:AS81 AN60:AS73 AF53:AS55 AL131:AL133 AN127:AS129 AC131:AD133 AC49:AD51 AC79:AD81 AC34:AD47 W75:X77 W127:X129 W112:X125 AC105:AD107 W86:X99 W101:X103 W60:X73 AC75:AD77 W34:X47 W49:X51 W53:X55 W79:X81 AC60:AD73 AC101:AD103 W105:X107 AC53:AD55 AC86:AD99 W131:X133 AC112:AD125 AC127:AD129 R7:S20 R22:S24 R26:S28 U22:AS24 AF49:AS51 U26:AS28 AN112:AS125 U7:AS20 AN131:AS133">
    <cfRule type="cellIs" priority="1" stopIfTrue="1" operator="equal">
      <formula>"Pass"</formula>
    </cfRule>
    <cfRule type="cellIs" dxfId="106" priority="2" stopIfTrue="1" operator="notEqual">
      <formula>"Pass"</formula>
    </cfRule>
  </conditionalFormatting>
  <conditionalFormatting sqref="T26:T28 AE34:AE47 AE49:AE51 T22:T24 T7:T20 AE53:AE55">
    <cfRule type="cellIs" dxfId="105" priority="3" stopIfTrue="1" operator="equal">
      <formula>"Pass"</formula>
    </cfRule>
    <cfRule type="cellIs" dxfId="104" priority="4" stopIfTrue="1" operator="notEqual">
      <formula>"Pass"</formula>
    </cfRule>
  </conditionalFormatting>
  <conditionalFormatting sqref="A1 F1:Z1">
    <cfRule type="expression" dxfId="103" priority="5" stopIfTrue="1">
      <formula>$F$1 = "Fail"</formula>
    </cfRule>
    <cfRule type="expression" dxfId="102" priority="6" stopIfTrue="1">
      <formula>$F$1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21636" r:id="rId4">
          <objectPr defaultSize="0" autoPict="0" r:id="rId5">
            <anchor moveWithCells="1">
              <from>
                <xdr:col>0</xdr:col>
                <xdr:colOff>0</xdr:colOff>
                <xdr:row>56</xdr:row>
                <xdr:rowOff>0</xdr:rowOff>
              </from>
              <to>
                <xdr:col>7</xdr:col>
                <xdr:colOff>2238375</xdr:colOff>
                <xdr:row>64</xdr:row>
                <xdr:rowOff>85725</xdr:rowOff>
              </to>
            </anchor>
          </objectPr>
        </oleObject>
      </mc:Choice>
      <mc:Fallback>
        <oleObject progId="Visio.Drawing.11" shapeId="21636" r:id="rId4"/>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Z170"/>
  <sheetViews>
    <sheetView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13.28515625"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customWidth="1"/>
    <col min="26" max="26" width="16.140625" customWidth="1"/>
    <col min="27" max="27" width="12" customWidth="1"/>
    <col min="28" max="28" width="21.5703125" customWidth="1"/>
    <col min="29" max="29" width="23.7109375" customWidth="1"/>
    <col min="30" max="30" width="17.85546875" customWidth="1"/>
    <col min="31" max="31" width="13.28515625" customWidth="1"/>
    <col min="32" max="32" width="12.140625" customWidth="1"/>
    <col min="33" max="33" width="25.140625" customWidth="1"/>
    <col min="34" max="34" width="15.140625" customWidth="1"/>
    <col min="35" max="35" width="25.140625" customWidth="1"/>
    <col min="36" max="36" width="14.5703125" customWidth="1"/>
    <col min="37" max="37" width="25.140625" customWidth="1"/>
    <col min="38" max="38" width="15.7109375" customWidth="1"/>
    <col min="39" max="39" width="16.140625" customWidth="1"/>
    <col min="40" max="40" width="22.140625" customWidth="1"/>
    <col min="41" max="41" width="19.28515625" customWidth="1"/>
    <col min="42" max="42" width="18.28515625" customWidth="1"/>
    <col min="43" max="43" width="16" customWidth="1"/>
    <col min="44" max="44" width="18.28515625" customWidth="1"/>
    <col min="45" max="45" width="14.7109375" customWidth="1"/>
    <col min="46" max="46" width="18.28515625" customWidth="1"/>
    <col min="47" max="47" width="21.5703125" customWidth="1"/>
    <col min="48" max="48" width="22.5703125" customWidth="1"/>
    <col min="49" max="49" width="24" customWidth="1"/>
    <col min="50" max="50" width="22.42578125" customWidth="1"/>
    <col min="51" max="52" width="0" hidden="1" customWidth="1"/>
  </cols>
  <sheetData>
    <row r="1" spans="1:52" s="3" customFormat="1" ht="26.25">
      <c r="A1" s="1319" t="s">
        <v>228</v>
      </c>
      <c r="B1" s="1320"/>
      <c r="C1" s="1320"/>
      <c r="D1" s="1320"/>
      <c r="E1" s="1320"/>
      <c r="F1" s="1321" t="e">
        <f ca="1">IF(AND(AZ7="Pass",AZ8="Pass",AZ35="Pass",AZ34="Pass",AZ60="Pass",AZ61="Pass",AZ86="Pass",AZ87="Pass",AZ112="Pass",AZ113="Pass"),"Pass","Fail")</f>
        <v>#REF!</v>
      </c>
      <c r="G1" s="1321"/>
      <c r="H1" s="457"/>
      <c r="I1" s="457"/>
      <c r="J1" s="457"/>
      <c r="K1" s="457"/>
      <c r="L1" s="457"/>
      <c r="M1" s="457"/>
      <c r="N1" s="457"/>
      <c r="O1" s="457"/>
      <c r="P1" s="457"/>
      <c r="Q1" s="457"/>
      <c r="R1" s="457"/>
      <c r="S1" s="457"/>
      <c r="T1" s="457"/>
      <c r="U1" s="457"/>
      <c r="V1" s="471"/>
      <c r="W1" s="457"/>
      <c r="X1" s="457"/>
      <c r="Y1" s="457"/>
      <c r="Z1" s="458"/>
    </row>
    <row r="2" spans="1:52" s="97" customFormat="1">
      <c r="A2" s="459" t="s">
        <v>10</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65"/>
    </row>
    <row r="3" spans="1:52" s="154" customFormat="1" ht="22.5">
      <c r="A3" s="144" t="s">
        <v>457</v>
      </c>
      <c r="B3" s="144" t="s">
        <v>420</v>
      </c>
      <c r="C3" s="145" t="s">
        <v>22</v>
      </c>
      <c r="D3" s="146"/>
      <c r="E3" s="147" t="e">
        <f>"EscapeLength L0 ["&amp;$B$2&amp;"]"</f>
        <v>#REF!</v>
      </c>
      <c r="F3" s="147" t="e">
        <f>"BreakoutLength L1["&amp; $B$2&amp;"]"</f>
        <v>#REF!</v>
      </c>
      <c r="G3" s="147" t="e">
        <f>"MainLength L2[" &amp;$B$2&amp; " ]"</f>
        <v>#REF!</v>
      </c>
      <c r="H3" s="147" t="e">
        <f>"BreakinLength S1  [" &amp;$B$2&amp;"]"</f>
        <v>#REF!</v>
      </c>
      <c r="I3" s="150"/>
      <c r="J3" s="151" t="e">
        <f>"Via-to-via (SODIMM-to-Rt) L3 [" &amp;$B$2&amp;"]"</f>
        <v>#REF!</v>
      </c>
      <c r="K3" s="151" t="e">
        <f>"Via-to-Rt L4 [" &amp;$B$2&amp;"]"</f>
        <v>#REF!</v>
      </c>
      <c r="L3" s="150"/>
      <c r="M3" s="149" t="e">
        <f>"Total MB Length(L0+L1+L2+S1)[" &amp;$B$2&amp;"]"</f>
        <v>#REF!</v>
      </c>
      <c r="N3" s="150" t="e">
        <f>"Total Pad-to-Pin Length (P1+L0+L1+L2+S1)["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("&amp;IF($B$2="mil",1,0.0254)*500&amp;"-"&amp;IF($B$2="mil",1,0.0254)*4500&amp;IF($B$2="mil","mil","mm")&amp;")"</f>
        <v>#REF!</v>
      </c>
      <c r="X3" s="150" t="e">
        <f>"Total Length    (P1+L0+L1+L2+S1) Test (&lt;="&amp;IF($B$2="mil",1,25.4)*5000&amp;IF($B$2="mil","mil","mm")&amp;")"</f>
        <v>#REF!</v>
      </c>
      <c r="Y3" s="150" t="e">
        <f>"L3 Length Test (&lt;="&amp;IF($B$2="mil",1,0.0254)*1300&amp;$B$2&amp; ")"</f>
        <v>#REF!</v>
      </c>
      <c r="Z3" s="150" t="e">
        <f>"L4 Length Test (&lt;=" &amp; IF($B$2="mil",1,0.0254)*200&amp;$B$2&amp;") or (L3+L4&lt;= "&amp;IF($B$2="mil",1,0.0254)*1500&amp;$B$2&amp;")"</f>
        <v>#REF!</v>
      </c>
    </row>
    <row r="4" spans="1:52" s="162" customFormat="1" ht="11.25">
      <c r="A4" s="460" t="s">
        <v>211</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52" s="162" customFormat="1" ht="11.25">
      <c r="A5" s="360" t="s">
        <v>215</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161"/>
      <c r="AB5" s="178"/>
      <c r="AC5" s="178"/>
      <c r="AD5" s="161"/>
    </row>
    <row r="6" spans="1:52" s="162" customFormat="1" ht="11.25">
      <c r="A6" s="460" t="s">
        <v>238</v>
      </c>
      <c r="B6" s="155"/>
      <c r="C6" s="155"/>
      <c r="D6" s="179"/>
      <c r="E6" s="180"/>
      <c r="F6" s="180"/>
      <c r="G6" s="180"/>
      <c r="H6" s="180"/>
      <c r="I6" s="180"/>
      <c r="J6" s="181"/>
      <c r="K6" s="181"/>
      <c r="L6" s="180"/>
      <c r="M6" s="180"/>
      <c r="N6" s="180"/>
      <c r="O6" s="179"/>
      <c r="P6" s="179"/>
      <c r="Q6" s="531"/>
      <c r="R6" s="179"/>
      <c r="S6" s="179"/>
      <c r="T6" s="179"/>
      <c r="U6" s="179"/>
      <c r="V6" s="430"/>
      <c r="W6" s="179"/>
      <c r="X6" s="179"/>
      <c r="Y6" s="179"/>
      <c r="Z6" s="533"/>
    </row>
    <row r="7" spans="1:52" s="162" customFormat="1">
      <c r="A7" s="185" t="s">
        <v>61</v>
      </c>
      <c r="B7" s="479" t="s">
        <v>430</v>
      </c>
      <c r="C7" s="635">
        <v>378.93700787401576</v>
      </c>
      <c r="D7" s="226"/>
      <c r="E7" s="189">
        <v>29.7</v>
      </c>
      <c r="F7" s="189">
        <v>0</v>
      </c>
      <c r="G7" s="303">
        <v>1274.82</v>
      </c>
      <c r="H7" s="306">
        <v>108.78</v>
      </c>
      <c r="I7" s="204"/>
      <c r="J7" s="313">
        <v>0</v>
      </c>
      <c r="K7" s="315">
        <v>47.6</v>
      </c>
      <c r="L7" s="192"/>
      <c r="M7" s="522">
        <f t="shared" ref="M7:M20" si="0" xml:space="preserve"> E7+F7+G7+H7</f>
        <v>1413.3</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 t="shared" ref="W7:W20" si="5">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162" t="e">
        <f t="shared" ref="AY7:AY20" ca="1" si="6">IF(AND(R7="Pass",S7="Pass",T7="Pass",U7="Pass",V7="Pass",W7="Pass",X7="Pass",Y7="Pass",Z7="Pass"),"Pass","Fail")</f>
        <v>#REF!</v>
      </c>
      <c r="AZ7" s="162" t="e">
        <f ca="1">IF(AND(AY7="Pass",AY8="Pass",AY9="Pass",AY10="Pass",AY11="Pass",AY12="Pass",AY13="Pass",AY14="Pass",AY15="Pass"),"Pass","Fail")</f>
        <v>#REF!</v>
      </c>
    </row>
    <row r="8" spans="1:52" s="162" customFormat="1">
      <c r="A8" s="185" t="s">
        <v>62</v>
      </c>
      <c r="B8" s="480" t="s">
        <v>57</v>
      </c>
      <c r="C8" s="635">
        <v>526.1811023622048</v>
      </c>
      <c r="D8" s="227"/>
      <c r="E8" s="189">
        <v>29.7</v>
      </c>
      <c r="F8" s="189">
        <v>0</v>
      </c>
      <c r="G8" s="303">
        <v>1197.43</v>
      </c>
      <c r="H8" s="306">
        <v>98.82</v>
      </c>
      <c r="I8" s="204"/>
      <c r="J8" s="313">
        <v>0</v>
      </c>
      <c r="K8" s="315">
        <v>73.38</v>
      </c>
      <c r="L8" s="192"/>
      <c r="M8" s="522">
        <f t="shared" si="0"/>
        <v>1325.95</v>
      </c>
      <c r="N8" s="522" t="e">
        <f t="shared" si="1"/>
        <v>#REF!</v>
      </c>
      <c r="O8" s="530"/>
      <c r="P8" s="524" t="e">
        <f>MAX($P$5:$Q$5)+IF($B$2="mil",1,0.0254)*DDR2Specs!$B$9</f>
        <v>#REF!</v>
      </c>
      <c r="Q8" s="524" t="e">
        <f>MIN($P$5:$Q$5)+IF($B$2="mil",1,0.0254)*DDR2Specs!$C$9</f>
        <v>#REF!</v>
      </c>
      <c r="R8" s="525" t="e">
        <f t="shared" si="2"/>
        <v>#REF!</v>
      </c>
      <c r="S8" s="526" t="e">
        <f t="shared" si="3"/>
        <v>#REF!</v>
      </c>
      <c r="T8" s="527" t="e">
        <f t="shared" ref="T8:T20" si="7">IF($E8&lt;=IF($B$2="mil",1,0.0254)*50,"Pass",IF($B$2="mil",1,0.0254)*50-$E8)</f>
        <v>#REF!</v>
      </c>
      <c r="U8" s="528" t="e">
        <f t="shared" si="4"/>
        <v>#REF!</v>
      </c>
      <c r="V8" s="528" t="e">
        <f t="shared" ref="V8:V20" si="8">IF($H8&lt;=IF($B$2="mil",1,0.0254)*200,"Pass",IF($B$2="mil",1,0.0254)*200-$H8)</f>
        <v>#REF!</v>
      </c>
      <c r="W8" s="528" t="e">
        <f t="shared" si="5"/>
        <v>#REF!</v>
      </c>
      <c r="X8" s="528" t="e">
        <f t="shared" ref="X8:X20" si="9">IF(AND($N8&gt;=IF($B$2="mil",1,0.0254)*500, $N8&lt;=IF($B$2="mil",1,0.0254)*5000),"Pass",IF($B$2="mil",1,0.0254)*5000-$N8)</f>
        <v>#REF!</v>
      </c>
      <c r="Y8" s="528" t="e">
        <f t="shared" ref="Y8:Y28" si="10">IF((J8&lt;=IF($B$2="mil",1,0.0254)*1300),"Pass",IF($B$2="mil",1,0.0254)*1300-J8)</f>
        <v>#REF!</v>
      </c>
      <c r="Z8" s="529" t="e">
        <f t="shared" ref="Z8:Z20" ca="1" si="11">CheckLength2(IF($B$2="mil",1,0.0254)*1500,J8,K8,0)</f>
        <v>#NAME?</v>
      </c>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162" t="e">
        <f t="shared" ca="1" si="6"/>
        <v>#REF!</v>
      </c>
      <c r="AZ8" s="162" t="e">
        <f ca="1">IF(AND(AY16="Pass",AY17="Pass",AY18="Pass",AY19="Pass",AY20="Pass",AY22="Pass",AY23="Pass",AY24="Pass",AY26="Pass",AY27="Pass",AY28="Pass"),"Pass","Fail")</f>
        <v>#REF!</v>
      </c>
    </row>
    <row r="9" spans="1:52" s="162" customFormat="1">
      <c r="A9" s="185" t="s">
        <v>63</v>
      </c>
      <c r="B9" s="480" t="s">
        <v>431</v>
      </c>
      <c r="C9" s="635">
        <v>448.14960629921256</v>
      </c>
      <c r="D9" s="237"/>
      <c r="E9" s="189">
        <v>29.7</v>
      </c>
      <c r="F9" s="189">
        <v>0</v>
      </c>
      <c r="G9" s="303">
        <v>1237.5999999999999</v>
      </c>
      <c r="H9" s="306">
        <v>61.6</v>
      </c>
      <c r="I9" s="238"/>
      <c r="J9" s="313">
        <v>0</v>
      </c>
      <c r="K9" s="315">
        <v>101.57</v>
      </c>
      <c r="L9" s="239"/>
      <c r="M9" s="522">
        <f t="shared" si="0"/>
        <v>1328.8999999999999</v>
      </c>
      <c r="N9" s="522" t="e">
        <f t="shared" si="1"/>
        <v>#REF!</v>
      </c>
      <c r="O9" s="239"/>
      <c r="P9" s="524" t="e">
        <f>MAX($P$5:$Q$5)+IF($B$2="mil",1,0.0254)*DDR2Specs!$B$9</f>
        <v>#REF!</v>
      </c>
      <c r="Q9" s="524" t="e">
        <f>MIN($P$5:$Q$5)+IF($B$2="mil",1,0.0254)*DDR2Specs!$C$9</f>
        <v>#REF!</v>
      </c>
      <c r="R9" s="525" t="e">
        <f t="shared" si="2"/>
        <v>#REF!</v>
      </c>
      <c r="S9" s="526" t="e">
        <f t="shared" si="3"/>
        <v>#REF!</v>
      </c>
      <c r="T9" s="527" t="e">
        <f t="shared" si="7"/>
        <v>#REF!</v>
      </c>
      <c r="U9" s="528" t="e">
        <f t="shared" si="4"/>
        <v>#REF!</v>
      </c>
      <c r="V9" s="528" t="e">
        <f t="shared" si="8"/>
        <v>#REF!</v>
      </c>
      <c r="W9" s="528" t="e">
        <f t="shared" si="5"/>
        <v>#REF!</v>
      </c>
      <c r="X9" s="528" t="e">
        <f t="shared" si="9"/>
        <v>#REF!</v>
      </c>
      <c r="Y9" s="528" t="e">
        <f t="shared" si="10"/>
        <v>#REF!</v>
      </c>
      <c r="Z9" s="529" t="e">
        <f t="shared" ca="1" si="11"/>
        <v>#NAME?</v>
      </c>
      <c r="AA9" s="394"/>
      <c r="AB9" s="394"/>
      <c r="AC9" s="394"/>
      <c r="AD9" s="394"/>
      <c r="AE9" s="394"/>
      <c r="AF9" s="394"/>
      <c r="AG9" s="394"/>
      <c r="AH9" s="394"/>
      <c r="AI9" s="394"/>
      <c r="AJ9" s="394"/>
      <c r="AK9" s="394"/>
      <c r="AL9" s="394"/>
      <c r="AM9" s="394"/>
      <c r="AN9" s="394"/>
      <c r="AO9" s="394"/>
      <c r="AP9" s="394"/>
      <c r="AQ9" s="394"/>
      <c r="AR9" s="394"/>
      <c r="AS9" s="394"/>
      <c r="AT9" s="394"/>
      <c r="AU9" s="394"/>
      <c r="AV9" s="394"/>
      <c r="AW9" s="394"/>
      <c r="AX9" s="394"/>
      <c r="AY9" s="162" t="e">
        <f t="shared" ca="1" si="6"/>
        <v>#REF!</v>
      </c>
    </row>
    <row r="10" spans="1:52" s="162" customFormat="1">
      <c r="A10" s="185" t="s">
        <v>64</v>
      </c>
      <c r="B10" s="480" t="s">
        <v>432</v>
      </c>
      <c r="C10" s="635">
        <v>435.90551181102359</v>
      </c>
      <c r="D10" s="237"/>
      <c r="E10" s="189">
        <v>29.7</v>
      </c>
      <c r="F10" s="189">
        <v>0</v>
      </c>
      <c r="G10" s="303">
        <v>1300</v>
      </c>
      <c r="H10" s="306">
        <v>58</v>
      </c>
      <c r="I10" s="238"/>
      <c r="J10" s="313">
        <v>0</v>
      </c>
      <c r="K10" s="315">
        <v>123.99</v>
      </c>
      <c r="L10" s="239"/>
      <c r="M10" s="522">
        <f t="shared" si="0"/>
        <v>1387.7</v>
      </c>
      <c r="N10" s="522" t="e">
        <f t="shared" si="1"/>
        <v>#REF!</v>
      </c>
      <c r="O10" s="239"/>
      <c r="P10" s="524" t="e">
        <f>MAX($P$5:$Q$5)+IF($B$2="mil",1,0.0254)*DDR2Specs!$B$9</f>
        <v>#REF!</v>
      </c>
      <c r="Q10" s="524" t="e">
        <f>MIN($P$5:$Q$5)+IF($B$2="mil",1,0.0254)*DDR2Specs!$C$9</f>
        <v>#REF!</v>
      </c>
      <c r="R10" s="525" t="e">
        <f t="shared" si="2"/>
        <v>#REF!</v>
      </c>
      <c r="S10" s="526" t="e">
        <f t="shared" si="3"/>
        <v>#REF!</v>
      </c>
      <c r="T10" s="527" t="e">
        <f t="shared" si="7"/>
        <v>#REF!</v>
      </c>
      <c r="U10" s="528" t="e">
        <f t="shared" si="4"/>
        <v>#REF!</v>
      </c>
      <c r="V10" s="528" t="e">
        <f t="shared" si="8"/>
        <v>#REF!</v>
      </c>
      <c r="W10" s="528" t="e">
        <f t="shared" si="5"/>
        <v>#REF!</v>
      </c>
      <c r="X10" s="528" t="e">
        <f t="shared" si="9"/>
        <v>#REF!</v>
      </c>
      <c r="Y10" s="528" t="e">
        <f t="shared" si="10"/>
        <v>#REF!</v>
      </c>
      <c r="Z10" s="529" t="e">
        <f t="shared" ca="1" si="11"/>
        <v>#NAME?</v>
      </c>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162" t="e">
        <f t="shared" ca="1" si="6"/>
        <v>#REF!</v>
      </c>
    </row>
    <row r="11" spans="1:52" s="162" customFormat="1">
      <c r="A11" s="185" t="s">
        <v>65</v>
      </c>
      <c r="B11" s="480" t="s">
        <v>433</v>
      </c>
      <c r="C11" s="635">
        <v>381.06299212598429</v>
      </c>
      <c r="D11" s="237"/>
      <c r="E11" s="189">
        <v>29.7</v>
      </c>
      <c r="F11" s="189">
        <v>0</v>
      </c>
      <c r="G11" s="303">
        <v>1296.2</v>
      </c>
      <c r="H11" s="306">
        <v>117.39</v>
      </c>
      <c r="I11" s="238"/>
      <c r="J11" s="313">
        <v>0</v>
      </c>
      <c r="K11" s="315">
        <v>52.53</v>
      </c>
      <c r="L11" s="239"/>
      <c r="M11" s="522">
        <f t="shared" si="0"/>
        <v>1443.2900000000002</v>
      </c>
      <c r="N11" s="522" t="e">
        <f t="shared" si="1"/>
        <v>#REF!</v>
      </c>
      <c r="O11" s="239"/>
      <c r="P11" s="524" t="e">
        <f>MAX($P$5:$Q$5)+IF($B$2="mil",1,0.0254)*DDR2Specs!$B$9</f>
        <v>#REF!</v>
      </c>
      <c r="Q11" s="524" t="e">
        <f>MIN($P$5:$Q$5)+IF($B$2="mil",1,0.0254)*DDR2Specs!$C$9</f>
        <v>#REF!</v>
      </c>
      <c r="R11" s="525" t="e">
        <f t="shared" si="2"/>
        <v>#REF!</v>
      </c>
      <c r="S11" s="526" t="e">
        <f t="shared" si="3"/>
        <v>#REF!</v>
      </c>
      <c r="T11" s="527" t="e">
        <f t="shared" si="7"/>
        <v>#REF!</v>
      </c>
      <c r="U11" s="528" t="e">
        <f t="shared" si="4"/>
        <v>#REF!</v>
      </c>
      <c r="V11" s="528" t="e">
        <f t="shared" si="8"/>
        <v>#REF!</v>
      </c>
      <c r="W11" s="528" t="e">
        <f t="shared" si="5"/>
        <v>#REF!</v>
      </c>
      <c r="X11" s="528" t="e">
        <f t="shared" si="9"/>
        <v>#REF!</v>
      </c>
      <c r="Y11" s="528" t="e">
        <f t="shared" si="10"/>
        <v>#REF!</v>
      </c>
      <c r="Z11" s="529" t="e">
        <f t="shared" ca="1" si="11"/>
        <v>#NAME?</v>
      </c>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162" t="e">
        <f t="shared" ca="1" si="6"/>
        <v>#REF!</v>
      </c>
    </row>
    <row r="12" spans="1:52" s="162" customFormat="1">
      <c r="A12" s="185" t="s">
        <v>66</v>
      </c>
      <c r="B12" s="480" t="s">
        <v>434</v>
      </c>
      <c r="C12" s="635">
        <v>420.03937007874021</v>
      </c>
      <c r="D12" s="237"/>
      <c r="E12" s="189">
        <v>29.7</v>
      </c>
      <c r="F12" s="189">
        <v>0</v>
      </c>
      <c r="G12" s="303">
        <v>1217.5</v>
      </c>
      <c r="H12" s="306">
        <v>111.23</v>
      </c>
      <c r="I12" s="238"/>
      <c r="J12" s="313">
        <v>0</v>
      </c>
      <c r="K12" s="315">
        <v>83.88</v>
      </c>
      <c r="L12" s="239"/>
      <c r="M12" s="522">
        <f t="shared" si="0"/>
        <v>1358.43</v>
      </c>
      <c r="N12" s="522" t="e">
        <f t="shared" si="1"/>
        <v>#REF!</v>
      </c>
      <c r="O12" s="239"/>
      <c r="P12" s="524" t="e">
        <f>MAX($P$5:$Q$5)+IF($B$2="mil",1,0.0254)*DDR2Specs!$B$9</f>
        <v>#REF!</v>
      </c>
      <c r="Q12" s="524" t="e">
        <f>MIN($P$5:$Q$5)+IF($B$2="mil",1,0.0254)*DDR2Specs!$C$9</f>
        <v>#REF!</v>
      </c>
      <c r="R12" s="525" t="e">
        <f t="shared" si="2"/>
        <v>#REF!</v>
      </c>
      <c r="S12" s="526" t="e">
        <f t="shared" si="3"/>
        <v>#REF!</v>
      </c>
      <c r="T12" s="527" t="e">
        <f t="shared" si="7"/>
        <v>#REF!</v>
      </c>
      <c r="U12" s="528" t="e">
        <f t="shared" si="4"/>
        <v>#REF!</v>
      </c>
      <c r="V12" s="528" t="e">
        <f t="shared" si="8"/>
        <v>#REF!</v>
      </c>
      <c r="W12" s="528" t="e">
        <f t="shared" si="5"/>
        <v>#REF!</v>
      </c>
      <c r="X12" s="528" t="e">
        <f t="shared" si="9"/>
        <v>#REF!</v>
      </c>
      <c r="Y12" s="528" t="e">
        <f t="shared" si="10"/>
        <v>#REF!</v>
      </c>
      <c r="Z12" s="529" t="e">
        <f t="shared" ca="1" si="11"/>
        <v>#NAME?</v>
      </c>
      <c r="AA12" s="394"/>
      <c r="AB12" s="394"/>
      <c r="AC12" s="394"/>
      <c r="AD12" s="394"/>
      <c r="AE12" s="394"/>
      <c r="AF12" s="394"/>
      <c r="AG12" s="394"/>
      <c r="AH12" s="394"/>
      <c r="AI12" s="394"/>
      <c r="AJ12" s="394"/>
      <c r="AK12" s="394"/>
      <c r="AL12" s="394"/>
      <c r="AM12" s="394"/>
      <c r="AN12" s="394"/>
      <c r="AO12" s="394"/>
      <c r="AP12" s="394"/>
      <c r="AQ12" s="394"/>
      <c r="AR12" s="394"/>
      <c r="AS12" s="394"/>
      <c r="AT12" s="394"/>
      <c r="AU12" s="394"/>
      <c r="AV12" s="394"/>
      <c r="AW12" s="394"/>
      <c r="AX12" s="394"/>
      <c r="AY12" s="162" t="e">
        <f t="shared" ca="1" si="6"/>
        <v>#REF!</v>
      </c>
    </row>
    <row r="13" spans="1:52" s="162" customFormat="1">
      <c r="A13" s="185" t="s">
        <v>68</v>
      </c>
      <c r="B13" s="480" t="s">
        <v>435</v>
      </c>
      <c r="C13" s="635">
        <v>468.89763779527561</v>
      </c>
      <c r="D13" s="237"/>
      <c r="E13" s="189">
        <v>29.7</v>
      </c>
      <c r="F13" s="189">
        <v>0</v>
      </c>
      <c r="G13" s="303">
        <v>1308.9000000000001</v>
      </c>
      <c r="H13" s="306">
        <v>62.51</v>
      </c>
      <c r="I13" s="238"/>
      <c r="J13" s="313">
        <v>0</v>
      </c>
      <c r="K13" s="315">
        <v>104.42</v>
      </c>
      <c r="L13" s="239"/>
      <c r="M13" s="522">
        <f t="shared" si="0"/>
        <v>1401.1100000000001</v>
      </c>
      <c r="N13" s="522" t="e">
        <f t="shared" si="1"/>
        <v>#REF!</v>
      </c>
      <c r="O13" s="239"/>
      <c r="P13" s="524" t="e">
        <f>MAX($P$5:$Q$5)+IF($B$2="mil",1,0.0254)*DDR2Specs!$B$9</f>
        <v>#REF!</v>
      </c>
      <c r="Q13" s="524" t="e">
        <f>MIN($P$5:$Q$5)+IF($B$2="mil",1,0.0254)*DDR2Specs!$C$9</f>
        <v>#REF!</v>
      </c>
      <c r="R13" s="525" t="e">
        <f t="shared" si="2"/>
        <v>#REF!</v>
      </c>
      <c r="S13" s="526" t="e">
        <f t="shared" si="3"/>
        <v>#REF!</v>
      </c>
      <c r="T13" s="527" t="e">
        <f t="shared" si="7"/>
        <v>#REF!</v>
      </c>
      <c r="U13" s="528" t="e">
        <f t="shared" si="4"/>
        <v>#REF!</v>
      </c>
      <c r="V13" s="528" t="e">
        <f t="shared" si="8"/>
        <v>#REF!</v>
      </c>
      <c r="W13" s="528" t="e">
        <f t="shared" si="5"/>
        <v>#REF!</v>
      </c>
      <c r="X13" s="528" t="e">
        <f t="shared" si="9"/>
        <v>#REF!</v>
      </c>
      <c r="Y13" s="528" t="e">
        <f t="shared" si="10"/>
        <v>#REF!</v>
      </c>
      <c r="Z13" s="529" t="e">
        <f t="shared" ca="1" si="11"/>
        <v>#NAME?</v>
      </c>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162" t="e">
        <f t="shared" ca="1" si="6"/>
        <v>#REF!</v>
      </c>
    </row>
    <row r="14" spans="1:52" s="162" customFormat="1">
      <c r="A14" s="185" t="s">
        <v>69</v>
      </c>
      <c r="B14" s="480" t="s">
        <v>309</v>
      </c>
      <c r="C14" s="635">
        <v>508.74015748031502</v>
      </c>
      <c r="D14" s="237"/>
      <c r="E14" s="189">
        <v>29.7</v>
      </c>
      <c r="F14" s="189">
        <v>0</v>
      </c>
      <c r="G14" s="303">
        <v>1215.96</v>
      </c>
      <c r="H14" s="306">
        <v>115.4</v>
      </c>
      <c r="I14" s="238"/>
      <c r="J14" s="313">
        <v>0</v>
      </c>
      <c r="K14" s="315">
        <v>72.38</v>
      </c>
      <c r="L14" s="239"/>
      <c r="M14" s="522">
        <f t="shared" si="0"/>
        <v>1361.0600000000002</v>
      </c>
      <c r="N14" s="522" t="e">
        <f t="shared" si="1"/>
        <v>#REF!</v>
      </c>
      <c r="O14" s="239"/>
      <c r="P14" s="524" t="e">
        <f>MAX($P$5:$Q$5)+IF($B$2="mil",1,0.0254)*DDR2Specs!$B$9</f>
        <v>#REF!</v>
      </c>
      <c r="Q14" s="524" t="e">
        <f>MIN($P$5:$Q$5)+IF($B$2="mil",1,0.0254)*DDR2Specs!$C$9</f>
        <v>#REF!</v>
      </c>
      <c r="R14" s="525" t="e">
        <f t="shared" si="2"/>
        <v>#REF!</v>
      </c>
      <c r="S14" s="526" t="e">
        <f t="shared" si="3"/>
        <v>#REF!</v>
      </c>
      <c r="T14" s="527" t="e">
        <f t="shared" si="7"/>
        <v>#REF!</v>
      </c>
      <c r="U14" s="528" t="e">
        <f t="shared" si="4"/>
        <v>#REF!</v>
      </c>
      <c r="V14" s="528" t="e">
        <f t="shared" si="8"/>
        <v>#REF!</v>
      </c>
      <c r="W14" s="528" t="e">
        <f t="shared" si="5"/>
        <v>#REF!</v>
      </c>
      <c r="X14" s="528" t="e">
        <f t="shared" si="9"/>
        <v>#REF!</v>
      </c>
      <c r="Y14" s="528" t="e">
        <f t="shared" si="10"/>
        <v>#REF!</v>
      </c>
      <c r="Z14" s="529" t="e">
        <f t="shared" ca="1" si="11"/>
        <v>#NAME?</v>
      </c>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162" t="e">
        <f t="shared" ca="1" si="6"/>
        <v>#REF!</v>
      </c>
    </row>
    <row r="15" spans="1:52" s="162" customFormat="1">
      <c r="A15" s="185" t="s">
        <v>70</v>
      </c>
      <c r="B15" s="480" t="s">
        <v>436</v>
      </c>
      <c r="C15" s="635">
        <v>529.40944881889766</v>
      </c>
      <c r="D15" s="237"/>
      <c r="E15" s="189">
        <v>29.7</v>
      </c>
      <c r="F15" s="189">
        <v>0</v>
      </c>
      <c r="G15" s="303">
        <v>1162.28</v>
      </c>
      <c r="H15" s="306">
        <v>119.25</v>
      </c>
      <c r="I15" s="238"/>
      <c r="J15" s="313">
        <v>0</v>
      </c>
      <c r="K15" s="315">
        <v>104.68</v>
      </c>
      <c r="L15" s="239"/>
      <c r="M15" s="522">
        <f t="shared" si="0"/>
        <v>1311.23</v>
      </c>
      <c r="N15" s="522" t="e">
        <f t="shared" si="1"/>
        <v>#REF!</v>
      </c>
      <c r="O15" s="239"/>
      <c r="P15" s="524" t="e">
        <f>MAX($P$5:$Q$5)+IF($B$2="mil",1,0.0254)*DDR2Specs!$B$9</f>
        <v>#REF!</v>
      </c>
      <c r="Q15" s="524" t="e">
        <f>MIN($P$5:$Q$5)+IF($B$2="mil",1,0.0254)*DDR2Specs!$C$9</f>
        <v>#REF!</v>
      </c>
      <c r="R15" s="525" t="e">
        <f t="shared" si="2"/>
        <v>#REF!</v>
      </c>
      <c r="S15" s="526" t="e">
        <f t="shared" si="3"/>
        <v>#REF!</v>
      </c>
      <c r="T15" s="527" t="e">
        <f t="shared" si="7"/>
        <v>#REF!</v>
      </c>
      <c r="U15" s="528" t="e">
        <f t="shared" si="4"/>
        <v>#REF!</v>
      </c>
      <c r="V15" s="528" t="e">
        <f t="shared" si="8"/>
        <v>#REF!</v>
      </c>
      <c r="W15" s="528" t="e">
        <f t="shared" si="5"/>
        <v>#REF!</v>
      </c>
      <c r="X15" s="528" t="e">
        <f t="shared" si="9"/>
        <v>#REF!</v>
      </c>
      <c r="Y15" s="528" t="e">
        <f t="shared" si="10"/>
        <v>#REF!</v>
      </c>
      <c r="Z15" s="529" t="e">
        <f t="shared" ca="1" si="11"/>
        <v>#NAME?</v>
      </c>
      <c r="AA15" s="394"/>
      <c r="AB15" s="394"/>
      <c r="AC15" s="394"/>
      <c r="AD15" s="394"/>
      <c r="AE15" s="394"/>
      <c r="AF15" s="394"/>
      <c r="AG15" s="394"/>
      <c r="AH15" s="394"/>
      <c r="AI15" s="394"/>
      <c r="AJ15" s="394"/>
      <c r="AK15" s="394"/>
      <c r="AL15" s="394"/>
      <c r="AM15" s="394"/>
      <c r="AN15" s="394"/>
      <c r="AO15" s="394"/>
      <c r="AP15" s="394"/>
      <c r="AQ15" s="394"/>
      <c r="AR15" s="394"/>
      <c r="AS15" s="394"/>
      <c r="AT15" s="394"/>
      <c r="AU15" s="394"/>
      <c r="AV15" s="394"/>
      <c r="AW15" s="394"/>
      <c r="AX15" s="394"/>
      <c r="AY15" s="162" t="e">
        <f t="shared" ca="1" si="6"/>
        <v>#REF!</v>
      </c>
    </row>
    <row r="16" spans="1:52" s="162" customFormat="1">
      <c r="A16" s="185" t="s">
        <v>72</v>
      </c>
      <c r="B16" s="480" t="s">
        <v>310</v>
      </c>
      <c r="C16" s="635">
        <v>442.40157480314963</v>
      </c>
      <c r="D16" s="237"/>
      <c r="E16" s="189">
        <v>29.7</v>
      </c>
      <c r="F16" s="189">
        <v>0</v>
      </c>
      <c r="G16" s="303">
        <v>1247.99</v>
      </c>
      <c r="H16" s="306">
        <v>155.77000000000001</v>
      </c>
      <c r="I16" s="238"/>
      <c r="J16" s="313">
        <v>0</v>
      </c>
      <c r="K16" s="315">
        <v>83.15</v>
      </c>
      <c r="L16" s="239"/>
      <c r="M16" s="522">
        <f t="shared" si="0"/>
        <v>1433.46</v>
      </c>
      <c r="N16" s="522" t="e">
        <f t="shared" si="1"/>
        <v>#REF!</v>
      </c>
      <c r="O16" s="239"/>
      <c r="P16" s="524" t="e">
        <f>MAX($P$5:$Q$5)+IF($B$2="mil",1,0.0254)*DDR2Specs!$B$9</f>
        <v>#REF!</v>
      </c>
      <c r="Q16" s="524" t="e">
        <f>MIN($P$5:$Q$5)+IF($B$2="mil",1,0.0254)*DDR2Specs!$C$9</f>
        <v>#REF!</v>
      </c>
      <c r="R16" s="525" t="e">
        <f t="shared" si="2"/>
        <v>#REF!</v>
      </c>
      <c r="S16" s="526" t="e">
        <f t="shared" si="3"/>
        <v>#REF!</v>
      </c>
      <c r="T16" s="527" t="e">
        <f t="shared" si="7"/>
        <v>#REF!</v>
      </c>
      <c r="U16" s="528" t="e">
        <f t="shared" si="4"/>
        <v>#REF!</v>
      </c>
      <c r="V16" s="528" t="e">
        <f t="shared" si="8"/>
        <v>#REF!</v>
      </c>
      <c r="W16" s="528" t="e">
        <f t="shared" si="5"/>
        <v>#REF!</v>
      </c>
      <c r="X16" s="528" t="e">
        <f t="shared" si="9"/>
        <v>#REF!</v>
      </c>
      <c r="Y16" s="528" t="e">
        <f t="shared" si="10"/>
        <v>#REF!</v>
      </c>
      <c r="Z16" s="529" t="e">
        <f t="shared" ca="1" si="11"/>
        <v>#NAME?</v>
      </c>
      <c r="AA16" s="394"/>
      <c r="AB16" s="394"/>
      <c r="AC16" s="394"/>
      <c r="AD16" s="394"/>
      <c r="AE16" s="394"/>
      <c r="AF16" s="394"/>
      <c r="AG16" s="394"/>
      <c r="AH16" s="394"/>
      <c r="AI16" s="394"/>
      <c r="AJ16" s="394"/>
      <c r="AK16" s="394"/>
      <c r="AL16" s="394"/>
      <c r="AM16" s="394"/>
      <c r="AN16" s="394"/>
      <c r="AO16" s="394"/>
      <c r="AP16" s="394"/>
      <c r="AQ16" s="394"/>
      <c r="AR16" s="394"/>
      <c r="AS16" s="394"/>
      <c r="AT16" s="394"/>
      <c r="AU16" s="394"/>
      <c r="AV16" s="394"/>
      <c r="AW16" s="394"/>
      <c r="AX16" s="394"/>
      <c r="AY16" s="162" t="e">
        <f t="shared" ca="1" si="6"/>
        <v>#REF!</v>
      </c>
    </row>
    <row r="17" spans="1:51" s="162" customFormat="1">
      <c r="A17" s="185" t="s">
        <v>74</v>
      </c>
      <c r="B17" s="480" t="s">
        <v>49</v>
      </c>
      <c r="C17" s="635">
        <v>397.71653543307087</v>
      </c>
      <c r="D17" s="237"/>
      <c r="E17" s="189">
        <v>29.7</v>
      </c>
      <c r="F17" s="189">
        <v>0</v>
      </c>
      <c r="G17" s="303">
        <v>1277.98</v>
      </c>
      <c r="H17" s="306">
        <v>58</v>
      </c>
      <c r="I17" s="238"/>
      <c r="J17" s="313">
        <v>0</v>
      </c>
      <c r="K17" s="315">
        <v>128.94999999999999</v>
      </c>
      <c r="L17" s="239"/>
      <c r="M17" s="522">
        <f t="shared" si="0"/>
        <v>1365.68</v>
      </c>
      <c r="N17" s="522" t="e">
        <f t="shared" si="1"/>
        <v>#REF!</v>
      </c>
      <c r="O17" s="239"/>
      <c r="P17" s="524" t="e">
        <f>MAX($P$5:$Q$5)+IF($B$2="mil",1,0.0254)*DDR2Specs!$B$9</f>
        <v>#REF!</v>
      </c>
      <c r="Q17" s="524" t="e">
        <f>MIN($P$5:$Q$5)+IF($B$2="mil",1,0.0254)*DDR2Specs!$C$9</f>
        <v>#REF!</v>
      </c>
      <c r="R17" s="525" t="e">
        <f t="shared" si="2"/>
        <v>#REF!</v>
      </c>
      <c r="S17" s="526" t="e">
        <f t="shared" si="3"/>
        <v>#REF!</v>
      </c>
      <c r="T17" s="527" t="e">
        <f t="shared" si="7"/>
        <v>#REF!</v>
      </c>
      <c r="U17" s="528" t="e">
        <f t="shared" si="4"/>
        <v>#REF!</v>
      </c>
      <c r="V17" s="528" t="e">
        <f t="shared" si="8"/>
        <v>#REF!</v>
      </c>
      <c r="W17" s="528" t="e">
        <f t="shared" si="5"/>
        <v>#REF!</v>
      </c>
      <c r="X17" s="528" t="e">
        <f t="shared" si="9"/>
        <v>#REF!</v>
      </c>
      <c r="Y17" s="528" t="e">
        <f t="shared" si="10"/>
        <v>#REF!</v>
      </c>
      <c r="Z17" s="529" t="e">
        <f t="shared" ca="1" si="11"/>
        <v>#NAME?</v>
      </c>
      <c r="AA17" s="394"/>
      <c r="AB17" s="394"/>
      <c r="AC17" s="394"/>
      <c r="AD17" s="394"/>
      <c r="AE17" s="394"/>
      <c r="AF17" s="394"/>
      <c r="AG17" s="394"/>
      <c r="AH17" s="394"/>
      <c r="AI17" s="394"/>
      <c r="AJ17" s="394"/>
      <c r="AK17" s="394"/>
      <c r="AL17" s="394"/>
      <c r="AM17" s="394"/>
      <c r="AN17" s="394"/>
      <c r="AO17" s="394"/>
      <c r="AP17" s="394"/>
      <c r="AQ17" s="394"/>
      <c r="AR17" s="394"/>
      <c r="AS17" s="394"/>
      <c r="AT17" s="394"/>
      <c r="AU17" s="394"/>
      <c r="AV17" s="394"/>
      <c r="AW17" s="394"/>
      <c r="AX17" s="394"/>
      <c r="AY17" s="162" t="e">
        <f t="shared" ca="1" si="6"/>
        <v>#REF!</v>
      </c>
    </row>
    <row r="18" spans="1:51" s="162" customFormat="1">
      <c r="A18" s="185" t="s">
        <v>75</v>
      </c>
      <c r="B18" s="480" t="s">
        <v>437</v>
      </c>
      <c r="C18" s="635">
        <v>543.54330708661416</v>
      </c>
      <c r="D18" s="237"/>
      <c r="E18" s="189">
        <v>29.7</v>
      </c>
      <c r="F18" s="189">
        <v>0</v>
      </c>
      <c r="G18" s="303">
        <v>1210.58</v>
      </c>
      <c r="H18" s="306">
        <v>82.56</v>
      </c>
      <c r="I18" s="238"/>
      <c r="J18" s="313">
        <v>0</v>
      </c>
      <c r="K18" s="315">
        <v>121.39</v>
      </c>
      <c r="L18" s="239"/>
      <c r="M18" s="522">
        <f t="shared" si="0"/>
        <v>1322.84</v>
      </c>
      <c r="N18" s="522" t="e">
        <f t="shared" si="1"/>
        <v>#REF!</v>
      </c>
      <c r="O18" s="239"/>
      <c r="P18" s="524" t="e">
        <f>MAX($P$5:$Q$5)+IF($B$2="mil",1,0.0254)*DDR2Specs!$B$9</f>
        <v>#REF!</v>
      </c>
      <c r="Q18" s="524" t="e">
        <f>MIN($P$5:$Q$5)+IF($B$2="mil",1,0.0254)*DDR2Specs!$C$9</f>
        <v>#REF!</v>
      </c>
      <c r="R18" s="525" t="e">
        <f t="shared" si="2"/>
        <v>#REF!</v>
      </c>
      <c r="S18" s="526" t="e">
        <f t="shared" si="3"/>
        <v>#REF!</v>
      </c>
      <c r="T18" s="527" t="e">
        <f t="shared" si="7"/>
        <v>#REF!</v>
      </c>
      <c r="U18" s="528" t="e">
        <f t="shared" si="4"/>
        <v>#REF!</v>
      </c>
      <c r="V18" s="528" t="e">
        <f t="shared" si="8"/>
        <v>#REF!</v>
      </c>
      <c r="W18" s="528" t="e">
        <f t="shared" si="5"/>
        <v>#REF!</v>
      </c>
      <c r="X18" s="528" t="e">
        <f t="shared" si="9"/>
        <v>#REF!</v>
      </c>
      <c r="Y18" s="528" t="e">
        <f t="shared" si="10"/>
        <v>#REF!</v>
      </c>
      <c r="Z18" s="529" t="e">
        <f t="shared" ca="1" si="11"/>
        <v>#NAME?</v>
      </c>
      <c r="AA18" s="394"/>
      <c r="AB18" s="394"/>
      <c r="AC18" s="394"/>
      <c r="AD18" s="394"/>
      <c r="AE18" s="394"/>
      <c r="AF18" s="394"/>
      <c r="AG18" s="394"/>
      <c r="AH18" s="394"/>
      <c r="AI18" s="394"/>
      <c r="AJ18" s="394"/>
      <c r="AK18" s="394"/>
      <c r="AL18" s="394"/>
      <c r="AM18" s="394"/>
      <c r="AN18" s="394"/>
      <c r="AO18" s="394"/>
      <c r="AP18" s="394"/>
      <c r="AQ18" s="394"/>
      <c r="AR18" s="394"/>
      <c r="AS18" s="394"/>
      <c r="AT18" s="394"/>
      <c r="AU18" s="394"/>
      <c r="AV18" s="394"/>
      <c r="AW18" s="394"/>
      <c r="AX18" s="394"/>
      <c r="AY18" s="162" t="e">
        <f t="shared" ca="1" si="6"/>
        <v>#REF!</v>
      </c>
    </row>
    <row r="19" spans="1:51" s="162" customFormat="1">
      <c r="A19" s="185" t="s">
        <v>76</v>
      </c>
      <c r="B19" s="480" t="s">
        <v>438</v>
      </c>
      <c r="C19" s="635">
        <v>492.79527559055117</v>
      </c>
      <c r="D19" s="237"/>
      <c r="E19" s="189">
        <v>29.7</v>
      </c>
      <c r="F19" s="189">
        <v>0</v>
      </c>
      <c r="G19" s="303">
        <v>1294.0999999999999</v>
      </c>
      <c r="H19" s="306">
        <v>119.05</v>
      </c>
      <c r="I19" s="238"/>
      <c r="J19" s="313">
        <v>0</v>
      </c>
      <c r="K19" s="315">
        <v>135.99</v>
      </c>
      <c r="L19" s="239"/>
      <c r="M19" s="522">
        <f t="shared" si="0"/>
        <v>1442.85</v>
      </c>
      <c r="N19" s="522" t="e">
        <f t="shared" si="1"/>
        <v>#REF!</v>
      </c>
      <c r="O19" s="239"/>
      <c r="P19" s="524" t="e">
        <f>MAX($P$5:$Q$5)+IF($B$2="mil",1,0.0254)*DDR2Specs!$B$9</f>
        <v>#REF!</v>
      </c>
      <c r="Q19" s="524" t="e">
        <f>MIN($P$5:$Q$5)+IF($B$2="mil",1,0.0254)*DDR2Specs!$C$9</f>
        <v>#REF!</v>
      </c>
      <c r="R19" s="525" t="e">
        <f t="shared" si="2"/>
        <v>#REF!</v>
      </c>
      <c r="S19" s="526" t="e">
        <f t="shared" si="3"/>
        <v>#REF!</v>
      </c>
      <c r="T19" s="527" t="e">
        <f t="shared" si="7"/>
        <v>#REF!</v>
      </c>
      <c r="U19" s="528" t="e">
        <f t="shared" si="4"/>
        <v>#REF!</v>
      </c>
      <c r="V19" s="528" t="e">
        <f t="shared" si="8"/>
        <v>#REF!</v>
      </c>
      <c r="W19" s="528" t="e">
        <f t="shared" si="5"/>
        <v>#REF!</v>
      </c>
      <c r="X19" s="528" t="e">
        <f t="shared" si="9"/>
        <v>#REF!</v>
      </c>
      <c r="Y19" s="528" t="e">
        <f t="shared" si="10"/>
        <v>#REF!</v>
      </c>
      <c r="Z19" s="529" t="e">
        <f t="shared" ca="1" si="11"/>
        <v>#NAME?</v>
      </c>
      <c r="AA19" s="394"/>
      <c r="AB19" s="394"/>
      <c r="AC19" s="394"/>
      <c r="AD19" s="394"/>
      <c r="AE19" s="394"/>
      <c r="AF19" s="394"/>
      <c r="AG19" s="394"/>
      <c r="AH19" s="394"/>
      <c r="AI19" s="394"/>
      <c r="AJ19" s="394"/>
      <c r="AK19" s="394"/>
      <c r="AL19" s="394"/>
      <c r="AM19" s="394"/>
      <c r="AN19" s="394"/>
      <c r="AO19" s="394"/>
      <c r="AP19" s="394"/>
      <c r="AQ19" s="394"/>
      <c r="AR19" s="394"/>
      <c r="AS19" s="394"/>
      <c r="AT19" s="394"/>
      <c r="AU19" s="394"/>
      <c r="AV19" s="394"/>
      <c r="AW19" s="394"/>
      <c r="AX19" s="394"/>
      <c r="AY19" s="162" t="e">
        <f t="shared" ca="1" si="6"/>
        <v>#REF!</v>
      </c>
    </row>
    <row r="20" spans="1:51" s="162" customFormat="1">
      <c r="A20" s="185" t="s">
        <v>78</v>
      </c>
      <c r="B20" s="480" t="s">
        <v>307</v>
      </c>
      <c r="C20" s="635">
        <v>514.48818897637796</v>
      </c>
      <c r="D20" s="375"/>
      <c r="E20" s="189">
        <v>29.7</v>
      </c>
      <c r="F20" s="189">
        <v>0</v>
      </c>
      <c r="G20" s="303">
        <v>1148.02</v>
      </c>
      <c r="H20" s="306">
        <v>58.41</v>
      </c>
      <c r="I20" s="238"/>
      <c r="J20" s="313">
        <v>0</v>
      </c>
      <c r="K20" s="315">
        <v>124.92</v>
      </c>
      <c r="L20" s="239"/>
      <c r="M20" s="522">
        <f t="shared" si="0"/>
        <v>1236.1300000000001</v>
      </c>
      <c r="N20" s="522" t="e">
        <f t="shared" si="1"/>
        <v>#REF!</v>
      </c>
      <c r="O20" s="239"/>
      <c r="P20" s="524" t="e">
        <f>MAX($P$5:$Q$5)+IF($B$2="mil",1,0.0254)*DDR2Specs!$B$9</f>
        <v>#REF!</v>
      </c>
      <c r="Q20" s="524" t="e">
        <f>MIN($P$5:$Q$5)+IF($B$2="mil",1,0.0254)*DDR2Specs!$C$9</f>
        <v>#REF!</v>
      </c>
      <c r="R20" s="525" t="e">
        <f t="shared" si="2"/>
        <v>#REF!</v>
      </c>
      <c r="S20" s="526" t="e">
        <f t="shared" si="3"/>
        <v>#REF!</v>
      </c>
      <c r="T20" s="527" t="e">
        <f t="shared" si="7"/>
        <v>#REF!</v>
      </c>
      <c r="U20" s="528" t="e">
        <f t="shared" si="4"/>
        <v>#REF!</v>
      </c>
      <c r="V20" s="528" t="e">
        <f t="shared" si="8"/>
        <v>#REF!</v>
      </c>
      <c r="W20" s="528" t="e">
        <f t="shared" si="5"/>
        <v>#REF!</v>
      </c>
      <c r="X20" s="528" t="e">
        <f t="shared" si="9"/>
        <v>#REF!</v>
      </c>
      <c r="Y20" s="528" t="e">
        <f t="shared" si="10"/>
        <v>#REF!</v>
      </c>
      <c r="Z20" s="529" t="e">
        <f t="shared" ca="1" si="11"/>
        <v>#NAME?</v>
      </c>
      <c r="AA20" s="394"/>
      <c r="AB20" s="394"/>
      <c r="AC20" s="394"/>
      <c r="AD20" s="394"/>
      <c r="AE20" s="394"/>
      <c r="AF20" s="394"/>
      <c r="AG20" s="394"/>
      <c r="AH20" s="394"/>
      <c r="AI20" s="394"/>
      <c r="AJ20" s="394"/>
      <c r="AK20" s="394"/>
      <c r="AL20" s="394"/>
      <c r="AM20" s="394"/>
      <c r="AN20" s="394"/>
      <c r="AO20" s="394"/>
      <c r="AP20" s="394"/>
      <c r="AQ20" s="394"/>
      <c r="AR20" s="394"/>
      <c r="AS20" s="394"/>
      <c r="AT20" s="394"/>
      <c r="AU20" s="394"/>
      <c r="AV20" s="394"/>
      <c r="AW20" s="394"/>
      <c r="AX20" s="394"/>
      <c r="AY20" s="162" t="e">
        <f t="shared" ca="1" si="6"/>
        <v>#REF!</v>
      </c>
    </row>
    <row r="21" spans="1:51" s="162" customFormat="1" ht="11.25">
      <c r="A21" s="460" t="s">
        <v>239</v>
      </c>
      <c r="B21" s="155"/>
      <c r="C21" s="639"/>
      <c r="D21" s="155"/>
      <c r="E21" s="155"/>
      <c r="F21" s="155"/>
      <c r="G21" s="155"/>
      <c r="H21" s="155"/>
      <c r="I21" s="155"/>
      <c r="J21" s="155"/>
      <c r="K21" s="155"/>
      <c r="L21" s="155"/>
      <c r="M21" s="155"/>
      <c r="N21" s="279"/>
      <c r="O21" s="179"/>
      <c r="P21" s="179"/>
      <c r="Q21" s="531"/>
      <c r="R21" s="532"/>
      <c r="S21" s="532"/>
      <c r="T21" s="179"/>
      <c r="U21" s="179"/>
      <c r="V21" s="430"/>
      <c r="W21" s="179"/>
      <c r="X21" s="179"/>
      <c r="Y21" s="179"/>
      <c r="Z21" s="179"/>
      <c r="AA21" s="462"/>
      <c r="AB21" s="462"/>
      <c r="AC21" s="462"/>
      <c r="AD21" s="462"/>
      <c r="AE21" s="462"/>
      <c r="AF21" s="462"/>
      <c r="AG21" s="462"/>
      <c r="AH21" s="462"/>
      <c r="AI21" s="462"/>
      <c r="AJ21" s="462"/>
      <c r="AK21" s="462"/>
      <c r="AL21" s="462"/>
      <c r="AM21" s="462"/>
      <c r="AN21" s="462"/>
      <c r="AO21" s="462"/>
      <c r="AP21" s="462"/>
      <c r="AQ21" s="462"/>
      <c r="AR21" s="462"/>
      <c r="AS21" s="462"/>
      <c r="AT21" s="462"/>
      <c r="AU21" s="462"/>
      <c r="AV21" s="462"/>
      <c r="AW21" s="462"/>
      <c r="AX21" s="462"/>
    </row>
    <row r="22" spans="1:51" s="162" customFormat="1">
      <c r="A22" s="185" t="s">
        <v>80</v>
      </c>
      <c r="B22" s="480" t="s">
        <v>33</v>
      </c>
      <c r="C22" s="635">
        <v>428.58267716535431</v>
      </c>
      <c r="D22" s="375"/>
      <c r="E22" s="189">
        <v>29.7</v>
      </c>
      <c r="F22" s="189">
        <v>0</v>
      </c>
      <c r="G22" s="303">
        <v>1240.99</v>
      </c>
      <c r="H22" s="306">
        <v>101.4</v>
      </c>
      <c r="I22" s="238"/>
      <c r="J22" s="313">
        <v>0</v>
      </c>
      <c r="K22" s="315">
        <v>78.7</v>
      </c>
      <c r="L22" s="239"/>
      <c r="M22" s="522">
        <f xml:space="preserve"> E22+F22+G22+H22</f>
        <v>1372.0900000000001</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IF($H22&lt;=IF($B$2="mil",1,0.0254)*200,"Pass",IF($B$2="mil",1,0.0254)*200-$H22)</f>
        <v>#REF!</v>
      </c>
      <c r="W22" s="528" t="e">
        <f>IF(AND($M22&gt;=IF($B$2="mil",1,0.0254)*500, $M22&lt;=IF($B$2="mil",1,0.0254)*4500),"Pass",IF($B$2="mil",1,0.0254)*4500-$M22)</f>
        <v>#REF!</v>
      </c>
      <c r="X22" s="528" t="e">
        <f>IF(AND($N22&gt;=IF($B$2="mil",1,0.0254)*500, $N22&lt;=IF($B$2="mil",1,0.0254)*5000),"Pass",IF($B$2="mil",1,0.0254)*5000-$N22)</f>
        <v>#REF!</v>
      </c>
      <c r="Y22" s="528" t="e">
        <f t="shared" si="10"/>
        <v>#REF!</v>
      </c>
      <c r="Z22" s="529" t="e">
        <f ca="1">CheckLength2(IF($B$2="mil",1,0.0254)*1500,J22,K22,0)</f>
        <v>#NAME?</v>
      </c>
      <c r="AA22" s="394"/>
      <c r="AB22" s="394"/>
      <c r="AC22" s="394"/>
      <c r="AD22" s="394"/>
      <c r="AE22" s="394"/>
      <c r="AF22" s="394"/>
      <c r="AG22" s="394"/>
      <c r="AH22" s="394"/>
      <c r="AI22" s="394"/>
      <c r="AJ22" s="394"/>
      <c r="AK22" s="394"/>
      <c r="AL22" s="394"/>
      <c r="AM22" s="394"/>
      <c r="AN22" s="394"/>
      <c r="AO22" s="394"/>
      <c r="AP22" s="394"/>
      <c r="AQ22" s="394"/>
      <c r="AR22" s="394"/>
      <c r="AS22" s="394"/>
      <c r="AT22" s="394"/>
      <c r="AU22" s="394"/>
      <c r="AV22" s="394"/>
      <c r="AW22" s="394"/>
      <c r="AX22" s="394"/>
      <c r="AY22" s="162" t="e">
        <f ca="1">IF(AND(R22="Pass",S22="Pass",T22="Pass",U22="Pass",V22="Pass",W22="Pass",X22="Pass",Y22="Pass",Z22="Pass"),"Pass","Fail")</f>
        <v>#REF!</v>
      </c>
    </row>
    <row r="23" spans="1:51" s="162" customFormat="1">
      <c r="A23" s="241" t="s">
        <v>82</v>
      </c>
      <c r="B23" s="480" t="s">
        <v>71</v>
      </c>
      <c r="C23" s="635">
        <v>331.69291338582678</v>
      </c>
      <c r="D23" s="375"/>
      <c r="E23" s="189">
        <v>29.7</v>
      </c>
      <c r="F23" s="189">
        <v>0</v>
      </c>
      <c r="G23" s="303">
        <v>1310.83</v>
      </c>
      <c r="H23" s="306">
        <v>61.6</v>
      </c>
      <c r="I23" s="238"/>
      <c r="J23" s="313">
        <v>0</v>
      </c>
      <c r="K23" s="315">
        <v>81.19</v>
      </c>
      <c r="L23" s="239"/>
      <c r="M23" s="522">
        <f xml:space="preserve"> E23+F23+G23+H23</f>
        <v>1402.1299999999999</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IF($H23&lt;=IF($B$2="mil",1,0.0254)*200,"Pass",IF($B$2="mil",1,0.0254)*200-$H23)</f>
        <v>#REF!</v>
      </c>
      <c r="W23" s="528" t="e">
        <f>IF(AND($M23&gt;=IF($B$2="mil",1,0.0254)*500, $M23&lt;=IF($B$2="mil",1,0.0254)*4500),"Pass",IF($B$2="mil",1,0.0254)*4500-$M23)</f>
        <v>#REF!</v>
      </c>
      <c r="X23" s="528" t="e">
        <f>IF(AND($N23&gt;=IF($B$2="mil",1,0.0254)*500, $N23&lt;=IF($B$2="mil",1,0.0254)*5000),"Pass",IF($B$2="mil",1,0.0254)*5000-$N23)</f>
        <v>#REF!</v>
      </c>
      <c r="Y23" s="528" t="e">
        <f t="shared" si="10"/>
        <v>#REF!</v>
      </c>
      <c r="Z23" s="529" t="e">
        <f ca="1">CheckLength2(IF($B$2="mil",1,0.0254)*1500,J23,K23,0)</f>
        <v>#NAME?</v>
      </c>
      <c r="AA23" s="394"/>
      <c r="AB23" s="394"/>
      <c r="AC23" s="394"/>
      <c r="AD23" s="394"/>
      <c r="AE23" s="394"/>
      <c r="AF23" s="394"/>
      <c r="AG23" s="394"/>
      <c r="AH23" s="394"/>
      <c r="AI23" s="394"/>
      <c r="AJ23" s="394"/>
      <c r="AK23" s="394"/>
      <c r="AL23" s="394"/>
      <c r="AM23" s="394"/>
      <c r="AN23" s="394"/>
      <c r="AO23" s="394"/>
      <c r="AP23" s="394"/>
      <c r="AQ23" s="394"/>
      <c r="AR23" s="394"/>
      <c r="AS23" s="394"/>
      <c r="AT23" s="394"/>
      <c r="AU23" s="394"/>
      <c r="AV23" s="394"/>
      <c r="AW23" s="394"/>
      <c r="AX23" s="394"/>
      <c r="AY23" s="162" t="e">
        <f ca="1">IF(AND(R23="Pass",S23="Pass",T23="Pass",U23="Pass",V23="Pass",W23="Pass",X23="Pass",Y23="Pass",Z23="Pass"),"Pass","Fail")</f>
        <v>#REF!</v>
      </c>
    </row>
    <row r="24" spans="1:51" s="162" customFormat="1">
      <c r="A24" s="241" t="s">
        <v>83</v>
      </c>
      <c r="B24" s="480" t="s">
        <v>352</v>
      </c>
      <c r="C24" s="635">
        <v>384.5275590551181</v>
      </c>
      <c r="D24" s="375"/>
      <c r="E24" s="189">
        <v>29.7</v>
      </c>
      <c r="F24" s="189">
        <v>0</v>
      </c>
      <c r="G24" s="303">
        <v>1020.23</v>
      </c>
      <c r="H24" s="306">
        <v>161.81</v>
      </c>
      <c r="I24" s="238"/>
      <c r="J24" s="313">
        <v>0</v>
      </c>
      <c r="K24" s="315">
        <v>86.15</v>
      </c>
      <c r="L24" s="239"/>
      <c r="M24" s="522">
        <f xml:space="preserve"> E24+F24+G24+H24</f>
        <v>1211.74</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IF($H24&lt;=IF($B$2="mil",1,0.0254)*200,"Pass",IF($B$2="mil",1,0.0254)*200-$H24)</f>
        <v>#REF!</v>
      </c>
      <c r="W24" s="528" t="e">
        <f>IF(AND($M24&gt;=IF($B$2="mil",1,0.0254)*500, $M24&lt;=IF($B$2="mil",1,0.0254)*4500),"Pass",IF($B$2="mil",1,0.0254)*4500-$M24)</f>
        <v>#REF!</v>
      </c>
      <c r="X24" s="528" t="e">
        <f>IF(AND($N24&gt;=IF($B$2="mil",1,0.0254)*500, $N24&lt;=IF($B$2="mil",1,0.0254)*5000),"Pass",IF($B$2="mil",1,0.0254)*5000-$N24)</f>
        <v>#REF!</v>
      </c>
      <c r="Y24" s="528" t="e">
        <f t="shared" si="10"/>
        <v>#REF!</v>
      </c>
      <c r="Z24" s="529" t="e">
        <f ca="1">CheckLength2(IF($B$2="mil",1,0.0254)*1500,J24,K24,0)</f>
        <v>#NAME?</v>
      </c>
      <c r="AA24" s="394"/>
      <c r="AB24" s="394"/>
      <c r="AC24" s="394"/>
      <c r="AD24" s="394"/>
      <c r="AE24" s="394"/>
      <c r="AF24" s="394"/>
      <c r="AG24" s="394"/>
      <c r="AH24" s="394"/>
      <c r="AI24" s="394"/>
      <c r="AJ24" s="394"/>
      <c r="AK24" s="394"/>
      <c r="AL24" s="394"/>
      <c r="AM24" s="394"/>
      <c r="AN24" s="394"/>
      <c r="AO24" s="394"/>
      <c r="AP24" s="394"/>
      <c r="AQ24" s="394"/>
      <c r="AR24" s="394"/>
      <c r="AS24" s="394"/>
      <c r="AT24" s="394"/>
      <c r="AU24" s="394"/>
      <c r="AV24" s="394"/>
      <c r="AW24" s="394"/>
      <c r="AX24" s="394"/>
      <c r="AY24" s="162" t="e">
        <f ca="1">IF(AND(R24="Pass",S24="Pass",T24="Pass",U24="Pass",V24="Pass",W24="Pass",X24="Pass",Y24="Pass",Z24="Pass"),"Pass","Fail")</f>
        <v>#REF!</v>
      </c>
    </row>
    <row r="25" spans="1:51" s="244" customFormat="1" ht="11.25">
      <c r="A25" s="460" t="s">
        <v>240</v>
      </c>
      <c r="B25" s="155"/>
      <c r="C25" s="640"/>
      <c r="D25" s="155"/>
      <c r="E25" s="155"/>
      <c r="F25" s="155"/>
      <c r="G25" s="155"/>
      <c r="H25" s="155"/>
      <c r="I25" s="155"/>
      <c r="J25" s="155"/>
      <c r="K25" s="155"/>
      <c r="L25" s="155"/>
      <c r="M25" s="155"/>
      <c r="N25" s="280"/>
      <c r="O25" s="155"/>
      <c r="P25" s="155"/>
      <c r="Q25" s="155"/>
      <c r="R25" s="280"/>
      <c r="S25" s="280"/>
      <c r="T25" s="155"/>
      <c r="U25" s="155"/>
      <c r="V25" s="431"/>
      <c r="W25" s="155"/>
      <c r="X25" s="155"/>
      <c r="Y25" s="179"/>
      <c r="Z25" s="179"/>
    </row>
    <row r="26" spans="1:51" s="162" customFormat="1">
      <c r="A26" s="185" t="s">
        <v>84</v>
      </c>
      <c r="B26" s="480" t="s">
        <v>456</v>
      </c>
      <c r="C26" s="635">
        <v>462.71653543307087</v>
      </c>
      <c r="D26" s="375"/>
      <c r="E26" s="189">
        <v>29.7</v>
      </c>
      <c r="F26" s="189">
        <v>0</v>
      </c>
      <c r="G26" s="303">
        <v>1247.8699999999999</v>
      </c>
      <c r="H26" s="306">
        <v>107.82</v>
      </c>
      <c r="I26" s="238"/>
      <c r="J26" s="313">
        <v>0</v>
      </c>
      <c r="K26" s="315">
        <v>47.81</v>
      </c>
      <c r="L26" s="239"/>
      <c r="M26" s="522">
        <f xml:space="preserve"> E26+F26+G26+H26</f>
        <v>1385.3899999999999</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IF($H26&lt;=IF($B$2="mil",1,0.0254)*200,"Pass",IF($B$2="mil",1,0.0254)*200-$H26)</f>
        <v>#REF!</v>
      </c>
      <c r="W26" s="528" t="e">
        <f>IF(AND($M26&gt;=IF($B$2="mil",1,0.0254)*500, $M26&lt;=IF($B$2="mil",1,0.0254)*4500),"Pass",IF($B$2="mil",1,0.0254)*4500-$M26)</f>
        <v>#REF!</v>
      </c>
      <c r="X26" s="528" t="e">
        <f>IF(AND($N26&gt;=IF($B$2="mil",1,0.0254)*500, $N26&lt;=IF($B$2="mil",1,0.0254)*5000),"Pass",IF($B$2="mil",1,0.0254)*5000-$N26)</f>
        <v>#REF!</v>
      </c>
      <c r="Y26" s="528" t="e">
        <f t="shared" si="10"/>
        <v>#REF!</v>
      </c>
      <c r="Z26" s="529" t="e">
        <f ca="1">CheckLength2(IF($B$2="mil",1,0.0254)*1500,J26,K26,0)</f>
        <v>#NAME?</v>
      </c>
      <c r="AA26" s="394"/>
      <c r="AB26" s="394"/>
      <c r="AC26" s="394"/>
      <c r="AD26" s="394"/>
      <c r="AE26" s="394"/>
      <c r="AF26" s="394"/>
      <c r="AG26" s="394"/>
      <c r="AH26" s="394"/>
      <c r="AI26" s="394"/>
      <c r="AJ26" s="394"/>
      <c r="AK26" s="394"/>
      <c r="AL26" s="394"/>
      <c r="AM26" s="394"/>
      <c r="AN26" s="394"/>
      <c r="AO26" s="394"/>
      <c r="AP26" s="394"/>
      <c r="AQ26" s="394"/>
      <c r="AR26" s="394"/>
      <c r="AS26" s="394"/>
      <c r="AT26" s="394"/>
      <c r="AU26" s="394"/>
      <c r="AV26" s="394"/>
      <c r="AW26" s="394"/>
      <c r="AX26" s="394"/>
      <c r="AY26" s="162" t="e">
        <f ca="1">IF(AND(R26="Pass",S26="Pass",T26="Pass",U26="Pass",V26="Pass",W26="Pass",X26="Pass",Y26="Pass",Z26="Pass"),"Pass","Fail")</f>
        <v>#REF!</v>
      </c>
    </row>
    <row r="27" spans="1:51" s="162" customFormat="1">
      <c r="A27" s="240" t="s">
        <v>86</v>
      </c>
      <c r="B27" s="480" t="s">
        <v>325</v>
      </c>
      <c r="C27" s="635">
        <v>452.16535433070862</v>
      </c>
      <c r="D27" s="375"/>
      <c r="E27" s="189">
        <v>29.7</v>
      </c>
      <c r="F27" s="189">
        <v>0</v>
      </c>
      <c r="G27" s="303">
        <v>1293.8399999999999</v>
      </c>
      <c r="H27" s="306">
        <v>125.94</v>
      </c>
      <c r="I27" s="238"/>
      <c r="J27" s="313">
        <v>0</v>
      </c>
      <c r="K27" s="315">
        <v>36.69</v>
      </c>
      <c r="L27" s="239"/>
      <c r="M27" s="522">
        <f xml:space="preserve"> E27+F27+G27+H27</f>
        <v>1449.48</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IF($H27&lt;=IF($B$2="mil",1,0.0254)*200,"Pass",IF($B$2="mil",1,0.0254)*200-$H27)</f>
        <v>#REF!</v>
      </c>
      <c r="W27" s="528" t="e">
        <f>IF(AND($M27&gt;=IF($B$2="mil",1,0.0254)*500, $M27&lt;=IF($B$2="mil",1,0.0254)*4500),"Pass",IF($B$2="mil",1,0.0254)*4500-$M27)</f>
        <v>#REF!</v>
      </c>
      <c r="X27" s="528" t="e">
        <f>IF(AND($N27&gt;=IF($B$2="mil",1,0.0254)*500, $N27&lt;=IF($B$2="mil",1,0.0254)*5000),"Pass",IF($B$2="mil",1,0.0254)*5000-$N27)</f>
        <v>#REF!</v>
      </c>
      <c r="Y27" s="528" t="e">
        <f t="shared" si="10"/>
        <v>#REF!</v>
      </c>
      <c r="Z27" s="529" t="e">
        <f ca="1">CheckLength2(IF($B$2="mil",1,0.0254)*1500,J27,K27,0)</f>
        <v>#NAME?</v>
      </c>
      <c r="AA27" s="394"/>
      <c r="AB27" s="394"/>
      <c r="AC27" s="394"/>
      <c r="AD27" s="394"/>
      <c r="AE27" s="394"/>
      <c r="AF27" s="394"/>
      <c r="AG27" s="394"/>
      <c r="AH27" s="394"/>
      <c r="AI27" s="394"/>
      <c r="AJ27" s="394"/>
      <c r="AK27" s="394"/>
      <c r="AL27" s="394"/>
      <c r="AM27" s="394"/>
      <c r="AN27" s="394"/>
      <c r="AO27" s="394"/>
      <c r="AP27" s="394"/>
      <c r="AQ27" s="394"/>
      <c r="AR27" s="394"/>
      <c r="AS27" s="394"/>
      <c r="AT27" s="394"/>
      <c r="AU27" s="394"/>
      <c r="AV27" s="394"/>
      <c r="AW27" s="394"/>
      <c r="AX27" s="394"/>
      <c r="AY27" s="162" t="e">
        <f ca="1">IF(AND(R27="Pass",S27="Pass",T27="Pass",U27="Pass",V27="Pass",W27="Pass",X27="Pass",Y27="Pass",Z27="Pass"),"Pass","Fail")</f>
        <v>#REF!</v>
      </c>
    </row>
    <row r="28" spans="1:51" s="162" customFormat="1">
      <c r="A28" s="240" t="s">
        <v>88</v>
      </c>
      <c r="B28" s="480" t="s">
        <v>77</v>
      </c>
      <c r="C28" s="635">
        <v>581.1811023622048</v>
      </c>
      <c r="D28" s="375"/>
      <c r="E28" s="189">
        <v>29.7</v>
      </c>
      <c r="F28" s="189">
        <v>0</v>
      </c>
      <c r="G28" s="303">
        <v>1340.09</v>
      </c>
      <c r="H28" s="306">
        <v>58</v>
      </c>
      <c r="I28" s="238"/>
      <c r="J28" s="313">
        <v>0</v>
      </c>
      <c r="K28" s="315">
        <v>103.63</v>
      </c>
      <c r="L28" s="239"/>
      <c r="M28" s="522">
        <f xml:space="preserve"> E28+F28+G28+H28</f>
        <v>1427.79</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IF($H28&lt;=IF($B$2="mil",1,0.0254)*200,"Pass",IF($B$2="mil",1,0.0254)*200-$H28)</f>
        <v>#REF!</v>
      </c>
      <c r="W28" s="528" t="e">
        <f>IF(AND($M28&gt;=IF($B$2="mil",1,0.0254)*500, $M28&lt;=IF($B$2="mil",1,0.0254)*4500),"Pass",IF($B$2="mil",1,0.0254)*4500-$M28)</f>
        <v>#REF!</v>
      </c>
      <c r="X28" s="528" t="e">
        <f>IF(AND($N28&gt;=IF($B$2="mil",1,0.0254)*500, $N28&lt;=IF($B$2="mil",1,0.0254)*5000),"Pass",IF($B$2="mil",1,0.0254)*5000-$N28)</f>
        <v>#REF!</v>
      </c>
      <c r="Y28" s="528" t="e">
        <f t="shared" si="10"/>
        <v>#REF!</v>
      </c>
      <c r="Z28" s="529" t="e">
        <f ca="1">CheckLength2(IF($B$2="mil",1,0.0254)*1500,J28,K28,0)</f>
        <v>#NAME?</v>
      </c>
      <c r="AA28" s="394"/>
      <c r="AB28" s="394"/>
      <c r="AC28" s="394"/>
      <c r="AD28" s="394"/>
      <c r="AE28" s="394"/>
      <c r="AF28" s="394"/>
      <c r="AG28" s="394"/>
      <c r="AH28" s="394"/>
      <c r="AI28" s="394"/>
      <c r="AJ28" s="394"/>
      <c r="AK28" s="394"/>
      <c r="AL28" s="394"/>
      <c r="AM28" s="394"/>
      <c r="AN28" s="394"/>
      <c r="AO28" s="394"/>
      <c r="AP28" s="394"/>
      <c r="AQ28" s="394"/>
      <c r="AR28" s="394"/>
      <c r="AS28" s="394"/>
      <c r="AT28" s="394"/>
      <c r="AU28" s="394"/>
      <c r="AV28" s="394"/>
      <c r="AW28" s="394"/>
      <c r="AX28" s="394"/>
      <c r="AY28" s="162" t="e">
        <f ca="1">IF(AND(R28="Pass",S28="Pass",T28="Pass",U28="Pass",V28="Pass",W28="Pass",X28="Pass",Y28="Pass",Z28="Pass"),"Pass","Fail")</f>
        <v>#REF!</v>
      </c>
    </row>
    <row r="29" spans="1:51" s="3" customFormat="1">
      <c r="A29" s="56"/>
      <c r="B29" s="56"/>
      <c r="C29" s="642"/>
      <c r="D29" s="56"/>
      <c r="E29" s="56"/>
      <c r="F29" s="57"/>
      <c r="G29" s="56"/>
      <c r="H29" s="56"/>
      <c r="I29" s="56"/>
      <c r="J29" s="56"/>
      <c r="K29" s="56"/>
      <c r="L29" s="56"/>
      <c r="M29" s="572"/>
      <c r="N29" s="572"/>
      <c r="O29" s="572"/>
      <c r="P29" s="572"/>
      <c r="Q29" s="572"/>
      <c r="R29" s="572"/>
      <c r="S29" s="572"/>
      <c r="T29" s="572"/>
      <c r="U29" s="573"/>
      <c r="V29" s="573"/>
      <c r="W29" s="574"/>
      <c r="X29" s="575"/>
      <c r="Y29" s="575"/>
      <c r="Z29" s="576"/>
    </row>
    <row r="30" spans="1:51" s="154" customFormat="1" ht="59.25" customHeight="1">
      <c r="A30" s="218" t="s">
        <v>457</v>
      </c>
      <c r="B30" s="144" t="s">
        <v>420</v>
      </c>
      <c r="C30" s="643" t="s">
        <v>22</v>
      </c>
      <c r="D30" s="151"/>
      <c r="E30" s="148" t="e">
        <f>"EscapeLength L0 ["&amp;$B$2&amp;"]"</f>
        <v>#REF!</v>
      </c>
      <c r="F30" s="148" t="e">
        <f>"BreakoutLength L1["&amp; $B$2&amp;"]"</f>
        <v>#REF!</v>
      </c>
      <c r="G30" s="148" t="e">
        <f>"MainLength L2[" &amp;$B$2&amp; " ]"</f>
        <v>#REF!</v>
      </c>
      <c r="H30" s="148"/>
      <c r="I30" s="150"/>
      <c r="J30" s="150" t="e">
        <f>"Via-to-via (SODIMM-to-Rt) L3 ["&amp;$B$2&amp;"]"</f>
        <v>#REF!</v>
      </c>
      <c r="K30" s="144" t="e">
        <f>"Via-to-RtL4 ["&amp;$B$2&amp;"]"</f>
        <v>#REF!</v>
      </c>
      <c r="L30" s="150"/>
      <c r="M30" s="144" t="e">
        <f>"Trace L5 ["&amp;$B$2&amp;"]"</f>
        <v>#REF!</v>
      </c>
      <c r="N30" s="144" t="e">
        <f>"Trace L6-1 ["&amp;$B$2&amp;"]"</f>
        <v>#REF!</v>
      </c>
      <c r="O30" s="151"/>
      <c r="P30" s="144" t="e">
        <f>"Trace L6-2 ["&amp;$B$2&amp;"]"</f>
        <v>#REF!</v>
      </c>
      <c r="Q30" s="144" t="e">
        <f>"Trace L7-1 ["&amp;$B$2&amp;"]"</f>
        <v>#REF!</v>
      </c>
      <c r="R30" s="144" t="e">
        <f>"Trace L8-1 to U1 ["&amp;$B$2&amp;"]"</f>
        <v>#REF!</v>
      </c>
      <c r="S30" s="144" t="e">
        <f>"Trace L8-2 to U5 ["&amp;$B$2&amp;"]"</f>
        <v>#REF!</v>
      </c>
      <c r="T30" s="144" t="e">
        <f>"Trace L9-1 to U1 ["&amp;$B$2&amp;"]"</f>
        <v>#REF!</v>
      </c>
      <c r="U30" s="144" t="e">
        <f>"Trace L9-2 to U5 ["&amp;$B$2&amp;"]"</f>
        <v>#REF!</v>
      </c>
      <c r="V30" s="144" t="e">
        <f>"Total MB Length to U1 (L0+L1+L2+L5+L6-1+L7-1+L8-1+L9-1) ["&amp;$B$2&amp;"]"</f>
        <v>#REF!</v>
      </c>
      <c r="W30" s="144" t="e">
        <f>"Total Pad to Pin U1 (P1+L0+L1+L2+L5+L6-1+L7-1+L8-1+L9-1) ["&amp;$B$2&amp;"]"</f>
        <v>#REF!</v>
      </c>
      <c r="X30" s="151" t="e">
        <f>"Target Min Length to U1["&amp;$B$2&amp;"]"</f>
        <v>#REF!</v>
      </c>
      <c r="Y30" s="150" t="e">
        <f>"Target Max Length  to U1 ["&amp;$B$2&amp;"]"</f>
        <v>#REF!</v>
      </c>
      <c r="Z30" s="152" t="e">
        <f>"Routed Too Short  to U1 [" &amp;$B$2&amp;"]"</f>
        <v>#REF!</v>
      </c>
      <c r="AA30" s="151" t="e">
        <f>"Routed Too Long  to U1 [" &amp;$B$2&amp;"]"</f>
        <v>#REF!</v>
      </c>
      <c r="AB30" s="144" t="e">
        <f>"Total MB Length to U5 (L0+L1+L2+L5+L6-1+L7-1+L8-2+L9-2) ["&amp;$B$2&amp;"]"</f>
        <v>#REF!</v>
      </c>
      <c r="AC30" s="144" t="e">
        <f>"Total Pad to Pin U5 (P1+L0+L1+L2+L5+L6-1+L7-1+L8-2+L9-2) ["&amp;$B$2&amp;"]"</f>
        <v>#REF!</v>
      </c>
      <c r="AD30" s="151" t="e">
        <f>"Target Min Length to U5["&amp;$B$2&amp;"]"</f>
        <v>#REF!</v>
      </c>
      <c r="AE30" s="150" t="e">
        <f>"Target Max Length  to U5 ["&amp;$B$2&amp;"]"</f>
        <v>#REF!</v>
      </c>
      <c r="AF30" s="152" t="e">
        <f>"Routed Too Short  to U5 [" &amp;$B$2&amp;"]"</f>
        <v>#REF!</v>
      </c>
      <c r="AG30" s="151" t="e">
        <f>"Routed Too Long  to U5 [" &amp;$B$2&amp;"]"</f>
        <v>#REF!</v>
      </c>
      <c r="AH30" s="153" t="e">
        <f>"L0 Length Test (&lt;=" &amp; IF($B$2="mil",1,0.0254)*50&amp;$B$2&amp;")"</f>
        <v>#REF!</v>
      </c>
      <c r="AI30" s="153" t="e">
        <f>"L1 Length Test (&lt;=" &amp; IF($B$2="mil",1,0.0254)*500&amp;$B$2&amp;")"</f>
        <v>#REF!</v>
      </c>
      <c r="AJ30" s="153" t="e">
        <f>"L3 Length Test (&lt;=" &amp; IF($B$2="mil",1,0.0254)*1000&amp;$B$2&amp;")"</f>
        <v>#REF!</v>
      </c>
      <c r="AK30" s="153" t="e">
        <f>"L4 Length Test (&lt;=" &amp; IF($B$2="mil",1,0.0254)*200&amp;$B$2&amp;") or (L3+L4&lt;= "&amp;IF($B$2="mil",1,0.0254)*1200&amp;$B$2&amp;")"</f>
        <v>#REF!</v>
      </c>
      <c r="AL30" s="153" t="e">
        <f>"L5 Length Test (&lt;=" &amp; IF($B$2="mil",1,0.0254)*2000&amp;$B$2&amp;")"</f>
        <v>#REF!</v>
      </c>
      <c r="AM30" s="153" t="e">
        <f>"L6-1 Length Test (&lt;=" &amp; IF($B$2="mil",1,0.0254)*1000&amp;$B$2&amp;")"</f>
        <v>#REF!</v>
      </c>
      <c r="AN30" s="153" t="s">
        <v>387</v>
      </c>
      <c r="AO30" s="153" t="e">
        <f>"L7-1 Length Test (&lt;=" &amp; IF($B$2="mil",1,0.0254)*1000&amp;$B$2&amp;")"</f>
        <v>#REF!</v>
      </c>
      <c r="AP30" s="153" t="e">
        <f>"Diff L7-1, L7-2, L7-3, L7-4 (&lt;="&amp;IF($B$2="mil",1,0.0254)*50&amp;$B$2&amp;")"</f>
        <v>#REF!</v>
      </c>
      <c r="AQ30" s="153" t="e">
        <f>"L8-1 Length Test (&lt;=" &amp; IF($B$2="mil",1,0.0254)*750&amp;$B$2&amp;")"</f>
        <v>#REF!</v>
      </c>
      <c r="AR30" s="153" t="e">
        <f>"L8-2 Length Test (&lt;=" &amp; IF($B$2="mil",1,0.0254)*750&amp;$B$2&amp;")"</f>
        <v>#REF!</v>
      </c>
      <c r="AS30" s="153" t="e">
        <f>"L9-1 Length Test (&lt;=" &amp; IF($B$2="mil",1,0.0254)*200&amp;$B$2&amp;") or (L8-1+L9-1&lt;= "&amp;IF($B$2="mil",1,0.0254)*950&amp;$B$2&amp;")"</f>
        <v>#REF!</v>
      </c>
      <c r="AT30" s="153" t="e">
        <f>"L9-2 Length Test (&lt;=" &amp; IF($B$2="mil",1,0.0254)*200&amp;$B$2&amp;") or (L8-2+L9-2&lt;= "&amp;IF($B$2="mil",1,0.0254)*950&amp;$B$2&amp;")"</f>
        <v>#REF!</v>
      </c>
      <c r="AU30" s="150" t="e">
        <f>"Total Length to U1 (L0+L1+L2+L5+L6-1+L7-1+L8-1+L9-1) Test ("&amp;IF($B$2="mil",1,0.0254)*500&amp;"-"&amp;IF($B$2="mil",1,0.0254)*6500&amp;IF($B$2="mil","mil","mm")&amp;")"</f>
        <v>#REF!</v>
      </c>
      <c r="AV30" s="150" t="e">
        <f>"Total Length to U1 (P1+L0+L1+L2+L5+L6-1+L7-1+L8-1+L9-1) Test (&lt;="&amp;IF($B$2="mil",1,25.4)*7000&amp;IF($B$2="mil","mil","mm")&amp;")"</f>
        <v>#REF!</v>
      </c>
      <c r="AW30" s="150" t="e">
        <f>"Total Length to U5 (L0+L1+L2+L5+L6-1+L7-1+L8-2+L9-2) Test ("&amp;IF($B$2="mil",1,0.0254)*500&amp;"-"&amp;IF($B$2="mil",1,0.0254)*6500&amp;IF($B$2="mil","mil","mm")&amp;")"</f>
        <v>#REF!</v>
      </c>
      <c r="AX30" s="150" t="e">
        <f>"Total Length to U5(P1+L0+L1+L2+L5+L6-1+L7-1+L8-2+L9-2) Test (&lt;="&amp;IF($B$2="mil",1,25.4)*7000&amp;IF($B$2="mil","mil","mm")&amp;")"</f>
        <v>#REF!</v>
      </c>
      <c r="AY30" s="162"/>
    </row>
    <row r="31" spans="1:51" s="162" customFormat="1" ht="11.25">
      <c r="A31" s="155" t="s">
        <v>210</v>
      </c>
      <c r="B31" s="155"/>
      <c r="C31" s="639"/>
      <c r="D31" s="156"/>
      <c r="E31" s="156"/>
      <c r="F31" s="220"/>
      <c r="G31" s="156"/>
      <c r="H31" s="156"/>
      <c r="I31" s="156"/>
      <c r="J31" s="156"/>
      <c r="K31" s="156"/>
      <c r="L31" s="156"/>
      <c r="M31" s="156"/>
      <c r="N31" s="156"/>
      <c r="O31" s="156"/>
      <c r="P31" s="156"/>
      <c r="Q31" s="156"/>
      <c r="R31" s="156"/>
      <c r="S31" s="156"/>
      <c r="T31" s="156"/>
      <c r="U31" s="156"/>
      <c r="V31" s="221"/>
      <c r="W31" s="221"/>
      <c r="X31" s="221"/>
      <c r="Y31" s="212"/>
      <c r="Z31" s="221"/>
      <c r="AA31" s="221"/>
      <c r="AB31" s="221"/>
      <c r="AC31" s="221"/>
      <c r="AD31" s="221"/>
      <c r="AE31" s="221"/>
      <c r="AF31" s="221"/>
      <c r="AG31" s="221"/>
      <c r="AH31" s="212"/>
      <c r="AI31" s="221"/>
      <c r="AJ31" s="221"/>
      <c r="AK31" s="221"/>
      <c r="AL31" s="221"/>
      <c r="AM31" s="221"/>
      <c r="AN31" s="221"/>
      <c r="AO31" s="221"/>
      <c r="AP31" s="221"/>
      <c r="AQ31" s="221"/>
      <c r="AR31" s="221"/>
      <c r="AS31" s="221"/>
      <c r="AT31" s="221"/>
      <c r="AU31" s="221"/>
      <c r="AV31" s="221"/>
      <c r="AW31" s="221"/>
      <c r="AX31" s="271"/>
    </row>
    <row r="32" spans="1:51" s="162" customFormat="1" ht="11.25">
      <c r="A32" s="263" t="s">
        <v>214</v>
      </c>
      <c r="B32" s="164"/>
      <c r="C32" s="641"/>
      <c r="D32" s="165"/>
      <c r="E32" s="166"/>
      <c r="F32" s="222"/>
      <c r="G32" s="166"/>
      <c r="H32" s="166"/>
      <c r="I32" s="167"/>
      <c r="J32" s="167"/>
      <c r="K32" s="166"/>
      <c r="L32" s="167"/>
      <c r="M32" s="166"/>
      <c r="N32" s="166"/>
      <c r="O32" s="170"/>
      <c r="P32" s="166"/>
      <c r="Q32" s="166"/>
      <c r="R32" s="166"/>
      <c r="S32" s="166"/>
      <c r="T32" s="166"/>
      <c r="U32" s="166"/>
      <c r="V32" s="166"/>
      <c r="W32" s="558" t="s">
        <v>224</v>
      </c>
      <c r="X32" s="542" t="e">
        <f>MIN('DDR2 Clocks - 4L'!$O$5:$O$6)</f>
        <v>#REF!</v>
      </c>
      <c r="Y32" s="539" t="e">
        <f>MAX('DDR2 Clocks - 4L'!$O$5:$O$6)</f>
        <v>#REF!</v>
      </c>
      <c r="Z32" s="542"/>
      <c r="AA32" s="168"/>
      <c r="AB32" s="543"/>
      <c r="AC32" s="558" t="s">
        <v>284</v>
      </c>
      <c r="AD32" s="542" t="e">
        <f>MIN('DDR2 Clocks - 4L'!$O$7:$O$8)</f>
        <v>#REF!</v>
      </c>
      <c r="AE32" s="541" t="e">
        <f>MAX('DDR2 Clocks - 4L'!$O$7:$O$8)</f>
        <v>#REF!</v>
      </c>
      <c r="AF32" s="543"/>
      <c r="AG32" s="543"/>
      <c r="AH32" s="543"/>
      <c r="AI32" s="543"/>
      <c r="AJ32" s="538"/>
      <c r="AK32" s="538"/>
      <c r="AL32" s="538"/>
      <c r="AM32" s="538"/>
      <c r="AN32" s="538"/>
      <c r="AO32" s="538"/>
      <c r="AP32" s="538"/>
      <c r="AQ32" s="538"/>
      <c r="AR32" s="538"/>
      <c r="AS32" s="538"/>
      <c r="AT32" s="538"/>
      <c r="AU32" s="538"/>
      <c r="AV32" s="538"/>
      <c r="AW32" s="538"/>
      <c r="AX32" s="539"/>
    </row>
    <row r="33" spans="1:52" s="162" customFormat="1" ht="11.25">
      <c r="A33" s="205" t="s">
        <v>229</v>
      </c>
      <c r="B33" s="155"/>
      <c r="C33" s="639"/>
      <c r="D33" s="179"/>
      <c r="E33" s="180"/>
      <c r="F33" s="224"/>
      <c r="G33" s="180"/>
      <c r="H33" s="180"/>
      <c r="I33" s="180"/>
      <c r="J33" s="181"/>
      <c r="K33" s="181"/>
      <c r="L33" s="180"/>
      <c r="M33" s="181"/>
      <c r="N33" s="181"/>
      <c r="O33" s="183"/>
      <c r="P33" s="181"/>
      <c r="Q33" s="181"/>
      <c r="R33" s="181"/>
      <c r="S33" s="181"/>
      <c r="T33" s="181"/>
      <c r="U33" s="181"/>
      <c r="V33" s="181"/>
      <c r="W33" s="273"/>
      <c r="X33" s="179"/>
      <c r="Y33" s="570"/>
      <c r="Z33" s="531"/>
      <c r="AA33" s="179"/>
      <c r="AB33" s="179"/>
      <c r="AC33" s="179"/>
      <c r="AD33" s="179"/>
      <c r="AE33" s="179"/>
      <c r="AF33" s="179"/>
      <c r="AG33" s="179"/>
      <c r="AH33" s="430"/>
      <c r="AI33" s="179"/>
      <c r="AJ33" s="179"/>
      <c r="AK33" s="179"/>
      <c r="AL33" s="179"/>
      <c r="AM33" s="179"/>
      <c r="AN33" s="179"/>
      <c r="AO33" s="179"/>
      <c r="AP33" s="179"/>
      <c r="AQ33" s="179"/>
      <c r="AR33" s="179"/>
      <c r="AS33" s="179"/>
      <c r="AT33" s="179"/>
      <c r="AU33" s="179"/>
      <c r="AV33" s="179"/>
      <c r="AW33" s="179"/>
      <c r="AX33" s="533"/>
    </row>
    <row r="34" spans="1:52" s="162" customFormat="1">
      <c r="A34" s="185" t="s">
        <v>196</v>
      </c>
      <c r="B34" s="480" t="s">
        <v>81</v>
      </c>
      <c r="C34" s="635">
        <v>378.93700787401576</v>
      </c>
      <c r="D34" s="188"/>
      <c r="E34" s="225">
        <v>29.7</v>
      </c>
      <c r="F34" s="325">
        <v>0</v>
      </c>
      <c r="G34" s="303">
        <v>2264.34</v>
      </c>
      <c r="H34" s="335"/>
      <c r="I34" s="335"/>
      <c r="J34" s="334">
        <v>0</v>
      </c>
      <c r="K34" s="303">
        <v>42.88</v>
      </c>
      <c r="L34" s="336"/>
      <c r="M34" s="337">
        <v>700</v>
      </c>
      <c r="N34" s="407">
        <v>400</v>
      </c>
      <c r="O34" s="191"/>
      <c r="P34" s="306">
        <v>400</v>
      </c>
      <c r="Q34" s="303">
        <v>565.69000000000005</v>
      </c>
      <c r="R34" s="303">
        <v>100.03</v>
      </c>
      <c r="S34" s="303">
        <v>100.03</v>
      </c>
      <c r="T34" s="409">
        <v>50</v>
      </c>
      <c r="U34" s="409">
        <v>50</v>
      </c>
      <c r="V34" s="545">
        <f t="shared" ref="V34:V47" si="12">SUM($E34:$G34,$M34,$Q34:$R34,$N34,$T34)</f>
        <v>4109.76</v>
      </c>
      <c r="W34" s="524" t="e">
        <f>$V34+IF($B$2="mil",1,0.0254)*$C34</f>
        <v>#REF!</v>
      </c>
      <c r="X34" s="524" t="e">
        <f>$Y$32 + IF($B$2="mil",1,0.0254)*DDR2Specs!$E$9</f>
        <v>#REF!</v>
      </c>
      <c r="Y34" s="547" t="e">
        <f>$X$32 + IF($B$2="mil",1,0.0254)*DDR2Specs!$F$9</f>
        <v>#REF!</v>
      </c>
      <c r="Z34" s="546" t="e">
        <f t="shared" ref="Z34:Z47" si="13">IF($W34&lt;$X34,$X34-$W34,"Pass")</f>
        <v>#REF!</v>
      </c>
      <c r="AA34" s="547" t="e">
        <f t="shared" ref="AA34:AA47" si="14">IF($W34&gt;$Y34,$W34-$Y34,"Pass")</f>
        <v>#REF!</v>
      </c>
      <c r="AB34" s="545">
        <f>SUM($E34:$G34,$M34,$Q34,$N34,$S34,U34)</f>
        <v>4109.76</v>
      </c>
      <c r="AC34" s="524" t="e">
        <f>$AB34+IF($B$2="mil",1,0.0254)*$C34</f>
        <v>#REF!</v>
      </c>
      <c r="AD34" s="524" t="e">
        <f>$AE$32 + IF($B$2="mil",1,0.0254)*DDR2Specs!$E$9</f>
        <v>#REF!</v>
      </c>
      <c r="AE34" s="524" t="e">
        <f>$AD$32 + IF($B$2="mil",1,0.0254)*DDR2Specs!$F$9</f>
        <v>#REF!</v>
      </c>
      <c r="AF34" s="546" t="e">
        <f t="shared" ref="AF34:AF47" si="15">IF($AC34&lt;$AD34,$AD34-$AC34,"Pass")</f>
        <v>#REF!</v>
      </c>
      <c r="AG34" s="547" t="e">
        <f t="shared" ref="AG34:AG47" si="16">IF($AC34&gt;$AE34,$AC34-$AE34,"Pass")</f>
        <v>#REF!</v>
      </c>
      <c r="AH34" s="527" t="e">
        <f>IF($E34&lt;=IF($B$2="mil",1,0.0254)*50,"Pass",IF($B$2="mil",1,0.0254)*50-$E34)</f>
        <v>#REF!</v>
      </c>
      <c r="AI34" s="528" t="e">
        <f t="shared" ref="AI34:AI47" si="17">IF($F34&lt;=IF($B$2="mil",1,0.0254)*500,"Pass",IF($B$2="mil",1,0.0254)*500-$F34)</f>
        <v>#REF!</v>
      </c>
      <c r="AJ34" s="528" t="e">
        <f t="shared" ref="AJ34:AJ47" si="18">IF($J34&lt;=IF($B$2="mil",1,0.0254)*1000,"Pass",IF($B$2="mil",1,0.0254)*1000-$J34)</f>
        <v>#REF!</v>
      </c>
      <c r="AK34" s="528" t="e">
        <f ca="1">CheckLength2(1200,J34,K34,0)</f>
        <v>#NAME?</v>
      </c>
      <c r="AL34" s="528" t="e">
        <f>IF(M34&lt;=IF($B$2="mil",1,0.0254)*2000,"Pass",IF($B$2="mil",1,0.0254)*2000-M34)</f>
        <v>#REF!</v>
      </c>
      <c r="AM34" s="528" t="e">
        <f>IF(N34&lt;=IF($B$2="mil",1,0.0254)*1000,"Pass",IF($B$2="mil",1,0.0254)*1000-N34)</f>
        <v>#REF!</v>
      </c>
      <c r="AN34" s="528" t="e">
        <f t="shared" ref="AN34:AN47" si="19">IF(MAX(N34,P34)-MIN(N34,P34)&lt;=IF($B$2="mil",1,0.0254)*50,"Pass",MAX(N34,P34)-MIN(N34,P34)-IF($B$2="mil",1,0.0254)*50)</f>
        <v>#REF!</v>
      </c>
      <c r="AO34" s="528" t="e">
        <f>IF($Q34&lt;=IF($B$2="mil",1,0.0254)*1000,"Pass",IF($B$2="mil",1,0.0254)*1000-$Q34)</f>
        <v>#REF!</v>
      </c>
      <c r="AP34" s="528" t="e">
        <f>IF(MAX(Q34,Q60,Q86,Q112)-MIN(Q34,Q60,Q86,Q112)&lt;=IF($B$2="mil",1,0.0254)*50,"Pass",MAX(Q34,Q60,Q86,Q112)-MIN(Q34,Q60,Q86,Q112)-IF($B$2="mil",1,0.0254)*50)</f>
        <v>#REF!</v>
      </c>
      <c r="AQ34" s="528" t="e">
        <f t="shared" ref="AQ34:AQ47" si="20">IF($R34&lt;=IF($B$2="mil",1,0.0254)*750,"Pass",IF($B$2="mil",1,0.0254)*750-$R34)</f>
        <v>#REF!</v>
      </c>
      <c r="AR34" s="528" t="e">
        <f t="shared" ref="AR34:AR47" si="21">IF($S34&lt;=IF($B$2="mil",1,0.0254)*750,"Pass",IF($B$2="mil",1,0.0254)*750-$S34)</f>
        <v>#REF!</v>
      </c>
      <c r="AS34" s="528" t="e">
        <f ca="1">CheckLength2(IF($B$2="mil",1,0.0254)*950,R34,T34,0)</f>
        <v>#NAME?</v>
      </c>
      <c r="AT34" s="528" t="e">
        <f ca="1">CheckLength2(IF($B$2="mil",1,0.0254)*950,S34,U34,0)</f>
        <v>#NAME?</v>
      </c>
      <c r="AU34" s="528" t="e">
        <f>IF(AND($V34&gt;=IF($B$2="mil",1,0.0254)*500, $V34&lt;=IF($B$2="mil",1,0.0254)*6500),"Pass",IF($B$2="mil",1,0.0254)*6500-$V34)</f>
        <v>#REF!</v>
      </c>
      <c r="AV34" s="528" t="e">
        <f>IF(AND($W34&gt;=IF($B$2="mil",1,0.0254)*500, $W34&lt;=IF($B$2="mil",1,0.0254)*7000),"Pass",IF($B$2="mil",1,0.0254)*7000-$W34)</f>
        <v>#REF!</v>
      </c>
      <c r="AW34" s="528" t="e">
        <f>IF(AND($AB34&gt;=IF($B$2="mil",1,0.0254)*500, $AB34&lt;=IF($B$2="mil",1,0.0254)*6500),"Pass",IF($B$2="mil",1,0.0254)*6500-$AB34)</f>
        <v>#REF!</v>
      </c>
      <c r="AX34" s="529" t="e">
        <f>IF(AND($AC34&gt;=IF($B$2="mil",1,0.0254)*500, $AC34&lt;=IF($B$2="mil",1,0.0254)*7000),"Pass",IF($B$2="mil",1,0.0254)*7000-$AC34)</f>
        <v>#REF!</v>
      </c>
      <c r="AY34" s="162" t="e">
        <f ca="1">IF(AND(Z34="Pass",AA34="Pass",AF34="Pass",AG34="Pass",AH34="Pass",AI34="Pass",AJ34="Pass",AK34="Pass",AL34="Pass",AM34="Pass",AN34="Pass",AO34="Pass",AP34="Pass",AQ34="Pass",AO34="Pass",AR34="Pass",AS34="Pass",AT34="Pass",AU34="Pass",AV34="Pass",AW34="Pass",AX34="Pass"),"Pass","Fail")</f>
        <v>#REF!</v>
      </c>
      <c r="AZ34" s="162" t="e">
        <f ca="1">IF(AND(AY35="Pass",AY36="Pass",AY37="Pass",AY38="Pass",AY39="Pass",AY40="Pass",AY41="Pass",AY42="Pass",AY43="Pass",AY44="Pass",AY45="Pass",AY34="Pass"),"Pass","Fail")</f>
        <v>#REF!</v>
      </c>
    </row>
    <row r="35" spans="1:52" s="162" customFormat="1">
      <c r="A35" s="240" t="s">
        <v>39</v>
      </c>
      <c r="B35" s="480" t="s">
        <v>441</v>
      </c>
      <c r="C35" s="635">
        <v>526.1811023622048</v>
      </c>
      <c r="D35" s="188"/>
      <c r="E35" s="225">
        <v>29.7</v>
      </c>
      <c r="F35" s="325">
        <v>0</v>
      </c>
      <c r="G35" s="303">
        <v>2001.91</v>
      </c>
      <c r="H35" s="335"/>
      <c r="I35" s="335"/>
      <c r="J35" s="334">
        <v>0</v>
      </c>
      <c r="K35" s="303">
        <v>32.5</v>
      </c>
      <c r="L35" s="336"/>
      <c r="M35" s="337">
        <v>700</v>
      </c>
      <c r="N35" s="407">
        <v>500</v>
      </c>
      <c r="O35" s="191"/>
      <c r="P35" s="306">
        <v>500</v>
      </c>
      <c r="Q35" s="303">
        <v>587.88</v>
      </c>
      <c r="R35" s="303">
        <v>85.04</v>
      </c>
      <c r="S35" s="303">
        <v>85.04</v>
      </c>
      <c r="T35" s="409">
        <v>50</v>
      </c>
      <c r="U35" s="409">
        <v>50</v>
      </c>
      <c r="V35" s="545">
        <f t="shared" si="12"/>
        <v>3954.53</v>
      </c>
      <c r="W35" s="524" t="e">
        <f t="shared" ref="W35:W55" si="22">$V35+IF($B$2="mil",1,0.0254)*$C35</f>
        <v>#REF!</v>
      </c>
      <c r="X35" s="524" t="e">
        <f>$Y$32 + IF($B$2="mil",1,0.0254)*DDR2Specs!$E$9</f>
        <v>#REF!</v>
      </c>
      <c r="Y35" s="547" t="e">
        <f>$X$32 + IF($B$2="mil",1,0.0254)*DDR2Specs!$F$9</f>
        <v>#REF!</v>
      </c>
      <c r="Z35" s="546" t="e">
        <f t="shared" si="13"/>
        <v>#REF!</v>
      </c>
      <c r="AA35" s="547" t="e">
        <f t="shared" si="14"/>
        <v>#REF!</v>
      </c>
      <c r="AB35" s="545">
        <f t="shared" ref="AB35:AB55" si="23">SUM($E35:$G35,$M35,$Q35,$N35,$S35,U35)</f>
        <v>3954.53</v>
      </c>
      <c r="AC35" s="524" t="e">
        <f t="shared" ref="AC35:AC46" si="24">$AB35+IF($B$2="mil",1,0.0254)*$C35</f>
        <v>#REF!</v>
      </c>
      <c r="AD35" s="524" t="e">
        <f>$AE$32 + IF($B$2="mil",1,0.0254)*DDR2Specs!$E$9</f>
        <v>#REF!</v>
      </c>
      <c r="AE35" s="524" t="e">
        <f>$AD$32 + IF($B$2="mil",1,0.0254)*DDR2Specs!$F$9</f>
        <v>#REF!</v>
      </c>
      <c r="AF35" s="546" t="e">
        <f t="shared" si="15"/>
        <v>#REF!</v>
      </c>
      <c r="AG35" s="547" t="e">
        <f t="shared" si="16"/>
        <v>#REF!</v>
      </c>
      <c r="AH35" s="527" t="e">
        <f t="shared" ref="AH35:AH47" si="25">IF($E35&lt;=IF($B$2="mil",1,0.0254)*50,"Pass",IF($B$2="mil",1,0.0254)*50-$E35)</f>
        <v>#REF!</v>
      </c>
      <c r="AI35" s="528" t="e">
        <f t="shared" si="17"/>
        <v>#REF!</v>
      </c>
      <c r="AJ35" s="528" t="e">
        <f t="shared" si="18"/>
        <v>#REF!</v>
      </c>
      <c r="AK35" s="528" t="e">
        <f t="shared" ref="AK35:AK47" ca="1" si="26">CheckLength2(1200,J35,K35,0)</f>
        <v>#NAME?</v>
      </c>
      <c r="AL35" s="528" t="e">
        <f t="shared" ref="AL35:AL47" si="27">IF(M35&lt;=IF($B$2="mil",1,0.0254)*2000,"Pass",IF($B$2="mil",1,0.0254)*2000-M35)</f>
        <v>#REF!</v>
      </c>
      <c r="AM35" s="528" t="e">
        <f t="shared" ref="AM35:AM47" si="28">IF(N35&lt;=IF($B$2="mil",1,0.0254)*1000,"Pass",IF($B$2="mil",1,0.0254)*1000-N35)</f>
        <v>#REF!</v>
      </c>
      <c r="AN35" s="528" t="e">
        <f t="shared" si="19"/>
        <v>#REF!</v>
      </c>
      <c r="AO35" s="528" t="e">
        <f t="shared" ref="AO35:AO47" si="29">IF($Q35&lt;=IF($B$2="mil",1,0.0254)*1000,"Pass",IF($B$2="mil",1,0.0254)*1000-$Q35)</f>
        <v>#REF!</v>
      </c>
      <c r="AP35" s="528" t="e">
        <f t="shared" ref="AP35:AP55" si="30">IF(MAX(Q35,Q61,Q87,Q113)-MIN(Q35,Q61,Q87,Q113)&lt;=IF($B$2="mil",1,0.0254)*50,"Pass",MAX(Q35,Q61,Q87,Q113)-MIN(Q35,Q61,Q87,Q113)-IF($B$2="mil",1,0.0254)*50)</f>
        <v>#REF!</v>
      </c>
      <c r="AQ35" s="528" t="e">
        <f t="shared" si="20"/>
        <v>#REF!</v>
      </c>
      <c r="AR35" s="528" t="e">
        <f t="shared" si="21"/>
        <v>#REF!</v>
      </c>
      <c r="AS35" s="528" t="e">
        <f t="shared" ref="AS35:AS47" ca="1" si="31">CheckLength2(IF($B$2="mil",1,0.0254)*950,R35,T35,0)</f>
        <v>#NAME?</v>
      </c>
      <c r="AT35" s="528" t="e">
        <f t="shared" ref="AT35:AT47" ca="1" si="32">CheckLength2(IF($B$2="mil",1,0.0254)*950,S35,U35,0)</f>
        <v>#NAME?</v>
      </c>
      <c r="AU35" s="528" t="e">
        <f t="shared" ref="AU35:AU47" si="33">IF(AND($V35&gt;=IF($B$2="mil",1,0.0254)*500, $V35&lt;=IF($B$2="mil",1,0.0254)*6500),"Pass",IF($B$2="mil",1,0.0254)*6500-$V35)</f>
        <v>#REF!</v>
      </c>
      <c r="AV35" s="528" t="e">
        <f t="shared" ref="AV35:AV47" si="34">IF(AND($W35&gt;=IF($B$2="mil",1,0.0254)*500, $W35&lt;=IF($B$2="mil",1,0.0254)*7000),"Pass",IF($B$2="mil",1,0.0254)*7000-$W35)</f>
        <v>#REF!</v>
      </c>
      <c r="AW35" s="528" t="e">
        <f t="shared" ref="AW35:AW47" si="35">IF(AND($AB35&gt;=IF($B$2="mil",1,0.0254)*500, $AB35&lt;=IF($B$2="mil",1,0.0254)*6500),"Pass",IF($B$2="mil",1,0.0254)*6500-$AB35)</f>
        <v>#REF!</v>
      </c>
      <c r="AX35" s="529" t="e">
        <f t="shared" ref="AX35:AX47" si="36">IF(AND($AC35&gt;=IF($B$2="mil",1,0.0254)*500, $AC35&lt;=IF($B$2="mil",1,0.0254)*7000),"Pass",IF($B$2="mil",1,0.0254)*7000-$AC35)</f>
        <v>#REF!</v>
      </c>
      <c r="AY35" s="162" t="e">
        <f t="shared" ref="AY35:AY55" ca="1" si="37">IF(AND(Z35="Pass",AA35="Pass",AF35="Pass",AG35="Pass",AH35="Pass",AI35="Pass",AJ35="Pass",AK35="Pass",AL35="Pass",AM35="Pass",AN35="Pass",AO35="Pass",AP35="Pass",AQ35="Pass",AO35="Pass",AR35="Pass",AS35="Pass",AT35="Pass",AU35="Pass",AV35="Pass",AW35="Pass",AX35="Pass"),"Pass","Fail")</f>
        <v>#REF!</v>
      </c>
      <c r="AZ35" s="162" t="e">
        <f ca="1">IF(AND(AY46="Pass",AY47="Pass",AY49="Pass",AY50="Pass",AY51="Pass",AY53="Pass",AY54="Pass",AY55="Pass"),"Pass","Fail")</f>
        <v>#REF!</v>
      </c>
    </row>
    <row r="36" spans="1:52" s="162" customFormat="1">
      <c r="A36" s="240" t="s">
        <v>40</v>
      </c>
      <c r="B36" s="480" t="s">
        <v>442</v>
      </c>
      <c r="C36" s="635">
        <v>448.14960629921256</v>
      </c>
      <c r="D36" s="188"/>
      <c r="E36" s="225">
        <v>29.7</v>
      </c>
      <c r="F36" s="325">
        <v>0</v>
      </c>
      <c r="G36" s="303">
        <v>2700</v>
      </c>
      <c r="H36" s="335"/>
      <c r="I36" s="335"/>
      <c r="J36" s="334">
        <v>0</v>
      </c>
      <c r="K36" s="303">
        <v>41.64</v>
      </c>
      <c r="L36" s="336"/>
      <c r="M36" s="337">
        <v>700</v>
      </c>
      <c r="N36" s="407">
        <v>500</v>
      </c>
      <c r="O36" s="191"/>
      <c r="P36" s="306">
        <v>500</v>
      </c>
      <c r="Q36" s="303">
        <v>565.69000000000005</v>
      </c>
      <c r="R36" s="303">
        <v>99.56</v>
      </c>
      <c r="S36" s="303">
        <v>99.56</v>
      </c>
      <c r="T36" s="409">
        <v>50</v>
      </c>
      <c r="U36" s="409">
        <v>50</v>
      </c>
      <c r="V36" s="545">
        <f t="shared" si="12"/>
        <v>4644.95</v>
      </c>
      <c r="W36" s="524" t="e">
        <f t="shared" si="22"/>
        <v>#REF!</v>
      </c>
      <c r="X36" s="524" t="e">
        <f>$Y$32 + IF($B$2="mil",1,0.0254)*DDR2Specs!$E$9</f>
        <v>#REF!</v>
      </c>
      <c r="Y36" s="547" t="e">
        <f>$X$32 + IF($B$2="mil",1,0.0254)*DDR2Specs!$F$9</f>
        <v>#REF!</v>
      </c>
      <c r="Z36" s="546" t="e">
        <f t="shared" si="13"/>
        <v>#REF!</v>
      </c>
      <c r="AA36" s="547" t="e">
        <f t="shared" si="14"/>
        <v>#REF!</v>
      </c>
      <c r="AB36" s="545">
        <f t="shared" si="23"/>
        <v>4644.95</v>
      </c>
      <c r="AC36" s="524" t="e">
        <f t="shared" si="24"/>
        <v>#REF!</v>
      </c>
      <c r="AD36" s="524" t="e">
        <f>$AE$32 + IF($B$2="mil",1,0.0254)*DDR2Specs!$E$9</f>
        <v>#REF!</v>
      </c>
      <c r="AE36" s="524" t="e">
        <f>$AD$32 + IF($B$2="mil",1,0.0254)*DDR2Specs!$F$9</f>
        <v>#REF!</v>
      </c>
      <c r="AF36" s="546" t="e">
        <f t="shared" si="15"/>
        <v>#REF!</v>
      </c>
      <c r="AG36" s="547" t="e">
        <f t="shared" si="16"/>
        <v>#REF!</v>
      </c>
      <c r="AH36" s="527" t="e">
        <f t="shared" si="25"/>
        <v>#REF!</v>
      </c>
      <c r="AI36" s="528" t="e">
        <f t="shared" si="17"/>
        <v>#REF!</v>
      </c>
      <c r="AJ36" s="528" t="e">
        <f t="shared" si="18"/>
        <v>#REF!</v>
      </c>
      <c r="AK36" s="528" t="e">
        <f t="shared" ca="1" si="26"/>
        <v>#NAME?</v>
      </c>
      <c r="AL36" s="528" t="e">
        <f t="shared" si="27"/>
        <v>#REF!</v>
      </c>
      <c r="AM36" s="528" t="e">
        <f t="shared" si="28"/>
        <v>#REF!</v>
      </c>
      <c r="AN36" s="528" t="e">
        <f t="shared" si="19"/>
        <v>#REF!</v>
      </c>
      <c r="AO36" s="528" t="e">
        <f t="shared" si="29"/>
        <v>#REF!</v>
      </c>
      <c r="AP36" s="528" t="e">
        <f t="shared" si="30"/>
        <v>#REF!</v>
      </c>
      <c r="AQ36" s="528" t="e">
        <f t="shared" si="20"/>
        <v>#REF!</v>
      </c>
      <c r="AR36" s="528" t="e">
        <f t="shared" si="21"/>
        <v>#REF!</v>
      </c>
      <c r="AS36" s="528" t="e">
        <f t="shared" ca="1" si="31"/>
        <v>#NAME?</v>
      </c>
      <c r="AT36" s="528" t="e">
        <f t="shared" ca="1" si="32"/>
        <v>#NAME?</v>
      </c>
      <c r="AU36" s="528" t="e">
        <f t="shared" si="33"/>
        <v>#REF!</v>
      </c>
      <c r="AV36" s="528" t="e">
        <f t="shared" si="34"/>
        <v>#REF!</v>
      </c>
      <c r="AW36" s="528" t="e">
        <f t="shared" si="35"/>
        <v>#REF!</v>
      </c>
      <c r="AX36" s="529" t="e">
        <f t="shared" si="36"/>
        <v>#REF!</v>
      </c>
      <c r="AY36" s="162" t="e">
        <f t="shared" ca="1" si="37"/>
        <v>#REF!</v>
      </c>
    </row>
    <row r="37" spans="1:52" s="162" customFormat="1">
      <c r="A37" s="240" t="s">
        <v>41</v>
      </c>
      <c r="B37" s="480" t="s">
        <v>443</v>
      </c>
      <c r="C37" s="635">
        <v>435.90551181102359</v>
      </c>
      <c r="D37" s="188"/>
      <c r="E37" s="225">
        <v>29.7</v>
      </c>
      <c r="F37" s="325">
        <v>0</v>
      </c>
      <c r="G37" s="303">
        <v>2159.11</v>
      </c>
      <c r="H37" s="335"/>
      <c r="I37" s="335"/>
      <c r="J37" s="334">
        <v>0</v>
      </c>
      <c r="K37" s="303">
        <v>41.03</v>
      </c>
      <c r="L37" s="336"/>
      <c r="M37" s="337">
        <v>700</v>
      </c>
      <c r="N37" s="407">
        <v>300</v>
      </c>
      <c r="O37" s="191"/>
      <c r="P37" s="306">
        <v>300</v>
      </c>
      <c r="Q37" s="303">
        <v>579.26</v>
      </c>
      <c r="R37" s="303">
        <v>145.9</v>
      </c>
      <c r="S37" s="303">
        <v>145.9</v>
      </c>
      <c r="T37" s="409">
        <v>50</v>
      </c>
      <c r="U37" s="409">
        <v>50</v>
      </c>
      <c r="V37" s="545">
        <f t="shared" si="12"/>
        <v>3963.97</v>
      </c>
      <c r="W37" s="524" t="e">
        <f t="shared" si="22"/>
        <v>#REF!</v>
      </c>
      <c r="X37" s="524" t="e">
        <f>$Y$32 + IF($B$2="mil",1,0.0254)*DDR2Specs!$E$9</f>
        <v>#REF!</v>
      </c>
      <c r="Y37" s="547" t="e">
        <f>$X$32 + IF($B$2="mil",1,0.0254)*DDR2Specs!$F$9</f>
        <v>#REF!</v>
      </c>
      <c r="Z37" s="546" t="e">
        <f t="shared" si="13"/>
        <v>#REF!</v>
      </c>
      <c r="AA37" s="547" t="e">
        <f t="shared" si="14"/>
        <v>#REF!</v>
      </c>
      <c r="AB37" s="545">
        <f t="shared" si="23"/>
        <v>3963.97</v>
      </c>
      <c r="AC37" s="524" t="e">
        <f t="shared" si="24"/>
        <v>#REF!</v>
      </c>
      <c r="AD37" s="524" t="e">
        <f>$AE$32 + IF($B$2="mil",1,0.0254)*DDR2Specs!$E$9</f>
        <v>#REF!</v>
      </c>
      <c r="AE37" s="524" t="e">
        <f>$AD$32 + IF($B$2="mil",1,0.0254)*DDR2Specs!$F$9</f>
        <v>#REF!</v>
      </c>
      <c r="AF37" s="546" t="e">
        <f t="shared" si="15"/>
        <v>#REF!</v>
      </c>
      <c r="AG37" s="547" t="e">
        <f t="shared" si="16"/>
        <v>#REF!</v>
      </c>
      <c r="AH37" s="527" t="e">
        <f t="shared" si="25"/>
        <v>#REF!</v>
      </c>
      <c r="AI37" s="528" t="e">
        <f t="shared" si="17"/>
        <v>#REF!</v>
      </c>
      <c r="AJ37" s="528" t="e">
        <f t="shared" si="18"/>
        <v>#REF!</v>
      </c>
      <c r="AK37" s="528" t="e">
        <f t="shared" ca="1" si="26"/>
        <v>#NAME?</v>
      </c>
      <c r="AL37" s="528" t="e">
        <f t="shared" si="27"/>
        <v>#REF!</v>
      </c>
      <c r="AM37" s="528" t="e">
        <f t="shared" si="28"/>
        <v>#REF!</v>
      </c>
      <c r="AN37" s="528" t="e">
        <f t="shared" si="19"/>
        <v>#REF!</v>
      </c>
      <c r="AO37" s="528" t="e">
        <f t="shared" si="29"/>
        <v>#REF!</v>
      </c>
      <c r="AP37" s="528" t="e">
        <f t="shared" si="30"/>
        <v>#REF!</v>
      </c>
      <c r="AQ37" s="528" t="e">
        <f t="shared" si="20"/>
        <v>#REF!</v>
      </c>
      <c r="AR37" s="528" t="e">
        <f t="shared" si="21"/>
        <v>#REF!</v>
      </c>
      <c r="AS37" s="528" t="e">
        <f t="shared" ca="1" si="31"/>
        <v>#NAME?</v>
      </c>
      <c r="AT37" s="528" t="e">
        <f t="shared" ca="1" si="32"/>
        <v>#NAME?</v>
      </c>
      <c r="AU37" s="528" t="e">
        <f t="shared" si="33"/>
        <v>#REF!</v>
      </c>
      <c r="AV37" s="528" t="e">
        <f t="shared" si="34"/>
        <v>#REF!</v>
      </c>
      <c r="AW37" s="528" t="e">
        <f t="shared" si="35"/>
        <v>#REF!</v>
      </c>
      <c r="AX37" s="529" t="e">
        <f t="shared" si="36"/>
        <v>#REF!</v>
      </c>
      <c r="AY37" s="162" t="e">
        <f t="shared" ca="1" si="37"/>
        <v>#REF!</v>
      </c>
    </row>
    <row r="38" spans="1:52" s="162" customFormat="1">
      <c r="A38" s="240" t="s">
        <v>42</v>
      </c>
      <c r="B38" s="480" t="s">
        <v>444</v>
      </c>
      <c r="C38" s="635">
        <v>381.06299212598429</v>
      </c>
      <c r="D38" s="188"/>
      <c r="E38" s="225">
        <v>29.7</v>
      </c>
      <c r="F38" s="325">
        <v>0</v>
      </c>
      <c r="G38" s="303">
        <v>2900</v>
      </c>
      <c r="H38" s="335"/>
      <c r="I38" s="335"/>
      <c r="J38" s="334">
        <v>0</v>
      </c>
      <c r="K38" s="303">
        <v>36.74</v>
      </c>
      <c r="L38" s="336"/>
      <c r="M38" s="337">
        <v>700</v>
      </c>
      <c r="N38" s="407">
        <v>600</v>
      </c>
      <c r="O38" s="191"/>
      <c r="P38" s="306">
        <v>600</v>
      </c>
      <c r="Q38" s="303">
        <v>624.74</v>
      </c>
      <c r="R38" s="303">
        <v>103.51</v>
      </c>
      <c r="S38" s="303">
        <v>103.51</v>
      </c>
      <c r="T38" s="409">
        <v>50</v>
      </c>
      <c r="U38" s="409">
        <v>50</v>
      </c>
      <c r="V38" s="545">
        <f t="shared" si="12"/>
        <v>5007.95</v>
      </c>
      <c r="W38" s="524" t="e">
        <f t="shared" si="22"/>
        <v>#REF!</v>
      </c>
      <c r="X38" s="524" t="e">
        <f>$Y$32 + IF($B$2="mil",1,0.0254)*DDR2Specs!$E$9</f>
        <v>#REF!</v>
      </c>
      <c r="Y38" s="547" t="e">
        <f>$X$32 + IF($B$2="mil",1,0.0254)*DDR2Specs!$F$9</f>
        <v>#REF!</v>
      </c>
      <c r="Z38" s="546" t="e">
        <f t="shared" si="13"/>
        <v>#REF!</v>
      </c>
      <c r="AA38" s="547" t="e">
        <f t="shared" si="14"/>
        <v>#REF!</v>
      </c>
      <c r="AB38" s="545">
        <f t="shared" si="23"/>
        <v>5007.95</v>
      </c>
      <c r="AC38" s="524" t="e">
        <f t="shared" si="24"/>
        <v>#REF!</v>
      </c>
      <c r="AD38" s="524" t="e">
        <f>$AE$32 + IF($B$2="mil",1,0.0254)*DDR2Specs!$E$9</f>
        <v>#REF!</v>
      </c>
      <c r="AE38" s="524" t="e">
        <f>$AD$32 + IF($B$2="mil",1,0.0254)*DDR2Specs!$F$9</f>
        <v>#REF!</v>
      </c>
      <c r="AF38" s="546" t="e">
        <f t="shared" si="15"/>
        <v>#REF!</v>
      </c>
      <c r="AG38" s="547" t="e">
        <f t="shared" si="16"/>
        <v>#REF!</v>
      </c>
      <c r="AH38" s="527" t="e">
        <f t="shared" si="25"/>
        <v>#REF!</v>
      </c>
      <c r="AI38" s="528" t="e">
        <f t="shared" si="17"/>
        <v>#REF!</v>
      </c>
      <c r="AJ38" s="528" t="e">
        <f t="shared" si="18"/>
        <v>#REF!</v>
      </c>
      <c r="AK38" s="528" t="e">
        <f t="shared" ca="1" si="26"/>
        <v>#NAME?</v>
      </c>
      <c r="AL38" s="528" t="e">
        <f t="shared" si="27"/>
        <v>#REF!</v>
      </c>
      <c r="AM38" s="528" t="e">
        <f t="shared" si="28"/>
        <v>#REF!</v>
      </c>
      <c r="AN38" s="528" t="e">
        <f t="shared" si="19"/>
        <v>#REF!</v>
      </c>
      <c r="AO38" s="528" t="e">
        <f t="shared" si="29"/>
        <v>#REF!</v>
      </c>
      <c r="AP38" s="528" t="e">
        <f t="shared" si="30"/>
        <v>#REF!</v>
      </c>
      <c r="AQ38" s="528" t="e">
        <f t="shared" si="20"/>
        <v>#REF!</v>
      </c>
      <c r="AR38" s="528" t="e">
        <f t="shared" si="21"/>
        <v>#REF!</v>
      </c>
      <c r="AS38" s="528" t="e">
        <f t="shared" ca="1" si="31"/>
        <v>#NAME?</v>
      </c>
      <c r="AT38" s="528" t="e">
        <f t="shared" ca="1" si="32"/>
        <v>#NAME?</v>
      </c>
      <c r="AU38" s="528" t="e">
        <f t="shared" si="33"/>
        <v>#REF!</v>
      </c>
      <c r="AV38" s="528" t="e">
        <f t="shared" si="34"/>
        <v>#REF!</v>
      </c>
      <c r="AW38" s="528" t="e">
        <f t="shared" si="35"/>
        <v>#REF!</v>
      </c>
      <c r="AX38" s="529" t="e">
        <f t="shared" si="36"/>
        <v>#REF!</v>
      </c>
      <c r="AY38" s="162" t="e">
        <f t="shared" ca="1" si="37"/>
        <v>#REF!</v>
      </c>
    </row>
    <row r="39" spans="1:52" s="162" customFormat="1">
      <c r="A39" s="240" t="s">
        <v>43</v>
      </c>
      <c r="B39" s="481" t="s">
        <v>445</v>
      </c>
      <c r="C39" s="635">
        <v>420.03937007874021</v>
      </c>
      <c r="D39" s="188"/>
      <c r="E39" s="225">
        <v>29.7</v>
      </c>
      <c r="F39" s="325">
        <v>0</v>
      </c>
      <c r="G39" s="303">
        <v>2311.37</v>
      </c>
      <c r="H39" s="335"/>
      <c r="I39" s="335"/>
      <c r="J39" s="334">
        <v>0</v>
      </c>
      <c r="K39" s="303">
        <v>38.71</v>
      </c>
      <c r="L39" s="336"/>
      <c r="M39" s="337">
        <v>700</v>
      </c>
      <c r="N39" s="407">
        <v>200</v>
      </c>
      <c r="O39" s="191"/>
      <c r="P39" s="306">
        <v>200</v>
      </c>
      <c r="Q39" s="303">
        <v>610.85</v>
      </c>
      <c r="R39" s="303">
        <v>75.709999999999994</v>
      </c>
      <c r="S39" s="303">
        <v>75.709999999999994</v>
      </c>
      <c r="T39" s="409">
        <v>50</v>
      </c>
      <c r="U39" s="409">
        <v>50</v>
      </c>
      <c r="V39" s="545">
        <f t="shared" si="12"/>
        <v>3977.6299999999997</v>
      </c>
      <c r="W39" s="524" t="e">
        <f t="shared" si="22"/>
        <v>#REF!</v>
      </c>
      <c r="X39" s="524" t="e">
        <f>$Y$32 + IF($B$2="mil",1,0.0254)*DDR2Specs!$E$9</f>
        <v>#REF!</v>
      </c>
      <c r="Y39" s="547" t="e">
        <f>$X$32 + IF($B$2="mil",1,0.0254)*DDR2Specs!$F$9</f>
        <v>#REF!</v>
      </c>
      <c r="Z39" s="546" t="e">
        <f t="shared" si="13"/>
        <v>#REF!</v>
      </c>
      <c r="AA39" s="547" t="e">
        <f t="shared" si="14"/>
        <v>#REF!</v>
      </c>
      <c r="AB39" s="545">
        <f t="shared" si="23"/>
        <v>3977.6299999999997</v>
      </c>
      <c r="AC39" s="524" t="e">
        <f t="shared" si="24"/>
        <v>#REF!</v>
      </c>
      <c r="AD39" s="524" t="e">
        <f>$AE$32 + IF($B$2="mil",1,0.0254)*DDR2Specs!$E$9</f>
        <v>#REF!</v>
      </c>
      <c r="AE39" s="524" t="e">
        <f>$AD$32 + IF($B$2="mil",1,0.0254)*DDR2Specs!$F$9</f>
        <v>#REF!</v>
      </c>
      <c r="AF39" s="546" t="e">
        <f t="shared" si="15"/>
        <v>#REF!</v>
      </c>
      <c r="AG39" s="547" t="e">
        <f t="shared" si="16"/>
        <v>#REF!</v>
      </c>
      <c r="AH39" s="527" t="e">
        <f t="shared" si="25"/>
        <v>#REF!</v>
      </c>
      <c r="AI39" s="528" t="e">
        <f t="shared" si="17"/>
        <v>#REF!</v>
      </c>
      <c r="AJ39" s="528" t="e">
        <f t="shared" si="18"/>
        <v>#REF!</v>
      </c>
      <c r="AK39" s="528" t="e">
        <f t="shared" ca="1" si="26"/>
        <v>#NAME?</v>
      </c>
      <c r="AL39" s="528" t="e">
        <f t="shared" si="27"/>
        <v>#REF!</v>
      </c>
      <c r="AM39" s="528" t="e">
        <f t="shared" si="28"/>
        <v>#REF!</v>
      </c>
      <c r="AN39" s="528" t="e">
        <f t="shared" si="19"/>
        <v>#REF!</v>
      </c>
      <c r="AO39" s="528" t="e">
        <f t="shared" si="29"/>
        <v>#REF!</v>
      </c>
      <c r="AP39" s="528" t="e">
        <f t="shared" si="30"/>
        <v>#REF!</v>
      </c>
      <c r="AQ39" s="528" t="e">
        <f t="shared" si="20"/>
        <v>#REF!</v>
      </c>
      <c r="AR39" s="528" t="e">
        <f t="shared" si="21"/>
        <v>#REF!</v>
      </c>
      <c r="AS39" s="528" t="e">
        <f t="shared" ca="1" si="31"/>
        <v>#NAME?</v>
      </c>
      <c r="AT39" s="528" t="e">
        <f t="shared" ca="1" si="32"/>
        <v>#NAME?</v>
      </c>
      <c r="AU39" s="528" t="e">
        <f t="shared" si="33"/>
        <v>#REF!</v>
      </c>
      <c r="AV39" s="528" t="e">
        <f t="shared" si="34"/>
        <v>#REF!</v>
      </c>
      <c r="AW39" s="528" t="e">
        <f t="shared" si="35"/>
        <v>#REF!</v>
      </c>
      <c r="AX39" s="529" t="e">
        <f t="shared" si="36"/>
        <v>#REF!</v>
      </c>
      <c r="AY39" s="162" t="e">
        <f t="shared" ca="1" si="37"/>
        <v>#REF!</v>
      </c>
    </row>
    <row r="40" spans="1:52" s="162" customFormat="1">
      <c r="A40" s="240" t="s">
        <v>44</v>
      </c>
      <c r="B40" s="480" t="s">
        <v>446</v>
      </c>
      <c r="C40" s="635">
        <v>468.89763779527561</v>
      </c>
      <c r="D40" s="188"/>
      <c r="E40" s="225">
        <v>29.7</v>
      </c>
      <c r="F40" s="325">
        <v>0</v>
      </c>
      <c r="G40" s="303">
        <v>2336.23</v>
      </c>
      <c r="H40" s="335"/>
      <c r="I40" s="335"/>
      <c r="J40" s="334">
        <v>0</v>
      </c>
      <c r="K40" s="303">
        <v>37.5</v>
      </c>
      <c r="L40" s="336"/>
      <c r="M40" s="337">
        <v>700</v>
      </c>
      <c r="N40" s="407">
        <v>200</v>
      </c>
      <c r="O40" s="191"/>
      <c r="P40" s="306">
        <v>200</v>
      </c>
      <c r="Q40" s="303">
        <v>604.02</v>
      </c>
      <c r="R40" s="303">
        <v>101.05</v>
      </c>
      <c r="S40" s="303">
        <v>101.05</v>
      </c>
      <c r="T40" s="409">
        <v>50</v>
      </c>
      <c r="U40" s="409">
        <v>50</v>
      </c>
      <c r="V40" s="545">
        <f t="shared" si="12"/>
        <v>4021</v>
      </c>
      <c r="W40" s="524" t="e">
        <f t="shared" si="22"/>
        <v>#REF!</v>
      </c>
      <c r="X40" s="524" t="e">
        <f>$Y$32 + IF($B$2="mil",1,0.0254)*DDR2Specs!$E$9</f>
        <v>#REF!</v>
      </c>
      <c r="Y40" s="547" t="e">
        <f>$X$32 + IF($B$2="mil",1,0.0254)*DDR2Specs!$F$9</f>
        <v>#REF!</v>
      </c>
      <c r="Z40" s="546" t="e">
        <f t="shared" si="13"/>
        <v>#REF!</v>
      </c>
      <c r="AA40" s="547" t="e">
        <f t="shared" si="14"/>
        <v>#REF!</v>
      </c>
      <c r="AB40" s="545">
        <f t="shared" si="23"/>
        <v>4021</v>
      </c>
      <c r="AC40" s="524" t="e">
        <f t="shared" si="24"/>
        <v>#REF!</v>
      </c>
      <c r="AD40" s="524" t="e">
        <f>$AE$32 + IF($B$2="mil",1,0.0254)*DDR2Specs!$E$9</f>
        <v>#REF!</v>
      </c>
      <c r="AE40" s="524" t="e">
        <f>$AD$32 + IF($B$2="mil",1,0.0254)*DDR2Specs!$F$9</f>
        <v>#REF!</v>
      </c>
      <c r="AF40" s="546" t="e">
        <f t="shared" si="15"/>
        <v>#REF!</v>
      </c>
      <c r="AG40" s="547" t="e">
        <f t="shared" si="16"/>
        <v>#REF!</v>
      </c>
      <c r="AH40" s="527" t="e">
        <f t="shared" si="25"/>
        <v>#REF!</v>
      </c>
      <c r="AI40" s="528" t="e">
        <f t="shared" si="17"/>
        <v>#REF!</v>
      </c>
      <c r="AJ40" s="528" t="e">
        <f t="shared" si="18"/>
        <v>#REF!</v>
      </c>
      <c r="AK40" s="528" t="e">
        <f t="shared" ca="1" si="26"/>
        <v>#NAME?</v>
      </c>
      <c r="AL40" s="528" t="e">
        <f t="shared" si="27"/>
        <v>#REF!</v>
      </c>
      <c r="AM40" s="528" t="e">
        <f t="shared" si="28"/>
        <v>#REF!</v>
      </c>
      <c r="AN40" s="528" t="e">
        <f t="shared" si="19"/>
        <v>#REF!</v>
      </c>
      <c r="AO40" s="528" t="e">
        <f t="shared" si="29"/>
        <v>#REF!</v>
      </c>
      <c r="AP40" s="528" t="e">
        <f t="shared" si="30"/>
        <v>#REF!</v>
      </c>
      <c r="AQ40" s="528" t="e">
        <f t="shared" si="20"/>
        <v>#REF!</v>
      </c>
      <c r="AR40" s="528" t="e">
        <f t="shared" si="21"/>
        <v>#REF!</v>
      </c>
      <c r="AS40" s="528" t="e">
        <f t="shared" ca="1" si="31"/>
        <v>#NAME?</v>
      </c>
      <c r="AT40" s="528" t="e">
        <f t="shared" ca="1" si="32"/>
        <v>#NAME?</v>
      </c>
      <c r="AU40" s="528" t="e">
        <f t="shared" si="33"/>
        <v>#REF!</v>
      </c>
      <c r="AV40" s="528" t="e">
        <f t="shared" si="34"/>
        <v>#REF!</v>
      </c>
      <c r="AW40" s="528" t="e">
        <f t="shared" si="35"/>
        <v>#REF!</v>
      </c>
      <c r="AX40" s="529" t="e">
        <f t="shared" si="36"/>
        <v>#REF!</v>
      </c>
      <c r="AY40" s="162" t="e">
        <f t="shared" ca="1" si="37"/>
        <v>#REF!</v>
      </c>
    </row>
    <row r="41" spans="1:52" s="162" customFormat="1">
      <c r="A41" s="240" t="s">
        <v>46</v>
      </c>
      <c r="B41" s="480" t="s">
        <v>447</v>
      </c>
      <c r="C41" s="635">
        <v>508.74015748031502</v>
      </c>
      <c r="D41" s="188"/>
      <c r="E41" s="225">
        <v>29.7</v>
      </c>
      <c r="F41" s="325">
        <v>0</v>
      </c>
      <c r="G41" s="303">
        <v>2228.25</v>
      </c>
      <c r="H41" s="335"/>
      <c r="I41" s="335"/>
      <c r="J41" s="334">
        <v>0</v>
      </c>
      <c r="K41" s="303">
        <v>37.5</v>
      </c>
      <c r="L41" s="336"/>
      <c r="M41" s="337">
        <v>700</v>
      </c>
      <c r="N41" s="407">
        <v>200</v>
      </c>
      <c r="O41" s="191"/>
      <c r="P41" s="306">
        <v>200</v>
      </c>
      <c r="Q41" s="303">
        <v>596.35</v>
      </c>
      <c r="R41" s="303">
        <v>144.30000000000001</v>
      </c>
      <c r="S41" s="303">
        <v>144.30000000000001</v>
      </c>
      <c r="T41" s="409">
        <v>50</v>
      </c>
      <c r="U41" s="409">
        <v>50</v>
      </c>
      <c r="V41" s="545">
        <f t="shared" si="12"/>
        <v>3948.6</v>
      </c>
      <c r="W41" s="524" t="e">
        <f t="shared" si="22"/>
        <v>#REF!</v>
      </c>
      <c r="X41" s="524" t="e">
        <f>$Y$32 + IF($B$2="mil",1,0.0254)*DDR2Specs!$E$9</f>
        <v>#REF!</v>
      </c>
      <c r="Y41" s="547" t="e">
        <f>$X$32 + IF($B$2="mil",1,0.0254)*DDR2Specs!$F$9</f>
        <v>#REF!</v>
      </c>
      <c r="Z41" s="546" t="e">
        <f t="shared" si="13"/>
        <v>#REF!</v>
      </c>
      <c r="AA41" s="547" t="e">
        <f t="shared" si="14"/>
        <v>#REF!</v>
      </c>
      <c r="AB41" s="545">
        <f t="shared" si="23"/>
        <v>3948.6</v>
      </c>
      <c r="AC41" s="524" t="e">
        <f t="shared" si="24"/>
        <v>#REF!</v>
      </c>
      <c r="AD41" s="524" t="e">
        <f>$AE$32 + IF($B$2="mil",1,0.0254)*DDR2Specs!$E$9</f>
        <v>#REF!</v>
      </c>
      <c r="AE41" s="524" t="e">
        <f>$AD$32 + IF($B$2="mil",1,0.0254)*DDR2Specs!$F$9</f>
        <v>#REF!</v>
      </c>
      <c r="AF41" s="546" t="e">
        <f t="shared" si="15"/>
        <v>#REF!</v>
      </c>
      <c r="AG41" s="547" t="e">
        <f t="shared" si="16"/>
        <v>#REF!</v>
      </c>
      <c r="AH41" s="527" t="e">
        <f t="shared" si="25"/>
        <v>#REF!</v>
      </c>
      <c r="AI41" s="528" t="e">
        <f t="shared" si="17"/>
        <v>#REF!</v>
      </c>
      <c r="AJ41" s="528" t="e">
        <f t="shared" si="18"/>
        <v>#REF!</v>
      </c>
      <c r="AK41" s="528" t="e">
        <f t="shared" ca="1" si="26"/>
        <v>#NAME?</v>
      </c>
      <c r="AL41" s="528" t="e">
        <f t="shared" si="27"/>
        <v>#REF!</v>
      </c>
      <c r="AM41" s="528" t="e">
        <f t="shared" si="28"/>
        <v>#REF!</v>
      </c>
      <c r="AN41" s="528" t="e">
        <f t="shared" si="19"/>
        <v>#REF!</v>
      </c>
      <c r="AO41" s="528" t="e">
        <f t="shared" si="29"/>
        <v>#REF!</v>
      </c>
      <c r="AP41" s="528" t="e">
        <f t="shared" si="30"/>
        <v>#REF!</v>
      </c>
      <c r="AQ41" s="528" t="e">
        <f t="shared" si="20"/>
        <v>#REF!</v>
      </c>
      <c r="AR41" s="528" t="e">
        <f t="shared" si="21"/>
        <v>#REF!</v>
      </c>
      <c r="AS41" s="528" t="e">
        <f t="shared" ca="1" si="31"/>
        <v>#NAME?</v>
      </c>
      <c r="AT41" s="528" t="e">
        <f t="shared" ca="1" si="32"/>
        <v>#NAME?</v>
      </c>
      <c r="AU41" s="528" t="e">
        <f t="shared" si="33"/>
        <v>#REF!</v>
      </c>
      <c r="AV41" s="528" t="e">
        <f t="shared" si="34"/>
        <v>#REF!</v>
      </c>
      <c r="AW41" s="528" t="e">
        <f t="shared" si="35"/>
        <v>#REF!</v>
      </c>
      <c r="AX41" s="529" t="e">
        <f t="shared" si="36"/>
        <v>#REF!</v>
      </c>
      <c r="AY41" s="162" t="e">
        <f t="shared" ca="1" si="37"/>
        <v>#REF!</v>
      </c>
    </row>
    <row r="42" spans="1:52" s="162" customFormat="1">
      <c r="A42" s="240" t="s">
        <v>47</v>
      </c>
      <c r="B42" s="481" t="s">
        <v>448</v>
      </c>
      <c r="C42" s="635">
        <v>529.40944881889766</v>
      </c>
      <c r="D42" s="188"/>
      <c r="E42" s="225">
        <v>29.7</v>
      </c>
      <c r="F42" s="325">
        <v>0</v>
      </c>
      <c r="G42" s="303">
        <v>1730.91</v>
      </c>
      <c r="H42" s="335"/>
      <c r="I42" s="335"/>
      <c r="J42" s="334">
        <v>0</v>
      </c>
      <c r="K42" s="303">
        <v>34.909999999999997</v>
      </c>
      <c r="L42" s="336"/>
      <c r="M42" s="337">
        <v>700</v>
      </c>
      <c r="N42" s="407">
        <v>750</v>
      </c>
      <c r="O42" s="191"/>
      <c r="P42" s="306">
        <v>750</v>
      </c>
      <c r="Q42" s="303">
        <v>615.67999999999995</v>
      </c>
      <c r="R42" s="303">
        <v>75.209999999999994</v>
      </c>
      <c r="S42" s="303">
        <v>75.209999999999994</v>
      </c>
      <c r="T42" s="409">
        <v>50</v>
      </c>
      <c r="U42" s="409">
        <v>50</v>
      </c>
      <c r="V42" s="545">
        <f t="shared" si="12"/>
        <v>3951.5</v>
      </c>
      <c r="W42" s="524" t="e">
        <f t="shared" si="22"/>
        <v>#REF!</v>
      </c>
      <c r="X42" s="524" t="e">
        <f>$Y$32 + IF($B$2="mil",1,0.0254)*DDR2Specs!$E$9</f>
        <v>#REF!</v>
      </c>
      <c r="Y42" s="547" t="e">
        <f>$X$32 + IF($B$2="mil",1,0.0254)*DDR2Specs!$F$9</f>
        <v>#REF!</v>
      </c>
      <c r="Z42" s="546" t="e">
        <f t="shared" si="13"/>
        <v>#REF!</v>
      </c>
      <c r="AA42" s="547" t="e">
        <f t="shared" si="14"/>
        <v>#REF!</v>
      </c>
      <c r="AB42" s="545">
        <f t="shared" si="23"/>
        <v>3951.5</v>
      </c>
      <c r="AC42" s="524" t="e">
        <f t="shared" si="24"/>
        <v>#REF!</v>
      </c>
      <c r="AD42" s="524" t="e">
        <f>$AE$32 + IF($B$2="mil",1,0.0254)*DDR2Specs!$E$9</f>
        <v>#REF!</v>
      </c>
      <c r="AE42" s="524" t="e">
        <f>$AD$32 + IF($B$2="mil",1,0.0254)*DDR2Specs!$F$9</f>
        <v>#REF!</v>
      </c>
      <c r="AF42" s="546" t="e">
        <f t="shared" si="15"/>
        <v>#REF!</v>
      </c>
      <c r="AG42" s="547" t="e">
        <f t="shared" si="16"/>
        <v>#REF!</v>
      </c>
      <c r="AH42" s="527" t="e">
        <f t="shared" si="25"/>
        <v>#REF!</v>
      </c>
      <c r="AI42" s="528" t="e">
        <f t="shared" si="17"/>
        <v>#REF!</v>
      </c>
      <c r="AJ42" s="528" t="e">
        <f t="shared" si="18"/>
        <v>#REF!</v>
      </c>
      <c r="AK42" s="528" t="e">
        <f t="shared" ca="1" si="26"/>
        <v>#NAME?</v>
      </c>
      <c r="AL42" s="528" t="e">
        <f t="shared" si="27"/>
        <v>#REF!</v>
      </c>
      <c r="AM42" s="528" t="e">
        <f t="shared" si="28"/>
        <v>#REF!</v>
      </c>
      <c r="AN42" s="528" t="e">
        <f t="shared" si="19"/>
        <v>#REF!</v>
      </c>
      <c r="AO42" s="528" t="e">
        <f t="shared" si="29"/>
        <v>#REF!</v>
      </c>
      <c r="AP42" s="528" t="e">
        <f t="shared" si="30"/>
        <v>#REF!</v>
      </c>
      <c r="AQ42" s="528" t="e">
        <f t="shared" si="20"/>
        <v>#REF!</v>
      </c>
      <c r="AR42" s="528" t="e">
        <f t="shared" si="21"/>
        <v>#REF!</v>
      </c>
      <c r="AS42" s="528" t="e">
        <f t="shared" ca="1" si="31"/>
        <v>#NAME?</v>
      </c>
      <c r="AT42" s="528" t="e">
        <f t="shared" ca="1" si="32"/>
        <v>#NAME?</v>
      </c>
      <c r="AU42" s="528" t="e">
        <f t="shared" si="33"/>
        <v>#REF!</v>
      </c>
      <c r="AV42" s="528" t="e">
        <f t="shared" si="34"/>
        <v>#REF!</v>
      </c>
      <c r="AW42" s="528" t="e">
        <f t="shared" si="35"/>
        <v>#REF!</v>
      </c>
      <c r="AX42" s="529" t="e">
        <f t="shared" si="36"/>
        <v>#REF!</v>
      </c>
      <c r="AY42" s="162" t="e">
        <f t="shared" ca="1" si="37"/>
        <v>#REF!</v>
      </c>
    </row>
    <row r="43" spans="1:52" s="162" customFormat="1">
      <c r="A43" s="240" t="s">
        <v>48</v>
      </c>
      <c r="B43" s="480" t="s">
        <v>449</v>
      </c>
      <c r="C43" s="635">
        <v>442.40157480314963</v>
      </c>
      <c r="D43" s="188"/>
      <c r="E43" s="225">
        <v>29.7</v>
      </c>
      <c r="F43" s="325">
        <v>0</v>
      </c>
      <c r="G43" s="303">
        <v>2382.96</v>
      </c>
      <c r="H43" s="335"/>
      <c r="I43" s="335"/>
      <c r="J43" s="334">
        <v>0</v>
      </c>
      <c r="K43" s="303">
        <v>42.2</v>
      </c>
      <c r="L43" s="336"/>
      <c r="M43" s="337">
        <v>700</v>
      </c>
      <c r="N43" s="407">
        <v>350</v>
      </c>
      <c r="O43" s="191"/>
      <c r="P43" s="306">
        <v>350</v>
      </c>
      <c r="Q43" s="303">
        <v>533.94000000000005</v>
      </c>
      <c r="R43" s="303">
        <v>117.25</v>
      </c>
      <c r="S43" s="303">
        <v>117.25</v>
      </c>
      <c r="T43" s="409">
        <v>50</v>
      </c>
      <c r="U43" s="409">
        <v>50</v>
      </c>
      <c r="V43" s="545">
        <f t="shared" si="12"/>
        <v>4163.8500000000004</v>
      </c>
      <c r="W43" s="524" t="e">
        <f t="shared" si="22"/>
        <v>#REF!</v>
      </c>
      <c r="X43" s="524" t="e">
        <f>$Y$32 + IF($B$2="mil",1,0.0254)*DDR2Specs!$E$9</f>
        <v>#REF!</v>
      </c>
      <c r="Y43" s="547" t="e">
        <f>$X$32 + IF($B$2="mil",1,0.0254)*DDR2Specs!$F$9</f>
        <v>#REF!</v>
      </c>
      <c r="Z43" s="546" t="e">
        <f t="shared" si="13"/>
        <v>#REF!</v>
      </c>
      <c r="AA43" s="547" t="e">
        <f t="shared" si="14"/>
        <v>#REF!</v>
      </c>
      <c r="AB43" s="545">
        <f t="shared" si="23"/>
        <v>4163.8500000000004</v>
      </c>
      <c r="AC43" s="524" t="e">
        <f t="shared" si="24"/>
        <v>#REF!</v>
      </c>
      <c r="AD43" s="524" t="e">
        <f>$AE$32 + IF($B$2="mil",1,0.0254)*DDR2Specs!$E$9</f>
        <v>#REF!</v>
      </c>
      <c r="AE43" s="524" t="e">
        <f>$AD$32 + IF($B$2="mil",1,0.0254)*DDR2Specs!$F$9</f>
        <v>#REF!</v>
      </c>
      <c r="AF43" s="546" t="e">
        <f t="shared" si="15"/>
        <v>#REF!</v>
      </c>
      <c r="AG43" s="547" t="e">
        <f t="shared" si="16"/>
        <v>#REF!</v>
      </c>
      <c r="AH43" s="527" t="e">
        <f t="shared" si="25"/>
        <v>#REF!</v>
      </c>
      <c r="AI43" s="528" t="e">
        <f t="shared" si="17"/>
        <v>#REF!</v>
      </c>
      <c r="AJ43" s="528" t="e">
        <f t="shared" si="18"/>
        <v>#REF!</v>
      </c>
      <c r="AK43" s="528" t="e">
        <f t="shared" ca="1" si="26"/>
        <v>#NAME?</v>
      </c>
      <c r="AL43" s="528" t="e">
        <f t="shared" si="27"/>
        <v>#REF!</v>
      </c>
      <c r="AM43" s="528" t="e">
        <f t="shared" si="28"/>
        <v>#REF!</v>
      </c>
      <c r="AN43" s="528" t="e">
        <f t="shared" si="19"/>
        <v>#REF!</v>
      </c>
      <c r="AO43" s="528" t="e">
        <f t="shared" si="29"/>
        <v>#REF!</v>
      </c>
      <c r="AP43" s="528" t="e">
        <f t="shared" si="30"/>
        <v>#REF!</v>
      </c>
      <c r="AQ43" s="528" t="e">
        <f t="shared" si="20"/>
        <v>#REF!</v>
      </c>
      <c r="AR43" s="528" t="e">
        <f t="shared" si="21"/>
        <v>#REF!</v>
      </c>
      <c r="AS43" s="528" t="e">
        <f t="shared" ca="1" si="31"/>
        <v>#NAME?</v>
      </c>
      <c r="AT43" s="528" t="e">
        <f t="shared" ca="1" si="32"/>
        <v>#NAME?</v>
      </c>
      <c r="AU43" s="528" t="e">
        <f t="shared" si="33"/>
        <v>#REF!</v>
      </c>
      <c r="AV43" s="528" t="e">
        <f t="shared" si="34"/>
        <v>#REF!</v>
      </c>
      <c r="AW43" s="528" t="e">
        <f t="shared" si="35"/>
        <v>#REF!</v>
      </c>
      <c r="AX43" s="529" t="e">
        <f t="shared" si="36"/>
        <v>#REF!</v>
      </c>
      <c r="AY43" s="162" t="e">
        <f t="shared" ca="1" si="37"/>
        <v>#REF!</v>
      </c>
    </row>
    <row r="44" spans="1:52" s="162" customFormat="1">
      <c r="A44" s="240" t="s">
        <v>50</v>
      </c>
      <c r="B44" s="480" t="s">
        <v>450</v>
      </c>
      <c r="C44" s="635">
        <v>397.71653543307087</v>
      </c>
      <c r="D44" s="188"/>
      <c r="E44" s="225">
        <v>29.7</v>
      </c>
      <c r="F44" s="325">
        <v>0</v>
      </c>
      <c r="G44" s="303">
        <v>2600</v>
      </c>
      <c r="H44" s="335"/>
      <c r="I44" s="335"/>
      <c r="J44" s="334">
        <v>0</v>
      </c>
      <c r="K44" s="303">
        <v>37.5</v>
      </c>
      <c r="L44" s="336"/>
      <c r="M44" s="337">
        <v>700</v>
      </c>
      <c r="N44" s="407">
        <v>250</v>
      </c>
      <c r="O44" s="191"/>
      <c r="P44" s="306">
        <v>250</v>
      </c>
      <c r="Q44" s="303">
        <v>559.79</v>
      </c>
      <c r="R44" s="303">
        <v>37.24</v>
      </c>
      <c r="S44" s="303">
        <v>37.24</v>
      </c>
      <c r="T44" s="409">
        <v>50</v>
      </c>
      <c r="U44" s="409">
        <v>50</v>
      </c>
      <c r="V44" s="545">
        <f t="shared" si="12"/>
        <v>4226.7299999999996</v>
      </c>
      <c r="W44" s="524" t="e">
        <f t="shared" si="22"/>
        <v>#REF!</v>
      </c>
      <c r="X44" s="524" t="e">
        <f>$Y$32 + IF($B$2="mil",1,0.0254)*DDR2Specs!$E$9</f>
        <v>#REF!</v>
      </c>
      <c r="Y44" s="547" t="e">
        <f>$X$32 + IF($B$2="mil",1,0.0254)*DDR2Specs!$F$9</f>
        <v>#REF!</v>
      </c>
      <c r="Z44" s="546" t="e">
        <f t="shared" si="13"/>
        <v>#REF!</v>
      </c>
      <c r="AA44" s="547" t="e">
        <f t="shared" si="14"/>
        <v>#REF!</v>
      </c>
      <c r="AB44" s="545">
        <f t="shared" si="23"/>
        <v>4226.7299999999996</v>
      </c>
      <c r="AC44" s="524" t="e">
        <f t="shared" si="24"/>
        <v>#REF!</v>
      </c>
      <c r="AD44" s="524" t="e">
        <f>$AE$32 + IF($B$2="mil",1,0.0254)*DDR2Specs!$E$9</f>
        <v>#REF!</v>
      </c>
      <c r="AE44" s="524" t="e">
        <f>$AD$32 + IF($B$2="mil",1,0.0254)*DDR2Specs!$F$9</f>
        <v>#REF!</v>
      </c>
      <c r="AF44" s="546" t="e">
        <f t="shared" si="15"/>
        <v>#REF!</v>
      </c>
      <c r="AG44" s="547" t="e">
        <f t="shared" si="16"/>
        <v>#REF!</v>
      </c>
      <c r="AH44" s="527" t="e">
        <f t="shared" si="25"/>
        <v>#REF!</v>
      </c>
      <c r="AI44" s="528" t="e">
        <f t="shared" si="17"/>
        <v>#REF!</v>
      </c>
      <c r="AJ44" s="528" t="e">
        <f t="shared" si="18"/>
        <v>#REF!</v>
      </c>
      <c r="AK44" s="528" t="e">
        <f t="shared" ca="1" si="26"/>
        <v>#NAME?</v>
      </c>
      <c r="AL44" s="528" t="e">
        <f t="shared" si="27"/>
        <v>#REF!</v>
      </c>
      <c r="AM44" s="528" t="e">
        <f t="shared" si="28"/>
        <v>#REF!</v>
      </c>
      <c r="AN44" s="528" t="e">
        <f t="shared" si="19"/>
        <v>#REF!</v>
      </c>
      <c r="AO44" s="528" t="e">
        <f t="shared" si="29"/>
        <v>#REF!</v>
      </c>
      <c r="AP44" s="528" t="e">
        <f t="shared" si="30"/>
        <v>#REF!</v>
      </c>
      <c r="AQ44" s="528" t="e">
        <f t="shared" si="20"/>
        <v>#REF!</v>
      </c>
      <c r="AR44" s="528" t="e">
        <f t="shared" si="21"/>
        <v>#REF!</v>
      </c>
      <c r="AS44" s="528" t="e">
        <f t="shared" ca="1" si="31"/>
        <v>#NAME?</v>
      </c>
      <c r="AT44" s="528" t="e">
        <f t="shared" ca="1" si="32"/>
        <v>#NAME?</v>
      </c>
      <c r="AU44" s="528" t="e">
        <f t="shared" si="33"/>
        <v>#REF!</v>
      </c>
      <c r="AV44" s="528" t="e">
        <f t="shared" si="34"/>
        <v>#REF!</v>
      </c>
      <c r="AW44" s="528" t="e">
        <f t="shared" si="35"/>
        <v>#REF!</v>
      </c>
      <c r="AX44" s="529" t="e">
        <f t="shared" si="36"/>
        <v>#REF!</v>
      </c>
      <c r="AY44" s="162" t="e">
        <f t="shared" ca="1" si="37"/>
        <v>#REF!</v>
      </c>
    </row>
    <row r="45" spans="1:52" s="162" customFormat="1">
      <c r="A45" s="240" t="s">
        <v>51</v>
      </c>
      <c r="B45" s="480" t="s">
        <v>451</v>
      </c>
      <c r="C45" s="635">
        <v>543.54330708661416</v>
      </c>
      <c r="D45" s="188"/>
      <c r="E45" s="225">
        <v>29.7</v>
      </c>
      <c r="F45" s="325">
        <v>0</v>
      </c>
      <c r="G45" s="303">
        <v>2356.5300000000002</v>
      </c>
      <c r="H45" s="335"/>
      <c r="I45" s="335"/>
      <c r="J45" s="334">
        <v>0</v>
      </c>
      <c r="K45" s="303">
        <v>31.91</v>
      </c>
      <c r="L45" s="336"/>
      <c r="M45" s="337">
        <v>700</v>
      </c>
      <c r="N45" s="407">
        <v>250</v>
      </c>
      <c r="O45" s="191"/>
      <c r="P45" s="306">
        <v>250</v>
      </c>
      <c r="Q45" s="303">
        <v>632.15</v>
      </c>
      <c r="R45" s="303">
        <v>72.760000000000005</v>
      </c>
      <c r="S45" s="303">
        <v>72.760000000000005</v>
      </c>
      <c r="T45" s="409">
        <v>50</v>
      </c>
      <c r="U45" s="409">
        <v>50</v>
      </c>
      <c r="V45" s="545">
        <f t="shared" si="12"/>
        <v>4091.1400000000003</v>
      </c>
      <c r="W45" s="524" t="e">
        <f t="shared" si="22"/>
        <v>#REF!</v>
      </c>
      <c r="X45" s="524" t="e">
        <f>$Y$32 + IF($B$2="mil",1,0.0254)*DDR2Specs!$E$9</f>
        <v>#REF!</v>
      </c>
      <c r="Y45" s="547" t="e">
        <f>$X$32 + IF($B$2="mil",1,0.0254)*DDR2Specs!$F$9</f>
        <v>#REF!</v>
      </c>
      <c r="Z45" s="546" t="e">
        <f t="shared" si="13"/>
        <v>#REF!</v>
      </c>
      <c r="AA45" s="547" t="e">
        <f t="shared" si="14"/>
        <v>#REF!</v>
      </c>
      <c r="AB45" s="545">
        <f t="shared" si="23"/>
        <v>4091.1400000000003</v>
      </c>
      <c r="AC45" s="524" t="e">
        <f t="shared" si="24"/>
        <v>#REF!</v>
      </c>
      <c r="AD45" s="524" t="e">
        <f>$AE$32 + IF($B$2="mil",1,0.0254)*DDR2Specs!$E$9</f>
        <v>#REF!</v>
      </c>
      <c r="AE45" s="524" t="e">
        <f>$AD$32 + IF($B$2="mil",1,0.0254)*DDR2Specs!$F$9</f>
        <v>#REF!</v>
      </c>
      <c r="AF45" s="546" t="e">
        <f t="shared" si="15"/>
        <v>#REF!</v>
      </c>
      <c r="AG45" s="547" t="e">
        <f t="shared" si="16"/>
        <v>#REF!</v>
      </c>
      <c r="AH45" s="527" t="e">
        <f t="shared" si="25"/>
        <v>#REF!</v>
      </c>
      <c r="AI45" s="528" t="e">
        <f t="shared" si="17"/>
        <v>#REF!</v>
      </c>
      <c r="AJ45" s="528" t="e">
        <f t="shared" si="18"/>
        <v>#REF!</v>
      </c>
      <c r="AK45" s="528" t="e">
        <f t="shared" ca="1" si="26"/>
        <v>#NAME?</v>
      </c>
      <c r="AL45" s="528" t="e">
        <f t="shared" si="27"/>
        <v>#REF!</v>
      </c>
      <c r="AM45" s="528" t="e">
        <f t="shared" si="28"/>
        <v>#REF!</v>
      </c>
      <c r="AN45" s="528" t="e">
        <f t="shared" si="19"/>
        <v>#REF!</v>
      </c>
      <c r="AO45" s="528" t="e">
        <f t="shared" si="29"/>
        <v>#REF!</v>
      </c>
      <c r="AP45" s="528" t="e">
        <f t="shared" si="30"/>
        <v>#REF!</v>
      </c>
      <c r="AQ45" s="528" t="e">
        <f t="shared" si="20"/>
        <v>#REF!</v>
      </c>
      <c r="AR45" s="528" t="e">
        <f t="shared" si="21"/>
        <v>#REF!</v>
      </c>
      <c r="AS45" s="528" t="e">
        <f t="shared" ca="1" si="31"/>
        <v>#NAME?</v>
      </c>
      <c r="AT45" s="528" t="e">
        <f t="shared" ca="1" si="32"/>
        <v>#NAME?</v>
      </c>
      <c r="AU45" s="528" t="e">
        <f t="shared" si="33"/>
        <v>#REF!</v>
      </c>
      <c r="AV45" s="528" t="e">
        <f t="shared" si="34"/>
        <v>#REF!</v>
      </c>
      <c r="AW45" s="528" t="e">
        <f t="shared" si="35"/>
        <v>#REF!</v>
      </c>
      <c r="AX45" s="529" t="e">
        <f t="shared" si="36"/>
        <v>#REF!</v>
      </c>
      <c r="AY45" s="162" t="e">
        <f t="shared" ca="1" si="37"/>
        <v>#REF!</v>
      </c>
    </row>
    <row r="46" spans="1:52" s="162" customFormat="1">
      <c r="A46" s="240" t="s">
        <v>52</v>
      </c>
      <c r="B46" s="480" t="s">
        <v>452</v>
      </c>
      <c r="C46" s="635">
        <v>492.79527559055117</v>
      </c>
      <c r="D46" s="188"/>
      <c r="E46" s="225">
        <v>29.7</v>
      </c>
      <c r="F46" s="325">
        <v>0</v>
      </c>
      <c r="G46" s="303">
        <v>2564.5700000000002</v>
      </c>
      <c r="H46" s="335"/>
      <c r="I46" s="335"/>
      <c r="J46" s="334">
        <v>0</v>
      </c>
      <c r="K46" s="303">
        <v>37.74</v>
      </c>
      <c r="L46" s="336"/>
      <c r="M46" s="337">
        <v>700</v>
      </c>
      <c r="N46" s="407">
        <v>140</v>
      </c>
      <c r="O46" s="191"/>
      <c r="P46" s="306">
        <v>140</v>
      </c>
      <c r="Q46" s="303">
        <v>566.39</v>
      </c>
      <c r="R46" s="303">
        <v>77.489999999999995</v>
      </c>
      <c r="S46" s="303">
        <v>77.489999999999995</v>
      </c>
      <c r="T46" s="409">
        <v>50</v>
      </c>
      <c r="U46" s="409">
        <v>50</v>
      </c>
      <c r="V46" s="545">
        <f t="shared" si="12"/>
        <v>4128.1499999999996</v>
      </c>
      <c r="W46" s="524" t="e">
        <f t="shared" si="22"/>
        <v>#REF!</v>
      </c>
      <c r="X46" s="524" t="e">
        <f>$Y$32 + IF($B$2="mil",1,0.0254)*DDR2Specs!$E$9</f>
        <v>#REF!</v>
      </c>
      <c r="Y46" s="547" t="e">
        <f>$X$32 + IF($B$2="mil",1,0.0254)*DDR2Specs!$F$9</f>
        <v>#REF!</v>
      </c>
      <c r="Z46" s="546" t="e">
        <f t="shared" si="13"/>
        <v>#REF!</v>
      </c>
      <c r="AA46" s="547" t="e">
        <f t="shared" si="14"/>
        <v>#REF!</v>
      </c>
      <c r="AB46" s="545">
        <f t="shared" si="23"/>
        <v>4128.1499999999996</v>
      </c>
      <c r="AC46" s="524" t="e">
        <f t="shared" si="24"/>
        <v>#REF!</v>
      </c>
      <c r="AD46" s="524" t="e">
        <f>$AE$32 + IF($B$2="mil",1,0.0254)*DDR2Specs!$E$9</f>
        <v>#REF!</v>
      </c>
      <c r="AE46" s="524" t="e">
        <f>$AD$32 + IF($B$2="mil",1,0.0254)*DDR2Specs!$F$9</f>
        <v>#REF!</v>
      </c>
      <c r="AF46" s="546" t="e">
        <f t="shared" si="15"/>
        <v>#REF!</v>
      </c>
      <c r="AG46" s="547" t="e">
        <f t="shared" si="16"/>
        <v>#REF!</v>
      </c>
      <c r="AH46" s="527" t="e">
        <f t="shared" si="25"/>
        <v>#REF!</v>
      </c>
      <c r="AI46" s="528" t="e">
        <f t="shared" si="17"/>
        <v>#REF!</v>
      </c>
      <c r="AJ46" s="528" t="e">
        <f t="shared" si="18"/>
        <v>#REF!</v>
      </c>
      <c r="AK46" s="528" t="e">
        <f t="shared" ca="1" si="26"/>
        <v>#NAME?</v>
      </c>
      <c r="AL46" s="528" t="e">
        <f t="shared" si="27"/>
        <v>#REF!</v>
      </c>
      <c r="AM46" s="528" t="e">
        <f t="shared" si="28"/>
        <v>#REF!</v>
      </c>
      <c r="AN46" s="528" t="e">
        <f t="shared" si="19"/>
        <v>#REF!</v>
      </c>
      <c r="AO46" s="528" t="e">
        <f t="shared" si="29"/>
        <v>#REF!</v>
      </c>
      <c r="AP46" s="528" t="e">
        <f t="shared" si="30"/>
        <v>#REF!</v>
      </c>
      <c r="AQ46" s="528" t="e">
        <f t="shared" si="20"/>
        <v>#REF!</v>
      </c>
      <c r="AR46" s="528" t="e">
        <f t="shared" si="21"/>
        <v>#REF!</v>
      </c>
      <c r="AS46" s="528" t="e">
        <f t="shared" ca="1" si="31"/>
        <v>#NAME?</v>
      </c>
      <c r="AT46" s="528" t="e">
        <f t="shared" ca="1" si="32"/>
        <v>#NAME?</v>
      </c>
      <c r="AU46" s="528" t="e">
        <f t="shared" si="33"/>
        <v>#REF!</v>
      </c>
      <c r="AV46" s="528" t="e">
        <f t="shared" si="34"/>
        <v>#REF!</v>
      </c>
      <c r="AW46" s="528" t="e">
        <f t="shared" si="35"/>
        <v>#REF!</v>
      </c>
      <c r="AX46" s="529" t="e">
        <f t="shared" si="36"/>
        <v>#REF!</v>
      </c>
      <c r="AY46" s="162" t="e">
        <f t="shared" ca="1" si="37"/>
        <v>#REF!</v>
      </c>
    </row>
    <row r="47" spans="1:52" s="162" customFormat="1">
      <c r="A47" s="240" t="s">
        <v>53</v>
      </c>
      <c r="B47" s="480" t="s">
        <v>332</v>
      </c>
      <c r="C47" s="635">
        <v>514.48818897637796</v>
      </c>
      <c r="D47" s="188"/>
      <c r="E47" s="225">
        <v>29.7</v>
      </c>
      <c r="F47" s="325">
        <v>0</v>
      </c>
      <c r="G47" s="303">
        <v>2464.5700000000002</v>
      </c>
      <c r="H47" s="335"/>
      <c r="I47" s="335"/>
      <c r="J47" s="334">
        <v>0</v>
      </c>
      <c r="K47" s="303">
        <v>37.74</v>
      </c>
      <c r="L47" s="336"/>
      <c r="M47" s="337">
        <v>700</v>
      </c>
      <c r="N47" s="407">
        <v>120</v>
      </c>
      <c r="O47" s="191"/>
      <c r="P47" s="306">
        <v>120</v>
      </c>
      <c r="Q47" s="303">
        <v>566.39</v>
      </c>
      <c r="R47" s="303">
        <v>77.489999999999995</v>
      </c>
      <c r="S47" s="303">
        <v>77.489999999999995</v>
      </c>
      <c r="T47" s="409">
        <v>50</v>
      </c>
      <c r="U47" s="409">
        <v>50</v>
      </c>
      <c r="V47" s="545">
        <f t="shared" si="12"/>
        <v>4008.1499999999996</v>
      </c>
      <c r="W47" s="524" t="e">
        <f t="shared" si="22"/>
        <v>#REF!</v>
      </c>
      <c r="X47" s="524" t="e">
        <f>$Y$32 + IF($B$2="mil",1,0.0254)*DDR2Specs!$E$9</f>
        <v>#REF!</v>
      </c>
      <c r="Y47" s="547" t="e">
        <f>$X$32 + IF($B$2="mil",1,0.0254)*DDR2Specs!$F$9</f>
        <v>#REF!</v>
      </c>
      <c r="Z47" s="546" t="e">
        <f t="shared" si="13"/>
        <v>#REF!</v>
      </c>
      <c r="AA47" s="547" t="e">
        <f t="shared" si="14"/>
        <v>#REF!</v>
      </c>
      <c r="AB47" s="545">
        <f t="shared" si="23"/>
        <v>4008.1499999999996</v>
      </c>
      <c r="AC47" s="524" t="e">
        <f>$AB47+IF($B$2="mil",1,0.0254)*$C47</f>
        <v>#REF!</v>
      </c>
      <c r="AD47" s="524" t="e">
        <f>$AE$32 + IF($B$2="mil",1,0.0254)*DDR2Specs!$E$9</f>
        <v>#REF!</v>
      </c>
      <c r="AE47" s="524" t="e">
        <f>$AD$32 + IF($B$2="mil",1,0.0254)*DDR2Specs!$F$9</f>
        <v>#REF!</v>
      </c>
      <c r="AF47" s="546" t="e">
        <f t="shared" si="15"/>
        <v>#REF!</v>
      </c>
      <c r="AG47" s="547" t="e">
        <f t="shared" si="16"/>
        <v>#REF!</v>
      </c>
      <c r="AH47" s="527" t="e">
        <f t="shared" si="25"/>
        <v>#REF!</v>
      </c>
      <c r="AI47" s="528" t="e">
        <f t="shared" si="17"/>
        <v>#REF!</v>
      </c>
      <c r="AJ47" s="528" t="e">
        <f t="shared" si="18"/>
        <v>#REF!</v>
      </c>
      <c r="AK47" s="528" t="e">
        <f t="shared" ca="1" si="26"/>
        <v>#NAME?</v>
      </c>
      <c r="AL47" s="528" t="e">
        <f t="shared" si="27"/>
        <v>#REF!</v>
      </c>
      <c r="AM47" s="528" t="e">
        <f t="shared" si="28"/>
        <v>#REF!</v>
      </c>
      <c r="AN47" s="528" t="e">
        <f t="shared" si="19"/>
        <v>#REF!</v>
      </c>
      <c r="AO47" s="528" t="e">
        <f t="shared" si="29"/>
        <v>#REF!</v>
      </c>
      <c r="AP47" s="528" t="e">
        <f t="shared" si="30"/>
        <v>#REF!</v>
      </c>
      <c r="AQ47" s="528" t="e">
        <f t="shared" si="20"/>
        <v>#REF!</v>
      </c>
      <c r="AR47" s="528" t="e">
        <f t="shared" si="21"/>
        <v>#REF!</v>
      </c>
      <c r="AS47" s="528" t="e">
        <f t="shared" ca="1" si="31"/>
        <v>#NAME?</v>
      </c>
      <c r="AT47" s="528" t="e">
        <f t="shared" ca="1" si="32"/>
        <v>#NAME?</v>
      </c>
      <c r="AU47" s="528" t="e">
        <f t="shared" si="33"/>
        <v>#REF!</v>
      </c>
      <c r="AV47" s="528" t="e">
        <f t="shared" si="34"/>
        <v>#REF!</v>
      </c>
      <c r="AW47" s="528" t="e">
        <f t="shared" si="35"/>
        <v>#REF!</v>
      </c>
      <c r="AX47" s="529" t="e">
        <f t="shared" si="36"/>
        <v>#REF!</v>
      </c>
      <c r="AY47" s="162" t="e">
        <f t="shared" ca="1" si="37"/>
        <v>#REF!</v>
      </c>
    </row>
    <row r="48" spans="1:52" s="213" customFormat="1" ht="11.25">
      <c r="A48" s="205" t="s">
        <v>230</v>
      </c>
      <c r="B48" s="205"/>
      <c r="C48" s="639"/>
      <c r="D48" s="179"/>
      <c r="E48" s="155"/>
      <c r="F48" s="206"/>
      <c r="G48" s="338"/>
      <c r="H48" s="339"/>
      <c r="I48" s="339"/>
      <c r="J48" s="338"/>
      <c r="K48" s="338"/>
      <c r="L48" s="338"/>
      <c r="M48" s="338"/>
      <c r="N48" s="472"/>
      <c r="O48" s="349"/>
      <c r="P48" s="338"/>
      <c r="Q48" s="338"/>
      <c r="R48" s="338"/>
      <c r="S48" s="338"/>
      <c r="T48" s="433"/>
      <c r="U48" s="433"/>
      <c r="V48" s="207"/>
      <c r="W48" s="207"/>
      <c r="X48" s="207"/>
      <c r="Y48" s="571"/>
      <c r="Z48" s="430"/>
      <c r="AA48" s="430"/>
      <c r="AB48" s="430"/>
      <c r="AC48" s="430"/>
      <c r="AD48" s="430"/>
      <c r="AE48" s="430"/>
      <c r="AF48" s="430"/>
      <c r="AG48" s="430"/>
      <c r="AH48" s="430"/>
      <c r="AI48" s="548"/>
      <c r="AJ48" s="179"/>
      <c r="AK48" s="179"/>
      <c r="AL48" s="179"/>
      <c r="AM48" s="179"/>
      <c r="AN48" s="179"/>
      <c r="AO48" s="179"/>
      <c r="AP48" s="179"/>
      <c r="AQ48" s="179"/>
      <c r="AR48" s="179"/>
      <c r="AS48" s="179"/>
      <c r="AT48" s="179"/>
      <c r="AU48" s="179"/>
      <c r="AV48" s="430"/>
      <c r="AW48" s="179"/>
      <c r="AX48" s="549"/>
    </row>
    <row r="49" spans="1:52" s="162" customFormat="1">
      <c r="A49" s="185" t="s">
        <v>54</v>
      </c>
      <c r="B49" s="480" t="s">
        <v>453</v>
      </c>
      <c r="C49" s="635">
        <v>428.58267716535431</v>
      </c>
      <c r="D49" s="188"/>
      <c r="E49" s="225">
        <v>29.7</v>
      </c>
      <c r="F49" s="225">
        <v>0</v>
      </c>
      <c r="G49" s="303">
        <v>2650.64</v>
      </c>
      <c r="H49" s="335"/>
      <c r="I49" s="335"/>
      <c r="J49" s="334">
        <v>0</v>
      </c>
      <c r="K49" s="337">
        <v>40</v>
      </c>
      <c r="L49" s="336"/>
      <c r="M49" s="337">
        <v>600</v>
      </c>
      <c r="N49" s="408">
        <v>40.28</v>
      </c>
      <c r="O49" s="191"/>
      <c r="P49" s="303">
        <v>40.28</v>
      </c>
      <c r="Q49" s="303">
        <v>570.59</v>
      </c>
      <c r="R49" s="337">
        <v>72.239999999999995</v>
      </c>
      <c r="S49" s="337">
        <v>72.239999999999995</v>
      </c>
      <c r="T49" s="409">
        <v>50</v>
      </c>
      <c r="U49" s="409">
        <v>50</v>
      </c>
      <c r="V49" s="545">
        <f>SUM($E49:$G49,$M49,$Q49:$R49,$N49,$T49)</f>
        <v>4013.45</v>
      </c>
      <c r="W49" s="524" t="e">
        <f t="shared" si="22"/>
        <v>#REF!</v>
      </c>
      <c r="X49" s="524" t="e">
        <f>$Y$32 + IF($B$2="mil",1,0.0254)*DDR2Specs!$E$9</f>
        <v>#REF!</v>
      </c>
      <c r="Y49" s="547" t="e">
        <f>$X$32 + IF($B$2="mil",1,0.0254)*DDR2Specs!$F$9</f>
        <v>#REF!</v>
      </c>
      <c r="Z49" s="546" t="e">
        <f>IF($W49&lt;$X49,$X49-$W49,"Pass")</f>
        <v>#REF!</v>
      </c>
      <c r="AA49" s="547" t="e">
        <f>IF($W49&gt;$Y49,$W49-$Y49,"Pass")</f>
        <v>#REF!</v>
      </c>
      <c r="AB49" s="545">
        <f t="shared" si="23"/>
        <v>4013.45</v>
      </c>
      <c r="AC49" s="524" t="e">
        <f>$AB49+IF($B$2="mil",1,0.0254)*$C49</f>
        <v>#REF!</v>
      </c>
      <c r="AD49" s="524" t="e">
        <f>$AE$32 + IF($B$2="mil",1,0.0254)*DDR2Specs!$E$9</f>
        <v>#REF!</v>
      </c>
      <c r="AE49" s="524" t="e">
        <f>$AD$32 + IF($B$2="mil",1,0.0254)*DDR2Specs!$F$9</f>
        <v>#REF!</v>
      </c>
      <c r="AF49" s="546" t="e">
        <f>IF($AC49&lt;$AD49,$AD49-$AC49,"Pass")</f>
        <v>#REF!</v>
      </c>
      <c r="AG49" s="547" t="e">
        <f>IF($AC49&gt;$AE49,$AC49-$AE49,"Pass")</f>
        <v>#REF!</v>
      </c>
      <c r="AH49" s="527" t="e">
        <f>IF($E49&lt;=IF($B$2="mil",1,0.0254)*50,"Pass",IF($B$2="mil",1,0.0254)*50-$E49)</f>
        <v>#REF!</v>
      </c>
      <c r="AI49" s="528" t="e">
        <f>IF($F49&lt;=IF($B$2="mil",1,0.0254)*500,"Pass",IF($B$2="mil",1,0.0254)*500-$F49)</f>
        <v>#REF!</v>
      </c>
      <c r="AJ49" s="528" t="e">
        <f>IF($J49&lt;=IF($B$2="mil",1,0.0254)*1000,"Pass",IF($B$2="mil",1,0.0254)*1000-$J49)</f>
        <v>#REF!</v>
      </c>
      <c r="AK49" s="528" t="e">
        <f ca="1">CheckLength2(1200,J49,K49,0)</f>
        <v>#NAME?</v>
      </c>
      <c r="AL49" s="528" t="e">
        <f>IF(M49&lt;=IF($B$2="mil",1,0.0254)*2000,"Pass",IF($B$2="mil",1,0.0254)*2000-M49)</f>
        <v>#REF!</v>
      </c>
      <c r="AM49" s="528" t="e">
        <f>IF(N49&lt;=IF($B$2="mil",1,0.0254)*1000,"Pass",IF($B$2="mil",1,0.0254)*1000-N49)</f>
        <v>#REF!</v>
      </c>
      <c r="AN49" s="528" t="e">
        <f>IF(MAX(N49,P49)-MIN(N49,P49)&lt;=IF($B$2="mil",1,0.0254)*50,"Pass",MAX(N49,P49)-MIN(N49,P49)-IF($B$2="mil",1,0.0254)*50)</f>
        <v>#REF!</v>
      </c>
      <c r="AO49" s="528" t="e">
        <f>IF($Q49&lt;=IF($B$2="mil",1,0.0254)*1000,"Pass",IF($B$2="mil",1,0.0254)*1000-$Q49)</f>
        <v>#REF!</v>
      </c>
      <c r="AP49" s="528" t="e">
        <f t="shared" si="30"/>
        <v>#REF!</v>
      </c>
      <c r="AQ49" s="528" t="e">
        <f>IF($R49&lt;=IF($B$2="mil",1,0.0254)*750,"Pass",IF($B$2="mil",1,0.0254)*750-$R49)</f>
        <v>#REF!</v>
      </c>
      <c r="AR49" s="528" t="e">
        <f>IF($S49&lt;=IF($B$2="mil",1,0.0254)*750,"Pass",IF($B$2="mil",1,0.0254)*750-$S49)</f>
        <v>#REF!</v>
      </c>
      <c r="AS49" s="528" t="e">
        <f t="shared" ref="AS49:AT51" ca="1" si="38">CheckLength2(IF($B$2="mil",1,0.0254)*950,R49,T49,0)</f>
        <v>#NAME?</v>
      </c>
      <c r="AT49" s="528" t="e">
        <f t="shared" ca="1" si="38"/>
        <v>#NAME?</v>
      </c>
      <c r="AU49" s="528" t="e">
        <f>IF(AND($V49&gt;=IF($B$2="mil",1,0.0254)*500, $V49&lt;=IF($B$2="mil",1,0.0254)*6500),"Pass",IF($B$2="mil",1,0.0254)*6500-$V49)</f>
        <v>#REF!</v>
      </c>
      <c r="AV49" s="528" t="e">
        <f>IF(AND($W49&gt;=IF($B$2="mil",1,0.0254)*500, $W49&lt;=IF($B$2="mil",1,0.0254)*7000),"Pass",IF($B$2="mil",1,0.0254)*7000-$W49)</f>
        <v>#REF!</v>
      </c>
      <c r="AW49" s="528" t="e">
        <f>IF(AND($AB49&gt;=IF($B$2="mil",1,0.0254)*500, $AB49&lt;=IF($B$2="mil",1,0.0254)*6500),"Pass",IF($B$2="mil",1,0.0254)*6500-$AB49)</f>
        <v>#REF!</v>
      </c>
      <c r="AX49" s="529" t="e">
        <f>IF(AND($AC49&gt;=IF($B$2="mil",1,0.0254)*500, $AC49&lt;=IF($B$2="mil",1,0.0254)*7000),"Pass",IF($B$2="mil",1,0.0254)*7000-$AC49)</f>
        <v>#REF!</v>
      </c>
      <c r="AY49" s="162" t="e">
        <f t="shared" ca="1" si="37"/>
        <v>#REF!</v>
      </c>
    </row>
    <row r="50" spans="1:52" s="162" customFormat="1">
      <c r="A50" s="241" t="s">
        <v>55</v>
      </c>
      <c r="B50" s="480" t="s">
        <v>366</v>
      </c>
      <c r="C50" s="635">
        <v>331.69291338582678</v>
      </c>
      <c r="D50" s="264"/>
      <c r="E50" s="225">
        <v>29.7</v>
      </c>
      <c r="F50" s="326">
        <v>0</v>
      </c>
      <c r="G50" s="303">
        <v>2430</v>
      </c>
      <c r="H50" s="335"/>
      <c r="I50" s="335"/>
      <c r="J50" s="341">
        <v>0</v>
      </c>
      <c r="K50" s="337">
        <v>37.5</v>
      </c>
      <c r="L50" s="336"/>
      <c r="M50" s="337">
        <v>600</v>
      </c>
      <c r="N50" s="408">
        <v>313.86</v>
      </c>
      <c r="O50" s="191"/>
      <c r="P50" s="303">
        <v>313.86</v>
      </c>
      <c r="Q50" s="303">
        <v>585.74</v>
      </c>
      <c r="R50" s="337">
        <v>51.87</v>
      </c>
      <c r="S50" s="337">
        <v>51.87</v>
      </c>
      <c r="T50" s="409">
        <v>50</v>
      </c>
      <c r="U50" s="409">
        <v>50</v>
      </c>
      <c r="V50" s="545">
        <f>SUM($E50:$G50,$M50,$Q50:$R50,$N50,$T50)</f>
        <v>4061.1699999999996</v>
      </c>
      <c r="W50" s="524" t="e">
        <f t="shared" si="22"/>
        <v>#REF!</v>
      </c>
      <c r="X50" s="524" t="e">
        <f>$Y$32 + IF($B$2="mil",1,0.0254)*DDR2Specs!$E$9</f>
        <v>#REF!</v>
      </c>
      <c r="Y50" s="547" t="e">
        <f>$X$32 + IF($B$2="mil",1,0.0254)*DDR2Specs!$F$9</f>
        <v>#REF!</v>
      </c>
      <c r="Z50" s="546" t="e">
        <f>IF($W50&lt;$X50,$X50-$W50,"Pass")</f>
        <v>#REF!</v>
      </c>
      <c r="AA50" s="547" t="e">
        <f>IF($W50&gt;$Y50,$W50-$Y50,"Pass")</f>
        <v>#REF!</v>
      </c>
      <c r="AB50" s="545">
        <f t="shared" si="23"/>
        <v>4061.1699999999996</v>
      </c>
      <c r="AC50" s="524" t="e">
        <f>$AB50+IF($B$2="mil",1,0.0254)*$C50</f>
        <v>#REF!</v>
      </c>
      <c r="AD50" s="524" t="e">
        <f>$AE$32 + IF($B$2="mil",1,0.0254)*DDR2Specs!$E$9</f>
        <v>#REF!</v>
      </c>
      <c r="AE50" s="524" t="e">
        <f>$AD$32 + IF($B$2="mil",1,0.0254)*DDR2Specs!$F$9</f>
        <v>#REF!</v>
      </c>
      <c r="AF50" s="546" t="e">
        <f>IF($AC50&lt;$AD50,$AD50-$AC50,"Pass")</f>
        <v>#REF!</v>
      </c>
      <c r="AG50" s="547" t="e">
        <f>IF($AC50&gt;$AE50,$AC50-$AE50,"Pass")</f>
        <v>#REF!</v>
      </c>
      <c r="AH50" s="527" t="e">
        <f>IF($E50&lt;=IF($B$2="mil",1,0.0254)*50,"Pass",IF($B$2="mil",1,0.0254)*50-$E50)</f>
        <v>#REF!</v>
      </c>
      <c r="AI50" s="528" t="e">
        <f>IF($F50&lt;=IF($B$2="mil",1,0.0254)*500,"Pass",IF($B$2="mil",1,0.0254)*500-$F50)</f>
        <v>#REF!</v>
      </c>
      <c r="AJ50" s="528" t="e">
        <f>IF($J50&lt;=IF($B$2="mil",1,0.0254)*1000,"Pass",IF($B$2="mil",1,0.0254)*1000-$J50)</f>
        <v>#REF!</v>
      </c>
      <c r="AK50" s="528" t="e">
        <f ca="1">CheckLength2(1200,J50,K50,0)</f>
        <v>#NAME?</v>
      </c>
      <c r="AL50" s="528" t="e">
        <f>IF(M50&lt;=IF($B$2="mil",1,0.0254)*2000,"Pass",IF($B$2="mil",1,0.0254)*2000-M50)</f>
        <v>#REF!</v>
      </c>
      <c r="AM50" s="528" t="e">
        <f>IF(N50&lt;=IF($B$2="mil",1,0.0254)*1000,"Pass",IF($B$2="mil",1,0.0254)*1000-N50)</f>
        <v>#REF!</v>
      </c>
      <c r="AN50" s="528" t="e">
        <f>IF(MAX(N50,P50)-MIN(N50,P50)&lt;=IF($B$2="mil",1,0.0254)*50,"Pass",MAX(N50,P50)-MIN(N50,P50)-IF($B$2="mil",1,0.0254)*50)</f>
        <v>#REF!</v>
      </c>
      <c r="AO50" s="528" t="e">
        <f>IF($Q50&lt;=IF($B$2="mil",1,0.0254)*1000,"Pass",IF($B$2="mil",1,0.0254)*1000-$Q50)</f>
        <v>#REF!</v>
      </c>
      <c r="AP50" s="528" t="e">
        <f t="shared" si="30"/>
        <v>#REF!</v>
      </c>
      <c r="AQ50" s="528" t="e">
        <f>IF($R50&lt;=IF($B$2="mil",1,0.0254)*750,"Pass",IF($B$2="mil",1,0.0254)*750-$R50)</f>
        <v>#REF!</v>
      </c>
      <c r="AR50" s="528" t="e">
        <f>IF($S50&lt;=IF($B$2="mil",1,0.0254)*750,"Pass",IF($B$2="mil",1,0.0254)*750-$S50)</f>
        <v>#REF!</v>
      </c>
      <c r="AS50" s="528" t="e">
        <f t="shared" ca="1" si="38"/>
        <v>#NAME?</v>
      </c>
      <c r="AT50" s="528" t="e">
        <f t="shared" ca="1" si="38"/>
        <v>#NAME?</v>
      </c>
      <c r="AU50" s="528" t="e">
        <f>IF(AND($V50&gt;=IF($B$2="mil",1,0.0254)*500, $V50&lt;=IF($B$2="mil",1,0.0254)*6500),"Pass",IF($B$2="mil",1,0.0254)*6500-$V50)</f>
        <v>#REF!</v>
      </c>
      <c r="AV50" s="528" t="e">
        <f>IF(AND($W50&gt;=IF($B$2="mil",1,0.0254)*500, $W50&lt;=IF($B$2="mil",1,0.0254)*7000),"Pass",IF($B$2="mil",1,0.0254)*7000-$W50)</f>
        <v>#REF!</v>
      </c>
      <c r="AW50" s="528" t="e">
        <f>IF(AND($AB50&gt;=IF($B$2="mil",1,0.0254)*500, $AB50&lt;=IF($B$2="mil",1,0.0254)*6500),"Pass",IF($B$2="mil",1,0.0254)*6500-$AB50)</f>
        <v>#REF!</v>
      </c>
      <c r="AX50" s="529" t="e">
        <f>IF(AND($AC50&gt;=IF($B$2="mil",1,0.0254)*500, $AC50&lt;=IF($B$2="mil",1,0.0254)*7000),"Pass",IF($B$2="mil",1,0.0254)*7000-$AC50)</f>
        <v>#REF!</v>
      </c>
      <c r="AY50" s="162" t="e">
        <f t="shared" ca="1" si="37"/>
        <v>#REF!</v>
      </c>
    </row>
    <row r="51" spans="1:52" s="162" customFormat="1">
      <c r="A51" s="241" t="s">
        <v>56</v>
      </c>
      <c r="B51" s="480" t="s">
        <v>454</v>
      </c>
      <c r="C51" s="635">
        <v>384.5275590551181</v>
      </c>
      <c r="D51" s="216"/>
      <c r="E51" s="225">
        <v>29.7</v>
      </c>
      <c r="F51" s="326">
        <v>0</v>
      </c>
      <c r="G51" s="303">
        <v>2400</v>
      </c>
      <c r="H51" s="335"/>
      <c r="I51" s="335"/>
      <c r="J51" s="341">
        <v>0</v>
      </c>
      <c r="K51" s="337">
        <v>40</v>
      </c>
      <c r="L51" s="336"/>
      <c r="M51" s="337">
        <v>600</v>
      </c>
      <c r="N51" s="408">
        <v>477.88</v>
      </c>
      <c r="O51" s="191"/>
      <c r="P51" s="303">
        <v>477.88</v>
      </c>
      <c r="Q51" s="303">
        <v>541.1</v>
      </c>
      <c r="R51" s="337">
        <v>74.75</v>
      </c>
      <c r="S51" s="337">
        <v>74.75</v>
      </c>
      <c r="T51" s="409">
        <v>50</v>
      </c>
      <c r="U51" s="409">
        <v>50</v>
      </c>
      <c r="V51" s="545">
        <f>SUM($E51:$G51,$M51,$Q51:$R51,$N51,$T51)</f>
        <v>4173.4299999999994</v>
      </c>
      <c r="W51" s="524" t="e">
        <f t="shared" si="22"/>
        <v>#REF!</v>
      </c>
      <c r="X51" s="524" t="e">
        <f>$Y$32 + IF($B$2="mil",1,0.0254)*DDR2Specs!$E$9</f>
        <v>#REF!</v>
      </c>
      <c r="Y51" s="547" t="e">
        <f>$X$32 + IF($B$2="mil",1,0.0254)*DDR2Specs!$F$9</f>
        <v>#REF!</v>
      </c>
      <c r="Z51" s="546" t="e">
        <f>IF($W51&lt;$X51,$X51-$W51,"Pass")</f>
        <v>#REF!</v>
      </c>
      <c r="AA51" s="547" t="e">
        <f>IF($W51&gt;$Y51,$W51-$Y51,"Pass")</f>
        <v>#REF!</v>
      </c>
      <c r="AB51" s="545">
        <f t="shared" si="23"/>
        <v>4173.43</v>
      </c>
      <c r="AC51" s="524" t="e">
        <f>$AB51+IF($B$2="mil",1,0.0254)*$C51</f>
        <v>#REF!</v>
      </c>
      <c r="AD51" s="524" t="e">
        <f>$AE$32 + IF($B$2="mil",1,0.0254)*DDR2Specs!$E$9</f>
        <v>#REF!</v>
      </c>
      <c r="AE51" s="524" t="e">
        <f>$AD$32 + IF($B$2="mil",1,0.0254)*DDR2Specs!$F$9</f>
        <v>#REF!</v>
      </c>
      <c r="AF51" s="546" t="e">
        <f>IF($AC51&lt;$AD51,$AD51-$AC51,"Pass")</f>
        <v>#REF!</v>
      </c>
      <c r="AG51" s="547" t="e">
        <f>IF($AC51&gt;$AE51,$AC51-$AE51,"Pass")</f>
        <v>#REF!</v>
      </c>
      <c r="AH51" s="527" t="e">
        <f>IF($E51&lt;=IF($B$2="mil",1,0.0254)*50,"Pass",IF($B$2="mil",1,0.0254)*50-$E51)</f>
        <v>#REF!</v>
      </c>
      <c r="AI51" s="528" t="e">
        <f>IF($F51&lt;=IF($B$2="mil",1,0.0254)*500,"Pass",IF($B$2="mil",1,0.0254)*500-$F51)</f>
        <v>#REF!</v>
      </c>
      <c r="AJ51" s="528" t="e">
        <f>IF($J51&lt;=IF($B$2="mil",1,0.0254)*1000,"Pass",IF($B$2="mil",1,0.0254)*1000-$J51)</f>
        <v>#REF!</v>
      </c>
      <c r="AK51" s="528" t="e">
        <f ca="1">CheckLength2(1200,J51,K51,0)</f>
        <v>#NAME?</v>
      </c>
      <c r="AL51" s="528" t="e">
        <f>IF(M51&lt;=IF($B$2="mil",1,0.0254)*2000,"Pass",IF($B$2="mil",1,0.0254)*2000-M51)</f>
        <v>#REF!</v>
      </c>
      <c r="AM51" s="528" t="e">
        <f>IF(N51&lt;=IF($B$2="mil",1,0.0254)*1000,"Pass",IF($B$2="mil",1,0.0254)*1000-N51)</f>
        <v>#REF!</v>
      </c>
      <c r="AN51" s="528" t="e">
        <f>IF(MAX(N51,P51)-MIN(N51,P51)&lt;=IF($B$2="mil",1,0.0254)*50,"Pass",MAX(N51,P51)-MIN(N51,P51)-IF($B$2="mil",1,0.0254)*50)</f>
        <v>#REF!</v>
      </c>
      <c r="AO51" s="528" t="e">
        <f>IF($Q51&lt;=IF($B$2="mil",1,0.0254)*1000,"Pass",IF($B$2="mil",1,0.0254)*1000-$Q51)</f>
        <v>#REF!</v>
      </c>
      <c r="AP51" s="528" t="e">
        <f t="shared" si="30"/>
        <v>#REF!</v>
      </c>
      <c r="AQ51" s="528" t="e">
        <f>IF($R51&lt;=IF($B$2="mil",1,0.0254)*750,"Pass",IF($B$2="mil",1,0.0254)*750-$R51)</f>
        <v>#REF!</v>
      </c>
      <c r="AR51" s="528" t="e">
        <f>IF($S51&lt;=IF($B$2="mil",1,0.0254)*750,"Pass",IF($B$2="mil",1,0.0254)*750-$S51)</f>
        <v>#REF!</v>
      </c>
      <c r="AS51" s="528" t="e">
        <f t="shared" ca="1" si="38"/>
        <v>#NAME?</v>
      </c>
      <c r="AT51" s="528" t="e">
        <f t="shared" ca="1" si="38"/>
        <v>#NAME?</v>
      </c>
      <c r="AU51" s="528" t="e">
        <f>IF(AND($V51&gt;=IF($B$2="mil",1,0.0254)*500, $V51&lt;=IF($B$2="mil",1,0.0254)*6500),"Pass",IF($B$2="mil",1,0.0254)*6500-$V51)</f>
        <v>#REF!</v>
      </c>
      <c r="AV51" s="528" t="e">
        <f>IF(AND($W51&gt;=IF($B$2="mil",1,0.0254)*500, $W51&lt;=IF($B$2="mil",1,0.0254)*7000),"Pass",IF($B$2="mil",1,0.0254)*7000-$W51)</f>
        <v>#REF!</v>
      </c>
      <c r="AW51" s="528" t="e">
        <f>IF(AND($AB51&gt;=IF($B$2="mil",1,0.0254)*500, $AB51&lt;=IF($B$2="mil",1,0.0254)*6500),"Pass",IF($B$2="mil",1,0.0254)*6500-$AB51)</f>
        <v>#REF!</v>
      </c>
      <c r="AX51" s="529" t="e">
        <f>IF(AND($AC51&gt;=IF($B$2="mil",1,0.0254)*500, $AC51&lt;=IF($B$2="mil",1,0.0254)*7000),"Pass",IF($B$2="mil",1,0.0254)*7000-$AC51)</f>
        <v>#REF!</v>
      </c>
      <c r="AY51" s="162" t="e">
        <f t="shared" ca="1" si="37"/>
        <v>#REF!</v>
      </c>
    </row>
    <row r="52" spans="1:52" s="213" customFormat="1" ht="11.25">
      <c r="A52" s="205" t="s">
        <v>231</v>
      </c>
      <c r="B52" s="205"/>
      <c r="C52" s="639"/>
      <c r="D52" s="179"/>
      <c r="E52" s="155"/>
      <c r="F52" s="206"/>
      <c r="G52" s="338"/>
      <c r="H52" s="339"/>
      <c r="I52" s="339"/>
      <c r="J52" s="338"/>
      <c r="K52" s="338"/>
      <c r="L52" s="338"/>
      <c r="M52" s="338"/>
      <c r="N52" s="472"/>
      <c r="O52" s="274"/>
      <c r="P52" s="338"/>
      <c r="Q52" s="338"/>
      <c r="R52" s="338"/>
      <c r="S52" s="338"/>
      <c r="T52" s="433"/>
      <c r="U52" s="433"/>
      <c r="V52" s="207"/>
      <c r="W52" s="207"/>
      <c r="X52" s="207"/>
      <c r="Y52" s="571"/>
      <c r="Z52" s="430"/>
      <c r="AA52" s="430"/>
      <c r="AB52" s="430"/>
      <c r="AC52" s="430"/>
      <c r="AD52" s="430"/>
      <c r="AE52" s="430"/>
      <c r="AF52" s="430"/>
      <c r="AG52" s="430"/>
      <c r="AH52" s="430"/>
      <c r="AI52" s="548"/>
      <c r="AJ52" s="430"/>
      <c r="AK52" s="430"/>
      <c r="AL52" s="430"/>
      <c r="AM52" s="430"/>
      <c r="AN52" s="430"/>
      <c r="AO52" s="430"/>
      <c r="AP52" s="430"/>
      <c r="AQ52" s="430"/>
      <c r="AR52" s="430"/>
      <c r="AS52" s="430"/>
      <c r="AT52" s="430"/>
      <c r="AU52" s="430"/>
      <c r="AV52" s="430"/>
      <c r="AW52" s="430"/>
      <c r="AX52" s="549"/>
    </row>
    <row r="53" spans="1:52" s="162" customFormat="1">
      <c r="A53" s="185" t="s">
        <v>58</v>
      </c>
      <c r="B53" s="480" t="s">
        <v>439</v>
      </c>
      <c r="C53" s="635">
        <v>462.71653543307087</v>
      </c>
      <c r="D53" s="188"/>
      <c r="E53" s="225">
        <v>29.7</v>
      </c>
      <c r="F53" s="225">
        <v>0</v>
      </c>
      <c r="G53" s="303">
        <v>2250</v>
      </c>
      <c r="H53" s="335"/>
      <c r="I53" s="335"/>
      <c r="J53" s="334">
        <v>0</v>
      </c>
      <c r="K53" s="337">
        <v>32.5</v>
      </c>
      <c r="L53" s="336"/>
      <c r="M53" s="337">
        <v>700</v>
      </c>
      <c r="N53" s="408">
        <v>327.79</v>
      </c>
      <c r="O53" s="191"/>
      <c r="P53" s="303">
        <v>327.79</v>
      </c>
      <c r="Q53" s="303">
        <v>564.66</v>
      </c>
      <c r="R53" s="337">
        <v>28.02</v>
      </c>
      <c r="S53" s="337">
        <v>28.02</v>
      </c>
      <c r="T53" s="409">
        <v>50</v>
      </c>
      <c r="U53" s="409">
        <v>50</v>
      </c>
      <c r="V53" s="545">
        <f>SUM($E53:$G53,$M53,$Q53:$R53,$N53,$T53)</f>
        <v>3950.1699999999996</v>
      </c>
      <c r="W53" s="524" t="e">
        <f t="shared" si="22"/>
        <v>#REF!</v>
      </c>
      <c r="X53" s="524" t="e">
        <f>$Y$32 + IF($B$2="mil",1,0.0254)*DDR2Specs!$E$9</f>
        <v>#REF!</v>
      </c>
      <c r="Y53" s="547" t="e">
        <f>$X$32 + IF($B$2="mil",1,0.0254)*DDR2Specs!$F$9</f>
        <v>#REF!</v>
      </c>
      <c r="Z53" s="546" t="e">
        <f>IF($W53&lt;$X53,$X53-$W53,"Pass")</f>
        <v>#REF!</v>
      </c>
      <c r="AA53" s="547" t="e">
        <f>IF($W53&gt;$Y53,$W53-$Y53,"Pass")</f>
        <v>#REF!</v>
      </c>
      <c r="AB53" s="545">
        <f t="shared" si="23"/>
        <v>3950.1699999999996</v>
      </c>
      <c r="AC53" s="524" t="e">
        <f>$AB53+IF($B$2="mil",1,0.0254)*$C53</f>
        <v>#REF!</v>
      </c>
      <c r="AD53" s="524" t="e">
        <f>$AE$32 + IF($B$2="mil",1,0.0254)*DDR2Specs!$E$9</f>
        <v>#REF!</v>
      </c>
      <c r="AE53" s="524" t="e">
        <f>$AD$32 + IF($B$2="mil",1,0.0254)*DDR2Specs!$F$9</f>
        <v>#REF!</v>
      </c>
      <c r="AF53" s="546" t="e">
        <f>IF($AC53&lt;$AD53,$AD53-$AC53,"Pass")</f>
        <v>#REF!</v>
      </c>
      <c r="AG53" s="547" t="e">
        <f>IF($AC53&gt;$AE53,$AC53-$AE53,"Pass")</f>
        <v>#REF!</v>
      </c>
      <c r="AH53" s="527" t="e">
        <f>IF($E53&lt;=IF($B$2="mil",1,0.0254)*50,"Pass",IF($B$2="mil",1,0.0254)*50-$E53)</f>
        <v>#REF!</v>
      </c>
      <c r="AI53" s="528" t="e">
        <f>IF($F53&lt;=IF($B$2="mil",1,0.0254)*500,"Pass",IF($B$2="mil",1,0.0254)*500-$F53)</f>
        <v>#REF!</v>
      </c>
      <c r="AJ53" s="528" t="e">
        <f>IF($J53&lt;=IF($B$2="mil",1,0.0254)*1000,"Pass",IF($B$2="mil",1,0.0254)*1000-$J53)</f>
        <v>#REF!</v>
      </c>
      <c r="AK53" s="528" t="e">
        <f ca="1">CheckLength2(1200,J53,K53,0)</f>
        <v>#NAME?</v>
      </c>
      <c r="AL53" s="528" t="e">
        <f>IF(M53&lt;=IF($B$2="mil",1,0.0254)*2000,"Pass",IF($B$2="mil",1,0.0254)*2000-M53)</f>
        <v>#REF!</v>
      </c>
      <c r="AM53" s="528" t="e">
        <f>IF(N53&lt;=IF($B$2="mil",1,0.0254)*1000,"Pass",IF($B$2="mil",1,0.0254)*1000-N53)</f>
        <v>#REF!</v>
      </c>
      <c r="AN53" s="528" t="e">
        <f>IF(MAX(N53,P53)-MIN(N53,P53)&lt;=IF($B$2="mil",1,0.0254)*50,"Pass",MAX(N53,P53)-MIN(N53,P53)-IF($B$2="mil",1,0.0254)*50)</f>
        <v>#REF!</v>
      </c>
      <c r="AO53" s="528" t="e">
        <f>IF($Q53&lt;=IF($B$2="mil",1,0.0254)*1000,"Pass",IF($B$2="mil",1,0.0254)*1000-$Q53)</f>
        <v>#REF!</v>
      </c>
      <c r="AP53" s="528" t="e">
        <f t="shared" si="30"/>
        <v>#REF!</v>
      </c>
      <c r="AQ53" s="528" t="e">
        <f>IF($R53&lt;=IF($B$2="mil",1,0.0254)*750,"Pass",IF($B$2="mil",1,0.0254)*750-$R53)</f>
        <v>#REF!</v>
      </c>
      <c r="AR53" s="528" t="e">
        <f>IF($S53&lt;=IF($B$2="mil",1,0.0254)*750,"Pass",IF($B$2="mil",1,0.0254)*750-$S53)</f>
        <v>#REF!</v>
      </c>
      <c r="AS53" s="528" t="e">
        <f t="shared" ref="AS53:AT55" ca="1" si="39">CheckLength2(IF($B$2="mil",1,0.0254)*950,R53,T53,0)</f>
        <v>#NAME?</v>
      </c>
      <c r="AT53" s="528" t="e">
        <f t="shared" ca="1" si="39"/>
        <v>#NAME?</v>
      </c>
      <c r="AU53" s="528" t="e">
        <f>IF(AND($V53&gt;=IF($B$2="mil",1,0.0254)*500, $V53&lt;=IF($B$2="mil",1,0.0254)*6500),"Pass",IF($B$2="mil",1,0.0254)*6500-$V53)</f>
        <v>#REF!</v>
      </c>
      <c r="AV53" s="528" t="e">
        <f>IF(AND($W53&gt;=IF($B$2="mil",1,0.0254)*500, $W53&lt;=IF($B$2="mil",1,0.0254)*7000),"Pass",IF($B$2="mil",1,0.0254)*7000-$W53)</f>
        <v>#REF!</v>
      </c>
      <c r="AW53" s="528" t="e">
        <f>IF(AND($AB53&gt;=IF($B$2="mil",1,0.0254)*500, $AB53&lt;=IF($B$2="mil",1,0.0254)*6500),"Pass",IF($B$2="mil",1,0.0254)*6500-$AB53)</f>
        <v>#REF!</v>
      </c>
      <c r="AX53" s="529" t="e">
        <f>IF(AND($AC53&gt;=IF($B$2="mil",1,0.0254)*500, $AC53&lt;=IF($B$2="mil",1,0.0254)*7000),"Pass",IF($B$2="mil",1,0.0254)*7000-$AC53)</f>
        <v>#REF!</v>
      </c>
      <c r="AY53" s="162" t="e">
        <f t="shared" ca="1" si="37"/>
        <v>#REF!</v>
      </c>
    </row>
    <row r="54" spans="1:52" s="162" customFormat="1">
      <c r="A54" s="240" t="s">
        <v>59</v>
      </c>
      <c r="B54" s="480" t="s">
        <v>455</v>
      </c>
      <c r="C54" s="635">
        <v>452.16535433070862</v>
      </c>
      <c r="D54" s="188"/>
      <c r="E54" s="225">
        <v>29.7</v>
      </c>
      <c r="F54" s="326">
        <v>0</v>
      </c>
      <c r="G54" s="303">
        <v>2300</v>
      </c>
      <c r="H54" s="335"/>
      <c r="I54" s="335"/>
      <c r="J54" s="334">
        <v>0</v>
      </c>
      <c r="K54" s="337">
        <v>40</v>
      </c>
      <c r="L54" s="336"/>
      <c r="M54" s="337">
        <v>700</v>
      </c>
      <c r="N54" s="408">
        <v>251.98</v>
      </c>
      <c r="O54" s="191"/>
      <c r="P54" s="303">
        <v>251.98</v>
      </c>
      <c r="Q54" s="303">
        <v>578.77</v>
      </c>
      <c r="R54" s="337">
        <v>51.88</v>
      </c>
      <c r="S54" s="337">
        <v>51.88</v>
      </c>
      <c r="T54" s="409">
        <v>50</v>
      </c>
      <c r="U54" s="409">
        <v>50</v>
      </c>
      <c r="V54" s="545">
        <f>SUM($E54:$G54,$M54,$Q54:$R54,$N54,$T54)</f>
        <v>3962.33</v>
      </c>
      <c r="W54" s="524" t="e">
        <f t="shared" si="22"/>
        <v>#REF!</v>
      </c>
      <c r="X54" s="524" t="e">
        <f>$Y$32 + IF($B$2="mil",1,0.0254)*DDR2Specs!$E$9</f>
        <v>#REF!</v>
      </c>
      <c r="Y54" s="547" t="e">
        <f>$X$32 + IF($B$2="mil",1,0.0254)*DDR2Specs!$F$9</f>
        <v>#REF!</v>
      </c>
      <c r="Z54" s="546" t="e">
        <f>IF($W54&lt;$X54,$X54-$W54,"Pass")</f>
        <v>#REF!</v>
      </c>
      <c r="AA54" s="547" t="e">
        <f>IF($W54&gt;$Y54,$W54-$Y54,"Pass")</f>
        <v>#REF!</v>
      </c>
      <c r="AB54" s="545">
        <f t="shared" si="23"/>
        <v>3962.33</v>
      </c>
      <c r="AC54" s="524" t="e">
        <f>$AB54+IF($B$2="mil",1,0.0254)*$C54</f>
        <v>#REF!</v>
      </c>
      <c r="AD54" s="524" t="e">
        <f>$AE$32 + IF($B$2="mil",1,0.0254)*DDR2Specs!$E$9</f>
        <v>#REF!</v>
      </c>
      <c r="AE54" s="524" t="e">
        <f>$AD$32 + IF($B$2="mil",1,0.0254)*DDR2Specs!$F$9</f>
        <v>#REF!</v>
      </c>
      <c r="AF54" s="546" t="e">
        <f>IF($AC54&lt;$AD54,$AD54-$AC54,"Pass")</f>
        <v>#REF!</v>
      </c>
      <c r="AG54" s="547" t="e">
        <f>IF($AC54&gt;$AE54,$AC54-$AE54,"Pass")</f>
        <v>#REF!</v>
      </c>
      <c r="AH54" s="527" t="e">
        <f>IF($E54&lt;=IF($B$2="mil",1,0.0254)*50,"Pass",IF($B$2="mil",1,0.0254)*50-$E54)</f>
        <v>#REF!</v>
      </c>
      <c r="AI54" s="528" t="e">
        <f>IF($F54&lt;=IF($B$2="mil",1,0.0254)*500,"Pass",IF($B$2="mil",1,0.0254)*500-$F54)</f>
        <v>#REF!</v>
      </c>
      <c r="AJ54" s="528" t="e">
        <f>IF($J54&lt;=IF($B$2="mil",1,0.0254)*1000,"Pass",IF($B$2="mil",1,0.0254)*1000-$J54)</f>
        <v>#REF!</v>
      </c>
      <c r="AK54" s="528" t="e">
        <f ca="1">CheckLength2(1200,J54,K54,0)</f>
        <v>#NAME?</v>
      </c>
      <c r="AL54" s="528" t="e">
        <f>IF(M54&lt;=IF($B$2="mil",1,0.0254)*2000,"Pass",IF($B$2="mil",1,0.0254)*2000-M54)</f>
        <v>#REF!</v>
      </c>
      <c r="AM54" s="528" t="e">
        <f>IF(N54&lt;=IF($B$2="mil",1,0.0254)*1000,"Pass",IF($B$2="mil",1,0.0254)*1000-N54)</f>
        <v>#REF!</v>
      </c>
      <c r="AN54" s="528" t="e">
        <f>IF(MAX(N54,P54)-MIN(N54,P54)&lt;=IF($B$2="mil",1,0.0254)*50,"Pass",MAX(N54,P54)-MIN(N54,P54)-IF($B$2="mil",1,0.0254)*50)</f>
        <v>#REF!</v>
      </c>
      <c r="AO54" s="528" t="e">
        <f>IF($Q54&lt;=IF($B$2="mil",1,0.0254)*1000,"Pass",IF($B$2="mil",1,0.0254)*1000-$Q54)</f>
        <v>#REF!</v>
      </c>
      <c r="AP54" s="528" t="e">
        <f t="shared" si="30"/>
        <v>#REF!</v>
      </c>
      <c r="AQ54" s="528" t="e">
        <f>IF($R54&lt;=IF($B$2="mil",1,0.0254)*750,"Pass",IF($B$2="mil",1,0.0254)*750-$R54)</f>
        <v>#REF!</v>
      </c>
      <c r="AR54" s="528" t="e">
        <f>IF($S54&lt;=IF($B$2="mil",1,0.0254)*750,"Pass",IF($B$2="mil",1,0.0254)*750-$S54)</f>
        <v>#REF!</v>
      </c>
      <c r="AS54" s="528" t="e">
        <f t="shared" ca="1" si="39"/>
        <v>#NAME?</v>
      </c>
      <c r="AT54" s="528" t="e">
        <f t="shared" ca="1" si="39"/>
        <v>#NAME?</v>
      </c>
      <c r="AU54" s="528" t="e">
        <f>IF(AND($V54&gt;=IF($B$2="mil",1,0.0254)*500, $V54&lt;=IF($B$2="mil",1,0.0254)*6500),"Pass",IF($B$2="mil",1,0.0254)*6500-$V54)</f>
        <v>#REF!</v>
      </c>
      <c r="AV54" s="528" t="e">
        <f>IF(AND($W54&gt;=IF($B$2="mil",1,0.0254)*500, $W54&lt;=IF($B$2="mil",1,0.0254)*7000),"Pass",IF($B$2="mil",1,0.0254)*7000-$W54)</f>
        <v>#REF!</v>
      </c>
      <c r="AW54" s="528" t="e">
        <f>IF(AND($AB54&gt;=IF($B$2="mil",1,0.0254)*500, $AB54&lt;=IF($B$2="mil",1,0.0254)*6500),"Pass",IF($B$2="mil",1,0.0254)*6500-$AB54)</f>
        <v>#REF!</v>
      </c>
      <c r="AX54" s="529" t="e">
        <f>IF(AND($AC54&gt;=IF($B$2="mil",1,0.0254)*500, $AC54&lt;=IF($B$2="mil",1,0.0254)*7000),"Pass",IF($B$2="mil",1,0.0254)*7000-$AC54)</f>
        <v>#REF!</v>
      </c>
      <c r="AY54" s="162" t="e">
        <f t="shared" ca="1" si="37"/>
        <v>#REF!</v>
      </c>
    </row>
    <row r="55" spans="1:52" s="162" customFormat="1">
      <c r="A55" s="240" t="s">
        <v>60</v>
      </c>
      <c r="B55" s="480" t="s">
        <v>440</v>
      </c>
      <c r="C55" s="635">
        <v>581.1811023622048</v>
      </c>
      <c r="D55" s="203"/>
      <c r="E55" s="225">
        <v>29.7</v>
      </c>
      <c r="F55" s="326">
        <v>0</v>
      </c>
      <c r="G55" s="303">
        <v>2163.89</v>
      </c>
      <c r="H55" s="335"/>
      <c r="I55" s="335"/>
      <c r="J55" s="334">
        <v>0</v>
      </c>
      <c r="K55" s="337">
        <v>40</v>
      </c>
      <c r="L55" s="336"/>
      <c r="M55" s="337">
        <v>700</v>
      </c>
      <c r="N55" s="408">
        <v>321.8</v>
      </c>
      <c r="O55" s="191"/>
      <c r="P55" s="303">
        <v>321.8</v>
      </c>
      <c r="Q55" s="303">
        <v>574.72</v>
      </c>
      <c r="R55" s="337">
        <v>30.98</v>
      </c>
      <c r="S55" s="337">
        <v>30.98</v>
      </c>
      <c r="T55" s="409">
        <v>50</v>
      </c>
      <c r="U55" s="409">
        <v>50</v>
      </c>
      <c r="V55" s="545">
        <f>SUM($E55:$G55,$M55,$Q55:$R55,$N55,$T55)</f>
        <v>3871.0899999999997</v>
      </c>
      <c r="W55" s="524" t="e">
        <f t="shared" si="22"/>
        <v>#REF!</v>
      </c>
      <c r="X55" s="524" t="e">
        <f>$Y$32 + IF($B$2="mil",1,0.0254)*DDR2Specs!$E$9</f>
        <v>#REF!</v>
      </c>
      <c r="Y55" s="547" t="e">
        <f>$X$32 + IF($B$2="mil",1,0.0254)*DDR2Specs!$F$9</f>
        <v>#REF!</v>
      </c>
      <c r="Z55" s="546" t="e">
        <f>IF($W55&lt;$X55,$X55-$W55,"Pass")</f>
        <v>#REF!</v>
      </c>
      <c r="AA55" s="547" t="e">
        <f>IF($W55&gt;$Y55,$W55-$Y55,"Pass")</f>
        <v>#REF!</v>
      </c>
      <c r="AB55" s="545">
        <f t="shared" si="23"/>
        <v>3871.0899999999997</v>
      </c>
      <c r="AC55" s="524" t="e">
        <f>$AB55+IF($B$2="mil",1,0.0254)*$C55</f>
        <v>#REF!</v>
      </c>
      <c r="AD55" s="524" t="e">
        <f>$AE$32 + IF($B$2="mil",1,0.0254)*DDR2Specs!$E$9</f>
        <v>#REF!</v>
      </c>
      <c r="AE55" s="524" t="e">
        <f>$AD$32 + IF($B$2="mil",1,0.0254)*DDR2Specs!$F$9</f>
        <v>#REF!</v>
      </c>
      <c r="AF55" s="546" t="e">
        <f>IF($AC55&lt;$AD55,$AD55-$AC55,"Pass")</f>
        <v>#REF!</v>
      </c>
      <c r="AG55" s="547" t="e">
        <f>IF($AC55&gt;$AE55,$AC55-$AE55,"Pass")</f>
        <v>#REF!</v>
      </c>
      <c r="AH55" s="527" t="e">
        <f>IF($E55&lt;=IF($B$2="mil",1,0.0254)*50,"Pass",IF($B$2="mil",1,0.0254)*50-$E55)</f>
        <v>#REF!</v>
      </c>
      <c r="AI55" s="528" t="e">
        <f>IF($F55&lt;=IF($B$2="mil",1,0.0254)*500,"Pass",IF($B$2="mil",1,0.0254)*500-$F55)</f>
        <v>#REF!</v>
      </c>
      <c r="AJ55" s="528" t="e">
        <f>IF($J55&lt;=IF($B$2="mil",1,0.0254)*1000,"Pass",IF($B$2="mil",1,0.0254)*1000-$J55)</f>
        <v>#REF!</v>
      </c>
      <c r="AK55" s="528" t="e">
        <f ca="1">CheckLength2(1200,J55,K55,0)</f>
        <v>#NAME?</v>
      </c>
      <c r="AL55" s="528" t="e">
        <f>IF(M55&lt;=IF($B$2="mil",1,0.0254)*2000,"Pass",IF($B$2="mil",1,0.0254)*2000-M55)</f>
        <v>#REF!</v>
      </c>
      <c r="AM55" s="528" t="e">
        <f>IF(N55&lt;=IF($B$2="mil",1,0.0254)*1000,"Pass",IF($B$2="mil",1,0.0254)*1000-N55)</f>
        <v>#REF!</v>
      </c>
      <c r="AN55" s="528" t="e">
        <f>IF(MAX(N55,P55)-MIN(N55,P55)&lt;=IF($B$2="mil",1,0.0254)*50,"Pass",MAX(N55,P55)-MIN(N55,P55)-IF($B$2="mil",1,0.0254)*50)</f>
        <v>#REF!</v>
      </c>
      <c r="AO55" s="528" t="e">
        <f>IF($Q55&lt;=IF($B$2="mil",1,0.0254)*1000,"Pass",IF($B$2="mil",1,0.0254)*1000-$Q55)</f>
        <v>#REF!</v>
      </c>
      <c r="AP55" s="528" t="e">
        <f t="shared" si="30"/>
        <v>#REF!</v>
      </c>
      <c r="AQ55" s="528" t="e">
        <f>IF($R55&lt;=IF($B$2="mil",1,0.0254)*750,"Pass",IF($B$2="mil",1,0.0254)*750-$R55)</f>
        <v>#REF!</v>
      </c>
      <c r="AR55" s="528" t="e">
        <f>IF($S55&lt;=IF($B$2="mil",1,0.0254)*750,"Pass",IF($B$2="mil",1,0.0254)*750-$S55)</f>
        <v>#REF!</v>
      </c>
      <c r="AS55" s="528" t="e">
        <f t="shared" ca="1" si="39"/>
        <v>#NAME?</v>
      </c>
      <c r="AT55" s="528" t="e">
        <f t="shared" ca="1" si="39"/>
        <v>#NAME?</v>
      </c>
      <c r="AU55" s="528" t="e">
        <f>IF(AND($V55&gt;=IF($B$2="mil",1,0.0254)*500, $V55&lt;=IF($B$2="mil",1,0.0254)*6500),"Pass",IF($B$2="mil",1,0.0254)*6500-$V55)</f>
        <v>#REF!</v>
      </c>
      <c r="AV55" s="528" t="e">
        <f>IF(AND($W55&gt;=IF($B$2="mil",1,0.0254)*500, $W55&lt;=IF($B$2="mil",1,0.0254)*7000),"Pass",IF($B$2="mil",1,0.0254)*7000-$W55)</f>
        <v>#REF!</v>
      </c>
      <c r="AW55" s="528" t="e">
        <f>IF(AND($AB55&gt;=IF($B$2="mil",1,0.0254)*500, $AB55&lt;=IF($B$2="mil",1,0.0254)*6500),"Pass",IF($B$2="mil",1,0.0254)*6500-$AB55)</f>
        <v>#REF!</v>
      </c>
      <c r="AX55" s="529" t="e">
        <f>IF(AND($AC55&gt;=IF($B$2="mil",1,0.0254)*500, $AC55&lt;=IF($B$2="mil",1,0.0254)*7000),"Pass",IF($B$2="mil",1,0.0254)*7000-$AC55)</f>
        <v>#REF!</v>
      </c>
      <c r="AY55" s="162" t="e">
        <f t="shared" ca="1" si="37"/>
        <v>#REF!</v>
      </c>
    </row>
    <row r="56" spans="1:52" ht="63" customHeight="1">
      <c r="O56" s="3"/>
      <c r="P56" s="329" t="s">
        <v>457</v>
      </c>
      <c r="Q56" s="144" t="e">
        <f>"Trace L7-2 ["&amp;$B$2&amp;"]"</f>
        <v>#REF!</v>
      </c>
      <c r="R56" s="330" t="s">
        <v>389</v>
      </c>
      <c r="S56" s="330" t="s">
        <v>390</v>
      </c>
      <c r="T56" s="330" t="s">
        <v>406</v>
      </c>
      <c r="U56" s="330" t="s">
        <v>407</v>
      </c>
      <c r="V56" s="550" t="e">
        <f>"Total MB Length to U2 (L0+L1+L2+L5+L6-1+L7-2+L8-3+L9-3) ["&amp;$B$2&amp;"]"</f>
        <v>#REF!</v>
      </c>
      <c r="W56" s="550" t="e">
        <f>"Total Pad to Pin U2 (P1+L0+L1+L2+L5+L6-1+L7-3+L8-3+L9-3) ["&amp;$B$2&amp;"]"</f>
        <v>#REF!</v>
      </c>
      <c r="X56" s="551" t="e">
        <f>"Target Min Length to U2["&amp;$B$2&amp;"]"</f>
        <v>#REF!</v>
      </c>
      <c r="Y56" s="552" t="e">
        <f>"Target Max Length to U2 ["&amp;$B$2&amp;"]"</f>
        <v>#REF!</v>
      </c>
      <c r="Z56" s="553" t="e">
        <f>"Routed Too Short to U2 [" &amp;$B$2&amp;"]"</f>
        <v>#REF!</v>
      </c>
      <c r="AA56" s="551" t="e">
        <f>"Routed Too Long to U2 [" &amp;$B$2&amp;"]"</f>
        <v>#REF!</v>
      </c>
      <c r="AB56" s="550" t="e">
        <f>"Total MB Length to U6 (L0+L1+L2+L5+L6-1+L7-2+L8-4+L9-4) ["&amp;$B$2&amp;"]"</f>
        <v>#REF!</v>
      </c>
      <c r="AC56" s="550" t="e">
        <f>"Total Pad to Pin U6 (P1+L0+L1+L2+L5+L6-1+L7-2+L8-4+L9-4) ["&amp;$B$2&amp;"]"</f>
        <v>#REF!</v>
      </c>
      <c r="AD56" s="551" t="e">
        <f>"Target Min Length to U6["&amp;$B$2&amp;"]"</f>
        <v>#REF!</v>
      </c>
      <c r="AE56" s="552" t="e">
        <f>"Target Max Length to U6 ["&amp;$B$2&amp;"]"</f>
        <v>#REF!</v>
      </c>
      <c r="AF56" s="553" t="e">
        <f>"Routed Too Short to U6 [" &amp;$B$2&amp;"]"</f>
        <v>#REF!</v>
      </c>
      <c r="AG56" s="551" t="e">
        <f>"Routed Too Long to U6 [" &amp;$B$2&amp;"]"</f>
        <v>#REF!</v>
      </c>
      <c r="AH56" s="554"/>
      <c r="AI56" s="554"/>
      <c r="AJ56" s="554"/>
      <c r="AK56" s="554"/>
      <c r="AL56" s="554"/>
      <c r="AM56" s="554"/>
      <c r="AN56" s="555" t="s">
        <v>457</v>
      </c>
      <c r="AO56" s="552" t="e">
        <f>"L7-2 Length Test (&lt;=" &amp; IF($B$2="mil",1,0.0254)*1000&amp;$B$2&amp;")"</f>
        <v>#REF!</v>
      </c>
      <c r="AP56" s="577"/>
      <c r="AQ56" s="556" t="e">
        <f>"L8-3 Length Test (&lt;=" &amp; IF($B$2="mil",1,0.0254)*750&amp;$B$2&amp;")"</f>
        <v>#REF!</v>
      </c>
      <c r="AR56" s="556" t="e">
        <f>"L8-4 Length Test (&lt;=" &amp; IF($B$2="mil",1,0.0254)*750&amp;$B$2&amp;")"</f>
        <v>#REF!</v>
      </c>
      <c r="AS56" s="556" t="e">
        <f>"L9-3 Length Test (&lt;=" &amp; IF($B$2="mil",1,0.0254)*200&amp;$B$2&amp;") or (L8-3+L9-3&lt;= "&amp;IF($B$2="mil",1,0.0254)*950&amp;$B$2&amp;")"</f>
        <v>#REF!</v>
      </c>
      <c r="AT56" s="556" t="e">
        <f>"L9-4 Length Test (&lt;=" &amp; IF($B$2="mil",1,0.0254)*200&amp;$B$2&amp;") or (L8-4+L9-4&lt;= "&amp;IF($B$2="mil",1,0.0254)*950&amp;$B$2&amp;")"</f>
        <v>#REF!</v>
      </c>
      <c r="AU56" s="552" t="e">
        <f>"Total Length to U2 (L0+L1+L2+L5+L6-1+L7-2+L8-3+L9-3)Test ("&amp;IF($B$2="mil",1,0.0254)*500&amp;"-"&amp;IF($B$2="mil",1,0.0254)*6500&amp;IF($B$2="mil","mil","mm")&amp;")"</f>
        <v>#REF!</v>
      </c>
      <c r="AV56" s="552" t="e">
        <f>"Total Length to U2 (P1+L0+L1+L2+L5+L6-1+L7-2+L8-3+L9-3) Test (&lt;="&amp;IF($B$2="mil",1,25.4)*7000&amp;IF($B$2="mil","mil","mm")&amp;")"</f>
        <v>#REF!</v>
      </c>
      <c r="AW56" s="552" t="e">
        <f>"Total Length to U6 (L0+L1+L2+L5+L6-1+L7-2+L8-4+L9-4)Test ("&amp;IF($B$2="mil",1,0.0254)*500&amp;"-"&amp;IF($B$2="mil",1,0.0254)*6500&amp;IF($B$2="mil","mil","mm")&amp;")"</f>
        <v>#REF!</v>
      </c>
      <c r="AX56" s="552" t="e">
        <f>"Total Length to U6 (P1+L0+L1+L2+L5+L6-1+L7-2+L8-4+L9-4) Test (&lt;="&amp;IF($B$2="mil",1,25.4)*7000&amp;IF($B$2="mil","mil","mm")&amp;")"</f>
        <v>#REF!</v>
      </c>
      <c r="AY56" s="3"/>
      <c r="AZ56" s="3"/>
    </row>
    <row r="57" spans="1:52">
      <c r="O57" s="3"/>
      <c r="P57" s="155" t="s">
        <v>210</v>
      </c>
      <c r="Q57" s="156"/>
      <c r="R57" s="156"/>
      <c r="S57" s="156"/>
      <c r="T57" s="156"/>
      <c r="U57" s="156"/>
      <c r="V57" s="156"/>
      <c r="W57" s="156"/>
      <c r="X57" s="156"/>
      <c r="Y57" s="430"/>
      <c r="Z57" s="156"/>
      <c r="AA57" s="156"/>
      <c r="AB57" s="156"/>
      <c r="AC57" s="156"/>
      <c r="AD57" s="156"/>
      <c r="AE57" s="156"/>
      <c r="AF57" s="156"/>
      <c r="AG57" s="156"/>
      <c r="AH57" s="554"/>
      <c r="AI57" s="554"/>
      <c r="AJ57" s="554"/>
      <c r="AK57" s="554"/>
      <c r="AL57" s="554"/>
      <c r="AM57" s="554"/>
      <c r="AN57" s="155" t="s">
        <v>210</v>
      </c>
      <c r="AO57" s="557"/>
      <c r="AP57" s="577"/>
      <c r="AQ57" s="156"/>
      <c r="AR57" s="156"/>
      <c r="AS57" s="156"/>
      <c r="AT57" s="156"/>
      <c r="AU57" s="156"/>
      <c r="AV57" s="156"/>
      <c r="AW57" s="156"/>
      <c r="AX57" s="557"/>
      <c r="AY57" s="3"/>
      <c r="AZ57" s="3"/>
    </row>
    <row r="58" spans="1:52">
      <c r="O58" s="3"/>
      <c r="P58" s="263" t="s">
        <v>214</v>
      </c>
      <c r="Q58" s="166"/>
      <c r="R58" s="166"/>
      <c r="S58" s="166"/>
      <c r="T58" s="166"/>
      <c r="U58" s="166"/>
      <c r="V58" s="166"/>
      <c r="W58" s="558" t="s">
        <v>227</v>
      </c>
      <c r="X58" s="542" t="e">
        <f>MIN('DDR2 Clocks - 4L'!$O$9:$O$10)</f>
        <v>#REF!</v>
      </c>
      <c r="Y58" s="539" t="e">
        <f>MAX('DDR2 Clocks - 4L'!$O$9:$O$10)</f>
        <v>#REF!</v>
      </c>
      <c r="Z58" s="542"/>
      <c r="AA58" s="168"/>
      <c r="AB58" s="166"/>
      <c r="AC58" s="558" t="s">
        <v>285</v>
      </c>
      <c r="AD58" s="542" t="e">
        <f>MIN('DDR2 Clocks - 4L'!$O$11:$O$12)</f>
        <v>#REF!</v>
      </c>
      <c r="AE58" s="541" t="e">
        <f>MAX('DDR2 Clocks - 4L'!$O$11:$O$12)</f>
        <v>#REF!</v>
      </c>
      <c r="AF58" s="542"/>
      <c r="AG58" s="168"/>
      <c r="AH58" s="554"/>
      <c r="AI58" s="554"/>
      <c r="AJ58" s="554"/>
      <c r="AK58" s="554"/>
      <c r="AL58" s="554"/>
      <c r="AM58" s="554"/>
      <c r="AN58" s="163" t="s">
        <v>214</v>
      </c>
      <c r="AO58" s="539"/>
      <c r="AP58" s="577"/>
      <c r="AQ58" s="538"/>
      <c r="AR58" s="538"/>
      <c r="AS58" s="538"/>
      <c r="AT58" s="538"/>
      <c r="AU58" s="538"/>
      <c r="AV58" s="538"/>
      <c r="AW58" s="538"/>
      <c r="AX58" s="539"/>
      <c r="AY58" s="3"/>
      <c r="AZ58" s="3"/>
    </row>
    <row r="59" spans="1:52">
      <c r="O59" s="3"/>
      <c r="P59" s="205" t="s">
        <v>229</v>
      </c>
      <c r="Q59" s="181"/>
      <c r="R59" s="181"/>
      <c r="S59" s="181"/>
      <c r="T59" s="181"/>
      <c r="U59" s="181"/>
      <c r="V59" s="181"/>
      <c r="W59" s="181"/>
      <c r="X59" s="179"/>
      <c r="Y59" s="570"/>
      <c r="Z59" s="531"/>
      <c r="AA59" s="179"/>
      <c r="AB59" s="181"/>
      <c r="AC59" s="181"/>
      <c r="AD59" s="179"/>
      <c r="AE59" s="531"/>
      <c r="AF59" s="531"/>
      <c r="AG59" s="179"/>
      <c r="AH59" s="554"/>
      <c r="AI59" s="554"/>
      <c r="AJ59" s="554"/>
      <c r="AK59" s="554"/>
      <c r="AL59" s="554"/>
      <c r="AM59" s="554"/>
      <c r="AN59" s="155" t="s">
        <v>229</v>
      </c>
      <c r="AO59" s="533"/>
      <c r="AP59" s="577"/>
      <c r="AQ59" s="179"/>
      <c r="AR59" s="179"/>
      <c r="AS59" s="179"/>
      <c r="AT59" s="179"/>
      <c r="AU59" s="179"/>
      <c r="AV59" s="179"/>
      <c r="AW59" s="179"/>
      <c r="AX59" s="533"/>
      <c r="AY59" s="3"/>
      <c r="AZ59" s="3"/>
    </row>
    <row r="60" spans="1:52">
      <c r="O60" s="3"/>
      <c r="P60" s="186" t="s">
        <v>196</v>
      </c>
      <c r="Q60" s="303">
        <v>565.69000000000005</v>
      </c>
      <c r="R60" s="303">
        <v>112.93</v>
      </c>
      <c r="S60" s="303">
        <v>112.93</v>
      </c>
      <c r="T60" s="409">
        <v>50</v>
      </c>
      <c r="U60" s="409">
        <v>50</v>
      </c>
      <c r="V60" s="545">
        <f>SUM($E34:$G34,$M34,$N34,$Q60:$R60,T60)</f>
        <v>4122.66</v>
      </c>
      <c r="W60" s="534" t="e">
        <f>$V60+ IF($B$2="mil",1,0.0254)*$C34</f>
        <v>#REF!</v>
      </c>
      <c r="X60" s="524" t="e">
        <f>$Y$58 + IF($B$2="mil",1,0.0254)*DDR2Specs!$E$9</f>
        <v>#REF!</v>
      </c>
      <c r="Y60" s="547" t="e">
        <f>$X$58 + IF($B$2="mil",1,0.0254)*DDR2Specs!$F$9</f>
        <v>#REF!</v>
      </c>
      <c r="Z60" s="546" t="e">
        <f t="shared" ref="Z60:Z73" si="40">IF($W60&lt;$X60,$X60-$W60,"Pass")</f>
        <v>#REF!</v>
      </c>
      <c r="AA60" s="547" t="e">
        <f t="shared" ref="AA60:AA73" si="41">IF($W60&gt;$Y60,$W60-$Y60,"Pass")</f>
        <v>#REF!</v>
      </c>
      <c r="AB60" s="545">
        <f>SUM($E34:$G34,$M34,$N34,$Q60,$S60,$U60)</f>
        <v>4122.66</v>
      </c>
      <c r="AC60" s="534" t="e">
        <f>$AB60+IF($B$2="mil",1,0.0254)*$C34</f>
        <v>#REF!</v>
      </c>
      <c r="AD60" s="524" t="e">
        <f>$AE$58 + IF($B$2="mil",1,0.0254)*DDR2Specs!$E$9</f>
        <v>#REF!</v>
      </c>
      <c r="AE60" s="524" t="e">
        <f>$AD$58 + IF($B$2="mil",1,0.0254)*DDR2Specs!$F$9</f>
        <v>#REF!</v>
      </c>
      <c r="AF60" s="546" t="e">
        <f t="shared" ref="AF60:AF73" si="42">IF($AC60&lt;$AD60,$AD60-$AC60,"Pass")</f>
        <v>#REF!</v>
      </c>
      <c r="AG60" s="547" t="e">
        <f t="shared" ref="AG60:AG73" si="43">IF($AC60&gt;$AE60,$AC60-$AE60,"Pass")</f>
        <v>#REF!</v>
      </c>
      <c r="AH60" s="554"/>
      <c r="AI60" s="554"/>
      <c r="AJ60" s="554"/>
      <c r="AK60" s="554"/>
      <c r="AL60" s="554"/>
      <c r="AM60" s="554"/>
      <c r="AN60" s="559" t="s">
        <v>196</v>
      </c>
      <c r="AO60" s="529" t="e">
        <f>IF($Q60&lt;=IF($B$2="mil",1,0.0254)*1000,"Pass",IF($B$2="mil",1,0.0254)*1000-$Q60)</f>
        <v>#REF!</v>
      </c>
      <c r="AP60" s="577"/>
      <c r="AQ60" s="528" t="e">
        <f t="shared" ref="AQ60:AQ73" si="44">IF($R60&lt;=IF($B$2="mil",1,0.0254)*750,"Pass",IF($B$2="mil",1,0.0254)*750-$R60)</f>
        <v>#REF!</v>
      </c>
      <c r="AR60" s="528" t="e">
        <f t="shared" ref="AR60:AR73" si="45">IF($S60&lt;=IF($B$2="mil",1,0.0254)*750,"Pass",IF($B$2="mil",1,0.0254)*750-$S60)</f>
        <v>#REF!</v>
      </c>
      <c r="AS60" s="528" t="e">
        <f ca="1">CheckLength2(IF($B$2="mil",1,0.0254)*950,R60,T60,0)</f>
        <v>#NAME?</v>
      </c>
      <c r="AT60" s="528" t="e">
        <f ca="1">CheckLength2(IF($B$2="mil",1,0.0254)*950,S60,U60,0)</f>
        <v>#NAME?</v>
      </c>
      <c r="AU60" s="528" t="e">
        <f>IF(AND(V60&gt;=IF($B$2="mil",1,0.0254)*500, $V60&lt;=IF($B$2="mil",1,0.0254)*6500),"Pass",IF($B$2="mil",1,0.0254)*6500-$V60)</f>
        <v>#REF!</v>
      </c>
      <c r="AV60" s="560" t="e">
        <f>IF(AND($W60&gt;=IF($B$2="mil",1,0.0254)*500, $W60&lt;=IF($B$2="mil",1,0.0254)*7000),"Pass",IF($B$2="mil",1,0.0254)*7000-$W60)</f>
        <v>#REF!</v>
      </c>
      <c r="AW60" s="528" t="e">
        <f>IF(AND($AB60&gt;=IF($B$2="mil",1,0.0254)*500, $AB60&lt;=IF($B$2="mil",1,0.0254)*6500),"Pass",IF($B$2="mil",1,0.0254)*6500-$AB60)</f>
        <v>#REF!</v>
      </c>
      <c r="AX60" s="529" t="e">
        <f>IF(AND($AC60&gt;=IF($B$2="mil",1,0.0254)*500, $AC60&lt;=IF($B$2="mil",1,0.0254)*7000),"Pass",IF($B$2="mil",1,0.0254)*7000-$AC60)</f>
        <v>#REF!</v>
      </c>
      <c r="AY60" s="162" t="e">
        <f ca="1">IF(AND(Z60="Pass",AA60="Pass",AF60="Pass",AG60="Pass",AO60="Pass",AQ60="Pass",AR60="Pass",AS60="Pass",AT60="Pass",AU60="Pass",AV60="Pass",AW60="Pass",AX60="Pass"),"Pass","Fail")</f>
        <v>#REF!</v>
      </c>
      <c r="AZ60" s="162" t="e">
        <f ca="1">IF(AND(AY60="Pass",AY61="Pass",AY62="Pass",AY63="Pass",AY64="Pass",AY65="Pass",AY65="Pass",AY66="Pass",AY67="Pass",AY68="Pass",AY69="Pass",AY70="Pass"),"Pass","Fail")</f>
        <v>#REF!</v>
      </c>
    </row>
    <row r="61" spans="1:52">
      <c r="O61" s="3"/>
      <c r="P61" s="243" t="s">
        <v>39</v>
      </c>
      <c r="Q61" s="303">
        <v>587.88</v>
      </c>
      <c r="R61" s="303">
        <v>93.83</v>
      </c>
      <c r="S61" s="303">
        <v>93.83</v>
      </c>
      <c r="T61" s="409">
        <v>50</v>
      </c>
      <c r="U61" s="409">
        <v>50</v>
      </c>
      <c r="V61" s="545">
        <f t="shared" ref="V61:V80" si="46">SUM($E35:$G35,$M35,$N35,$Q61:$R61,T61)</f>
        <v>3963.32</v>
      </c>
      <c r="W61" s="534" t="e">
        <f t="shared" ref="W61:W81" si="47">$V61+ IF($B$2="mil",1,0.0254)*$C35</f>
        <v>#REF!</v>
      </c>
      <c r="X61" s="524" t="e">
        <f>$Y$58 + IF($B$2="mil",1,0.0254)*DDR2Specs!$E$9</f>
        <v>#REF!</v>
      </c>
      <c r="Y61" s="547" t="e">
        <f>$X$58 + IF($B$2="mil",1,0.0254)*DDR2Specs!$F$9</f>
        <v>#REF!</v>
      </c>
      <c r="Z61" s="546" t="e">
        <f t="shared" si="40"/>
        <v>#REF!</v>
      </c>
      <c r="AA61" s="547" t="e">
        <f t="shared" si="41"/>
        <v>#REF!</v>
      </c>
      <c r="AB61" s="545">
        <f t="shared" ref="AB61:AB81" si="48">SUM($E35:$G35,$M35,$N35,$Q61,$S61,$U61)</f>
        <v>3963.32</v>
      </c>
      <c r="AC61" s="534" t="e">
        <f t="shared" ref="AC61:AC73" si="49">$AB61+IF($B$2="mil",1,0.0254)*$C35</f>
        <v>#REF!</v>
      </c>
      <c r="AD61" s="524" t="e">
        <f>$AE$58 + IF($B$2="mil",1,0.0254)*DDR2Specs!$E$9</f>
        <v>#REF!</v>
      </c>
      <c r="AE61" s="524" t="e">
        <f>$AD$58 + IF($B$2="mil",1,0.0254)*DDR2Specs!$F$9</f>
        <v>#REF!</v>
      </c>
      <c r="AF61" s="546" t="e">
        <f t="shared" si="42"/>
        <v>#REF!</v>
      </c>
      <c r="AG61" s="547" t="e">
        <f t="shared" si="43"/>
        <v>#REF!</v>
      </c>
      <c r="AH61" s="554"/>
      <c r="AI61" s="554"/>
      <c r="AJ61" s="554"/>
      <c r="AK61" s="554"/>
      <c r="AL61" s="554"/>
      <c r="AM61" s="554"/>
      <c r="AN61" s="561" t="s">
        <v>39</v>
      </c>
      <c r="AO61" s="529" t="e">
        <f t="shared" ref="AO61:AO73" si="50">IF($Q61&lt;=IF($B$2="mil",1,0.0254)*1000,"Pass",IF($B$2="mil",1,0.0254)*1000-$Q61)</f>
        <v>#REF!</v>
      </c>
      <c r="AP61" s="577"/>
      <c r="AQ61" s="528" t="e">
        <f t="shared" si="44"/>
        <v>#REF!</v>
      </c>
      <c r="AR61" s="528" t="e">
        <f t="shared" si="45"/>
        <v>#REF!</v>
      </c>
      <c r="AS61" s="528" t="e">
        <f t="shared" ref="AS61:AS73" ca="1" si="51">CheckLength2(IF($B$2="mil",1,0.0254)*950,R61,T61,0)</f>
        <v>#NAME?</v>
      </c>
      <c r="AT61" s="528" t="e">
        <f t="shared" ref="AT61:AT73" ca="1" si="52">CheckLength2(IF($B$2="mil",1,0.0254)*950,S61,U61,0)</f>
        <v>#NAME?</v>
      </c>
      <c r="AU61" s="528" t="e">
        <f t="shared" ref="AU61:AU73" si="53">IF(AND(V61&gt;=IF($B$2="mil",1,0.0254)*500, $V61&lt;=IF($B$2="mil",1,0.0254)*6500),"Pass",IF($B$2="mil",1,0.0254)*6500-$V61)</f>
        <v>#REF!</v>
      </c>
      <c r="AV61" s="560" t="e">
        <f t="shared" ref="AV61:AV73" si="54">IF(AND($W61&gt;=IF($B$2="mil",1,0.0254)*500, $W61&lt;=IF($B$2="mil",1,0.0254)*7000),"Pass",IF($B$2="mil",1,0.0254)*7000-$W61)</f>
        <v>#REF!</v>
      </c>
      <c r="AW61" s="528" t="e">
        <f t="shared" ref="AW61:AW73" si="55">IF(AND($AB61&gt;=IF($B$2="mil",1,0.0254)*500, $AB61&lt;=IF($B$2="mil",1,0.0254)*6500),"Pass",IF($B$2="mil",1,0.0254)*6500-$AB61)</f>
        <v>#REF!</v>
      </c>
      <c r="AX61" s="529" t="e">
        <f t="shared" ref="AX61:AX73" si="56">IF(AND($AC61&gt;=IF($B$2="mil",1,0.0254)*500, $AC61&lt;=IF($B$2="mil",1,0.0254)*7000),"Pass",IF($B$2="mil",1,0.0254)*7000-$AC61)</f>
        <v>#REF!</v>
      </c>
      <c r="AY61" s="162" t="e">
        <f t="shared" ref="AY61:AY81" ca="1" si="57">IF(AND(Z61="Pass",AA61="Pass",AF61="Pass",AG61="Pass",AO61="Pass",AQ61="Pass",AR61="Pass",AS61="Pass",AT61="Pass",AU61="Pass",AV61="Pass",AW61="Pass",AX61="Pass"),"Pass","Fail")</f>
        <v>#REF!</v>
      </c>
      <c r="AZ61" s="162" t="e">
        <f ca="1">IF(AND(AY71="Pass",AY72="Pass",AY73="Pass",AY75="Pass",AY76="Pass",AY77="Pass",AY79="Pass",AY80="Pass",AY81="Pass"),"Pass","Fail")</f>
        <v>#REF!</v>
      </c>
    </row>
    <row r="62" spans="1:52">
      <c r="O62" s="3"/>
      <c r="P62" s="243" t="s">
        <v>40</v>
      </c>
      <c r="Q62" s="303">
        <v>565.69000000000005</v>
      </c>
      <c r="R62" s="303">
        <v>112.45</v>
      </c>
      <c r="S62" s="303">
        <v>112.45</v>
      </c>
      <c r="T62" s="409">
        <v>50</v>
      </c>
      <c r="U62" s="409">
        <v>50</v>
      </c>
      <c r="V62" s="545">
        <f>SUM($E36:$G36,$M36,$N36,$Q62:$R62,T62)</f>
        <v>4657.8399999999992</v>
      </c>
      <c r="W62" s="534" t="e">
        <f t="shared" si="47"/>
        <v>#REF!</v>
      </c>
      <c r="X62" s="524" t="e">
        <f>$Y$58 + IF($B$2="mil",1,0.0254)*DDR2Specs!$E$9</f>
        <v>#REF!</v>
      </c>
      <c r="Y62" s="547" t="e">
        <f>$X$58 + IF($B$2="mil",1,0.0254)*DDR2Specs!$F$9</f>
        <v>#REF!</v>
      </c>
      <c r="Z62" s="546" t="e">
        <f t="shared" si="40"/>
        <v>#REF!</v>
      </c>
      <c r="AA62" s="547" t="e">
        <f t="shared" si="41"/>
        <v>#REF!</v>
      </c>
      <c r="AB62" s="545">
        <f t="shared" si="48"/>
        <v>4657.8399999999992</v>
      </c>
      <c r="AC62" s="534" t="e">
        <f t="shared" si="49"/>
        <v>#REF!</v>
      </c>
      <c r="AD62" s="524" t="e">
        <f>$AE$58 + IF($B$2="mil",1,0.0254)*DDR2Specs!$E$9</f>
        <v>#REF!</v>
      </c>
      <c r="AE62" s="524" t="e">
        <f>$AD$58 + IF($B$2="mil",1,0.0254)*DDR2Specs!$F$9</f>
        <v>#REF!</v>
      </c>
      <c r="AF62" s="546" t="e">
        <f t="shared" si="42"/>
        <v>#REF!</v>
      </c>
      <c r="AG62" s="547" t="e">
        <f t="shared" si="43"/>
        <v>#REF!</v>
      </c>
      <c r="AH62" s="554"/>
      <c r="AI62" s="554"/>
      <c r="AJ62" s="554"/>
      <c r="AK62" s="554"/>
      <c r="AL62" s="554"/>
      <c r="AM62" s="554"/>
      <c r="AN62" s="561" t="s">
        <v>40</v>
      </c>
      <c r="AO62" s="529" t="e">
        <f t="shared" si="50"/>
        <v>#REF!</v>
      </c>
      <c r="AP62" s="577"/>
      <c r="AQ62" s="528" t="e">
        <f t="shared" si="44"/>
        <v>#REF!</v>
      </c>
      <c r="AR62" s="528" t="e">
        <f t="shared" si="45"/>
        <v>#REF!</v>
      </c>
      <c r="AS62" s="528" t="e">
        <f t="shared" ca="1" si="51"/>
        <v>#NAME?</v>
      </c>
      <c r="AT62" s="528" t="e">
        <f t="shared" ca="1" si="52"/>
        <v>#NAME?</v>
      </c>
      <c r="AU62" s="528" t="e">
        <f t="shared" si="53"/>
        <v>#REF!</v>
      </c>
      <c r="AV62" s="560" t="e">
        <f t="shared" si="54"/>
        <v>#REF!</v>
      </c>
      <c r="AW62" s="528" t="e">
        <f t="shared" si="55"/>
        <v>#REF!</v>
      </c>
      <c r="AX62" s="529" t="e">
        <f t="shared" si="56"/>
        <v>#REF!</v>
      </c>
      <c r="AY62" s="162" t="e">
        <f t="shared" ca="1" si="57"/>
        <v>#REF!</v>
      </c>
      <c r="AZ62" s="3"/>
    </row>
    <row r="63" spans="1:52">
      <c r="O63" s="3"/>
      <c r="P63" s="243" t="s">
        <v>41</v>
      </c>
      <c r="Q63" s="303">
        <v>579.26</v>
      </c>
      <c r="R63" s="303">
        <v>90</v>
      </c>
      <c r="S63" s="303">
        <v>115</v>
      </c>
      <c r="T63" s="409">
        <v>50</v>
      </c>
      <c r="U63" s="409">
        <v>50</v>
      </c>
      <c r="V63" s="545">
        <f t="shared" si="46"/>
        <v>3908.0699999999997</v>
      </c>
      <c r="W63" s="534" t="e">
        <f>$V63+ IF($B$2="mil",1,0.0254)*$C37</f>
        <v>#REF!</v>
      </c>
      <c r="X63" s="524" t="e">
        <f>$Y$58 + IF($B$2="mil",1,0.0254)*DDR2Specs!$E$9</f>
        <v>#REF!</v>
      </c>
      <c r="Y63" s="547" t="e">
        <f>$X$58 + IF($B$2="mil",1,0.0254)*DDR2Specs!$F$9</f>
        <v>#REF!</v>
      </c>
      <c r="Z63" s="546" t="e">
        <f>IF($W63&lt;$X63,$X63-$W63,"Pass")</f>
        <v>#REF!</v>
      </c>
      <c r="AA63" s="547" t="e">
        <f t="shared" si="41"/>
        <v>#REF!</v>
      </c>
      <c r="AB63" s="545">
        <f t="shared" si="48"/>
        <v>3933.0699999999997</v>
      </c>
      <c r="AC63" s="534" t="e">
        <f t="shared" si="49"/>
        <v>#REF!</v>
      </c>
      <c r="AD63" s="524" t="e">
        <f>$AE$58 + IF($B$2="mil",1,0.0254)*DDR2Specs!$E$9</f>
        <v>#REF!</v>
      </c>
      <c r="AE63" s="524" t="e">
        <f>$AD$58 + IF($B$2="mil",1,0.0254)*DDR2Specs!$F$9</f>
        <v>#REF!</v>
      </c>
      <c r="AF63" s="546" t="e">
        <f t="shared" si="42"/>
        <v>#REF!</v>
      </c>
      <c r="AG63" s="547" t="e">
        <f t="shared" si="43"/>
        <v>#REF!</v>
      </c>
      <c r="AH63" s="554"/>
      <c r="AI63" s="554"/>
      <c r="AJ63" s="554"/>
      <c r="AK63" s="554"/>
      <c r="AL63" s="554"/>
      <c r="AM63" s="554"/>
      <c r="AN63" s="561" t="s">
        <v>41</v>
      </c>
      <c r="AO63" s="529" t="e">
        <f t="shared" si="50"/>
        <v>#REF!</v>
      </c>
      <c r="AP63" s="577"/>
      <c r="AQ63" s="528" t="e">
        <f t="shared" si="44"/>
        <v>#REF!</v>
      </c>
      <c r="AR63" s="528" t="e">
        <f t="shared" si="45"/>
        <v>#REF!</v>
      </c>
      <c r="AS63" s="528" t="e">
        <f t="shared" ca="1" si="51"/>
        <v>#NAME?</v>
      </c>
      <c r="AT63" s="528" t="e">
        <f t="shared" ca="1" si="52"/>
        <v>#NAME?</v>
      </c>
      <c r="AU63" s="528" t="e">
        <f t="shared" si="53"/>
        <v>#REF!</v>
      </c>
      <c r="AV63" s="560" t="e">
        <f t="shared" si="54"/>
        <v>#REF!</v>
      </c>
      <c r="AW63" s="528" t="e">
        <f t="shared" si="55"/>
        <v>#REF!</v>
      </c>
      <c r="AX63" s="529" t="e">
        <f t="shared" si="56"/>
        <v>#REF!</v>
      </c>
      <c r="AY63" s="162" t="e">
        <f t="shared" ca="1" si="57"/>
        <v>#REF!</v>
      </c>
      <c r="AZ63" s="3"/>
    </row>
    <row r="64" spans="1:52">
      <c r="M64" t="s">
        <v>278</v>
      </c>
      <c r="O64" s="3"/>
      <c r="P64" s="243" t="s">
        <v>42</v>
      </c>
      <c r="Q64" s="303">
        <v>624.74</v>
      </c>
      <c r="R64" s="303">
        <v>70.48</v>
      </c>
      <c r="S64" s="303">
        <v>70.48</v>
      </c>
      <c r="T64" s="409">
        <v>50</v>
      </c>
      <c r="U64" s="409">
        <v>50</v>
      </c>
      <c r="V64" s="545">
        <f t="shared" si="46"/>
        <v>4974.9199999999992</v>
      </c>
      <c r="W64" s="534" t="e">
        <f t="shared" si="47"/>
        <v>#REF!</v>
      </c>
      <c r="X64" s="524" t="e">
        <f>$Y$58 + IF($B$2="mil",1,0.0254)*DDR2Specs!$E$9</f>
        <v>#REF!</v>
      </c>
      <c r="Y64" s="547" t="e">
        <f>$X$58 + IF($B$2="mil",1,0.0254)*DDR2Specs!$F$9</f>
        <v>#REF!</v>
      </c>
      <c r="Z64" s="546" t="e">
        <f t="shared" si="40"/>
        <v>#REF!</v>
      </c>
      <c r="AA64" s="547" t="e">
        <f t="shared" si="41"/>
        <v>#REF!</v>
      </c>
      <c r="AB64" s="545">
        <f t="shared" si="48"/>
        <v>4974.9199999999992</v>
      </c>
      <c r="AC64" s="534" t="e">
        <f t="shared" si="49"/>
        <v>#REF!</v>
      </c>
      <c r="AD64" s="524" t="e">
        <f>$AE$58 + IF($B$2="mil",1,0.0254)*DDR2Specs!$E$9</f>
        <v>#REF!</v>
      </c>
      <c r="AE64" s="524" t="e">
        <f>$AD$58 + IF($B$2="mil",1,0.0254)*DDR2Specs!$F$9</f>
        <v>#REF!</v>
      </c>
      <c r="AF64" s="546" t="e">
        <f t="shared" si="42"/>
        <v>#REF!</v>
      </c>
      <c r="AG64" s="547" t="e">
        <f t="shared" si="43"/>
        <v>#REF!</v>
      </c>
      <c r="AH64" s="554"/>
      <c r="AI64" s="554"/>
      <c r="AJ64" s="554"/>
      <c r="AK64" s="554"/>
      <c r="AL64" s="554"/>
      <c r="AM64" s="554"/>
      <c r="AN64" s="561" t="s">
        <v>42</v>
      </c>
      <c r="AO64" s="529" t="e">
        <f t="shared" si="50"/>
        <v>#REF!</v>
      </c>
      <c r="AP64" s="577"/>
      <c r="AQ64" s="528" t="e">
        <f t="shared" si="44"/>
        <v>#REF!</v>
      </c>
      <c r="AR64" s="528" t="e">
        <f t="shared" si="45"/>
        <v>#REF!</v>
      </c>
      <c r="AS64" s="528" t="e">
        <f t="shared" ca="1" si="51"/>
        <v>#NAME?</v>
      </c>
      <c r="AT64" s="528" t="e">
        <f t="shared" ca="1" si="52"/>
        <v>#NAME?</v>
      </c>
      <c r="AU64" s="528" t="e">
        <f t="shared" si="53"/>
        <v>#REF!</v>
      </c>
      <c r="AV64" s="560" t="e">
        <f t="shared" si="54"/>
        <v>#REF!</v>
      </c>
      <c r="AW64" s="528" t="e">
        <f t="shared" si="55"/>
        <v>#REF!</v>
      </c>
      <c r="AX64" s="529" t="e">
        <f t="shared" si="56"/>
        <v>#REF!</v>
      </c>
      <c r="AY64" s="162" t="e">
        <f t="shared" ca="1" si="57"/>
        <v>#REF!</v>
      </c>
      <c r="AZ64" s="3"/>
    </row>
    <row r="65" spans="14:52">
      <c r="O65" s="3"/>
      <c r="P65" s="243" t="s">
        <v>43</v>
      </c>
      <c r="Q65" s="303">
        <v>610.85</v>
      </c>
      <c r="R65" s="303">
        <v>45.3</v>
      </c>
      <c r="S65" s="303">
        <v>47</v>
      </c>
      <c r="T65" s="409">
        <v>50</v>
      </c>
      <c r="U65" s="409">
        <v>50</v>
      </c>
      <c r="V65" s="545">
        <f t="shared" si="46"/>
        <v>3947.22</v>
      </c>
      <c r="W65" s="534" t="e">
        <f t="shared" si="47"/>
        <v>#REF!</v>
      </c>
      <c r="X65" s="524" t="e">
        <f>$Y$58 + IF($B$2="mil",1,0.0254)*DDR2Specs!$E$9</f>
        <v>#REF!</v>
      </c>
      <c r="Y65" s="547" t="e">
        <f>$X$58 + IF($B$2="mil",1,0.0254)*DDR2Specs!$F$9</f>
        <v>#REF!</v>
      </c>
      <c r="Z65" s="546" t="e">
        <f t="shared" si="40"/>
        <v>#REF!</v>
      </c>
      <c r="AA65" s="547" t="e">
        <f t="shared" si="41"/>
        <v>#REF!</v>
      </c>
      <c r="AB65" s="545">
        <f t="shared" si="48"/>
        <v>3948.9199999999996</v>
      </c>
      <c r="AC65" s="534" t="e">
        <f t="shared" si="49"/>
        <v>#REF!</v>
      </c>
      <c r="AD65" s="524" t="e">
        <f>$AE$58 + IF($B$2="mil",1,0.0254)*DDR2Specs!$E$9</f>
        <v>#REF!</v>
      </c>
      <c r="AE65" s="524" t="e">
        <f>$AD$58 + IF($B$2="mil",1,0.0254)*DDR2Specs!$F$9</f>
        <v>#REF!</v>
      </c>
      <c r="AF65" s="546" t="e">
        <f t="shared" si="42"/>
        <v>#REF!</v>
      </c>
      <c r="AG65" s="547" t="e">
        <f t="shared" si="43"/>
        <v>#REF!</v>
      </c>
      <c r="AH65" s="554"/>
      <c r="AI65" s="554"/>
      <c r="AJ65" s="554"/>
      <c r="AK65" s="554"/>
      <c r="AL65" s="554"/>
      <c r="AM65" s="554"/>
      <c r="AN65" s="561" t="s">
        <v>43</v>
      </c>
      <c r="AO65" s="529" t="e">
        <f t="shared" si="50"/>
        <v>#REF!</v>
      </c>
      <c r="AP65" s="577"/>
      <c r="AQ65" s="528" t="e">
        <f t="shared" si="44"/>
        <v>#REF!</v>
      </c>
      <c r="AR65" s="528" t="e">
        <f t="shared" si="45"/>
        <v>#REF!</v>
      </c>
      <c r="AS65" s="528" t="e">
        <f t="shared" ca="1" si="51"/>
        <v>#NAME?</v>
      </c>
      <c r="AT65" s="528" t="e">
        <f t="shared" ca="1" si="52"/>
        <v>#NAME?</v>
      </c>
      <c r="AU65" s="528" t="e">
        <f t="shared" si="53"/>
        <v>#REF!</v>
      </c>
      <c r="AV65" s="560" t="e">
        <f t="shared" si="54"/>
        <v>#REF!</v>
      </c>
      <c r="AW65" s="528" t="e">
        <f t="shared" si="55"/>
        <v>#REF!</v>
      </c>
      <c r="AX65" s="529" t="e">
        <f t="shared" si="56"/>
        <v>#REF!</v>
      </c>
      <c r="AY65" s="162" t="e">
        <f t="shared" ca="1" si="57"/>
        <v>#REF!</v>
      </c>
      <c r="AZ65" s="3"/>
    </row>
    <row r="66" spans="14:52">
      <c r="N66" t="s">
        <v>245</v>
      </c>
      <c r="O66" s="3"/>
      <c r="P66" s="243" t="s">
        <v>44</v>
      </c>
      <c r="Q66" s="303">
        <v>604.02</v>
      </c>
      <c r="R66" s="303">
        <v>76.069999999999993</v>
      </c>
      <c r="S66" s="303">
        <v>76.069999999999993</v>
      </c>
      <c r="T66" s="409">
        <v>50</v>
      </c>
      <c r="U66" s="409">
        <v>50</v>
      </c>
      <c r="V66" s="545">
        <f t="shared" si="46"/>
        <v>3996.02</v>
      </c>
      <c r="W66" s="534" t="e">
        <f t="shared" si="47"/>
        <v>#REF!</v>
      </c>
      <c r="X66" s="524" t="e">
        <f>$Y$58 + IF($B$2="mil",1,0.0254)*DDR2Specs!$E$9</f>
        <v>#REF!</v>
      </c>
      <c r="Y66" s="547" t="e">
        <f>$X$58 + IF($B$2="mil",1,0.0254)*DDR2Specs!$F$9</f>
        <v>#REF!</v>
      </c>
      <c r="Z66" s="546" t="e">
        <f t="shared" si="40"/>
        <v>#REF!</v>
      </c>
      <c r="AA66" s="547" t="e">
        <f t="shared" si="41"/>
        <v>#REF!</v>
      </c>
      <c r="AB66" s="545">
        <f t="shared" si="48"/>
        <v>3996.02</v>
      </c>
      <c r="AC66" s="534" t="e">
        <f t="shared" si="49"/>
        <v>#REF!</v>
      </c>
      <c r="AD66" s="524" t="e">
        <f>$AE$58 + IF($B$2="mil",1,0.0254)*DDR2Specs!$E$9</f>
        <v>#REF!</v>
      </c>
      <c r="AE66" s="524" t="e">
        <f>$AD$58 + IF($B$2="mil",1,0.0254)*DDR2Specs!$F$9</f>
        <v>#REF!</v>
      </c>
      <c r="AF66" s="546" t="e">
        <f t="shared" si="42"/>
        <v>#REF!</v>
      </c>
      <c r="AG66" s="547" t="e">
        <f t="shared" si="43"/>
        <v>#REF!</v>
      </c>
      <c r="AH66" s="554"/>
      <c r="AI66" s="554"/>
      <c r="AJ66" s="554"/>
      <c r="AK66" s="554"/>
      <c r="AL66" s="554"/>
      <c r="AM66" s="554"/>
      <c r="AN66" s="561" t="s">
        <v>44</v>
      </c>
      <c r="AO66" s="529" t="e">
        <f t="shared" si="50"/>
        <v>#REF!</v>
      </c>
      <c r="AP66" s="577"/>
      <c r="AQ66" s="528" t="e">
        <f t="shared" si="44"/>
        <v>#REF!</v>
      </c>
      <c r="AR66" s="528" t="e">
        <f t="shared" si="45"/>
        <v>#REF!</v>
      </c>
      <c r="AS66" s="528" t="e">
        <f t="shared" ca="1" si="51"/>
        <v>#NAME?</v>
      </c>
      <c r="AT66" s="528" t="e">
        <f t="shared" ca="1" si="52"/>
        <v>#NAME?</v>
      </c>
      <c r="AU66" s="528" t="e">
        <f t="shared" si="53"/>
        <v>#REF!</v>
      </c>
      <c r="AV66" s="560" t="e">
        <f t="shared" si="54"/>
        <v>#REF!</v>
      </c>
      <c r="AW66" s="528" t="e">
        <f t="shared" si="55"/>
        <v>#REF!</v>
      </c>
      <c r="AX66" s="529" t="e">
        <f t="shared" si="56"/>
        <v>#REF!</v>
      </c>
      <c r="AY66" s="162" t="e">
        <f t="shared" ca="1" si="57"/>
        <v>#REF!</v>
      </c>
      <c r="AZ66" s="3"/>
    </row>
    <row r="67" spans="14:52">
      <c r="O67" s="3"/>
      <c r="P67" s="243" t="s">
        <v>46</v>
      </c>
      <c r="Q67" s="303">
        <v>596.35</v>
      </c>
      <c r="R67" s="303">
        <v>76.09</v>
      </c>
      <c r="S67" s="303">
        <v>76.09</v>
      </c>
      <c r="T67" s="409">
        <v>50</v>
      </c>
      <c r="U67" s="409">
        <v>50</v>
      </c>
      <c r="V67" s="545">
        <f t="shared" si="46"/>
        <v>3880.39</v>
      </c>
      <c r="W67" s="534" t="e">
        <f t="shared" si="47"/>
        <v>#REF!</v>
      </c>
      <c r="X67" s="524" t="e">
        <f>$Y$58 + IF($B$2="mil",1,0.0254)*DDR2Specs!$E$9</f>
        <v>#REF!</v>
      </c>
      <c r="Y67" s="547" t="e">
        <f>$X$58 + IF($B$2="mil",1,0.0254)*DDR2Specs!$F$9</f>
        <v>#REF!</v>
      </c>
      <c r="Z67" s="546" t="e">
        <f t="shared" si="40"/>
        <v>#REF!</v>
      </c>
      <c r="AA67" s="547" t="e">
        <f t="shared" si="41"/>
        <v>#REF!</v>
      </c>
      <c r="AB67" s="545">
        <f t="shared" si="48"/>
        <v>3880.39</v>
      </c>
      <c r="AC67" s="534" t="e">
        <f t="shared" si="49"/>
        <v>#REF!</v>
      </c>
      <c r="AD67" s="524" t="e">
        <f>$AE$58 + IF($B$2="mil",1,0.0254)*DDR2Specs!$E$9</f>
        <v>#REF!</v>
      </c>
      <c r="AE67" s="524" t="e">
        <f>$AD$58 + IF($B$2="mil",1,0.0254)*DDR2Specs!$F$9</f>
        <v>#REF!</v>
      </c>
      <c r="AF67" s="546" t="e">
        <f t="shared" si="42"/>
        <v>#REF!</v>
      </c>
      <c r="AG67" s="547" t="e">
        <f t="shared" si="43"/>
        <v>#REF!</v>
      </c>
      <c r="AH67" s="554"/>
      <c r="AI67" s="554"/>
      <c r="AJ67" s="554"/>
      <c r="AK67" s="554"/>
      <c r="AL67" s="554"/>
      <c r="AM67" s="554"/>
      <c r="AN67" s="561" t="s">
        <v>46</v>
      </c>
      <c r="AO67" s="529" t="e">
        <f t="shared" si="50"/>
        <v>#REF!</v>
      </c>
      <c r="AP67" s="577"/>
      <c r="AQ67" s="528" t="e">
        <f t="shared" si="44"/>
        <v>#REF!</v>
      </c>
      <c r="AR67" s="528" t="e">
        <f t="shared" si="45"/>
        <v>#REF!</v>
      </c>
      <c r="AS67" s="528" t="e">
        <f t="shared" ca="1" si="51"/>
        <v>#NAME?</v>
      </c>
      <c r="AT67" s="528" t="e">
        <f t="shared" ca="1" si="52"/>
        <v>#NAME?</v>
      </c>
      <c r="AU67" s="528" t="e">
        <f t="shared" si="53"/>
        <v>#REF!</v>
      </c>
      <c r="AV67" s="560" t="e">
        <f t="shared" si="54"/>
        <v>#REF!</v>
      </c>
      <c r="AW67" s="528" t="e">
        <f t="shared" si="55"/>
        <v>#REF!</v>
      </c>
      <c r="AX67" s="529" t="e">
        <f t="shared" si="56"/>
        <v>#REF!</v>
      </c>
      <c r="AY67" s="162" t="e">
        <f t="shared" ca="1" si="57"/>
        <v>#REF!</v>
      </c>
      <c r="AZ67" s="3"/>
    </row>
    <row r="68" spans="14:52">
      <c r="O68" s="3"/>
      <c r="P68" s="243" t="s">
        <v>47</v>
      </c>
      <c r="Q68" s="303">
        <v>615.67999999999995</v>
      </c>
      <c r="R68" s="303">
        <v>55.8</v>
      </c>
      <c r="S68" s="303">
        <v>55.8</v>
      </c>
      <c r="T68" s="409">
        <v>50</v>
      </c>
      <c r="U68" s="409">
        <v>50</v>
      </c>
      <c r="V68" s="545">
        <f t="shared" si="46"/>
        <v>3932.09</v>
      </c>
      <c r="W68" s="534" t="e">
        <f t="shared" si="47"/>
        <v>#REF!</v>
      </c>
      <c r="X68" s="524" t="e">
        <f>$Y$58 + IF($B$2="mil",1,0.0254)*DDR2Specs!$E$9</f>
        <v>#REF!</v>
      </c>
      <c r="Y68" s="547" t="e">
        <f>$X$58 + IF($B$2="mil",1,0.0254)*DDR2Specs!$F$9</f>
        <v>#REF!</v>
      </c>
      <c r="Z68" s="546" t="e">
        <f t="shared" si="40"/>
        <v>#REF!</v>
      </c>
      <c r="AA68" s="547" t="e">
        <f t="shared" si="41"/>
        <v>#REF!</v>
      </c>
      <c r="AB68" s="545">
        <f>SUM($E42:$G42,$M42,$N42,$Q68,$S68,$U68)</f>
        <v>3932.09</v>
      </c>
      <c r="AC68" s="534" t="e">
        <f t="shared" si="49"/>
        <v>#REF!</v>
      </c>
      <c r="AD68" s="524" t="e">
        <f>$AE$58 + IF($B$2="mil",1,0.0254)*DDR2Specs!$E$9</f>
        <v>#REF!</v>
      </c>
      <c r="AE68" s="524" t="e">
        <f>$AD$58 + IF($B$2="mil",1,0.0254)*DDR2Specs!$F$9</f>
        <v>#REF!</v>
      </c>
      <c r="AF68" s="546" t="e">
        <f t="shared" si="42"/>
        <v>#REF!</v>
      </c>
      <c r="AG68" s="547" t="e">
        <f t="shared" si="43"/>
        <v>#REF!</v>
      </c>
      <c r="AH68" s="554"/>
      <c r="AI68" s="554"/>
      <c r="AJ68" s="554"/>
      <c r="AK68" s="554"/>
      <c r="AL68" s="554"/>
      <c r="AM68" s="554"/>
      <c r="AN68" s="561" t="s">
        <v>47</v>
      </c>
      <c r="AO68" s="529" t="e">
        <f t="shared" si="50"/>
        <v>#REF!</v>
      </c>
      <c r="AP68" s="577"/>
      <c r="AQ68" s="528" t="e">
        <f t="shared" si="44"/>
        <v>#REF!</v>
      </c>
      <c r="AR68" s="528" t="e">
        <f t="shared" si="45"/>
        <v>#REF!</v>
      </c>
      <c r="AS68" s="528" t="e">
        <f t="shared" ca="1" si="51"/>
        <v>#NAME?</v>
      </c>
      <c r="AT68" s="528" t="e">
        <f t="shared" ca="1" si="52"/>
        <v>#NAME?</v>
      </c>
      <c r="AU68" s="528" t="e">
        <f t="shared" si="53"/>
        <v>#REF!</v>
      </c>
      <c r="AV68" s="560" t="e">
        <f t="shared" si="54"/>
        <v>#REF!</v>
      </c>
      <c r="AW68" s="528" t="e">
        <f t="shared" si="55"/>
        <v>#REF!</v>
      </c>
      <c r="AX68" s="529" t="e">
        <f t="shared" si="56"/>
        <v>#REF!</v>
      </c>
      <c r="AY68" s="162" t="e">
        <f t="shared" ca="1" si="57"/>
        <v>#REF!</v>
      </c>
      <c r="AZ68" s="3"/>
    </row>
    <row r="69" spans="14:52">
      <c r="N69" t="s">
        <v>251</v>
      </c>
      <c r="O69" s="3"/>
      <c r="P69" s="243" t="s">
        <v>48</v>
      </c>
      <c r="Q69" s="303">
        <v>533.94000000000005</v>
      </c>
      <c r="R69" s="303">
        <v>73.59</v>
      </c>
      <c r="S69" s="303">
        <v>73.59</v>
      </c>
      <c r="T69" s="409">
        <v>50</v>
      </c>
      <c r="U69" s="409">
        <v>50</v>
      </c>
      <c r="V69" s="545">
        <f t="shared" si="46"/>
        <v>4120.1900000000005</v>
      </c>
      <c r="W69" s="534" t="e">
        <f t="shared" si="47"/>
        <v>#REF!</v>
      </c>
      <c r="X69" s="524" t="e">
        <f>$Y$58 + IF($B$2="mil",1,0.0254)*DDR2Specs!$E$9</f>
        <v>#REF!</v>
      </c>
      <c r="Y69" s="547" t="e">
        <f>$X$58 + IF($B$2="mil",1,0.0254)*DDR2Specs!$F$9</f>
        <v>#REF!</v>
      </c>
      <c r="Z69" s="546" t="e">
        <f t="shared" si="40"/>
        <v>#REF!</v>
      </c>
      <c r="AA69" s="547" t="e">
        <f t="shared" si="41"/>
        <v>#REF!</v>
      </c>
      <c r="AB69" s="545">
        <f t="shared" si="48"/>
        <v>4120.1900000000005</v>
      </c>
      <c r="AC69" s="534" t="e">
        <f t="shared" si="49"/>
        <v>#REF!</v>
      </c>
      <c r="AD69" s="524" t="e">
        <f>$AE$58 + IF($B$2="mil",1,0.0254)*DDR2Specs!$E$9</f>
        <v>#REF!</v>
      </c>
      <c r="AE69" s="524" t="e">
        <f>$AD$58 + IF($B$2="mil",1,0.0254)*DDR2Specs!$F$9</f>
        <v>#REF!</v>
      </c>
      <c r="AF69" s="546" t="e">
        <f t="shared" si="42"/>
        <v>#REF!</v>
      </c>
      <c r="AG69" s="547" t="e">
        <f t="shared" si="43"/>
        <v>#REF!</v>
      </c>
      <c r="AH69" s="554"/>
      <c r="AI69" s="554"/>
      <c r="AJ69" s="554"/>
      <c r="AK69" s="554"/>
      <c r="AL69" s="554"/>
      <c r="AM69" s="554"/>
      <c r="AN69" s="561" t="s">
        <v>48</v>
      </c>
      <c r="AO69" s="529" t="e">
        <f t="shared" si="50"/>
        <v>#REF!</v>
      </c>
      <c r="AP69" s="577"/>
      <c r="AQ69" s="528" t="e">
        <f t="shared" si="44"/>
        <v>#REF!</v>
      </c>
      <c r="AR69" s="528" t="e">
        <f t="shared" si="45"/>
        <v>#REF!</v>
      </c>
      <c r="AS69" s="528" t="e">
        <f t="shared" ca="1" si="51"/>
        <v>#NAME?</v>
      </c>
      <c r="AT69" s="528" t="e">
        <f t="shared" ca="1" si="52"/>
        <v>#NAME?</v>
      </c>
      <c r="AU69" s="528" t="e">
        <f t="shared" si="53"/>
        <v>#REF!</v>
      </c>
      <c r="AV69" s="560" t="e">
        <f t="shared" si="54"/>
        <v>#REF!</v>
      </c>
      <c r="AW69" s="528" t="e">
        <f t="shared" si="55"/>
        <v>#REF!</v>
      </c>
      <c r="AX69" s="529" t="e">
        <f t="shared" si="56"/>
        <v>#REF!</v>
      </c>
      <c r="AY69" s="162" t="e">
        <f t="shared" ca="1" si="57"/>
        <v>#REF!</v>
      </c>
      <c r="AZ69" s="3"/>
    </row>
    <row r="70" spans="14:52">
      <c r="O70" s="3"/>
      <c r="P70" s="243" t="s">
        <v>50</v>
      </c>
      <c r="Q70" s="303">
        <v>559.79</v>
      </c>
      <c r="R70" s="303">
        <v>31.54</v>
      </c>
      <c r="S70" s="303">
        <v>31.54</v>
      </c>
      <c r="T70" s="409">
        <v>50</v>
      </c>
      <c r="U70" s="409">
        <v>50</v>
      </c>
      <c r="V70" s="545">
        <f>SUM($E44:$G44,$M44,$N44,$Q70:$R70,T70)</f>
        <v>4221.03</v>
      </c>
      <c r="W70" s="534" t="e">
        <f t="shared" si="47"/>
        <v>#REF!</v>
      </c>
      <c r="X70" s="524" t="e">
        <f>$Y$58 + IF($B$2="mil",1,0.0254)*DDR2Specs!$E$9</f>
        <v>#REF!</v>
      </c>
      <c r="Y70" s="547" t="e">
        <f>$X$58 + IF($B$2="mil",1,0.0254)*DDR2Specs!$F$9</f>
        <v>#REF!</v>
      </c>
      <c r="Z70" s="546" t="e">
        <f t="shared" si="40"/>
        <v>#REF!</v>
      </c>
      <c r="AA70" s="547" t="e">
        <f t="shared" si="41"/>
        <v>#REF!</v>
      </c>
      <c r="AB70" s="545">
        <f t="shared" si="48"/>
        <v>4221.03</v>
      </c>
      <c r="AC70" s="534" t="e">
        <f t="shared" si="49"/>
        <v>#REF!</v>
      </c>
      <c r="AD70" s="524" t="e">
        <f>$AE$58 + IF($B$2="mil",1,0.0254)*DDR2Specs!$E$9</f>
        <v>#REF!</v>
      </c>
      <c r="AE70" s="524" t="e">
        <f>$AD$58 + IF($B$2="mil",1,0.0254)*DDR2Specs!$F$9</f>
        <v>#REF!</v>
      </c>
      <c r="AF70" s="546" t="e">
        <f t="shared" si="42"/>
        <v>#REF!</v>
      </c>
      <c r="AG70" s="547" t="e">
        <f t="shared" si="43"/>
        <v>#REF!</v>
      </c>
      <c r="AH70" s="554"/>
      <c r="AI70" s="554"/>
      <c r="AJ70" s="554"/>
      <c r="AK70" s="554"/>
      <c r="AL70" s="554"/>
      <c r="AM70" s="554"/>
      <c r="AN70" s="561" t="s">
        <v>50</v>
      </c>
      <c r="AO70" s="529" t="e">
        <f t="shared" si="50"/>
        <v>#REF!</v>
      </c>
      <c r="AP70" s="577"/>
      <c r="AQ70" s="528" t="e">
        <f t="shared" si="44"/>
        <v>#REF!</v>
      </c>
      <c r="AR70" s="528" t="e">
        <f t="shared" si="45"/>
        <v>#REF!</v>
      </c>
      <c r="AS70" s="528" t="e">
        <f t="shared" ca="1" si="51"/>
        <v>#NAME?</v>
      </c>
      <c r="AT70" s="528" t="e">
        <f t="shared" ca="1" si="52"/>
        <v>#NAME?</v>
      </c>
      <c r="AU70" s="528" t="e">
        <f t="shared" si="53"/>
        <v>#REF!</v>
      </c>
      <c r="AV70" s="560" t="e">
        <f t="shared" si="54"/>
        <v>#REF!</v>
      </c>
      <c r="AW70" s="528" t="e">
        <f t="shared" si="55"/>
        <v>#REF!</v>
      </c>
      <c r="AX70" s="529" t="e">
        <f t="shared" si="56"/>
        <v>#REF!</v>
      </c>
      <c r="AY70" s="162" t="e">
        <f t="shared" ca="1" si="57"/>
        <v>#REF!</v>
      </c>
      <c r="AZ70" s="3"/>
    </row>
    <row r="71" spans="14:52">
      <c r="O71" s="3"/>
      <c r="P71" s="243" t="s">
        <v>51</v>
      </c>
      <c r="Q71" s="303">
        <v>632.15</v>
      </c>
      <c r="R71" s="303">
        <v>69.180000000000007</v>
      </c>
      <c r="S71" s="303">
        <v>69.180000000000007</v>
      </c>
      <c r="T71" s="409">
        <v>50</v>
      </c>
      <c r="U71" s="409">
        <v>50</v>
      </c>
      <c r="V71" s="545">
        <f t="shared" si="46"/>
        <v>4087.56</v>
      </c>
      <c r="W71" s="534" t="e">
        <f t="shared" si="47"/>
        <v>#REF!</v>
      </c>
      <c r="X71" s="524" t="e">
        <f>$Y$58 + IF($B$2="mil",1,0.0254)*DDR2Specs!$E$9</f>
        <v>#REF!</v>
      </c>
      <c r="Y71" s="547" t="e">
        <f>$X$58 + IF($B$2="mil",1,0.0254)*DDR2Specs!$F$9</f>
        <v>#REF!</v>
      </c>
      <c r="Z71" s="546" t="e">
        <f t="shared" si="40"/>
        <v>#REF!</v>
      </c>
      <c r="AA71" s="547" t="e">
        <f t="shared" si="41"/>
        <v>#REF!</v>
      </c>
      <c r="AB71" s="545">
        <f t="shared" si="48"/>
        <v>4087.56</v>
      </c>
      <c r="AC71" s="534" t="e">
        <f t="shared" si="49"/>
        <v>#REF!</v>
      </c>
      <c r="AD71" s="524" t="e">
        <f>$AE$58 + IF($B$2="mil",1,0.0254)*DDR2Specs!$E$9</f>
        <v>#REF!</v>
      </c>
      <c r="AE71" s="524" t="e">
        <f>$AD$58 + IF($B$2="mil",1,0.0254)*DDR2Specs!$F$9</f>
        <v>#REF!</v>
      </c>
      <c r="AF71" s="546" t="e">
        <f t="shared" si="42"/>
        <v>#REF!</v>
      </c>
      <c r="AG71" s="547" t="e">
        <f t="shared" si="43"/>
        <v>#REF!</v>
      </c>
      <c r="AH71" s="554"/>
      <c r="AI71" s="554"/>
      <c r="AJ71" s="554"/>
      <c r="AK71" s="554"/>
      <c r="AL71" s="554"/>
      <c r="AM71" s="554"/>
      <c r="AN71" s="561" t="s">
        <v>51</v>
      </c>
      <c r="AO71" s="529" t="e">
        <f t="shared" si="50"/>
        <v>#REF!</v>
      </c>
      <c r="AP71" s="577"/>
      <c r="AQ71" s="528" t="e">
        <f t="shared" si="44"/>
        <v>#REF!</v>
      </c>
      <c r="AR71" s="528" t="e">
        <f t="shared" si="45"/>
        <v>#REF!</v>
      </c>
      <c r="AS71" s="528" t="e">
        <f t="shared" ca="1" si="51"/>
        <v>#NAME?</v>
      </c>
      <c r="AT71" s="528" t="e">
        <f t="shared" ca="1" si="52"/>
        <v>#NAME?</v>
      </c>
      <c r="AU71" s="528" t="e">
        <f t="shared" si="53"/>
        <v>#REF!</v>
      </c>
      <c r="AV71" s="560" t="e">
        <f t="shared" si="54"/>
        <v>#REF!</v>
      </c>
      <c r="AW71" s="528" t="e">
        <f t="shared" si="55"/>
        <v>#REF!</v>
      </c>
      <c r="AX71" s="529" t="e">
        <f t="shared" si="56"/>
        <v>#REF!</v>
      </c>
      <c r="AY71" s="162" t="e">
        <f t="shared" ca="1" si="57"/>
        <v>#REF!</v>
      </c>
      <c r="AZ71" s="3"/>
    </row>
    <row r="72" spans="14:52">
      <c r="N72" t="s">
        <v>246</v>
      </c>
      <c r="O72" s="3"/>
      <c r="P72" s="243" t="s">
        <v>52</v>
      </c>
      <c r="Q72" s="303">
        <v>566.39</v>
      </c>
      <c r="R72" s="303">
        <v>29.07</v>
      </c>
      <c r="S72" s="303">
        <v>29.07</v>
      </c>
      <c r="T72" s="409">
        <v>50</v>
      </c>
      <c r="U72" s="409">
        <v>50</v>
      </c>
      <c r="V72" s="545">
        <f t="shared" si="46"/>
        <v>4079.73</v>
      </c>
      <c r="W72" s="534" t="e">
        <f t="shared" si="47"/>
        <v>#REF!</v>
      </c>
      <c r="X72" s="524" t="e">
        <f>$Y$58 + IF($B$2="mil",1,0.0254)*DDR2Specs!$E$9</f>
        <v>#REF!</v>
      </c>
      <c r="Y72" s="547" t="e">
        <f>$X$58 + IF($B$2="mil",1,0.0254)*DDR2Specs!$F$9</f>
        <v>#REF!</v>
      </c>
      <c r="Z72" s="546" t="e">
        <f t="shared" si="40"/>
        <v>#REF!</v>
      </c>
      <c r="AA72" s="547" t="e">
        <f t="shared" si="41"/>
        <v>#REF!</v>
      </c>
      <c r="AB72" s="545">
        <f t="shared" si="48"/>
        <v>4079.73</v>
      </c>
      <c r="AC72" s="534" t="e">
        <f t="shared" si="49"/>
        <v>#REF!</v>
      </c>
      <c r="AD72" s="524" t="e">
        <f>$AE$58 + IF($B$2="mil",1,0.0254)*DDR2Specs!$E$9</f>
        <v>#REF!</v>
      </c>
      <c r="AE72" s="524" t="e">
        <f>$AD$58 + IF($B$2="mil",1,0.0254)*DDR2Specs!$F$9</f>
        <v>#REF!</v>
      </c>
      <c r="AF72" s="546" t="e">
        <f t="shared" si="42"/>
        <v>#REF!</v>
      </c>
      <c r="AG72" s="547" t="e">
        <f t="shared" si="43"/>
        <v>#REF!</v>
      </c>
      <c r="AH72" s="554"/>
      <c r="AI72" s="554"/>
      <c r="AJ72" s="554"/>
      <c r="AK72" s="554"/>
      <c r="AL72" s="554"/>
      <c r="AM72" s="554"/>
      <c r="AN72" s="561" t="s">
        <v>52</v>
      </c>
      <c r="AO72" s="529" t="e">
        <f t="shared" si="50"/>
        <v>#REF!</v>
      </c>
      <c r="AP72" s="577"/>
      <c r="AQ72" s="528" t="e">
        <f t="shared" si="44"/>
        <v>#REF!</v>
      </c>
      <c r="AR72" s="528" t="e">
        <f t="shared" si="45"/>
        <v>#REF!</v>
      </c>
      <c r="AS72" s="528" t="e">
        <f t="shared" ca="1" si="51"/>
        <v>#NAME?</v>
      </c>
      <c r="AT72" s="528" t="e">
        <f t="shared" ca="1" si="52"/>
        <v>#NAME?</v>
      </c>
      <c r="AU72" s="528" t="e">
        <f t="shared" si="53"/>
        <v>#REF!</v>
      </c>
      <c r="AV72" s="560" t="e">
        <f t="shared" si="54"/>
        <v>#REF!</v>
      </c>
      <c r="AW72" s="528" t="e">
        <f t="shared" si="55"/>
        <v>#REF!</v>
      </c>
      <c r="AX72" s="529" t="e">
        <f t="shared" si="56"/>
        <v>#REF!</v>
      </c>
      <c r="AY72" s="162" t="e">
        <f t="shared" ca="1" si="57"/>
        <v>#REF!</v>
      </c>
      <c r="AZ72" s="3"/>
    </row>
    <row r="73" spans="14:52">
      <c r="O73" s="3"/>
      <c r="P73" s="243" t="s">
        <v>53</v>
      </c>
      <c r="Q73" s="303">
        <v>566.39</v>
      </c>
      <c r="R73" s="303">
        <v>29.07</v>
      </c>
      <c r="S73" s="303">
        <v>29.07</v>
      </c>
      <c r="T73" s="409">
        <v>50</v>
      </c>
      <c r="U73" s="409">
        <v>50</v>
      </c>
      <c r="V73" s="545">
        <f t="shared" si="46"/>
        <v>3959.73</v>
      </c>
      <c r="W73" s="534" t="e">
        <f t="shared" si="47"/>
        <v>#REF!</v>
      </c>
      <c r="X73" s="524" t="e">
        <f>$Y$58 + IF($B$2="mil",1,0.0254)*DDR2Specs!$E$9</f>
        <v>#REF!</v>
      </c>
      <c r="Y73" s="547" t="e">
        <f>$X$58 + IF($B$2="mil",1,0.0254)*DDR2Specs!$F$9</f>
        <v>#REF!</v>
      </c>
      <c r="Z73" s="546" t="e">
        <f t="shared" si="40"/>
        <v>#REF!</v>
      </c>
      <c r="AA73" s="547" t="e">
        <f t="shared" si="41"/>
        <v>#REF!</v>
      </c>
      <c r="AB73" s="545">
        <f t="shared" si="48"/>
        <v>3959.73</v>
      </c>
      <c r="AC73" s="534" t="e">
        <f t="shared" si="49"/>
        <v>#REF!</v>
      </c>
      <c r="AD73" s="524" t="e">
        <f>$AE$58 + IF($B$2="mil",1,0.0254)*DDR2Specs!$E$9</f>
        <v>#REF!</v>
      </c>
      <c r="AE73" s="524" t="e">
        <f>$AD$58 + IF($B$2="mil",1,0.0254)*DDR2Specs!$F$9</f>
        <v>#REF!</v>
      </c>
      <c r="AF73" s="546" t="e">
        <f t="shared" si="42"/>
        <v>#REF!</v>
      </c>
      <c r="AG73" s="547" t="e">
        <f t="shared" si="43"/>
        <v>#REF!</v>
      </c>
      <c r="AH73" s="554"/>
      <c r="AI73" s="554"/>
      <c r="AJ73" s="554"/>
      <c r="AK73" s="554"/>
      <c r="AL73" s="554"/>
      <c r="AM73" s="554"/>
      <c r="AN73" s="561" t="s">
        <v>53</v>
      </c>
      <c r="AO73" s="529" t="e">
        <f t="shared" si="50"/>
        <v>#REF!</v>
      </c>
      <c r="AP73" s="577"/>
      <c r="AQ73" s="528" t="e">
        <f t="shared" si="44"/>
        <v>#REF!</v>
      </c>
      <c r="AR73" s="528" t="e">
        <f t="shared" si="45"/>
        <v>#REF!</v>
      </c>
      <c r="AS73" s="528" t="e">
        <f t="shared" ca="1" si="51"/>
        <v>#NAME?</v>
      </c>
      <c r="AT73" s="528" t="e">
        <f t="shared" ca="1" si="52"/>
        <v>#NAME?</v>
      </c>
      <c r="AU73" s="528" t="e">
        <f t="shared" si="53"/>
        <v>#REF!</v>
      </c>
      <c r="AV73" s="560" t="e">
        <f t="shared" si="54"/>
        <v>#REF!</v>
      </c>
      <c r="AW73" s="528" t="e">
        <f t="shared" si="55"/>
        <v>#REF!</v>
      </c>
      <c r="AX73" s="529" t="e">
        <f t="shared" si="56"/>
        <v>#REF!</v>
      </c>
      <c r="AY73" s="162" t="e">
        <f t="shared" ca="1" si="57"/>
        <v>#REF!</v>
      </c>
      <c r="AZ73" s="3"/>
    </row>
    <row r="74" spans="14:52">
      <c r="O74" s="3"/>
      <c r="P74" s="205" t="s">
        <v>230</v>
      </c>
      <c r="Q74" s="338"/>
      <c r="R74" s="331"/>
      <c r="S74" s="331"/>
      <c r="T74" s="433"/>
      <c r="U74" s="433"/>
      <c r="V74" s="207"/>
      <c r="W74" s="207"/>
      <c r="X74" s="207"/>
      <c r="Y74" s="571"/>
      <c r="Z74" s="430"/>
      <c r="AA74" s="430"/>
      <c r="AB74" s="207"/>
      <c r="AC74" s="207"/>
      <c r="AD74" s="207"/>
      <c r="AE74" s="207"/>
      <c r="AF74" s="430"/>
      <c r="AG74" s="430"/>
      <c r="AH74" s="554"/>
      <c r="AI74" s="554"/>
      <c r="AJ74" s="554"/>
      <c r="AK74" s="554"/>
      <c r="AL74" s="554"/>
      <c r="AM74" s="554"/>
      <c r="AN74" s="155" t="s">
        <v>230</v>
      </c>
      <c r="AO74" s="533"/>
      <c r="AP74" s="577"/>
      <c r="AQ74" s="179"/>
      <c r="AR74" s="179"/>
      <c r="AS74" s="179"/>
      <c r="AT74" s="179"/>
      <c r="AU74" s="179"/>
      <c r="AV74" s="562"/>
      <c r="AW74" s="179"/>
      <c r="AX74" s="549"/>
      <c r="AY74" s="3"/>
      <c r="AZ74" s="3"/>
    </row>
    <row r="75" spans="14:52">
      <c r="N75" t="s">
        <v>252</v>
      </c>
      <c r="O75" s="3"/>
      <c r="P75" s="185" t="s">
        <v>54</v>
      </c>
      <c r="Q75" s="303">
        <v>570.59</v>
      </c>
      <c r="R75" s="337">
        <v>75.430000000000007</v>
      </c>
      <c r="S75" s="337">
        <v>75.430000000000007</v>
      </c>
      <c r="T75" s="409">
        <v>50</v>
      </c>
      <c r="U75" s="409">
        <v>50</v>
      </c>
      <c r="V75" s="545">
        <f t="shared" si="46"/>
        <v>4016.64</v>
      </c>
      <c r="W75" s="534" t="e">
        <f t="shared" si="47"/>
        <v>#REF!</v>
      </c>
      <c r="X75" s="524" t="e">
        <f>$Y$58 + IF($B$2="mil",1,0.0254)*DDR2Specs!$E$9</f>
        <v>#REF!</v>
      </c>
      <c r="Y75" s="547" t="e">
        <f>$X$58 + IF($B$2="mil",1,0.0254)*DDR2Specs!$F$9</f>
        <v>#REF!</v>
      </c>
      <c r="Z75" s="546" t="e">
        <f>IF($W75&lt;$X75,$X75-$W75,"Pass")</f>
        <v>#REF!</v>
      </c>
      <c r="AA75" s="547" t="e">
        <f>IF($W75&gt;$Y75,$W75-$Y75,"Pass")</f>
        <v>#REF!</v>
      </c>
      <c r="AB75" s="545">
        <f t="shared" si="48"/>
        <v>4016.64</v>
      </c>
      <c r="AC75" s="524" t="e">
        <f>$AB75+IF($B$2="mil",1,0.0254)*$C49</f>
        <v>#REF!</v>
      </c>
      <c r="AD75" s="524" t="e">
        <f>$AE$58 + IF($B$2="mil",1,0.0254)*DDR2Specs!$E$9</f>
        <v>#REF!</v>
      </c>
      <c r="AE75" s="524" t="e">
        <f>$AD$58 + IF($B$2="mil",1,0.0254)*DDR2Specs!$F$9</f>
        <v>#REF!</v>
      </c>
      <c r="AF75" s="546" t="e">
        <f>IF($AC75&lt;$AD75,$AD75-$AC75,"Pass")</f>
        <v>#REF!</v>
      </c>
      <c r="AG75" s="547" t="e">
        <f>IF($AC75&gt;$AE75,$AC75-$AE75,"Pass")</f>
        <v>#REF!</v>
      </c>
      <c r="AH75" s="554"/>
      <c r="AI75" s="554"/>
      <c r="AJ75" s="554"/>
      <c r="AK75" s="554"/>
      <c r="AL75" s="554"/>
      <c r="AM75" s="554"/>
      <c r="AN75" s="559" t="s">
        <v>54</v>
      </c>
      <c r="AO75" s="529" t="e">
        <f>IF($Q75&lt;=IF($B$2="mil",1,0.0254)*1000,"Pass",IF($B$2="mil",1,0.0254)*1000-$Q75)</f>
        <v>#REF!</v>
      </c>
      <c r="AP75" s="577"/>
      <c r="AQ75" s="528" t="e">
        <f>IF($R75&lt;=IF($B$2="mil",1,0.0254)*750,"Pass",IF($B$2="mil",1,0.0254)*750-$R75)</f>
        <v>#REF!</v>
      </c>
      <c r="AR75" s="528" t="e">
        <f>IF($S75&lt;=IF($B$2="mil",1,0.0254)*750,"Pass",IF($B$2="mil",1,0.0254)*750-$S75)</f>
        <v>#REF!</v>
      </c>
      <c r="AS75" s="528" t="e">
        <f t="shared" ref="AS75:AT77" ca="1" si="58">CheckLength2(IF($B$2="mil",1,0.0254)*950,R75,T75,0)</f>
        <v>#NAME?</v>
      </c>
      <c r="AT75" s="528" t="e">
        <f t="shared" ca="1" si="58"/>
        <v>#NAME?</v>
      </c>
      <c r="AU75" s="528" t="e">
        <f>IF(AND(V75&gt;=IF($B$2="mil",1,0.0254)*500, $V75&lt;=IF($B$2="mil",1,0.0254)*6500),"Pass",IF($B$2="mil",1,0.0254)*6500-$V75)</f>
        <v>#REF!</v>
      </c>
      <c r="AV75" s="560" t="e">
        <f>IF(AND($W75&gt;=IF($B$2="mil",1,0.0254)*500, $W75&lt;=IF($B$2="mil",1,0.0254)*7000),"Pass",IF($B$2="mil",1,0.0254)*7000-$W75)</f>
        <v>#REF!</v>
      </c>
      <c r="AW75" s="528" t="e">
        <f>IF(AND($AB75&gt;=IF($B$2="mil",1,0.0254)*500, $AB75&lt;=IF($B$2="mil",1,0.0254)*6500),"Pass",IF($B$2="mil",1,0.0254)*6500-$AB75)</f>
        <v>#REF!</v>
      </c>
      <c r="AX75" s="529" t="e">
        <f>IF(AND($AC75&gt;=IF($B$2="mil",1,0.0254)*500, $AC75&lt;=IF($B$2="mil",1,0.0254)*7000),"Pass",IF($B$2="mil",1,0.0254)*7000-$AC75)</f>
        <v>#REF!</v>
      </c>
      <c r="AY75" s="162" t="e">
        <f t="shared" ca="1" si="57"/>
        <v>#REF!</v>
      </c>
      <c r="AZ75" s="3"/>
    </row>
    <row r="76" spans="14:52">
      <c r="O76" s="3"/>
      <c r="P76" s="241" t="s">
        <v>55</v>
      </c>
      <c r="Q76" s="303">
        <v>585.74</v>
      </c>
      <c r="R76" s="332">
        <v>58.08</v>
      </c>
      <c r="S76" s="332">
        <v>58.08</v>
      </c>
      <c r="T76" s="409">
        <v>50</v>
      </c>
      <c r="U76" s="409">
        <v>50</v>
      </c>
      <c r="V76" s="545">
        <f t="shared" si="46"/>
        <v>4067.38</v>
      </c>
      <c r="W76" s="534" t="e">
        <f t="shared" si="47"/>
        <v>#REF!</v>
      </c>
      <c r="X76" s="524" t="e">
        <f>$Y$58 + IF($B$2="mil",1,0.0254)*DDR2Specs!$E$9</f>
        <v>#REF!</v>
      </c>
      <c r="Y76" s="547" t="e">
        <f>$X$58 + IF($B$2="mil",1,0.0254)*DDR2Specs!$F$9</f>
        <v>#REF!</v>
      </c>
      <c r="Z76" s="546" t="e">
        <f>IF($W76&lt;$X76,$X76-$W76,"Pass")</f>
        <v>#REF!</v>
      </c>
      <c r="AA76" s="547" t="e">
        <f>IF($W76&gt;$Y76,$W76-$Y76,"Pass")</f>
        <v>#REF!</v>
      </c>
      <c r="AB76" s="545">
        <f t="shared" si="48"/>
        <v>4067.38</v>
      </c>
      <c r="AC76" s="524" t="e">
        <f>$AB76+IF($B$2="mil",1,0.0254)*$C50</f>
        <v>#REF!</v>
      </c>
      <c r="AD76" s="524" t="e">
        <f>$AE$58 + IF($B$2="mil",1,0.0254)*DDR2Specs!$E$9</f>
        <v>#REF!</v>
      </c>
      <c r="AE76" s="524" t="e">
        <f>$AD$58 + IF($B$2="mil",1,0.0254)*DDR2Specs!$F$9</f>
        <v>#REF!</v>
      </c>
      <c r="AF76" s="546" t="e">
        <f>IF($AC76&lt;$AD76,$AD76-$AC76,"Pass")</f>
        <v>#REF!</v>
      </c>
      <c r="AG76" s="547" t="e">
        <f>IF($AC76&gt;$AE76,$AC76-$AE76,"Pass")</f>
        <v>#REF!</v>
      </c>
      <c r="AH76" s="554"/>
      <c r="AI76" s="554"/>
      <c r="AJ76" s="554"/>
      <c r="AK76" s="554"/>
      <c r="AL76" s="554"/>
      <c r="AM76" s="554"/>
      <c r="AN76" s="563" t="s">
        <v>55</v>
      </c>
      <c r="AO76" s="529" t="e">
        <f>IF($Q76&lt;=IF($B$2="mil",1,0.0254)*1000,"Pass",IF($B$2="mil",1,0.0254)*1000-$Q76)</f>
        <v>#REF!</v>
      </c>
      <c r="AP76" s="577"/>
      <c r="AQ76" s="528" t="e">
        <f>IF($R76&lt;=IF($B$2="mil",1,0.0254)*750,"Pass",IF($B$2="mil",1,0.0254)*750-$R76)</f>
        <v>#REF!</v>
      </c>
      <c r="AR76" s="528" t="e">
        <f>IF($S76&lt;=IF($B$2="mil",1,0.0254)*750,"Pass",IF($B$2="mil",1,0.0254)*750-$S76)</f>
        <v>#REF!</v>
      </c>
      <c r="AS76" s="528" t="e">
        <f t="shared" ca="1" si="58"/>
        <v>#NAME?</v>
      </c>
      <c r="AT76" s="528" t="e">
        <f t="shared" ca="1" si="58"/>
        <v>#NAME?</v>
      </c>
      <c r="AU76" s="528" t="e">
        <f>IF(AND(V76&gt;=IF($B$2="mil",1,0.0254)*500, $V76&lt;=IF($B$2="mil",1,0.0254)*6500),"Pass",IF($B$2="mil",1,0.0254)*6500-$V76)</f>
        <v>#REF!</v>
      </c>
      <c r="AV76" s="560" t="e">
        <f>IF(AND($W76&gt;=IF($B$2="mil",1,0.0254)*500, $W76&lt;=IF($B$2="mil",1,0.0254)*7000),"Pass",IF($B$2="mil",1,0.0254)*7000-$W76)</f>
        <v>#REF!</v>
      </c>
      <c r="AW76" s="528" t="e">
        <f>IF(AND($AB76&gt;=IF($B$2="mil",1,0.0254)*500, $AB76&lt;=IF($B$2="mil",1,0.0254)*6500),"Pass",IF($B$2="mil",1,0.0254)*6500-$AB76)</f>
        <v>#REF!</v>
      </c>
      <c r="AX76" s="529" t="e">
        <f>IF(AND($AC76&gt;=IF($B$2="mil",1,0.0254)*500, $AC76&lt;=IF($B$2="mil",1,0.0254)*7000),"Pass",IF($B$2="mil",1,0.0254)*7000-$AC76)</f>
        <v>#REF!</v>
      </c>
      <c r="AY76" s="162" t="e">
        <f t="shared" ca="1" si="57"/>
        <v>#REF!</v>
      </c>
      <c r="AZ76" s="3"/>
    </row>
    <row r="77" spans="14:52">
      <c r="O77" s="3"/>
      <c r="P77" s="241" t="s">
        <v>56</v>
      </c>
      <c r="Q77" s="303">
        <v>541.1</v>
      </c>
      <c r="R77" s="194">
        <v>78.75</v>
      </c>
      <c r="S77" s="194">
        <v>78.75</v>
      </c>
      <c r="T77" s="409">
        <v>50</v>
      </c>
      <c r="U77" s="409">
        <v>50</v>
      </c>
      <c r="V77" s="545">
        <f t="shared" si="46"/>
        <v>4177.43</v>
      </c>
      <c r="W77" s="534" t="e">
        <f t="shared" si="47"/>
        <v>#REF!</v>
      </c>
      <c r="X77" s="524" t="e">
        <f>$Y$58 + IF($B$2="mil",1,0.0254)*DDR2Specs!$E$9</f>
        <v>#REF!</v>
      </c>
      <c r="Y77" s="547" t="e">
        <f>$X$58 + IF($B$2="mil",1,0.0254)*DDR2Specs!$F$9</f>
        <v>#REF!</v>
      </c>
      <c r="Z77" s="546" t="e">
        <f>IF($W77&lt;$X77,$X77-$W77,"Pass")</f>
        <v>#REF!</v>
      </c>
      <c r="AA77" s="547" t="e">
        <f>IF($W77&gt;$Y77,$W77-$Y77,"Pass")</f>
        <v>#REF!</v>
      </c>
      <c r="AB77" s="545">
        <f t="shared" si="48"/>
        <v>4177.43</v>
      </c>
      <c r="AC77" s="524" t="e">
        <f>$AB77+IF($B$2="mil",1,0.0254)*$C51</f>
        <v>#REF!</v>
      </c>
      <c r="AD77" s="524" t="e">
        <f>$AE$58 + IF($B$2="mil",1,0.0254)*DDR2Specs!$E$9</f>
        <v>#REF!</v>
      </c>
      <c r="AE77" s="524" t="e">
        <f>$AD$58 + IF($B$2="mil",1,0.0254)*DDR2Specs!$F$9</f>
        <v>#REF!</v>
      </c>
      <c r="AF77" s="546" t="e">
        <f>IF($AC77&lt;$AD77,$AD77-$AC77,"Pass")</f>
        <v>#REF!</v>
      </c>
      <c r="AG77" s="547" t="e">
        <f>IF($AC77&gt;$AE77,$AC77-$AE77,"Pass")</f>
        <v>#REF!</v>
      </c>
      <c r="AH77" s="554"/>
      <c r="AI77" s="554"/>
      <c r="AJ77" s="554"/>
      <c r="AK77" s="554"/>
      <c r="AL77" s="554"/>
      <c r="AM77" s="554"/>
      <c r="AN77" s="563" t="s">
        <v>56</v>
      </c>
      <c r="AO77" s="529" t="e">
        <f>IF($Q77&lt;=IF($B$2="mil",1,0.0254)*1000,"Pass",IF($B$2="mil",1,0.0254)*1000-$Q77)</f>
        <v>#REF!</v>
      </c>
      <c r="AP77" s="577"/>
      <c r="AQ77" s="528" t="e">
        <f>IF($R77&lt;=IF($B$2="mil",1,0.0254)*750,"Pass",IF($B$2="mil",1,0.0254)*750-$R77)</f>
        <v>#REF!</v>
      </c>
      <c r="AR77" s="528" t="e">
        <f>IF($S77&lt;=IF($B$2="mil",1,0.0254)*750,"Pass",IF($B$2="mil",1,0.0254)*750-$S77)</f>
        <v>#REF!</v>
      </c>
      <c r="AS77" s="528" t="e">
        <f t="shared" ca="1" si="58"/>
        <v>#NAME?</v>
      </c>
      <c r="AT77" s="528" t="e">
        <f t="shared" ca="1" si="58"/>
        <v>#NAME?</v>
      </c>
      <c r="AU77" s="528" t="e">
        <f>IF(AND(V77&gt;=IF($B$2="mil",1,0.0254)*500, $V77&lt;=IF($B$2="mil",1,0.0254)*6500),"Pass",IF($B$2="mil",1,0.0254)*6500-$V77)</f>
        <v>#REF!</v>
      </c>
      <c r="AV77" s="560" t="e">
        <f>IF(AND($W77&gt;=IF($B$2="mil",1,0.0254)*500, $W77&lt;=IF($B$2="mil",1,0.0254)*7000),"Pass",IF($B$2="mil",1,0.0254)*7000-$W77)</f>
        <v>#REF!</v>
      </c>
      <c r="AW77" s="528" t="e">
        <f>IF(AND($AB77&gt;=IF($B$2="mil",1,0.0254)*500, $AB77&lt;=IF($B$2="mil",1,0.0254)*6500),"Pass",IF($B$2="mil",1,0.0254)*6500-$AB77)</f>
        <v>#REF!</v>
      </c>
      <c r="AX77" s="529" t="e">
        <f>IF(AND($AC77&gt;=IF($B$2="mil",1,0.0254)*500, $AC77&lt;=IF($B$2="mil",1,0.0254)*7000),"Pass",IF($B$2="mil",1,0.0254)*7000-$AC77)</f>
        <v>#REF!</v>
      </c>
      <c r="AY77" s="162" t="e">
        <f t="shared" ca="1" si="57"/>
        <v>#REF!</v>
      </c>
      <c r="AZ77" s="3"/>
    </row>
    <row r="78" spans="14:52">
      <c r="N78" t="s">
        <v>248</v>
      </c>
      <c r="O78" s="3"/>
      <c r="P78" s="205" t="s">
        <v>231</v>
      </c>
      <c r="Q78" s="338"/>
      <c r="R78" s="207"/>
      <c r="S78" s="207"/>
      <c r="T78" s="433"/>
      <c r="U78" s="433"/>
      <c r="V78" s="207"/>
      <c r="W78" s="207"/>
      <c r="X78" s="207"/>
      <c r="Y78" s="571"/>
      <c r="Z78" s="430"/>
      <c r="AA78" s="430"/>
      <c r="AB78" s="207"/>
      <c r="AC78" s="207"/>
      <c r="AD78" s="207"/>
      <c r="AE78" s="207"/>
      <c r="AF78" s="430"/>
      <c r="AG78" s="430"/>
      <c r="AH78" s="554"/>
      <c r="AI78" s="554"/>
      <c r="AJ78" s="554"/>
      <c r="AK78" s="554"/>
      <c r="AL78" s="554"/>
      <c r="AM78" s="554"/>
      <c r="AN78" s="155" t="s">
        <v>231</v>
      </c>
      <c r="AO78" s="549"/>
      <c r="AP78" s="577"/>
      <c r="AQ78" s="430"/>
      <c r="AR78" s="430"/>
      <c r="AS78" s="430"/>
      <c r="AT78" s="430"/>
      <c r="AU78" s="430"/>
      <c r="AV78" s="562"/>
      <c r="AW78" s="430"/>
      <c r="AX78" s="549"/>
      <c r="AY78" s="3"/>
      <c r="AZ78" s="3"/>
    </row>
    <row r="79" spans="14:52">
      <c r="O79" s="3"/>
      <c r="P79" s="185" t="s">
        <v>58</v>
      </c>
      <c r="Q79" s="303">
        <v>564.66</v>
      </c>
      <c r="R79" s="194">
        <v>27.77</v>
      </c>
      <c r="S79" s="194">
        <v>27.77</v>
      </c>
      <c r="T79" s="409">
        <v>50</v>
      </c>
      <c r="U79" s="409">
        <v>50</v>
      </c>
      <c r="V79" s="545">
        <f t="shared" si="46"/>
        <v>3949.9199999999996</v>
      </c>
      <c r="W79" s="534" t="e">
        <f t="shared" si="47"/>
        <v>#REF!</v>
      </c>
      <c r="X79" s="524" t="e">
        <f>$Y$58 + IF($B$2="mil",1,0.0254)*DDR2Specs!$E$9</f>
        <v>#REF!</v>
      </c>
      <c r="Y79" s="547" t="e">
        <f>$X$58 + IF($B$2="mil",1,0.0254)*DDR2Specs!$F$9</f>
        <v>#REF!</v>
      </c>
      <c r="Z79" s="546" t="e">
        <f>IF($W79&lt;$X79,$X79-$W79,"Pass")</f>
        <v>#REF!</v>
      </c>
      <c r="AA79" s="547" t="e">
        <f>IF($W79&gt;$Y79,$W79-$Y79,"Pass")</f>
        <v>#REF!</v>
      </c>
      <c r="AB79" s="545">
        <f t="shared" si="48"/>
        <v>3949.9199999999996</v>
      </c>
      <c r="AC79" s="524" t="e">
        <f>$AB79+IF($B$2="mil",1,0.0254)*$C53</f>
        <v>#REF!</v>
      </c>
      <c r="AD79" s="524" t="e">
        <f>$AE$58 + IF($B$2="mil",1,0.0254)*DDR2Specs!$E$9</f>
        <v>#REF!</v>
      </c>
      <c r="AE79" s="524" t="e">
        <f>$AD$58 + IF($B$2="mil",1,0.0254)*DDR2Specs!$F$9</f>
        <v>#REF!</v>
      </c>
      <c r="AF79" s="546" t="e">
        <f>IF($AC79&lt;$AD79,$AD79-$AC79,"Pass")</f>
        <v>#REF!</v>
      </c>
      <c r="AG79" s="547" t="e">
        <f>IF($AC79&gt;$AE79,$AC79-$AE79,"Pass")</f>
        <v>#REF!</v>
      </c>
      <c r="AH79" s="554"/>
      <c r="AI79" s="554"/>
      <c r="AJ79" s="554"/>
      <c r="AK79" s="554"/>
      <c r="AL79" s="554"/>
      <c r="AM79" s="554"/>
      <c r="AN79" s="559" t="s">
        <v>58</v>
      </c>
      <c r="AO79" s="529" t="e">
        <f>IF($Q79&lt;=IF($B$2="mil",1,0.0254)*1000,"Pass",IF($B$2="mil",1,0.0254)*1000-$Q79)</f>
        <v>#REF!</v>
      </c>
      <c r="AP79" s="577"/>
      <c r="AQ79" s="528" t="e">
        <f>IF($R79&lt;=IF($B$2="mil",1,0.0254)*750,"Pass",IF($B$2="mil",1,0.0254)*750-$R79)</f>
        <v>#REF!</v>
      </c>
      <c r="AR79" s="528" t="e">
        <f>IF($S79&lt;=IF($B$2="mil",1,0.0254)*750,"Pass",IF($B$2="mil",1,0.0254)*750-$S79)</f>
        <v>#REF!</v>
      </c>
      <c r="AS79" s="528" t="e">
        <f t="shared" ref="AS79:AT81" ca="1" si="59">CheckLength2(IF($B$2="mil",1,0.0254)*950,R79,T79,0)</f>
        <v>#NAME?</v>
      </c>
      <c r="AT79" s="528" t="e">
        <f t="shared" ca="1" si="59"/>
        <v>#NAME?</v>
      </c>
      <c r="AU79" s="528" t="e">
        <f>IF(AND(V79&gt;=IF($B$2="mil",1,0.0254)*500, $V79&lt;=IF($B$2="mil",1,0.0254)*6500),"Pass",IF($B$2="mil",1,0.0254)*6500-$V79)</f>
        <v>#REF!</v>
      </c>
      <c r="AV79" s="560" t="e">
        <f>IF(AND($W79&gt;=IF($B$2="mil",1,0.0254)*500, $W79&lt;=IF($B$2="mil",1,0.0254)*7000),"Pass",IF($B$2="mil",1,0.0254)*7000-$W79)</f>
        <v>#REF!</v>
      </c>
      <c r="AW79" s="528" t="e">
        <f>IF(AND($AB79&gt;=IF($B$2="mil",1,0.0254)*500, $AB79&lt;=IF($B$2="mil",1,0.0254)*6500),"Pass",IF($B$2="mil",1,0.0254)*6500-$AB79)</f>
        <v>#REF!</v>
      </c>
      <c r="AX79" s="529" t="e">
        <f>IF(AND($AC79&gt;=IF($B$2="mil",1,0.0254)*500, $AC79&lt;=IF($B$2="mil",1,0.0254)*7000),"Pass",IF($B$2="mil",1,0.0254)*7000-$AC79)</f>
        <v>#REF!</v>
      </c>
      <c r="AY79" s="162" t="e">
        <f t="shared" ca="1" si="57"/>
        <v>#REF!</v>
      </c>
      <c r="AZ79" s="3"/>
    </row>
    <row r="80" spans="14:52">
      <c r="O80" s="3"/>
      <c r="P80" s="240" t="s">
        <v>59</v>
      </c>
      <c r="Q80" s="303">
        <v>578.77</v>
      </c>
      <c r="R80" s="194">
        <v>56.02</v>
      </c>
      <c r="S80" s="194">
        <v>56.02</v>
      </c>
      <c r="T80" s="409">
        <v>50</v>
      </c>
      <c r="U80" s="409">
        <v>50</v>
      </c>
      <c r="V80" s="545">
        <f t="shared" si="46"/>
        <v>3966.47</v>
      </c>
      <c r="W80" s="534" t="e">
        <f t="shared" si="47"/>
        <v>#REF!</v>
      </c>
      <c r="X80" s="524" t="e">
        <f>$Y$58 + IF($B$2="mil",1,0.0254)*DDR2Specs!$E$9</f>
        <v>#REF!</v>
      </c>
      <c r="Y80" s="547" t="e">
        <f>$X$58 + IF($B$2="mil",1,0.0254)*DDR2Specs!$F$9</f>
        <v>#REF!</v>
      </c>
      <c r="Z80" s="546" t="e">
        <f>IF($W80&lt;$X80,$X80-$W80,"Pass")</f>
        <v>#REF!</v>
      </c>
      <c r="AA80" s="547" t="e">
        <f>IF($W80&gt;$Y80,$W80-$Y80,"Pass")</f>
        <v>#REF!</v>
      </c>
      <c r="AB80" s="545">
        <f t="shared" si="48"/>
        <v>3966.47</v>
      </c>
      <c r="AC80" s="524" t="e">
        <f>$AB80+IF($B$2="mil",1,0.0254)*$C54</f>
        <v>#REF!</v>
      </c>
      <c r="AD80" s="524" t="e">
        <f>$AE$58 + IF($B$2="mil",1,0.0254)*DDR2Specs!$E$9</f>
        <v>#REF!</v>
      </c>
      <c r="AE80" s="524" t="e">
        <f>$AD$58 + IF($B$2="mil",1,0.0254)*DDR2Specs!$F$9</f>
        <v>#REF!</v>
      </c>
      <c r="AF80" s="546" t="e">
        <f>IF($AC80&lt;$AD80,$AD80-$AC80,"Pass")</f>
        <v>#REF!</v>
      </c>
      <c r="AG80" s="547" t="e">
        <f>IF($AC80&gt;$AE80,$AC80-$AE80,"Pass")</f>
        <v>#REF!</v>
      </c>
      <c r="AH80" s="554"/>
      <c r="AI80" s="554"/>
      <c r="AJ80" s="554"/>
      <c r="AK80" s="554"/>
      <c r="AL80" s="554"/>
      <c r="AM80" s="554"/>
      <c r="AN80" s="561" t="s">
        <v>59</v>
      </c>
      <c r="AO80" s="529" t="e">
        <f>IF($Q80&lt;=IF($B$2="mil",1,0.0254)*1000,"Pass",IF($B$2="mil",1,0.0254)*1000-$Q80)</f>
        <v>#REF!</v>
      </c>
      <c r="AP80" s="577"/>
      <c r="AQ80" s="528" t="e">
        <f>IF($R80&lt;=IF($B$2="mil",1,0.0254)*750,"Pass",IF($B$2="mil",1,0.0254)*750-$R80)</f>
        <v>#REF!</v>
      </c>
      <c r="AR80" s="528" t="e">
        <f>IF($S80&lt;=IF($B$2="mil",1,0.0254)*750,"Pass",IF($B$2="mil",1,0.0254)*750-$S80)</f>
        <v>#REF!</v>
      </c>
      <c r="AS80" s="528" t="e">
        <f t="shared" ca="1" si="59"/>
        <v>#NAME?</v>
      </c>
      <c r="AT80" s="528" t="e">
        <f t="shared" ca="1" si="59"/>
        <v>#NAME?</v>
      </c>
      <c r="AU80" s="528" t="e">
        <f>IF(AND(V80&gt;=IF($B$2="mil",1,0.0254)*500, $V80&lt;=IF($B$2="mil",1,0.0254)*6500),"Pass",IF($B$2="mil",1,0.0254)*6500-$V80)</f>
        <v>#REF!</v>
      </c>
      <c r="AV80" s="560" t="e">
        <f>IF(AND($W80&gt;=IF($B$2="mil",1,0.0254)*500, $W80&lt;=IF($B$2="mil",1,0.0254)*7000),"Pass",IF($B$2="mil",1,0.0254)*7000-$W80)</f>
        <v>#REF!</v>
      </c>
      <c r="AW80" s="528" t="e">
        <f>IF(AND($AB80&gt;=IF($B$2="mil",1,0.0254)*500, $AB80&lt;=IF($B$2="mil",1,0.0254)*6500),"Pass",IF($B$2="mil",1,0.0254)*6500-$AB80)</f>
        <v>#REF!</v>
      </c>
      <c r="AX80" s="529" t="e">
        <f>IF(AND($AC80&gt;=IF($B$2="mil",1,0.0254)*500, $AC80&lt;=IF($B$2="mil",1,0.0254)*7000),"Pass",IF($B$2="mil",1,0.0254)*7000-$AC80)</f>
        <v>#REF!</v>
      </c>
      <c r="AY80" s="162" t="e">
        <f t="shared" ca="1" si="57"/>
        <v>#REF!</v>
      </c>
      <c r="AZ80" s="3"/>
    </row>
    <row r="81" spans="5:52">
      <c r="N81" t="s">
        <v>253</v>
      </c>
      <c r="O81" s="3"/>
      <c r="P81" s="240" t="s">
        <v>60</v>
      </c>
      <c r="Q81" s="303">
        <v>574.72</v>
      </c>
      <c r="R81" s="194">
        <v>28.25</v>
      </c>
      <c r="S81" s="194">
        <v>28.25</v>
      </c>
      <c r="T81" s="409">
        <v>50</v>
      </c>
      <c r="U81" s="409">
        <v>50</v>
      </c>
      <c r="V81" s="545">
        <f>SUM($E55:$G55,$M55,$N55,$Q81:$R81,T81)</f>
        <v>3868.3599999999997</v>
      </c>
      <c r="W81" s="534" t="e">
        <f t="shared" si="47"/>
        <v>#REF!</v>
      </c>
      <c r="X81" s="524" t="e">
        <f>$Y$58 + IF($B$2="mil",1,0.0254)*DDR2Specs!$E$9</f>
        <v>#REF!</v>
      </c>
      <c r="Y81" s="547" t="e">
        <f>$X$58 + IF($B$2="mil",1,0.0254)*DDR2Specs!$F$9</f>
        <v>#REF!</v>
      </c>
      <c r="Z81" s="546" t="e">
        <f>IF($W81&lt;$X81,$X81-$W81,"Pass")</f>
        <v>#REF!</v>
      </c>
      <c r="AA81" s="547" t="e">
        <f>IF($W81&gt;$Y81,$W81-$Y81,"Pass")</f>
        <v>#REF!</v>
      </c>
      <c r="AB81" s="545">
        <f t="shared" si="48"/>
        <v>3868.3599999999997</v>
      </c>
      <c r="AC81" s="524" t="e">
        <f>$AB81+IF($B$2="mil",1,0.0254)*$C55</f>
        <v>#REF!</v>
      </c>
      <c r="AD81" s="524" t="e">
        <f>$AE$58 + IF($B$2="mil",1,0.0254)*DDR2Specs!$E$9</f>
        <v>#REF!</v>
      </c>
      <c r="AE81" s="524" t="e">
        <f>$AD$58 + IF($B$2="mil",1,0.0254)*DDR2Specs!$F$9</f>
        <v>#REF!</v>
      </c>
      <c r="AF81" s="546" t="e">
        <f>IF($AC81&lt;$AD81,$AD81-$AC81,"Pass")</f>
        <v>#REF!</v>
      </c>
      <c r="AG81" s="547" t="e">
        <f>IF($AC81&gt;$AE81,$AC81-$AE81,"Pass")</f>
        <v>#REF!</v>
      </c>
      <c r="AH81" s="554"/>
      <c r="AI81" s="554"/>
      <c r="AJ81" s="554"/>
      <c r="AK81" s="554"/>
      <c r="AL81" s="554"/>
      <c r="AM81" s="554"/>
      <c r="AN81" s="561" t="s">
        <v>60</v>
      </c>
      <c r="AO81" s="529" t="e">
        <f>IF($Q81&lt;=IF($B$2="mil",1,0.0254)*1000,"Pass",IF($B$2="mil",1,0.0254)*1000-$Q81)</f>
        <v>#REF!</v>
      </c>
      <c r="AP81" s="577"/>
      <c r="AQ81" s="528" t="e">
        <f>IF($R81&lt;=IF($B$2="mil",1,0.0254)*750,"Pass",IF($B$2="mil",1,0.0254)*750-$R81)</f>
        <v>#REF!</v>
      </c>
      <c r="AR81" s="528" t="e">
        <f>IF($S81&lt;=IF($B$2="mil",1,0.0254)*750,"Pass",IF($B$2="mil",1,0.0254)*750-$S81)</f>
        <v>#REF!</v>
      </c>
      <c r="AS81" s="528" t="e">
        <f t="shared" ca="1" si="59"/>
        <v>#NAME?</v>
      </c>
      <c r="AT81" s="528" t="e">
        <f t="shared" ca="1" si="59"/>
        <v>#NAME?</v>
      </c>
      <c r="AU81" s="528" t="e">
        <f>IF(AND(V81&gt;=IF($B$2="mil",1,0.0254)*500, $V81&lt;=IF($B$2="mil",1,0.0254)*6500),"Pass",IF($B$2="mil",1,0.0254)*6500-$V81)</f>
        <v>#REF!</v>
      </c>
      <c r="AV81" s="560" t="e">
        <f>IF(AND($W81&gt;=IF($B$2="mil",1,0.0254)*500, $W81&lt;=IF($B$2="mil",1,0.0254)*7000),"Pass",IF($B$2="mil",1,0.0254)*7000-$W81)</f>
        <v>#REF!</v>
      </c>
      <c r="AW81" s="528" t="e">
        <f>IF(AND($AB81&gt;=IF($B$2="mil",1,0.0254)*500, $AB81&lt;=IF($B$2="mil",1,0.0254)*6500),"Pass",IF($B$2="mil",1,0.0254)*6500-$AB81)</f>
        <v>#REF!</v>
      </c>
      <c r="AX81" s="529" t="e">
        <f>IF(AND($AC81&gt;=IF($B$2="mil",1,0.0254)*500, $AC81&lt;=IF($B$2="mil",1,0.0254)*7000),"Pass",IF($B$2="mil",1,0.0254)*7000-$AC81)</f>
        <v>#REF!</v>
      </c>
      <c r="AY81" s="162" t="e">
        <f t="shared" ca="1" si="57"/>
        <v>#REF!</v>
      </c>
      <c r="AZ81" s="3"/>
    </row>
    <row r="82" spans="5:52" ht="57" customHeight="1">
      <c r="M82" s="412"/>
      <c r="N82" s="432" t="s">
        <v>598</v>
      </c>
      <c r="P82" s="329" t="s">
        <v>457</v>
      </c>
      <c r="Q82" s="144" t="e">
        <f>"Trace L7-3 ["&amp;$B$2&amp;"]"</f>
        <v>#REF!</v>
      </c>
      <c r="R82" s="144" t="e">
        <f>"Trace L8-5 to U3 ["&amp;$B$2&amp;"]"</f>
        <v>#REF!</v>
      </c>
      <c r="S82" s="144" t="e">
        <f>"Trace L8-6 to U7 ["&amp;$B$2&amp;"]"</f>
        <v>#REF!</v>
      </c>
      <c r="T82" s="144" t="e">
        <f>"Trace L9-5 to U3 ["&amp;$B$2&amp;"]"</f>
        <v>#REF!</v>
      </c>
      <c r="U82" s="144" t="e">
        <f>"Trace L9-6 to U7 ["&amp;$B$2&amp;"]"</f>
        <v>#REF!</v>
      </c>
      <c r="V82" s="550" t="e">
        <f>"Total MB Length to U3 (L0+L1+L2+L5+L6-2+L7-3+L8-5+L9-5) ["&amp;$B$2&amp;"]"</f>
        <v>#REF!</v>
      </c>
      <c r="W82" s="550" t="e">
        <f>"Total Pad to Pin U3 (P1+L0+L1+L2+L5+L6-2+L7-3+L8-5+L9-5) ["&amp;$B$2&amp;"]"</f>
        <v>#REF!</v>
      </c>
      <c r="X82" s="551" t="e">
        <f>"Target Min Length to U3["&amp;$B$2&amp;"]"</f>
        <v>#REF!</v>
      </c>
      <c r="Y82" s="552" t="e">
        <f>"Target Max Length to U3 ["&amp;$B$2&amp;"]"</f>
        <v>#REF!</v>
      </c>
      <c r="Z82" s="553" t="e">
        <f>"Routed Too Short to U3 [" &amp;$B$2&amp;"]"</f>
        <v>#REF!</v>
      </c>
      <c r="AA82" s="551" t="e">
        <f>"Routed Too Long to U3 [" &amp;$B$2&amp;"]"</f>
        <v>#REF!</v>
      </c>
      <c r="AB82" s="550" t="e">
        <f>"Total MB Length to U7 (L0+L1+L2+L5+L6-2+L7-3+L8-6+L9-6) ["&amp;$B$2&amp;"]"</f>
        <v>#REF!</v>
      </c>
      <c r="AC82" s="550" t="e">
        <f>"Total Pad to Pin U7 (P1+L0+L1+L2+L5+L6-2+L7-3+L8-6+L9-6) ["&amp;$B$2&amp;"]"</f>
        <v>#REF!</v>
      </c>
      <c r="AD82" s="551" t="e">
        <f>"Target Min Length to U7["&amp;$B$2&amp;"]"</f>
        <v>#REF!</v>
      </c>
      <c r="AE82" s="552" t="e">
        <f>"Target Max Length to U7 ["&amp;$B$2&amp;"]"</f>
        <v>#REF!</v>
      </c>
      <c r="AF82" s="553" t="e">
        <f>"Routed Too Short to U7 [" &amp;$B$2&amp;"]"</f>
        <v>#REF!</v>
      </c>
      <c r="AG82" s="551" t="e">
        <f>"Routed Too Long to U7 [" &amp;$B$2&amp;"]"</f>
        <v>#REF!</v>
      </c>
      <c r="AH82" s="554"/>
      <c r="AI82" s="554"/>
      <c r="AJ82" s="554"/>
      <c r="AK82" s="554"/>
      <c r="AL82" s="555" t="s">
        <v>457</v>
      </c>
      <c r="AM82" s="556" t="e">
        <f>"L6-2 Length Test (&lt;=" &amp; IF($B$2="mil",1,0.0254)*1000&amp;$B$2&amp;")"</f>
        <v>#REF!</v>
      </c>
      <c r="AN82" s="555" t="s">
        <v>457</v>
      </c>
      <c r="AO82" s="552" t="e">
        <f>"L7-3 Length Test (&lt;=" &amp; IF($B$2="mil",1,0.0254)*1000&amp;$B$2&amp;")"</f>
        <v>#REF!</v>
      </c>
      <c r="AP82" s="577"/>
      <c r="AQ82" s="556" t="e">
        <f>"L8-5 Length Test (&lt;=" &amp; IF($B$2="mil",1,0.0254)*750&amp;$B$2&amp;")"</f>
        <v>#REF!</v>
      </c>
      <c r="AR82" s="556" t="e">
        <f>"L8-6 Length Test (&lt;=" &amp; IF($B$2="mil",1,0.0254)*750&amp;$B$2&amp;")"</f>
        <v>#REF!</v>
      </c>
      <c r="AS82" s="556" t="e">
        <f>"L9-5 Length Test (&lt;=" &amp; IF($B$2="mil",1,0.0254)*200&amp;$B$2&amp;") or (L8-5+L9-5&lt;= "&amp;IF($B$2="mil",1,0.0254)*950&amp;$B$2&amp;")"</f>
        <v>#REF!</v>
      </c>
      <c r="AT82" s="556" t="e">
        <f>"L9-6 Length Test (&lt;=" &amp; IF($B$2="mil",1,0.0254)*200&amp;$B$2&amp;") or (L8-6+L9-6&lt;= "&amp;IF($B$2="mil",1,0.0254)*950&amp;$B$2&amp;")"</f>
        <v>#REF!</v>
      </c>
      <c r="AU82" s="552" t="e">
        <f>"Total Length to U3 (L0+L1+L2+L5+L6-2+L7-3+L8-5+L9-5) Test ("&amp;IF($B$2="mil",1,0.0254)*500&amp;"-"&amp;IF($B$2="mil",1,0.0254)*6500&amp;IF($B$2="mil","mil","mm")&amp;")"</f>
        <v>#REF!</v>
      </c>
      <c r="AV82" s="552" t="e">
        <f>"Total Length to U3 (P1+L0+L1+L2+L5+L6-2+L7-3+L8-5+L9-5) Test (&lt;="&amp;IF($B$2="mil",1,25.4)*7000&amp;IF($B$2="mil","mil","mm")&amp;")"</f>
        <v>#REF!</v>
      </c>
      <c r="AW82" s="552" t="e">
        <f>"Total Length to U7 (L0+L1+L2+L5+L6-2+L7-3+L8-6+L9-6) Test ("&amp;IF($B$2="mil",1,0.0254)*500&amp;"-"&amp;IF($B$2="mil",1,0.0254)*6500&amp;IF($B$2="mil","mil","mm")&amp;")"</f>
        <v>#REF!</v>
      </c>
      <c r="AX82" s="552" t="e">
        <f>"Total Length to U7 (P1+L0+L1+L2+L5+L6-2+L7-3+L8-6+L9-6) Test (&lt;="&amp;IF($B$2="mil",1,25.4)*7000&amp;IF($B$2="mil","mil","mm")&amp;")"</f>
        <v>#REF!</v>
      </c>
      <c r="AY82" s="3"/>
      <c r="AZ82" s="3"/>
    </row>
    <row r="83" spans="5:52">
      <c r="P83" s="155" t="s">
        <v>210</v>
      </c>
      <c r="Q83" s="156"/>
      <c r="R83" s="156"/>
      <c r="S83" s="156"/>
      <c r="T83" s="156"/>
      <c r="U83" s="156"/>
      <c r="V83" s="156"/>
      <c r="W83" s="156"/>
      <c r="X83" s="156"/>
      <c r="Y83" s="430"/>
      <c r="Z83" s="156"/>
      <c r="AA83" s="156"/>
      <c r="AB83" s="156"/>
      <c r="AC83" s="156"/>
      <c r="AD83" s="156"/>
      <c r="AE83" s="156"/>
      <c r="AF83" s="156"/>
      <c r="AG83" s="156"/>
      <c r="AH83" s="554"/>
      <c r="AI83" s="554"/>
      <c r="AJ83" s="554"/>
      <c r="AK83" s="554"/>
      <c r="AL83" s="155" t="s">
        <v>210</v>
      </c>
      <c r="AM83" s="156"/>
      <c r="AN83" s="155" t="s">
        <v>210</v>
      </c>
      <c r="AO83" s="557"/>
      <c r="AP83" s="577"/>
      <c r="AQ83" s="156"/>
      <c r="AR83" s="156"/>
      <c r="AS83" s="156"/>
      <c r="AT83" s="156"/>
      <c r="AU83" s="156"/>
      <c r="AV83" s="158"/>
      <c r="AW83" s="156"/>
      <c r="AX83" s="158"/>
      <c r="AY83" s="3"/>
      <c r="AZ83" s="3"/>
    </row>
    <row r="84" spans="5:52">
      <c r="N84" t="s">
        <v>254</v>
      </c>
      <c r="P84" s="263" t="s">
        <v>214</v>
      </c>
      <c r="Q84" s="166"/>
      <c r="R84" s="166"/>
      <c r="S84" s="166"/>
      <c r="T84" s="166"/>
      <c r="U84" s="166"/>
      <c r="V84" s="166"/>
      <c r="W84" s="558" t="s">
        <v>226</v>
      </c>
      <c r="X84" s="542" t="e">
        <f>MIN('DDR2 Clocks - 4L'!$O$13:$O$14)</f>
        <v>#REF!</v>
      </c>
      <c r="Y84" s="539" t="e">
        <f>MAX('DDR2 Clocks - 4L'!$O$13:$O$14)</f>
        <v>#REF!</v>
      </c>
      <c r="Z84" s="542"/>
      <c r="AA84" s="168"/>
      <c r="AB84" s="166"/>
      <c r="AC84" s="558" t="s">
        <v>286</v>
      </c>
      <c r="AD84" s="542" t="e">
        <f>MIN('DDR2 Clocks - 4L'!$O$15:$O$16)</f>
        <v>#REF!</v>
      </c>
      <c r="AE84" s="541" t="e">
        <f>MAX('DDR2 Clocks - 4L'!$O$15:$O$16)</f>
        <v>#REF!</v>
      </c>
      <c r="AF84" s="542"/>
      <c r="AG84" s="168"/>
      <c r="AH84" s="554"/>
      <c r="AI84" s="554"/>
      <c r="AJ84" s="554"/>
      <c r="AK84" s="554"/>
      <c r="AL84" s="163" t="s">
        <v>214</v>
      </c>
      <c r="AM84" s="538"/>
      <c r="AN84" s="163" t="s">
        <v>214</v>
      </c>
      <c r="AO84" s="539"/>
      <c r="AP84" s="577"/>
      <c r="AQ84" s="538"/>
      <c r="AR84" s="538"/>
      <c r="AS84" s="538"/>
      <c r="AT84" s="538"/>
      <c r="AU84" s="538"/>
      <c r="AV84" s="539"/>
      <c r="AW84" s="538"/>
      <c r="AX84" s="539"/>
      <c r="AY84" s="3"/>
      <c r="AZ84" s="3"/>
    </row>
    <row r="85" spans="5:52">
      <c r="P85" s="205" t="s">
        <v>229</v>
      </c>
      <c r="Q85" s="181"/>
      <c r="R85" s="181"/>
      <c r="S85" s="181"/>
      <c r="T85" s="181"/>
      <c r="U85" s="181"/>
      <c r="V85" s="181"/>
      <c r="W85" s="181"/>
      <c r="X85" s="179"/>
      <c r="Y85" s="570"/>
      <c r="Z85" s="531"/>
      <c r="AA85" s="179"/>
      <c r="AB85" s="181"/>
      <c r="AC85" s="181"/>
      <c r="AD85" s="179"/>
      <c r="AE85" s="531"/>
      <c r="AF85" s="531"/>
      <c r="AG85" s="179"/>
      <c r="AH85" s="554"/>
      <c r="AI85" s="554"/>
      <c r="AJ85" s="554"/>
      <c r="AK85" s="554"/>
      <c r="AL85" s="155" t="s">
        <v>229</v>
      </c>
      <c r="AM85" s="179"/>
      <c r="AN85" s="155" t="s">
        <v>229</v>
      </c>
      <c r="AO85" s="533"/>
      <c r="AP85" s="577"/>
      <c r="AQ85" s="179"/>
      <c r="AR85" s="179"/>
      <c r="AS85" s="179"/>
      <c r="AT85" s="179"/>
      <c r="AU85" s="179"/>
      <c r="AV85" s="273"/>
      <c r="AW85" s="179"/>
      <c r="AX85" s="273"/>
      <c r="AY85" s="3"/>
      <c r="AZ85" s="3"/>
    </row>
    <row r="86" spans="5:52">
      <c r="P86" s="240" t="s">
        <v>196</v>
      </c>
      <c r="Q86" s="303">
        <v>565.69000000000005</v>
      </c>
      <c r="R86" s="409">
        <v>350</v>
      </c>
      <c r="S86" s="409">
        <v>400</v>
      </c>
      <c r="T86" s="409">
        <v>50</v>
      </c>
      <c r="U86" s="409">
        <v>50</v>
      </c>
      <c r="V86" s="545">
        <f>SUM($E34:$G34,$M34,$P34,$Q86:$R86,$T86)</f>
        <v>4359.7299999999996</v>
      </c>
      <c r="W86" s="534" t="e">
        <f>$V86+IF($B$2="mil",1,0.0254)*$C34</f>
        <v>#REF!</v>
      </c>
      <c r="X86" s="524" t="e">
        <f>$Y$84 + IF($B$2="mil",1,0.0254)*DDR2Specs!$E$9</f>
        <v>#REF!</v>
      </c>
      <c r="Y86" s="547" t="e">
        <f>$X$84 + IF($B$2="mil",1,0.0254)*DDR2Specs!$F$9</f>
        <v>#REF!</v>
      </c>
      <c r="Z86" s="546" t="e">
        <f t="shared" ref="Z86:Z99" si="60">IF($W86&lt;$X86,$X86-$W86,"Pass")</f>
        <v>#REF!</v>
      </c>
      <c r="AA86" s="547" t="e">
        <f t="shared" ref="AA86:AA99" si="61">IF($W86&gt;$Y86,$W86-$Y86,"Pass")</f>
        <v>#REF!</v>
      </c>
      <c r="AB86" s="545">
        <f>SUM($E34:$G34,$M34,$P34,$Q86,$S86,$U86)</f>
        <v>4409.7299999999996</v>
      </c>
      <c r="AC86" s="534" t="e">
        <f>$AB86+IF($B$2="mil",1,0.0254)*$C34</f>
        <v>#REF!</v>
      </c>
      <c r="AD86" s="524" t="e">
        <f>$AE$84 + IF($B$2="mil",1,0.0254)*DDR2Specs!$E$9</f>
        <v>#REF!</v>
      </c>
      <c r="AE86" s="524" t="e">
        <f>$AD$84 + IF($B$2="mil",1,0.0254)*DDR2Specs!$F$9</f>
        <v>#REF!</v>
      </c>
      <c r="AF86" s="546" t="e">
        <f t="shared" ref="AF86:AF99" si="62">IF($AC86&lt;$AD86,$AD86-$AC86,"Pass")</f>
        <v>#REF!</v>
      </c>
      <c r="AG86" s="547" t="e">
        <f t="shared" ref="AG86:AG99" si="63">IF($AC86&gt;$AE86,$AC86-$AE86,"Pass")</f>
        <v>#REF!</v>
      </c>
      <c r="AH86" s="554"/>
      <c r="AI86" s="554"/>
      <c r="AJ86" s="554"/>
      <c r="AK86" s="554"/>
      <c r="AL86" s="565" t="s">
        <v>196</v>
      </c>
      <c r="AM86" s="560" t="e">
        <f>IF(P34&lt;=IF($B$2="mil",1,0.0254)*1000,"Pass",IF($B$2="mil",1,0.0254)*1000-P34)</f>
        <v>#REF!</v>
      </c>
      <c r="AN86" s="559" t="s">
        <v>196</v>
      </c>
      <c r="AO86" s="529" t="e">
        <f>IF($Q86&lt;=IF($B$2="mil",1,0.0254)*1000,"Pass",IF($B$2="mil",1,0.0254)*1000-$Q86)</f>
        <v>#REF!</v>
      </c>
      <c r="AP86" s="577"/>
      <c r="AQ86" s="528" t="e">
        <f t="shared" ref="AQ86:AQ99" si="64">IF($R86&lt;=IF($B$2="mil",1,0.0254)*750,"Pass",IF($B$2="mil",1,0.0254)*750-$R86)</f>
        <v>#REF!</v>
      </c>
      <c r="AR86" s="528" t="e">
        <f t="shared" ref="AR86:AR99" si="65">IF($S86&lt;=IF($B$2="mil",1,0.0254)*750,"Pass",IF($B$2="mil",1,0.0254)*750-$S86)</f>
        <v>#REF!</v>
      </c>
      <c r="AS86" s="528" t="e">
        <f ca="1">CheckLength2(IF($B$2="mil",1,0.0254)*950,R86,T86,0)</f>
        <v>#NAME?</v>
      </c>
      <c r="AT86" s="528" t="e">
        <f ca="1">CheckLength2(IF($B$2="mil",1,0.0254)*950,S86,U86,0)</f>
        <v>#NAME?</v>
      </c>
      <c r="AU86" s="528" t="e">
        <f>IF(AND(V86&gt;=IF($B$2="mil",1,0.0254)*500, $V86&lt;=IF($B$2="mil",1,0.0254)*6500),"Pass",IF($B$2="mil",1,0.0254)*6500-$V86)</f>
        <v>#REF!</v>
      </c>
      <c r="AV86" s="560" t="e">
        <f>IF(AND($W86&gt;=IF($B$2="mil",1,0.0254)*500, $W86&lt;=IF($B$2="mil",1,0.0254)*7000),"Pass",IF($B$2="mil",1,0.0254)*7000-$W86)</f>
        <v>#REF!</v>
      </c>
      <c r="AW86" s="528" t="e">
        <f>IF(AND($AB86&gt;=IF($B$2="mil",1,0.0254)*500, $AB86&lt;=IF($B$2="mil",1,0.0254)*6500),"Pass",IF($B$2="mil",1,0.0254)*6500-$AB86)</f>
        <v>#REF!</v>
      </c>
      <c r="AX86" s="529" t="e">
        <f>IF(AND($AC86&gt;=IF($B$2="mil",1,0.0254)*500, $AC86&lt;=IF($B$2="mil",1,0.0254)*7000),"Pass",IF($B$2="mil",1,0.0254)*7000-$AC86)</f>
        <v>#REF!</v>
      </c>
      <c r="AY86" s="162" t="e">
        <f ca="1">IF(AND(Z86="Pass",AA86="Pass",AF86="Pass",AG86="Pass",AM86="Pass",AO86="Pass",AQ86="Pass",AR86="Pass",AS86="Pass",AT86="Pass",AU86="Pass",AV86="Pass",AW86="Pass",AX86="Pass"),"Pass","Fail")</f>
        <v>#REF!</v>
      </c>
      <c r="AZ86" s="162" t="e">
        <f ca="1">IF(AND(AY86="Pass",AY87="Pass",AY88="Pass",AY89="Pass",AY90="Pass",AY91="Pass",AY92="Pass",AY93="Pass",AY94="Pass",AY95="Pass",AY96="Pass"),"Pass","Fail")</f>
        <v>#REF!</v>
      </c>
    </row>
    <row r="87" spans="5:52">
      <c r="P87" s="240" t="s">
        <v>39</v>
      </c>
      <c r="Q87" s="303">
        <v>587.88</v>
      </c>
      <c r="R87" s="409">
        <v>310</v>
      </c>
      <c r="S87" s="409">
        <v>400</v>
      </c>
      <c r="T87" s="409">
        <v>50</v>
      </c>
      <c r="U87" s="409">
        <v>50</v>
      </c>
      <c r="V87" s="545">
        <f t="shared" ref="V87:V107" si="66">SUM($E35:$G35,$M35,$P35,$Q87:$R87,$T87)</f>
        <v>4179.49</v>
      </c>
      <c r="W87" s="534" t="e">
        <f t="shared" ref="W87:W99" si="67">$V87+IF($B$2="mil",1,0.0254)*$C35</f>
        <v>#REF!</v>
      </c>
      <c r="X87" s="524" t="e">
        <f>$Y$84 + IF($B$2="mil",1,0.0254)*DDR2Specs!$E$9</f>
        <v>#REF!</v>
      </c>
      <c r="Y87" s="547" t="e">
        <f>$X$84 + IF($B$2="mil",1,0.0254)*DDR2Specs!$F$9</f>
        <v>#REF!</v>
      </c>
      <c r="Z87" s="546" t="e">
        <f t="shared" si="60"/>
        <v>#REF!</v>
      </c>
      <c r="AA87" s="547" t="e">
        <f t="shared" si="61"/>
        <v>#REF!</v>
      </c>
      <c r="AB87" s="545">
        <f t="shared" ref="AB87:AB107" si="68">SUM($E35:$G35,$M35,$P35,$Q87,$S87,$U87)</f>
        <v>4269.49</v>
      </c>
      <c r="AC87" s="534" t="e">
        <f t="shared" ref="AC87:AC99" si="69">$AB87+IF($B$2="mil",1,0.0254)*$C35</f>
        <v>#REF!</v>
      </c>
      <c r="AD87" s="524" t="e">
        <f>$AE$84 + IF($B$2="mil",1,0.0254)*DDR2Specs!$E$9</f>
        <v>#REF!</v>
      </c>
      <c r="AE87" s="524" t="e">
        <f>$AD$84 + IF($B$2="mil",1,0.0254)*DDR2Specs!$F$9</f>
        <v>#REF!</v>
      </c>
      <c r="AF87" s="546" t="e">
        <f t="shared" si="62"/>
        <v>#REF!</v>
      </c>
      <c r="AG87" s="547" t="e">
        <f t="shared" si="63"/>
        <v>#REF!</v>
      </c>
      <c r="AH87" s="554"/>
      <c r="AI87" s="554"/>
      <c r="AJ87" s="554"/>
      <c r="AK87" s="554"/>
      <c r="AL87" s="566" t="s">
        <v>39</v>
      </c>
      <c r="AM87" s="560" t="e">
        <f t="shared" ref="AM87:AM99" si="70">IF(P35&lt;=IF($B$2="mil",1,0.0254)*1000,"Pass",IF($B$2="mil",1,0.0254)*1000-P35)</f>
        <v>#REF!</v>
      </c>
      <c r="AN87" s="561" t="s">
        <v>39</v>
      </c>
      <c r="AO87" s="529" t="e">
        <f t="shared" ref="AO87:AO99" si="71">IF($Q87&lt;=IF($B$2="mil",1,0.0254)*1000,"Pass",IF($B$2="mil",1,0.0254)*1000-$Q87)</f>
        <v>#REF!</v>
      </c>
      <c r="AP87" s="577"/>
      <c r="AQ87" s="528" t="e">
        <f t="shared" si="64"/>
        <v>#REF!</v>
      </c>
      <c r="AR87" s="528" t="e">
        <f t="shared" si="65"/>
        <v>#REF!</v>
      </c>
      <c r="AS87" s="528" t="e">
        <f t="shared" ref="AS87:AS99" ca="1" si="72">CheckLength2(IF($B$2="mil",1,0.0254)*950,R87,T87,0)</f>
        <v>#NAME?</v>
      </c>
      <c r="AT87" s="528" t="e">
        <f t="shared" ref="AT87:AT99" ca="1" si="73">CheckLength2(IF($B$2="mil",1,0.0254)*950,S87,U87,0)</f>
        <v>#NAME?</v>
      </c>
      <c r="AU87" s="528" t="e">
        <f t="shared" ref="AU87:AU99" si="74">IF(AND(V87&gt;=IF($B$2="mil",1,0.0254)*500, $V87&lt;=IF($B$2="mil",1,0.0254)*6500),"Pass",IF($B$2="mil",1,0.0254)*6500-$V87)</f>
        <v>#REF!</v>
      </c>
      <c r="AV87" s="560" t="e">
        <f t="shared" ref="AV87:AV99" si="75">IF(AND($W87&gt;=IF($B$2="mil",1,0.0254)*500, $W87&lt;=IF($B$2="mil",1,0.0254)*7000),"Pass",IF($B$2="mil",1,0.0254)*7000-$W87)</f>
        <v>#REF!</v>
      </c>
      <c r="AW87" s="528" t="e">
        <f t="shared" ref="AW87:AW99" si="76">IF(AND($AB87&gt;=IF($B$2="mil",1,0.0254)*500, $AB87&lt;=IF($B$2="mil",1,0.0254)*6500),"Pass",IF($B$2="mil",1,0.0254)*6500-$AB87)</f>
        <v>#REF!</v>
      </c>
      <c r="AX87" s="529" t="e">
        <f t="shared" ref="AX87:AX99" si="77">IF(AND($AC87&gt;=IF($B$2="mil",1,0.0254)*500, $AC87&lt;=IF($B$2="mil",1,0.0254)*7000),"Pass",IF($B$2="mil",1,0.0254)*7000-$AC87)</f>
        <v>#REF!</v>
      </c>
      <c r="AY87" s="162" t="e">
        <f t="shared" ref="AY87:AY107" ca="1" si="78">IF(AND(Z87="Pass",AA87="Pass",AF87="Pass",AG87="Pass",AM87="Pass",AO87="Pass",AQ87="Pass",AR87="Pass",AS87="Pass",AT87="Pass",AU87="Pass",AV87="Pass",AW87="Pass",AX87="Pass"),"Pass","Fail")</f>
        <v>#REF!</v>
      </c>
      <c r="AZ87" s="162" t="e">
        <f ca="1">IF(AND(AY97="Pass",AY98="Pass",AY99="Pass",AY101="Pass",AY102="Pass",AY103="Pass",AY105="Pass",AY106="Pass",AY107="Pass"),"Pass","Fail")</f>
        <v>#REF!</v>
      </c>
    </row>
    <row r="88" spans="5:52">
      <c r="P88" s="240" t="s">
        <v>40</v>
      </c>
      <c r="Q88" s="303">
        <v>565.69000000000005</v>
      </c>
      <c r="R88" s="409">
        <v>112.45</v>
      </c>
      <c r="S88" s="409">
        <v>400</v>
      </c>
      <c r="T88" s="409">
        <v>50</v>
      </c>
      <c r="U88" s="409">
        <v>50</v>
      </c>
      <c r="V88" s="545">
        <f t="shared" si="66"/>
        <v>4657.8399999999992</v>
      </c>
      <c r="W88" s="534" t="e">
        <f t="shared" si="67"/>
        <v>#REF!</v>
      </c>
      <c r="X88" s="524" t="e">
        <f>$Y$84 + IF($B$2="mil",1,0.0254)*DDR2Specs!$E$9</f>
        <v>#REF!</v>
      </c>
      <c r="Y88" s="547" t="e">
        <f>$X$84 + IF($B$2="mil",1,0.0254)*DDR2Specs!$F$9</f>
        <v>#REF!</v>
      </c>
      <c r="Z88" s="546" t="e">
        <f t="shared" si="60"/>
        <v>#REF!</v>
      </c>
      <c r="AA88" s="547" t="e">
        <f t="shared" si="61"/>
        <v>#REF!</v>
      </c>
      <c r="AB88" s="545">
        <f t="shared" si="68"/>
        <v>4945.3899999999994</v>
      </c>
      <c r="AC88" s="534" t="e">
        <f t="shared" si="69"/>
        <v>#REF!</v>
      </c>
      <c r="AD88" s="524" t="e">
        <f>$AE$84 + IF($B$2="mil",1,0.0254)*DDR2Specs!$E$9</f>
        <v>#REF!</v>
      </c>
      <c r="AE88" s="524" t="e">
        <f>$AD$84 + IF($B$2="mil",1,0.0254)*DDR2Specs!$F$9</f>
        <v>#REF!</v>
      </c>
      <c r="AF88" s="546" t="e">
        <f t="shared" si="62"/>
        <v>#REF!</v>
      </c>
      <c r="AG88" s="547" t="e">
        <f t="shared" si="63"/>
        <v>#REF!</v>
      </c>
      <c r="AH88" s="554"/>
      <c r="AI88" s="554"/>
      <c r="AJ88" s="554"/>
      <c r="AK88" s="554"/>
      <c r="AL88" s="566" t="s">
        <v>40</v>
      </c>
      <c r="AM88" s="560" t="e">
        <f t="shared" si="70"/>
        <v>#REF!</v>
      </c>
      <c r="AN88" s="561" t="s">
        <v>40</v>
      </c>
      <c r="AO88" s="529" t="e">
        <f t="shared" si="71"/>
        <v>#REF!</v>
      </c>
      <c r="AP88" s="577"/>
      <c r="AQ88" s="528" t="e">
        <f t="shared" si="64"/>
        <v>#REF!</v>
      </c>
      <c r="AR88" s="528" t="e">
        <f t="shared" si="65"/>
        <v>#REF!</v>
      </c>
      <c r="AS88" s="528" t="e">
        <f t="shared" ca="1" si="72"/>
        <v>#NAME?</v>
      </c>
      <c r="AT88" s="528" t="e">
        <f t="shared" ca="1" si="73"/>
        <v>#NAME?</v>
      </c>
      <c r="AU88" s="528" t="e">
        <f t="shared" si="74"/>
        <v>#REF!</v>
      </c>
      <c r="AV88" s="560" t="e">
        <f t="shared" si="75"/>
        <v>#REF!</v>
      </c>
      <c r="AW88" s="528" t="e">
        <f t="shared" si="76"/>
        <v>#REF!</v>
      </c>
      <c r="AX88" s="529" t="e">
        <f t="shared" si="77"/>
        <v>#REF!</v>
      </c>
      <c r="AY88" s="162" t="e">
        <f t="shared" ca="1" si="78"/>
        <v>#REF!</v>
      </c>
      <c r="AZ88" s="3"/>
    </row>
    <row r="89" spans="5:52">
      <c r="P89" s="240" t="s">
        <v>41</v>
      </c>
      <c r="Q89" s="303">
        <v>579.26</v>
      </c>
      <c r="R89" s="409">
        <v>500</v>
      </c>
      <c r="S89" s="409">
        <v>460</v>
      </c>
      <c r="T89" s="409">
        <v>50</v>
      </c>
      <c r="U89" s="409">
        <v>50</v>
      </c>
      <c r="V89" s="545">
        <f t="shared" si="66"/>
        <v>4318.07</v>
      </c>
      <c r="W89" s="534" t="e">
        <f t="shared" si="67"/>
        <v>#REF!</v>
      </c>
      <c r="X89" s="524" t="e">
        <f>$Y$84 + IF($B$2="mil",1,0.0254)*DDR2Specs!$E$9</f>
        <v>#REF!</v>
      </c>
      <c r="Y89" s="547" t="e">
        <f>$X$84 + IF($B$2="mil",1,0.0254)*DDR2Specs!$F$9</f>
        <v>#REF!</v>
      </c>
      <c r="Z89" s="546" t="e">
        <f t="shared" si="60"/>
        <v>#REF!</v>
      </c>
      <c r="AA89" s="547" t="e">
        <f t="shared" si="61"/>
        <v>#REF!</v>
      </c>
      <c r="AB89" s="545">
        <f t="shared" si="68"/>
        <v>4278.07</v>
      </c>
      <c r="AC89" s="534" t="e">
        <f t="shared" si="69"/>
        <v>#REF!</v>
      </c>
      <c r="AD89" s="524" t="e">
        <f>$AE$84 + IF($B$2="mil",1,0.0254)*DDR2Specs!$E$9</f>
        <v>#REF!</v>
      </c>
      <c r="AE89" s="524" t="e">
        <f>$AD$84 + IF($B$2="mil",1,0.0254)*DDR2Specs!$F$9</f>
        <v>#REF!</v>
      </c>
      <c r="AF89" s="546" t="e">
        <f t="shared" si="62"/>
        <v>#REF!</v>
      </c>
      <c r="AG89" s="547" t="e">
        <f t="shared" si="63"/>
        <v>#REF!</v>
      </c>
      <c r="AH89" s="554"/>
      <c r="AI89" s="554"/>
      <c r="AJ89" s="554"/>
      <c r="AK89" s="554"/>
      <c r="AL89" s="566" t="s">
        <v>41</v>
      </c>
      <c r="AM89" s="560" t="e">
        <f t="shared" si="70"/>
        <v>#REF!</v>
      </c>
      <c r="AN89" s="561" t="s">
        <v>41</v>
      </c>
      <c r="AO89" s="529" t="e">
        <f t="shared" si="71"/>
        <v>#REF!</v>
      </c>
      <c r="AP89" s="577"/>
      <c r="AQ89" s="528" t="e">
        <f t="shared" si="64"/>
        <v>#REF!</v>
      </c>
      <c r="AR89" s="528" t="e">
        <f t="shared" si="65"/>
        <v>#REF!</v>
      </c>
      <c r="AS89" s="528" t="e">
        <f t="shared" ca="1" si="72"/>
        <v>#NAME?</v>
      </c>
      <c r="AT89" s="528" t="e">
        <f t="shared" ca="1" si="73"/>
        <v>#NAME?</v>
      </c>
      <c r="AU89" s="528" t="e">
        <f t="shared" si="74"/>
        <v>#REF!</v>
      </c>
      <c r="AV89" s="560" t="e">
        <f t="shared" si="75"/>
        <v>#REF!</v>
      </c>
      <c r="AW89" s="528" t="e">
        <f t="shared" si="76"/>
        <v>#REF!</v>
      </c>
      <c r="AX89" s="529" t="e">
        <f t="shared" si="77"/>
        <v>#REF!</v>
      </c>
      <c r="AY89" s="162" t="e">
        <f t="shared" ca="1" si="78"/>
        <v>#REF!</v>
      </c>
      <c r="AZ89" s="3"/>
    </row>
    <row r="90" spans="5:52">
      <c r="P90" s="240" t="s">
        <v>42</v>
      </c>
      <c r="Q90" s="303">
        <v>624.74</v>
      </c>
      <c r="R90" s="409">
        <v>70.48</v>
      </c>
      <c r="S90" s="409">
        <v>400</v>
      </c>
      <c r="T90" s="409">
        <v>50</v>
      </c>
      <c r="U90" s="409">
        <v>50</v>
      </c>
      <c r="V90" s="545">
        <f t="shared" si="66"/>
        <v>4974.9199999999992</v>
      </c>
      <c r="W90" s="534" t="e">
        <f t="shared" si="67"/>
        <v>#REF!</v>
      </c>
      <c r="X90" s="524" t="e">
        <f>$Y$84 + IF($B$2="mil",1,0.0254)*DDR2Specs!$E$9</f>
        <v>#REF!</v>
      </c>
      <c r="Y90" s="547" t="e">
        <f>$X$84 + IF($B$2="mil",1,0.0254)*DDR2Specs!$F$9</f>
        <v>#REF!</v>
      </c>
      <c r="Z90" s="546" t="e">
        <f t="shared" si="60"/>
        <v>#REF!</v>
      </c>
      <c r="AA90" s="547" t="e">
        <f t="shared" si="61"/>
        <v>#REF!</v>
      </c>
      <c r="AB90" s="545">
        <f t="shared" si="68"/>
        <v>5304.44</v>
      </c>
      <c r="AC90" s="534" t="e">
        <f t="shared" si="69"/>
        <v>#REF!</v>
      </c>
      <c r="AD90" s="524" t="e">
        <f>$AE$84 + IF($B$2="mil",1,0.0254)*DDR2Specs!$E$9</f>
        <v>#REF!</v>
      </c>
      <c r="AE90" s="524" t="e">
        <f>$AD$84 + IF($B$2="mil",1,0.0254)*DDR2Specs!$F$9</f>
        <v>#REF!</v>
      </c>
      <c r="AF90" s="546" t="e">
        <f t="shared" si="62"/>
        <v>#REF!</v>
      </c>
      <c r="AG90" s="547" t="e">
        <f t="shared" si="63"/>
        <v>#REF!</v>
      </c>
      <c r="AH90" s="554"/>
      <c r="AI90" s="554"/>
      <c r="AJ90" s="554"/>
      <c r="AK90" s="554"/>
      <c r="AL90" s="566" t="s">
        <v>42</v>
      </c>
      <c r="AM90" s="560" t="e">
        <f t="shared" si="70"/>
        <v>#REF!</v>
      </c>
      <c r="AN90" s="561" t="s">
        <v>42</v>
      </c>
      <c r="AO90" s="529" t="e">
        <f t="shared" si="71"/>
        <v>#REF!</v>
      </c>
      <c r="AP90" s="577"/>
      <c r="AQ90" s="528" t="e">
        <f t="shared" si="64"/>
        <v>#REF!</v>
      </c>
      <c r="AR90" s="528" t="e">
        <f t="shared" si="65"/>
        <v>#REF!</v>
      </c>
      <c r="AS90" s="528" t="e">
        <f t="shared" ca="1" si="72"/>
        <v>#NAME?</v>
      </c>
      <c r="AT90" s="528" t="e">
        <f t="shared" ca="1" si="73"/>
        <v>#NAME?</v>
      </c>
      <c r="AU90" s="528" t="e">
        <f t="shared" si="74"/>
        <v>#REF!</v>
      </c>
      <c r="AV90" s="560" t="e">
        <f t="shared" si="75"/>
        <v>#REF!</v>
      </c>
      <c r="AW90" s="528" t="e">
        <f t="shared" si="76"/>
        <v>#REF!</v>
      </c>
      <c r="AX90" s="529" t="e">
        <f t="shared" si="77"/>
        <v>#REF!</v>
      </c>
      <c r="AY90" s="162" t="e">
        <f t="shared" ca="1" si="78"/>
        <v>#REF!</v>
      </c>
      <c r="AZ90" s="3"/>
    </row>
    <row r="91" spans="5:52">
      <c r="F91" t="s">
        <v>276</v>
      </c>
      <c r="G91" s="272" t="s">
        <v>276</v>
      </c>
      <c r="P91" s="240" t="s">
        <v>43</v>
      </c>
      <c r="Q91" s="303">
        <v>610.85</v>
      </c>
      <c r="R91" s="409">
        <v>400</v>
      </c>
      <c r="S91" s="409">
        <v>400</v>
      </c>
      <c r="T91" s="409">
        <v>50</v>
      </c>
      <c r="U91" s="409">
        <v>50</v>
      </c>
      <c r="V91" s="545">
        <f t="shared" si="66"/>
        <v>4301.92</v>
      </c>
      <c r="W91" s="534" t="e">
        <f t="shared" si="67"/>
        <v>#REF!</v>
      </c>
      <c r="X91" s="524" t="e">
        <f>$Y$84 + IF($B$2="mil",1,0.0254)*DDR2Specs!$E$9</f>
        <v>#REF!</v>
      </c>
      <c r="Y91" s="547" t="e">
        <f>$X$84 + IF($B$2="mil",1,0.0254)*DDR2Specs!$F$9</f>
        <v>#REF!</v>
      </c>
      <c r="Z91" s="546" t="e">
        <f t="shared" si="60"/>
        <v>#REF!</v>
      </c>
      <c r="AA91" s="547" t="e">
        <f t="shared" si="61"/>
        <v>#REF!</v>
      </c>
      <c r="AB91" s="545">
        <f t="shared" si="68"/>
        <v>4301.92</v>
      </c>
      <c r="AC91" s="534" t="e">
        <f t="shared" si="69"/>
        <v>#REF!</v>
      </c>
      <c r="AD91" s="524" t="e">
        <f>$AE$84 + IF($B$2="mil",1,0.0254)*DDR2Specs!$E$9</f>
        <v>#REF!</v>
      </c>
      <c r="AE91" s="524" t="e">
        <f>$AD$84 + IF($B$2="mil",1,0.0254)*DDR2Specs!$F$9</f>
        <v>#REF!</v>
      </c>
      <c r="AF91" s="546" t="e">
        <f t="shared" si="62"/>
        <v>#REF!</v>
      </c>
      <c r="AG91" s="547" t="e">
        <f t="shared" si="63"/>
        <v>#REF!</v>
      </c>
      <c r="AH91" s="554"/>
      <c r="AI91" s="554"/>
      <c r="AJ91" s="554"/>
      <c r="AK91" s="554"/>
      <c r="AL91" s="566" t="s">
        <v>43</v>
      </c>
      <c r="AM91" s="560" t="e">
        <f t="shared" si="70"/>
        <v>#REF!</v>
      </c>
      <c r="AN91" s="561" t="s">
        <v>43</v>
      </c>
      <c r="AO91" s="529" t="e">
        <f t="shared" si="71"/>
        <v>#REF!</v>
      </c>
      <c r="AP91" s="577"/>
      <c r="AQ91" s="528" t="e">
        <f t="shared" si="64"/>
        <v>#REF!</v>
      </c>
      <c r="AR91" s="528" t="e">
        <f t="shared" si="65"/>
        <v>#REF!</v>
      </c>
      <c r="AS91" s="528" t="e">
        <f t="shared" ca="1" si="72"/>
        <v>#NAME?</v>
      </c>
      <c r="AT91" s="528" t="e">
        <f t="shared" ca="1" si="73"/>
        <v>#NAME?</v>
      </c>
      <c r="AU91" s="528" t="e">
        <f t="shared" si="74"/>
        <v>#REF!</v>
      </c>
      <c r="AV91" s="560" t="e">
        <f t="shared" si="75"/>
        <v>#REF!</v>
      </c>
      <c r="AW91" s="528" t="e">
        <f t="shared" si="76"/>
        <v>#REF!</v>
      </c>
      <c r="AX91" s="529" t="e">
        <f t="shared" si="77"/>
        <v>#REF!</v>
      </c>
      <c r="AY91" s="162" t="e">
        <f t="shared" ca="1" si="78"/>
        <v>#REF!</v>
      </c>
      <c r="AZ91" s="3"/>
    </row>
    <row r="92" spans="5:52">
      <c r="E92" s="377" t="s">
        <v>281</v>
      </c>
      <c r="F92" s="377" t="s">
        <v>245</v>
      </c>
      <c r="G92" s="377" t="s">
        <v>251</v>
      </c>
      <c r="H92" s="272" t="s">
        <v>405</v>
      </c>
      <c r="P92" s="240" t="s">
        <v>44</v>
      </c>
      <c r="Q92" s="303">
        <v>604.02</v>
      </c>
      <c r="R92" s="409">
        <v>400</v>
      </c>
      <c r="S92" s="409">
        <v>400</v>
      </c>
      <c r="T92" s="409">
        <v>50</v>
      </c>
      <c r="U92" s="409">
        <v>50</v>
      </c>
      <c r="V92" s="545">
        <f t="shared" si="66"/>
        <v>4319.95</v>
      </c>
      <c r="W92" s="534" t="e">
        <f t="shared" si="67"/>
        <v>#REF!</v>
      </c>
      <c r="X92" s="524" t="e">
        <f>$Y$84 + IF($B$2="mil",1,0.0254)*DDR2Specs!$E$9</f>
        <v>#REF!</v>
      </c>
      <c r="Y92" s="547" t="e">
        <f>$X$84 + IF($B$2="mil",1,0.0254)*DDR2Specs!$F$9</f>
        <v>#REF!</v>
      </c>
      <c r="Z92" s="546" t="e">
        <f t="shared" si="60"/>
        <v>#REF!</v>
      </c>
      <c r="AA92" s="547" t="e">
        <f t="shared" si="61"/>
        <v>#REF!</v>
      </c>
      <c r="AB92" s="545">
        <f t="shared" si="68"/>
        <v>4319.95</v>
      </c>
      <c r="AC92" s="534" t="e">
        <f t="shared" si="69"/>
        <v>#REF!</v>
      </c>
      <c r="AD92" s="524" t="e">
        <f>$AE$84 + IF($B$2="mil",1,0.0254)*DDR2Specs!$E$9</f>
        <v>#REF!</v>
      </c>
      <c r="AE92" s="524" t="e">
        <f>$AD$84 + IF($B$2="mil",1,0.0254)*DDR2Specs!$F$9</f>
        <v>#REF!</v>
      </c>
      <c r="AF92" s="546" t="e">
        <f t="shared" si="62"/>
        <v>#REF!</v>
      </c>
      <c r="AG92" s="547" t="e">
        <f t="shared" si="63"/>
        <v>#REF!</v>
      </c>
      <c r="AH92" s="554"/>
      <c r="AI92" s="554"/>
      <c r="AJ92" s="554"/>
      <c r="AK92" s="554"/>
      <c r="AL92" s="566" t="s">
        <v>44</v>
      </c>
      <c r="AM92" s="560" t="e">
        <f t="shared" si="70"/>
        <v>#REF!</v>
      </c>
      <c r="AN92" s="561" t="s">
        <v>44</v>
      </c>
      <c r="AO92" s="529" t="e">
        <f t="shared" si="71"/>
        <v>#REF!</v>
      </c>
      <c r="AP92" s="577"/>
      <c r="AQ92" s="528" t="e">
        <f t="shared" si="64"/>
        <v>#REF!</v>
      </c>
      <c r="AR92" s="528" t="e">
        <f t="shared" si="65"/>
        <v>#REF!</v>
      </c>
      <c r="AS92" s="528" t="e">
        <f t="shared" ca="1" si="72"/>
        <v>#NAME?</v>
      </c>
      <c r="AT92" s="528" t="e">
        <f t="shared" ca="1" si="73"/>
        <v>#NAME?</v>
      </c>
      <c r="AU92" s="528" t="e">
        <f t="shared" si="74"/>
        <v>#REF!</v>
      </c>
      <c r="AV92" s="560" t="e">
        <f t="shared" si="75"/>
        <v>#REF!</v>
      </c>
      <c r="AW92" s="528" t="e">
        <f t="shared" si="76"/>
        <v>#REF!</v>
      </c>
      <c r="AX92" s="529" t="e">
        <f t="shared" si="77"/>
        <v>#REF!</v>
      </c>
      <c r="AY92" s="162" t="e">
        <f t="shared" ca="1" si="78"/>
        <v>#REF!</v>
      </c>
      <c r="AZ92" s="3"/>
    </row>
    <row r="93" spans="5:52">
      <c r="F93" s="377" t="s">
        <v>246</v>
      </c>
      <c r="G93" s="377" t="s">
        <v>252</v>
      </c>
      <c r="P93" s="240" t="s">
        <v>46</v>
      </c>
      <c r="Q93" s="303">
        <v>596.35</v>
      </c>
      <c r="R93" s="409">
        <v>400</v>
      </c>
      <c r="S93" s="409">
        <v>400</v>
      </c>
      <c r="T93" s="409">
        <v>50</v>
      </c>
      <c r="U93" s="409">
        <v>50</v>
      </c>
      <c r="V93" s="545">
        <f t="shared" si="66"/>
        <v>4204.2999999999993</v>
      </c>
      <c r="W93" s="534" t="e">
        <f t="shared" si="67"/>
        <v>#REF!</v>
      </c>
      <c r="X93" s="524" t="e">
        <f>$Y$84 + IF($B$2="mil",1,0.0254)*DDR2Specs!$E$9</f>
        <v>#REF!</v>
      </c>
      <c r="Y93" s="547" t="e">
        <f>$X$84 + IF($B$2="mil",1,0.0254)*DDR2Specs!$F$9</f>
        <v>#REF!</v>
      </c>
      <c r="Z93" s="546" t="e">
        <f t="shared" si="60"/>
        <v>#REF!</v>
      </c>
      <c r="AA93" s="547" t="e">
        <f t="shared" si="61"/>
        <v>#REF!</v>
      </c>
      <c r="AB93" s="545">
        <f t="shared" si="68"/>
        <v>4204.2999999999993</v>
      </c>
      <c r="AC93" s="534" t="e">
        <f t="shared" si="69"/>
        <v>#REF!</v>
      </c>
      <c r="AD93" s="524" t="e">
        <f>$AE$84 + IF($B$2="mil",1,0.0254)*DDR2Specs!$E$9</f>
        <v>#REF!</v>
      </c>
      <c r="AE93" s="524" t="e">
        <f>$AD$84 + IF($B$2="mil",1,0.0254)*DDR2Specs!$F$9</f>
        <v>#REF!</v>
      </c>
      <c r="AF93" s="546" t="e">
        <f t="shared" si="62"/>
        <v>#REF!</v>
      </c>
      <c r="AG93" s="547" t="e">
        <f t="shared" si="63"/>
        <v>#REF!</v>
      </c>
      <c r="AH93" s="554"/>
      <c r="AI93" s="554"/>
      <c r="AJ93" s="554"/>
      <c r="AK93" s="554"/>
      <c r="AL93" s="566" t="s">
        <v>46</v>
      </c>
      <c r="AM93" s="560" t="e">
        <f t="shared" si="70"/>
        <v>#REF!</v>
      </c>
      <c r="AN93" s="561" t="s">
        <v>46</v>
      </c>
      <c r="AO93" s="529" t="e">
        <f t="shared" si="71"/>
        <v>#REF!</v>
      </c>
      <c r="AP93" s="577"/>
      <c r="AQ93" s="528" t="e">
        <f t="shared" si="64"/>
        <v>#REF!</v>
      </c>
      <c r="AR93" s="528" t="e">
        <f t="shared" si="65"/>
        <v>#REF!</v>
      </c>
      <c r="AS93" s="528" t="e">
        <f t="shared" ca="1" si="72"/>
        <v>#NAME?</v>
      </c>
      <c r="AT93" s="528" t="e">
        <f t="shared" ca="1" si="73"/>
        <v>#NAME?</v>
      </c>
      <c r="AU93" s="528" t="e">
        <f t="shared" si="74"/>
        <v>#REF!</v>
      </c>
      <c r="AV93" s="560" t="e">
        <f t="shared" si="75"/>
        <v>#REF!</v>
      </c>
      <c r="AW93" s="528" t="e">
        <f t="shared" si="76"/>
        <v>#REF!</v>
      </c>
      <c r="AX93" s="529" t="e">
        <f t="shared" si="77"/>
        <v>#REF!</v>
      </c>
      <c r="AY93" s="162" t="e">
        <f t="shared" ca="1" si="78"/>
        <v>#REF!</v>
      </c>
      <c r="AZ93" s="3"/>
    </row>
    <row r="94" spans="5:52">
      <c r="F94" s="377" t="s">
        <v>248</v>
      </c>
      <c r="G94" s="377" t="s">
        <v>253</v>
      </c>
      <c r="P94" s="240" t="s">
        <v>47</v>
      </c>
      <c r="Q94" s="303">
        <v>615.67999999999995</v>
      </c>
      <c r="R94" s="409">
        <v>300</v>
      </c>
      <c r="S94" s="409">
        <v>400</v>
      </c>
      <c r="T94" s="409">
        <v>50</v>
      </c>
      <c r="U94" s="409">
        <v>50</v>
      </c>
      <c r="V94" s="545">
        <f t="shared" si="66"/>
        <v>4176.29</v>
      </c>
      <c r="W94" s="534" t="e">
        <f t="shared" si="67"/>
        <v>#REF!</v>
      </c>
      <c r="X94" s="524" t="e">
        <f>$Y$84 + IF($B$2="mil",1,0.0254)*DDR2Specs!$E$9</f>
        <v>#REF!</v>
      </c>
      <c r="Y94" s="547" t="e">
        <f>$X$84 + IF($B$2="mil",1,0.0254)*DDR2Specs!$F$9</f>
        <v>#REF!</v>
      </c>
      <c r="Z94" s="546" t="e">
        <f t="shared" si="60"/>
        <v>#REF!</v>
      </c>
      <c r="AA94" s="547" t="e">
        <f t="shared" si="61"/>
        <v>#REF!</v>
      </c>
      <c r="AB94" s="545">
        <f t="shared" si="68"/>
        <v>4276.29</v>
      </c>
      <c r="AC94" s="534" t="e">
        <f t="shared" si="69"/>
        <v>#REF!</v>
      </c>
      <c r="AD94" s="524" t="e">
        <f>$AE$84 + IF($B$2="mil",1,0.0254)*DDR2Specs!$E$9</f>
        <v>#REF!</v>
      </c>
      <c r="AE94" s="524" t="e">
        <f>$AD$84 + IF($B$2="mil",1,0.0254)*DDR2Specs!$F$9</f>
        <v>#REF!</v>
      </c>
      <c r="AF94" s="546" t="e">
        <f t="shared" si="62"/>
        <v>#REF!</v>
      </c>
      <c r="AG94" s="547" t="e">
        <f t="shared" si="63"/>
        <v>#REF!</v>
      </c>
      <c r="AH94" s="554"/>
      <c r="AI94" s="554"/>
      <c r="AJ94" s="554"/>
      <c r="AK94" s="554"/>
      <c r="AL94" s="566" t="s">
        <v>47</v>
      </c>
      <c r="AM94" s="560" t="e">
        <f t="shared" si="70"/>
        <v>#REF!</v>
      </c>
      <c r="AN94" s="561" t="s">
        <v>47</v>
      </c>
      <c r="AO94" s="529" t="e">
        <f t="shared" si="71"/>
        <v>#REF!</v>
      </c>
      <c r="AP94" s="577"/>
      <c r="AQ94" s="528" t="e">
        <f t="shared" si="64"/>
        <v>#REF!</v>
      </c>
      <c r="AR94" s="528" t="e">
        <f t="shared" si="65"/>
        <v>#REF!</v>
      </c>
      <c r="AS94" s="528" t="e">
        <f t="shared" ca="1" si="72"/>
        <v>#NAME?</v>
      </c>
      <c r="AT94" s="528" t="e">
        <f t="shared" ca="1" si="73"/>
        <v>#NAME?</v>
      </c>
      <c r="AU94" s="528" t="e">
        <f t="shared" si="74"/>
        <v>#REF!</v>
      </c>
      <c r="AV94" s="560" t="e">
        <f t="shared" si="75"/>
        <v>#REF!</v>
      </c>
      <c r="AW94" s="528" t="e">
        <f t="shared" si="76"/>
        <v>#REF!</v>
      </c>
      <c r="AX94" s="529" t="e">
        <f t="shared" si="77"/>
        <v>#REF!</v>
      </c>
      <c r="AY94" s="162" t="e">
        <f t="shared" ca="1" si="78"/>
        <v>#REF!</v>
      </c>
      <c r="AZ94" s="3"/>
    </row>
    <row r="95" spans="5:52">
      <c r="F95" s="377" t="s">
        <v>247</v>
      </c>
      <c r="G95" s="377" t="s">
        <v>254</v>
      </c>
      <c r="P95" s="240" t="s">
        <v>48</v>
      </c>
      <c r="Q95" s="303">
        <v>533.94000000000005</v>
      </c>
      <c r="R95" s="409">
        <v>210</v>
      </c>
      <c r="S95" s="409">
        <v>400</v>
      </c>
      <c r="T95" s="409">
        <v>50</v>
      </c>
      <c r="U95" s="409">
        <v>50</v>
      </c>
      <c r="V95" s="545">
        <f t="shared" si="66"/>
        <v>4256.6000000000004</v>
      </c>
      <c r="W95" s="534" t="e">
        <f t="shared" si="67"/>
        <v>#REF!</v>
      </c>
      <c r="X95" s="524" t="e">
        <f>$Y$84 + IF($B$2="mil",1,0.0254)*DDR2Specs!$E$9</f>
        <v>#REF!</v>
      </c>
      <c r="Y95" s="547" t="e">
        <f>$X$84 + IF($B$2="mil",1,0.0254)*DDR2Specs!$F$9</f>
        <v>#REF!</v>
      </c>
      <c r="Z95" s="546" t="e">
        <f t="shared" si="60"/>
        <v>#REF!</v>
      </c>
      <c r="AA95" s="547" t="e">
        <f t="shared" si="61"/>
        <v>#REF!</v>
      </c>
      <c r="AB95" s="545">
        <f t="shared" si="68"/>
        <v>4446.6000000000004</v>
      </c>
      <c r="AC95" s="534" t="e">
        <f t="shared" si="69"/>
        <v>#REF!</v>
      </c>
      <c r="AD95" s="524" t="e">
        <f>$AE$84 + IF($B$2="mil",1,0.0254)*DDR2Specs!$E$9</f>
        <v>#REF!</v>
      </c>
      <c r="AE95" s="524" t="e">
        <f>$AD$84 + IF($B$2="mil",1,0.0254)*DDR2Specs!$F$9</f>
        <v>#REF!</v>
      </c>
      <c r="AF95" s="546" t="e">
        <f t="shared" si="62"/>
        <v>#REF!</v>
      </c>
      <c r="AG95" s="547" t="e">
        <f t="shared" si="63"/>
        <v>#REF!</v>
      </c>
      <c r="AH95" s="554"/>
      <c r="AI95" s="554"/>
      <c r="AJ95" s="554"/>
      <c r="AK95" s="554"/>
      <c r="AL95" s="566" t="s">
        <v>48</v>
      </c>
      <c r="AM95" s="560" t="e">
        <f t="shared" si="70"/>
        <v>#REF!</v>
      </c>
      <c r="AN95" s="561" t="s">
        <v>48</v>
      </c>
      <c r="AO95" s="529" t="e">
        <f t="shared" si="71"/>
        <v>#REF!</v>
      </c>
      <c r="AP95" s="577"/>
      <c r="AQ95" s="528" t="e">
        <f t="shared" si="64"/>
        <v>#REF!</v>
      </c>
      <c r="AR95" s="528" t="e">
        <f t="shared" si="65"/>
        <v>#REF!</v>
      </c>
      <c r="AS95" s="528" t="e">
        <f t="shared" ca="1" si="72"/>
        <v>#NAME?</v>
      </c>
      <c r="AT95" s="528" t="e">
        <f t="shared" ca="1" si="73"/>
        <v>#NAME?</v>
      </c>
      <c r="AU95" s="528" t="e">
        <f t="shared" si="74"/>
        <v>#REF!</v>
      </c>
      <c r="AV95" s="560" t="e">
        <f t="shared" si="75"/>
        <v>#REF!</v>
      </c>
      <c r="AW95" s="528" t="e">
        <f t="shared" si="76"/>
        <v>#REF!</v>
      </c>
      <c r="AX95" s="529" t="e">
        <f t="shared" si="77"/>
        <v>#REF!</v>
      </c>
      <c r="AY95" s="162" t="e">
        <f t="shared" ca="1" si="78"/>
        <v>#REF!</v>
      </c>
      <c r="AZ95" s="3"/>
    </row>
    <row r="96" spans="5:52">
      <c r="P96" s="240" t="s">
        <v>50</v>
      </c>
      <c r="Q96" s="303">
        <v>559.79</v>
      </c>
      <c r="R96" s="409">
        <v>150</v>
      </c>
      <c r="S96" s="409">
        <v>400</v>
      </c>
      <c r="T96" s="409">
        <v>50</v>
      </c>
      <c r="U96" s="409">
        <v>50</v>
      </c>
      <c r="V96" s="545">
        <f t="shared" si="66"/>
        <v>4339.49</v>
      </c>
      <c r="W96" s="534" t="e">
        <f t="shared" si="67"/>
        <v>#REF!</v>
      </c>
      <c r="X96" s="524" t="e">
        <f>$Y$84 + IF($B$2="mil",1,0.0254)*DDR2Specs!$E$9</f>
        <v>#REF!</v>
      </c>
      <c r="Y96" s="547" t="e">
        <f>$X$84 + IF($B$2="mil",1,0.0254)*DDR2Specs!$F$9</f>
        <v>#REF!</v>
      </c>
      <c r="Z96" s="546" t="e">
        <f t="shared" si="60"/>
        <v>#REF!</v>
      </c>
      <c r="AA96" s="547" t="e">
        <f t="shared" si="61"/>
        <v>#REF!</v>
      </c>
      <c r="AB96" s="545">
        <f t="shared" si="68"/>
        <v>4589.49</v>
      </c>
      <c r="AC96" s="534" t="e">
        <f t="shared" si="69"/>
        <v>#REF!</v>
      </c>
      <c r="AD96" s="524" t="e">
        <f>$AE$84 + IF($B$2="mil",1,0.0254)*DDR2Specs!$E$9</f>
        <v>#REF!</v>
      </c>
      <c r="AE96" s="524" t="e">
        <f>$AD$84 + IF($B$2="mil",1,0.0254)*DDR2Specs!$F$9</f>
        <v>#REF!</v>
      </c>
      <c r="AF96" s="546" t="e">
        <f t="shared" si="62"/>
        <v>#REF!</v>
      </c>
      <c r="AG96" s="547" t="e">
        <f t="shared" si="63"/>
        <v>#REF!</v>
      </c>
      <c r="AH96" s="554"/>
      <c r="AI96" s="554"/>
      <c r="AJ96" s="554"/>
      <c r="AK96" s="554"/>
      <c r="AL96" s="566" t="s">
        <v>50</v>
      </c>
      <c r="AM96" s="560" t="e">
        <f t="shared" si="70"/>
        <v>#REF!</v>
      </c>
      <c r="AN96" s="561" t="s">
        <v>50</v>
      </c>
      <c r="AO96" s="529" t="e">
        <f t="shared" si="71"/>
        <v>#REF!</v>
      </c>
      <c r="AP96" s="577"/>
      <c r="AQ96" s="528" t="e">
        <f t="shared" si="64"/>
        <v>#REF!</v>
      </c>
      <c r="AR96" s="528" t="e">
        <f t="shared" si="65"/>
        <v>#REF!</v>
      </c>
      <c r="AS96" s="528" t="e">
        <f t="shared" ca="1" si="72"/>
        <v>#NAME?</v>
      </c>
      <c r="AT96" s="528" t="e">
        <f t="shared" ca="1" si="73"/>
        <v>#NAME?</v>
      </c>
      <c r="AU96" s="528" t="e">
        <f t="shared" si="74"/>
        <v>#REF!</v>
      </c>
      <c r="AV96" s="560" t="e">
        <f t="shared" si="75"/>
        <v>#REF!</v>
      </c>
      <c r="AW96" s="528" t="e">
        <f t="shared" si="76"/>
        <v>#REF!</v>
      </c>
      <c r="AX96" s="529" t="e">
        <f t="shared" si="77"/>
        <v>#REF!</v>
      </c>
      <c r="AY96" s="162" t="e">
        <f t="shared" ca="1" si="78"/>
        <v>#REF!</v>
      </c>
      <c r="AZ96" s="3"/>
    </row>
    <row r="97" spans="5:52">
      <c r="P97" s="240" t="s">
        <v>51</v>
      </c>
      <c r="Q97" s="303">
        <v>632.15</v>
      </c>
      <c r="R97" s="409">
        <v>150</v>
      </c>
      <c r="S97" s="409">
        <v>400</v>
      </c>
      <c r="T97" s="409">
        <v>50</v>
      </c>
      <c r="U97" s="409">
        <v>50</v>
      </c>
      <c r="V97" s="545">
        <f t="shared" si="66"/>
        <v>4168.38</v>
      </c>
      <c r="W97" s="534" t="e">
        <f t="shared" si="67"/>
        <v>#REF!</v>
      </c>
      <c r="X97" s="524" t="e">
        <f>$Y$84 + IF($B$2="mil",1,0.0254)*DDR2Specs!$E$9</f>
        <v>#REF!</v>
      </c>
      <c r="Y97" s="547" t="e">
        <f>$X$84 + IF($B$2="mil",1,0.0254)*DDR2Specs!$F$9</f>
        <v>#REF!</v>
      </c>
      <c r="Z97" s="546" t="e">
        <f t="shared" si="60"/>
        <v>#REF!</v>
      </c>
      <c r="AA97" s="547" t="e">
        <f t="shared" si="61"/>
        <v>#REF!</v>
      </c>
      <c r="AB97" s="545">
        <f t="shared" si="68"/>
        <v>4418.38</v>
      </c>
      <c r="AC97" s="534" t="e">
        <f t="shared" si="69"/>
        <v>#REF!</v>
      </c>
      <c r="AD97" s="524" t="e">
        <f>$AE$84 + IF($B$2="mil",1,0.0254)*DDR2Specs!$E$9</f>
        <v>#REF!</v>
      </c>
      <c r="AE97" s="524" t="e">
        <f>$AD$84 + IF($B$2="mil",1,0.0254)*DDR2Specs!$F$9</f>
        <v>#REF!</v>
      </c>
      <c r="AF97" s="546" t="e">
        <f t="shared" si="62"/>
        <v>#REF!</v>
      </c>
      <c r="AG97" s="547" t="e">
        <f t="shared" si="63"/>
        <v>#REF!</v>
      </c>
      <c r="AH97" s="554"/>
      <c r="AI97" s="554"/>
      <c r="AJ97" s="554"/>
      <c r="AK97" s="554"/>
      <c r="AL97" s="566" t="s">
        <v>51</v>
      </c>
      <c r="AM97" s="560" t="e">
        <f t="shared" si="70"/>
        <v>#REF!</v>
      </c>
      <c r="AN97" s="561" t="s">
        <v>51</v>
      </c>
      <c r="AO97" s="529" t="e">
        <f t="shared" si="71"/>
        <v>#REF!</v>
      </c>
      <c r="AP97" s="577"/>
      <c r="AQ97" s="528" t="e">
        <f t="shared" si="64"/>
        <v>#REF!</v>
      </c>
      <c r="AR97" s="528" t="e">
        <f t="shared" si="65"/>
        <v>#REF!</v>
      </c>
      <c r="AS97" s="528" t="e">
        <f t="shared" ca="1" si="72"/>
        <v>#NAME?</v>
      </c>
      <c r="AT97" s="528" t="e">
        <f t="shared" ca="1" si="73"/>
        <v>#NAME?</v>
      </c>
      <c r="AU97" s="528" t="e">
        <f t="shared" si="74"/>
        <v>#REF!</v>
      </c>
      <c r="AV97" s="560" t="e">
        <f t="shared" si="75"/>
        <v>#REF!</v>
      </c>
      <c r="AW97" s="528" t="e">
        <f t="shared" si="76"/>
        <v>#REF!</v>
      </c>
      <c r="AX97" s="529" t="e">
        <f t="shared" si="77"/>
        <v>#REF!</v>
      </c>
      <c r="AY97" s="162" t="e">
        <f t="shared" ca="1" si="78"/>
        <v>#REF!</v>
      </c>
      <c r="AZ97" s="3"/>
    </row>
    <row r="98" spans="5:52">
      <c r="P98" s="240" t="s">
        <v>52</v>
      </c>
      <c r="Q98" s="303">
        <v>566.39</v>
      </c>
      <c r="R98" s="409">
        <v>160</v>
      </c>
      <c r="S98" s="409">
        <v>400</v>
      </c>
      <c r="T98" s="409">
        <v>50</v>
      </c>
      <c r="U98" s="409">
        <v>50</v>
      </c>
      <c r="V98" s="545">
        <f t="shared" si="66"/>
        <v>4210.66</v>
      </c>
      <c r="W98" s="534" t="e">
        <f t="shared" si="67"/>
        <v>#REF!</v>
      </c>
      <c r="X98" s="524" t="e">
        <f>$Y$84 + IF($B$2="mil",1,0.0254)*DDR2Specs!$E$9</f>
        <v>#REF!</v>
      </c>
      <c r="Y98" s="547" t="e">
        <f>$X$84 + IF($B$2="mil",1,0.0254)*DDR2Specs!$F$9</f>
        <v>#REF!</v>
      </c>
      <c r="Z98" s="546" t="e">
        <f t="shared" si="60"/>
        <v>#REF!</v>
      </c>
      <c r="AA98" s="547" t="e">
        <f t="shared" si="61"/>
        <v>#REF!</v>
      </c>
      <c r="AB98" s="545">
        <f t="shared" si="68"/>
        <v>4450.66</v>
      </c>
      <c r="AC98" s="534" t="e">
        <f t="shared" si="69"/>
        <v>#REF!</v>
      </c>
      <c r="AD98" s="524" t="e">
        <f>$AE$84 + IF($B$2="mil",1,0.0254)*DDR2Specs!$E$9</f>
        <v>#REF!</v>
      </c>
      <c r="AE98" s="524" t="e">
        <f>$AD$84 + IF($B$2="mil",1,0.0254)*DDR2Specs!$F$9</f>
        <v>#REF!</v>
      </c>
      <c r="AF98" s="546" t="e">
        <f t="shared" si="62"/>
        <v>#REF!</v>
      </c>
      <c r="AG98" s="547" t="e">
        <f t="shared" si="63"/>
        <v>#REF!</v>
      </c>
      <c r="AH98" s="554"/>
      <c r="AI98" s="554"/>
      <c r="AJ98" s="554"/>
      <c r="AK98" s="554"/>
      <c r="AL98" s="566" t="s">
        <v>52</v>
      </c>
      <c r="AM98" s="560" t="e">
        <f t="shared" si="70"/>
        <v>#REF!</v>
      </c>
      <c r="AN98" s="561" t="s">
        <v>52</v>
      </c>
      <c r="AO98" s="529" t="e">
        <f t="shared" si="71"/>
        <v>#REF!</v>
      </c>
      <c r="AP98" s="577"/>
      <c r="AQ98" s="528" t="e">
        <f t="shared" si="64"/>
        <v>#REF!</v>
      </c>
      <c r="AR98" s="528" t="e">
        <f t="shared" si="65"/>
        <v>#REF!</v>
      </c>
      <c r="AS98" s="528" t="e">
        <f t="shared" ca="1" si="72"/>
        <v>#NAME?</v>
      </c>
      <c r="AT98" s="528" t="e">
        <f t="shared" ca="1" si="73"/>
        <v>#NAME?</v>
      </c>
      <c r="AU98" s="528" t="e">
        <f t="shared" si="74"/>
        <v>#REF!</v>
      </c>
      <c r="AV98" s="560" t="e">
        <f t="shared" si="75"/>
        <v>#REF!</v>
      </c>
      <c r="AW98" s="528" t="e">
        <f t="shared" si="76"/>
        <v>#REF!</v>
      </c>
      <c r="AX98" s="529" t="e">
        <f t="shared" si="77"/>
        <v>#REF!</v>
      </c>
      <c r="AY98" s="162" t="e">
        <f t="shared" ca="1" si="78"/>
        <v>#REF!</v>
      </c>
      <c r="AZ98" s="3"/>
    </row>
    <row r="99" spans="5:52" ht="15.75">
      <c r="E99" s="417"/>
      <c r="P99" s="240" t="s">
        <v>53</v>
      </c>
      <c r="Q99" s="303">
        <v>566.39</v>
      </c>
      <c r="R99" s="409">
        <v>300</v>
      </c>
      <c r="S99" s="409">
        <v>400</v>
      </c>
      <c r="T99" s="409">
        <v>50</v>
      </c>
      <c r="U99" s="409">
        <v>50</v>
      </c>
      <c r="V99" s="545">
        <f t="shared" si="66"/>
        <v>4230.66</v>
      </c>
      <c r="W99" s="534" t="e">
        <f t="shared" si="67"/>
        <v>#REF!</v>
      </c>
      <c r="X99" s="524" t="e">
        <f>$Y$84 + IF($B$2="mil",1,0.0254)*DDR2Specs!$E$9</f>
        <v>#REF!</v>
      </c>
      <c r="Y99" s="547" t="e">
        <f>$X$84 + IF($B$2="mil",1,0.0254)*DDR2Specs!$F$9</f>
        <v>#REF!</v>
      </c>
      <c r="Z99" s="546" t="e">
        <f t="shared" si="60"/>
        <v>#REF!</v>
      </c>
      <c r="AA99" s="547" t="e">
        <f t="shared" si="61"/>
        <v>#REF!</v>
      </c>
      <c r="AB99" s="545">
        <f t="shared" si="68"/>
        <v>4330.66</v>
      </c>
      <c r="AC99" s="534" t="e">
        <f t="shared" si="69"/>
        <v>#REF!</v>
      </c>
      <c r="AD99" s="524" t="e">
        <f>$AE$84 + IF($B$2="mil",1,0.0254)*DDR2Specs!$E$9</f>
        <v>#REF!</v>
      </c>
      <c r="AE99" s="524" t="e">
        <f>$AD$84 + IF($B$2="mil",1,0.0254)*DDR2Specs!$F$9</f>
        <v>#REF!</v>
      </c>
      <c r="AF99" s="546" t="e">
        <f t="shared" si="62"/>
        <v>#REF!</v>
      </c>
      <c r="AG99" s="547" t="e">
        <f t="shared" si="63"/>
        <v>#REF!</v>
      </c>
      <c r="AH99" s="554"/>
      <c r="AI99" s="554"/>
      <c r="AJ99" s="554"/>
      <c r="AK99" s="554"/>
      <c r="AL99" s="566" t="s">
        <v>53</v>
      </c>
      <c r="AM99" s="560" t="e">
        <f t="shared" si="70"/>
        <v>#REF!</v>
      </c>
      <c r="AN99" s="561" t="s">
        <v>53</v>
      </c>
      <c r="AO99" s="529" t="e">
        <f t="shared" si="71"/>
        <v>#REF!</v>
      </c>
      <c r="AP99" s="577"/>
      <c r="AQ99" s="528" t="e">
        <f t="shared" si="64"/>
        <v>#REF!</v>
      </c>
      <c r="AR99" s="528" t="e">
        <f t="shared" si="65"/>
        <v>#REF!</v>
      </c>
      <c r="AS99" s="528" t="e">
        <f t="shared" ca="1" si="72"/>
        <v>#NAME?</v>
      </c>
      <c r="AT99" s="528" t="e">
        <f t="shared" ca="1" si="73"/>
        <v>#NAME?</v>
      </c>
      <c r="AU99" s="528" t="e">
        <f t="shared" si="74"/>
        <v>#REF!</v>
      </c>
      <c r="AV99" s="560" t="e">
        <f t="shared" si="75"/>
        <v>#REF!</v>
      </c>
      <c r="AW99" s="528" t="e">
        <f t="shared" si="76"/>
        <v>#REF!</v>
      </c>
      <c r="AX99" s="529" t="e">
        <f t="shared" si="77"/>
        <v>#REF!</v>
      </c>
      <c r="AY99" s="162" t="e">
        <f t="shared" ca="1" si="78"/>
        <v>#REF!</v>
      </c>
      <c r="AZ99" s="3"/>
    </row>
    <row r="100" spans="5:52">
      <c r="P100" s="434" t="s">
        <v>230</v>
      </c>
      <c r="Q100" s="338"/>
      <c r="R100" s="331"/>
      <c r="S100" s="331"/>
      <c r="T100" s="433"/>
      <c r="U100" s="433"/>
      <c r="V100" s="207"/>
      <c r="W100" s="207"/>
      <c r="X100" s="207"/>
      <c r="Y100" s="571"/>
      <c r="Z100" s="430"/>
      <c r="AA100" s="430"/>
      <c r="AB100" s="207"/>
      <c r="AC100" s="207"/>
      <c r="AD100" s="207"/>
      <c r="AE100" s="207"/>
      <c r="AF100" s="430"/>
      <c r="AG100" s="430"/>
      <c r="AH100" s="554"/>
      <c r="AI100" s="554"/>
      <c r="AJ100" s="554"/>
      <c r="AK100" s="554"/>
      <c r="AL100" s="155" t="s">
        <v>230</v>
      </c>
      <c r="AM100" s="273"/>
      <c r="AN100" s="155" t="s">
        <v>230</v>
      </c>
      <c r="AO100" s="533"/>
      <c r="AP100" s="577"/>
      <c r="AQ100" s="179"/>
      <c r="AR100" s="179"/>
      <c r="AS100" s="179"/>
      <c r="AT100" s="179"/>
      <c r="AU100" s="179"/>
      <c r="AV100" s="562"/>
      <c r="AW100" s="179"/>
      <c r="AX100" s="549"/>
      <c r="AY100" s="3"/>
      <c r="AZ100" s="3"/>
    </row>
    <row r="101" spans="5:52">
      <c r="P101" s="185" t="s">
        <v>54</v>
      </c>
      <c r="Q101" s="303">
        <v>570.59</v>
      </c>
      <c r="R101" s="345">
        <v>350</v>
      </c>
      <c r="S101" s="409">
        <v>400</v>
      </c>
      <c r="T101" s="409">
        <v>50</v>
      </c>
      <c r="U101" s="409">
        <v>50</v>
      </c>
      <c r="V101" s="545">
        <f t="shared" si="66"/>
        <v>4291.21</v>
      </c>
      <c r="W101" s="524" t="e">
        <f>$V101+IF($B$2="mil",1,0.0254)*$C49</f>
        <v>#REF!</v>
      </c>
      <c r="X101" s="524" t="e">
        <f>$Y$84 + IF($B$2="mil",1,0.0254)*DDR2Specs!$E$9</f>
        <v>#REF!</v>
      </c>
      <c r="Y101" s="547" t="e">
        <f>$X$84 + IF($B$2="mil",1,0.0254)*DDR2Specs!$F$9</f>
        <v>#REF!</v>
      </c>
      <c r="Z101" s="546" t="e">
        <f>IF($W101&lt;$X101,$X101-$W101,"Pass")</f>
        <v>#REF!</v>
      </c>
      <c r="AA101" s="547" t="e">
        <f>IF($W101&gt;$Y101,$W101-$Y101,"Pass")</f>
        <v>#REF!</v>
      </c>
      <c r="AB101" s="545">
        <f t="shared" si="68"/>
        <v>4341.21</v>
      </c>
      <c r="AC101" s="524" t="e">
        <f>$AB101+IF($B$2="mil",1,0.0254)*$C49</f>
        <v>#REF!</v>
      </c>
      <c r="AD101" s="524" t="e">
        <f>$AE$84 + IF($B$2="mil",1,0.0254)*DDR2Specs!$E$9</f>
        <v>#REF!</v>
      </c>
      <c r="AE101" s="524" t="e">
        <f>$AD$84 + IF($B$2="mil",1,0.0254)*DDR2Specs!$F$9</f>
        <v>#REF!</v>
      </c>
      <c r="AF101" s="546" t="e">
        <f>IF($AC101&lt;$AD101,$AD101-$AC101,"Pass")</f>
        <v>#REF!</v>
      </c>
      <c r="AG101" s="547" t="e">
        <f>IF($AC101&gt;$AE101,$AC101-$AE101,"Pass")</f>
        <v>#REF!</v>
      </c>
      <c r="AH101" s="554"/>
      <c r="AI101" s="554"/>
      <c r="AJ101" s="554"/>
      <c r="AK101" s="554"/>
      <c r="AL101" s="565" t="s">
        <v>54</v>
      </c>
      <c r="AM101" s="560" t="e">
        <f>IF(P49&lt;=IF($B$2="mil",1,0.0254)*1000,"Pass",IF($B$2="mil",1,0.0254)*1000-P49)</f>
        <v>#REF!</v>
      </c>
      <c r="AN101" s="559" t="s">
        <v>54</v>
      </c>
      <c r="AO101" s="529" t="e">
        <f>IF($Q101&lt;=IF($B$2="mil",1,0.0254)*1000,"Pass",IF($B$2="mil",1,0.0254)*1000-$Q101)</f>
        <v>#REF!</v>
      </c>
      <c r="AP101" s="577"/>
      <c r="AQ101" s="528" t="e">
        <f>IF($R101&lt;=IF($B$2="mil",1,0.0254)*750,"Pass",IF($B$2="mil",1,0.0254)*750-$R101)</f>
        <v>#REF!</v>
      </c>
      <c r="AR101" s="528" t="e">
        <f>IF($S101&lt;=IF($B$2="mil",1,0.0254)*750,"Pass",IF($B$2="mil",1,0.0254)*750-$S101)</f>
        <v>#REF!</v>
      </c>
      <c r="AS101" s="528" t="e">
        <f t="shared" ref="AS101:AT103" ca="1" si="79">CheckLength2(IF($B$2="mil",1,0.0254)*950,R101,T101,0)</f>
        <v>#NAME?</v>
      </c>
      <c r="AT101" s="528" t="e">
        <f t="shared" ca="1" si="79"/>
        <v>#NAME?</v>
      </c>
      <c r="AU101" s="528" t="e">
        <f>IF(AND(V101&gt;=IF($B$2="mil",1,0.0254)*500, $V101&lt;=IF($B$2="mil",1,0.0254)*6500),"Pass",IF($B$2="mil",1,0.0254)*6500-$V101)</f>
        <v>#REF!</v>
      </c>
      <c r="AV101" s="560" t="e">
        <f>IF(AND($W101&gt;=IF($B$2="mil",1,0.0254)*500, $W101&lt;=IF($B$2="mil",1,0.0254)*7000),"Pass",IF($B$2="mil",1,0.0254)*7000-$W101)</f>
        <v>#REF!</v>
      </c>
      <c r="AW101" s="528" t="e">
        <f>IF(AND($AB101&gt;=IF($B$2="mil",1,0.0254)*500, $AB101&lt;=IF($B$2="mil",1,0.0254)*6500),"Pass",IF($B$2="mil",1,0.0254)*6500-$AB101)</f>
        <v>#REF!</v>
      </c>
      <c r="AX101" s="529" t="e">
        <f>IF(AND($AC101&gt;=IF($B$2="mil",1,0.0254)*500, $AC101&lt;=IF($B$2="mil",1,0.0254)*7000),"Pass",IF($B$2="mil",1,0.0254)*7000-$AC101)</f>
        <v>#REF!</v>
      </c>
      <c r="AY101" s="162" t="e">
        <f t="shared" ca="1" si="78"/>
        <v>#REF!</v>
      </c>
      <c r="AZ101" s="3"/>
    </row>
    <row r="102" spans="5:52">
      <c r="P102" s="241" t="s">
        <v>55</v>
      </c>
      <c r="Q102" s="303">
        <v>585.74</v>
      </c>
      <c r="R102" s="346">
        <v>400</v>
      </c>
      <c r="S102" s="409">
        <v>400</v>
      </c>
      <c r="T102" s="409">
        <v>50</v>
      </c>
      <c r="U102" s="409">
        <v>50</v>
      </c>
      <c r="V102" s="545">
        <f t="shared" si="66"/>
        <v>4409.3</v>
      </c>
      <c r="W102" s="524" t="e">
        <f>$V102+IF($B$2="mil",1,0.0254)*$C50</f>
        <v>#REF!</v>
      </c>
      <c r="X102" s="524" t="e">
        <f>$Y$84 + IF($B$2="mil",1,0.0254)*DDR2Specs!$E$9</f>
        <v>#REF!</v>
      </c>
      <c r="Y102" s="547" t="e">
        <f>$X$84 + IF($B$2="mil",1,0.0254)*DDR2Specs!$F$9</f>
        <v>#REF!</v>
      </c>
      <c r="Z102" s="546" t="e">
        <f>IF($W102&lt;$X102,$X102-$W102,"Pass")</f>
        <v>#REF!</v>
      </c>
      <c r="AA102" s="547" t="e">
        <f>IF($W102&gt;$Y102,$W102-$Y102,"Pass")</f>
        <v>#REF!</v>
      </c>
      <c r="AB102" s="545">
        <f t="shared" si="68"/>
        <v>4409.3</v>
      </c>
      <c r="AC102" s="524" t="e">
        <f>$AB102+IF($B$2="mil",1,0.0254)*$C50</f>
        <v>#REF!</v>
      </c>
      <c r="AD102" s="524" t="e">
        <f>$AE$84 + IF($B$2="mil",1,0.0254)*DDR2Specs!$E$9</f>
        <v>#REF!</v>
      </c>
      <c r="AE102" s="524" t="e">
        <f>$AD$84 + IF($B$2="mil",1,0.0254)*DDR2Specs!$F$9</f>
        <v>#REF!</v>
      </c>
      <c r="AF102" s="546" t="e">
        <f>IF($AC102&lt;$AD102,$AD102-$AC102,"Pass")</f>
        <v>#REF!</v>
      </c>
      <c r="AG102" s="547" t="e">
        <f>IF($AC102&gt;$AE102,$AC102-$AE102,"Pass")</f>
        <v>#REF!</v>
      </c>
      <c r="AH102" s="554"/>
      <c r="AI102" s="554"/>
      <c r="AJ102" s="554"/>
      <c r="AK102" s="554"/>
      <c r="AL102" s="567" t="s">
        <v>55</v>
      </c>
      <c r="AM102" s="560" t="e">
        <f>IF(P50&lt;=IF($B$2="mil",1,0.0254)*1000,"Pass",IF($B$2="mil",1,0.0254)*1000-P50)</f>
        <v>#REF!</v>
      </c>
      <c r="AN102" s="563" t="s">
        <v>55</v>
      </c>
      <c r="AO102" s="529" t="e">
        <f>IF($Q102&lt;=IF($B$2="mil",1,0.0254)*1000,"Pass",IF($B$2="mil",1,0.0254)*1000-$Q102)</f>
        <v>#REF!</v>
      </c>
      <c r="AP102" s="577"/>
      <c r="AQ102" s="528" t="e">
        <f>IF($R102&lt;=IF($B$2="mil",1,0.0254)*750,"Pass",IF($B$2="mil",1,0.0254)*750-$R102)</f>
        <v>#REF!</v>
      </c>
      <c r="AR102" s="528" t="e">
        <f>IF($S102&lt;=IF($B$2="mil",1,0.0254)*750,"Pass",IF($B$2="mil",1,0.0254)*750-$S102)</f>
        <v>#REF!</v>
      </c>
      <c r="AS102" s="528" t="e">
        <f t="shared" ca="1" si="79"/>
        <v>#NAME?</v>
      </c>
      <c r="AT102" s="528" t="e">
        <f t="shared" ca="1" si="79"/>
        <v>#NAME?</v>
      </c>
      <c r="AU102" s="528" t="e">
        <f>IF(AND(V102&gt;=IF($B$2="mil",1,0.0254)*500, $V102&lt;=IF($B$2="mil",1,0.0254)*6500),"Pass",IF($B$2="mil",1,0.0254)*6500-$V102)</f>
        <v>#REF!</v>
      </c>
      <c r="AV102" s="560" t="e">
        <f>IF(AND($W102&gt;=IF($B$2="mil",1,0.0254)*500, $W102&lt;=IF($B$2="mil",1,0.0254)*7000),"Pass",IF($B$2="mil",1,0.0254)*7000-$W102)</f>
        <v>#REF!</v>
      </c>
      <c r="AW102" s="528" t="e">
        <f>IF(AND($AB102&gt;=IF($B$2="mil",1,0.0254)*500, $AB102&lt;=IF($B$2="mil",1,0.0254)*6500),"Pass",IF($B$2="mil",1,0.0254)*6500-$AB102)</f>
        <v>#REF!</v>
      </c>
      <c r="AX102" s="529" t="e">
        <f>IF(AND($AC102&gt;=IF($B$2="mil",1,0.0254)*500, $AC102&lt;=IF($B$2="mil",1,0.0254)*7000),"Pass",IF($B$2="mil",1,0.0254)*7000-$AC102)</f>
        <v>#REF!</v>
      </c>
      <c r="AY102" s="162" t="e">
        <f t="shared" ca="1" si="78"/>
        <v>#REF!</v>
      </c>
      <c r="AZ102" s="3"/>
    </row>
    <row r="103" spans="5:52">
      <c r="P103" s="241" t="s">
        <v>56</v>
      </c>
      <c r="Q103" s="303">
        <v>541.1</v>
      </c>
      <c r="R103" s="344">
        <v>250</v>
      </c>
      <c r="S103" s="409">
        <v>400</v>
      </c>
      <c r="T103" s="409">
        <v>50</v>
      </c>
      <c r="U103" s="409">
        <v>50</v>
      </c>
      <c r="V103" s="545">
        <f t="shared" si="66"/>
        <v>4348.68</v>
      </c>
      <c r="W103" s="524" t="e">
        <f>$V103+IF($B$2="mil",1,0.0254)*$C51</f>
        <v>#REF!</v>
      </c>
      <c r="X103" s="524" t="e">
        <f>$Y$84 + IF($B$2="mil",1,0.0254)*DDR2Specs!$E$9</f>
        <v>#REF!</v>
      </c>
      <c r="Y103" s="547" t="e">
        <f>$X$84 + IF($B$2="mil",1,0.0254)*DDR2Specs!$F$9</f>
        <v>#REF!</v>
      </c>
      <c r="Z103" s="546" t="e">
        <f>IF($W103&lt;$X103,$X103-$W103,"Pass")</f>
        <v>#REF!</v>
      </c>
      <c r="AA103" s="547" t="e">
        <f>IF($W103&gt;$Y103,$W103-$Y103,"Pass")</f>
        <v>#REF!</v>
      </c>
      <c r="AB103" s="545">
        <f t="shared" si="68"/>
        <v>4498.68</v>
      </c>
      <c r="AC103" s="524" t="e">
        <f>$AB103+IF($B$2="mil",1,0.0254)*$C51</f>
        <v>#REF!</v>
      </c>
      <c r="AD103" s="524" t="e">
        <f>$AE$84 + IF($B$2="mil",1,0.0254)*DDR2Specs!$E$9</f>
        <v>#REF!</v>
      </c>
      <c r="AE103" s="524" t="e">
        <f>$AD$84 + IF($B$2="mil",1,0.0254)*DDR2Specs!$F$9</f>
        <v>#REF!</v>
      </c>
      <c r="AF103" s="546" t="e">
        <f>IF($AC103&lt;$AD103,$AD103-$AC103,"Pass")</f>
        <v>#REF!</v>
      </c>
      <c r="AG103" s="547" t="e">
        <f>IF($AC103&gt;$AE103,$AC103-$AE103,"Pass")</f>
        <v>#REF!</v>
      </c>
      <c r="AH103" s="554"/>
      <c r="AI103" s="554"/>
      <c r="AJ103" s="554"/>
      <c r="AK103" s="554"/>
      <c r="AL103" s="567" t="s">
        <v>56</v>
      </c>
      <c r="AM103" s="560" t="e">
        <f>IF(P51&lt;=IF($B$2="mil",1,0.0254)*1000,"Pass",IF($B$2="mil",1,0.0254)*1000-P51)</f>
        <v>#REF!</v>
      </c>
      <c r="AN103" s="563" t="s">
        <v>56</v>
      </c>
      <c r="AO103" s="529" t="e">
        <f>IF($Q103&lt;=IF($B$2="mil",1,0.0254)*1000,"Pass",IF($B$2="mil",1,0.0254)*1000-$Q103)</f>
        <v>#REF!</v>
      </c>
      <c r="AP103" s="577"/>
      <c r="AQ103" s="528" t="e">
        <f>IF($R103&lt;=IF($B$2="mil",1,0.0254)*750,"Pass",IF($B$2="mil",1,0.0254)*750-$R103)</f>
        <v>#REF!</v>
      </c>
      <c r="AR103" s="528" t="e">
        <f>IF($S103&lt;=IF($B$2="mil",1,0.0254)*750,"Pass",IF($B$2="mil",1,0.0254)*750-$S103)</f>
        <v>#REF!</v>
      </c>
      <c r="AS103" s="528" t="e">
        <f t="shared" ca="1" si="79"/>
        <v>#NAME?</v>
      </c>
      <c r="AT103" s="528" t="e">
        <f t="shared" ca="1" si="79"/>
        <v>#NAME?</v>
      </c>
      <c r="AU103" s="528" t="e">
        <f>IF(AND(V103&gt;=IF($B$2="mil",1,0.0254)*500, $V103&lt;=IF($B$2="mil",1,0.0254)*6500),"Pass",IF($B$2="mil",1,0.0254)*6500-$V103)</f>
        <v>#REF!</v>
      </c>
      <c r="AV103" s="560" t="e">
        <f>IF(AND($W103&gt;=IF($B$2="mil",1,0.0254)*500, $W103&lt;=IF($B$2="mil",1,0.0254)*7000),"Pass",IF($B$2="mil",1,0.0254)*7000-$W103)</f>
        <v>#REF!</v>
      </c>
      <c r="AW103" s="528" t="e">
        <f>IF(AND($AB103&gt;=IF($B$2="mil",1,0.0254)*500, $AB103&lt;=IF($B$2="mil",1,0.0254)*6500),"Pass",IF($B$2="mil",1,0.0254)*6500-$AB103)</f>
        <v>#REF!</v>
      </c>
      <c r="AX103" s="529" t="e">
        <f>IF(AND($AC103&gt;=IF($B$2="mil",1,0.0254)*500, $AC103&lt;=IF($B$2="mil",1,0.0254)*7000),"Pass",IF($B$2="mil",1,0.0254)*7000-$AC103)</f>
        <v>#REF!</v>
      </c>
      <c r="AY103" s="162" t="e">
        <f t="shared" ca="1" si="78"/>
        <v>#REF!</v>
      </c>
      <c r="AZ103" s="3"/>
    </row>
    <row r="104" spans="5:52">
      <c r="P104" s="434" t="s">
        <v>231</v>
      </c>
      <c r="Q104" s="338"/>
      <c r="R104" s="207"/>
      <c r="S104" s="207"/>
      <c r="T104" s="433"/>
      <c r="U104" s="433"/>
      <c r="V104" s="207"/>
      <c r="W104" s="207"/>
      <c r="X104" s="207"/>
      <c r="Y104" s="571"/>
      <c r="Z104" s="430"/>
      <c r="AA104" s="430"/>
      <c r="AB104" s="207"/>
      <c r="AC104" s="207"/>
      <c r="AD104" s="207"/>
      <c r="AE104" s="207"/>
      <c r="AF104" s="430"/>
      <c r="AG104" s="430"/>
      <c r="AH104" s="554"/>
      <c r="AI104" s="554"/>
      <c r="AJ104" s="554"/>
      <c r="AK104" s="554"/>
      <c r="AL104" s="155" t="s">
        <v>231</v>
      </c>
      <c r="AM104" s="562"/>
      <c r="AN104" s="155" t="s">
        <v>231</v>
      </c>
      <c r="AO104" s="549"/>
      <c r="AP104" s="577"/>
      <c r="AQ104" s="430"/>
      <c r="AR104" s="430"/>
      <c r="AS104" s="430"/>
      <c r="AT104" s="430"/>
      <c r="AU104" s="430"/>
      <c r="AV104" s="562"/>
      <c r="AW104" s="430"/>
      <c r="AX104" s="549"/>
      <c r="AY104" s="3"/>
      <c r="AZ104" s="3"/>
    </row>
    <row r="105" spans="5:52">
      <c r="P105" s="185" t="s">
        <v>58</v>
      </c>
      <c r="Q105" s="303">
        <v>564.66</v>
      </c>
      <c r="R105" s="344">
        <v>350</v>
      </c>
      <c r="S105" s="409">
        <v>400</v>
      </c>
      <c r="T105" s="409">
        <v>50</v>
      </c>
      <c r="U105" s="409">
        <v>50</v>
      </c>
      <c r="V105" s="545">
        <f t="shared" si="66"/>
        <v>4272.1499999999996</v>
      </c>
      <c r="W105" s="524" t="e">
        <f>$V105+IF($B$2="mil",1,0.0254)*$C53</f>
        <v>#REF!</v>
      </c>
      <c r="X105" s="524" t="e">
        <f>$Y$84 + IF($B$2="mil",1,0.0254)*DDR2Specs!$E$9</f>
        <v>#REF!</v>
      </c>
      <c r="Y105" s="547" t="e">
        <f>$X$84 + IF($B$2="mil",1,0.0254)*DDR2Specs!$F$9</f>
        <v>#REF!</v>
      </c>
      <c r="Z105" s="546" t="e">
        <f>IF($W105&lt;$X105,$X105-$W105,"Pass")</f>
        <v>#REF!</v>
      </c>
      <c r="AA105" s="547" t="e">
        <f>IF($W105&gt;$Y105,$W105-$Y105,"Pass")</f>
        <v>#REF!</v>
      </c>
      <c r="AB105" s="545">
        <f t="shared" si="68"/>
        <v>4322.1499999999996</v>
      </c>
      <c r="AC105" s="524" t="e">
        <f>$AB105+IF($B$2="mil",1,0.0254)*$C53</f>
        <v>#REF!</v>
      </c>
      <c r="AD105" s="524" t="e">
        <f>$AE$84 + IF($B$2="mil",1,0.0254)*DDR2Specs!$E$9</f>
        <v>#REF!</v>
      </c>
      <c r="AE105" s="524" t="e">
        <f>$AD$84 + IF($B$2="mil",1,0.0254)*DDR2Specs!$F$9</f>
        <v>#REF!</v>
      </c>
      <c r="AF105" s="546" t="e">
        <f>IF($AC105&lt;$AD105,$AD105-$AC105,"Pass")</f>
        <v>#REF!</v>
      </c>
      <c r="AG105" s="547" t="e">
        <f>IF($AC105&gt;$AE105,$AC105-$AE105,"Pass")</f>
        <v>#REF!</v>
      </c>
      <c r="AH105" s="554"/>
      <c r="AI105" s="554"/>
      <c r="AJ105" s="554"/>
      <c r="AK105" s="554"/>
      <c r="AL105" s="565" t="s">
        <v>58</v>
      </c>
      <c r="AM105" s="560" t="e">
        <f>IF(P53&lt;=IF($B$2="mil",1,0.0254)*1000,"Pass",IF($B$2="mil",1,0.0254)*1000-P53)</f>
        <v>#REF!</v>
      </c>
      <c r="AN105" s="559" t="s">
        <v>58</v>
      </c>
      <c r="AO105" s="529" t="e">
        <f>IF($Q105&lt;=IF($B$2="mil",1,0.0254)*1000,"Pass",IF($B$2="mil",1,0.0254)*1000-$Q105)</f>
        <v>#REF!</v>
      </c>
      <c r="AP105" s="577"/>
      <c r="AQ105" s="528" t="e">
        <f>IF($R105&lt;=IF($B$2="mil",1,0.0254)*750,"Pass",IF($B$2="mil",1,0.0254)*750-$R105)</f>
        <v>#REF!</v>
      </c>
      <c r="AR105" s="528" t="e">
        <f>IF($S105&lt;=IF($B$2="mil",1,0.0254)*750,"Pass",IF($B$2="mil",1,0.0254)*750-$S105)</f>
        <v>#REF!</v>
      </c>
      <c r="AS105" s="528" t="e">
        <f t="shared" ref="AS105:AT107" ca="1" si="80">CheckLength2(IF($B$2="mil",1,0.0254)*950,R105,T105,0)</f>
        <v>#NAME?</v>
      </c>
      <c r="AT105" s="528" t="e">
        <f t="shared" ca="1" si="80"/>
        <v>#NAME?</v>
      </c>
      <c r="AU105" s="528" t="e">
        <f>IF(AND(V105&gt;=IF($B$2="mil",1,0.0254)*500, $V105&lt;=IF($B$2="mil",1,0.0254)*6500),"Pass",IF($B$2="mil",1,0.0254)*6500-$V105)</f>
        <v>#REF!</v>
      </c>
      <c r="AV105" s="560" t="e">
        <f>IF(AND($W105&gt;=IF($B$2="mil",1,0.0254)*500, $W105&lt;=IF($B$2="mil",1,0.0254)*7000),"Pass",IF($B$2="mil",1,0.0254)*7000-$W105)</f>
        <v>#REF!</v>
      </c>
      <c r="AW105" s="528" t="e">
        <f>IF(AND($AB105&gt;=IF($B$2="mil",1,0.0254)*500, $AB105&lt;=IF($B$2="mil",1,0.0254)*6500),"Pass",IF($B$2="mil",1,0.0254)*6500-$AB105)</f>
        <v>#REF!</v>
      </c>
      <c r="AX105" s="529" t="e">
        <f>IF(AND($AC105&gt;=IF($B$2="mil",1,0.0254)*500, $AC105&lt;=IF($B$2="mil",1,0.0254)*7000),"Pass",IF($B$2="mil",1,0.0254)*7000-$AC105)</f>
        <v>#REF!</v>
      </c>
      <c r="AY105" s="162" t="e">
        <f t="shared" ca="1" si="78"/>
        <v>#REF!</v>
      </c>
      <c r="AZ105" s="3"/>
    </row>
    <row r="106" spans="5:52">
      <c r="P106" s="240" t="s">
        <v>59</v>
      </c>
      <c r="Q106" s="303">
        <v>578.77</v>
      </c>
      <c r="R106" s="344">
        <v>350</v>
      </c>
      <c r="S106" s="409">
        <v>400</v>
      </c>
      <c r="T106" s="409">
        <v>50</v>
      </c>
      <c r="U106" s="409">
        <v>50</v>
      </c>
      <c r="V106" s="545">
        <f t="shared" si="66"/>
        <v>4260.45</v>
      </c>
      <c r="W106" s="524" t="e">
        <f>$V106+IF($B$2="mil",1,0.0254)*$C54</f>
        <v>#REF!</v>
      </c>
      <c r="X106" s="524" t="e">
        <f>$Y$84 + IF($B$2="mil",1,0.0254)*DDR2Specs!$E$9</f>
        <v>#REF!</v>
      </c>
      <c r="Y106" s="547" t="e">
        <f>$X$84 + IF($B$2="mil",1,0.0254)*DDR2Specs!$F$9</f>
        <v>#REF!</v>
      </c>
      <c r="Z106" s="546" t="e">
        <f>IF($W106&lt;$X106,$X106-$W106,"Pass")</f>
        <v>#REF!</v>
      </c>
      <c r="AA106" s="547" t="e">
        <f>IF($W106&gt;$Y106,$W106-$Y106,"Pass")</f>
        <v>#REF!</v>
      </c>
      <c r="AB106" s="545">
        <f t="shared" si="68"/>
        <v>4310.45</v>
      </c>
      <c r="AC106" s="524" t="e">
        <f>$AB106+IF($B$2="mil",1,0.0254)*$C54</f>
        <v>#REF!</v>
      </c>
      <c r="AD106" s="524" t="e">
        <f>$AE$84 + IF($B$2="mil",1,0.0254)*DDR2Specs!$E$9</f>
        <v>#REF!</v>
      </c>
      <c r="AE106" s="524" t="e">
        <f>$AD$84 + IF($B$2="mil",1,0.0254)*DDR2Specs!$F$9</f>
        <v>#REF!</v>
      </c>
      <c r="AF106" s="546" t="e">
        <f>IF($AC106&lt;$AD106,$AD106-$AC106,"Pass")</f>
        <v>#REF!</v>
      </c>
      <c r="AG106" s="547" t="e">
        <f>IF($AC106&gt;$AE106,$AC106-$AE106,"Pass")</f>
        <v>#REF!</v>
      </c>
      <c r="AH106" s="554"/>
      <c r="AI106" s="554"/>
      <c r="AJ106" s="554"/>
      <c r="AK106" s="554"/>
      <c r="AL106" s="566" t="s">
        <v>59</v>
      </c>
      <c r="AM106" s="560" t="e">
        <f>IF(P54&lt;=IF($B$2="mil",1,0.0254)*1000,"Pass",IF($B$2="mil",1,0.0254)*1000-P54)</f>
        <v>#REF!</v>
      </c>
      <c r="AN106" s="561" t="s">
        <v>59</v>
      </c>
      <c r="AO106" s="529" t="e">
        <f>IF($Q106&lt;=IF($B$2="mil",1,0.0254)*1000,"Pass",IF($B$2="mil",1,0.0254)*1000-$Q106)</f>
        <v>#REF!</v>
      </c>
      <c r="AP106" s="577"/>
      <c r="AQ106" s="528" t="e">
        <f>IF($R106&lt;=IF($B$2="mil",1,0.0254)*750,"Pass",IF($B$2="mil",1,0.0254)*750-$R106)</f>
        <v>#REF!</v>
      </c>
      <c r="AR106" s="528" t="e">
        <f>IF($S106&lt;=IF($B$2="mil",1,0.0254)*750,"Pass",IF($B$2="mil",1,0.0254)*750-$S106)</f>
        <v>#REF!</v>
      </c>
      <c r="AS106" s="528" t="e">
        <f t="shared" ca="1" si="80"/>
        <v>#NAME?</v>
      </c>
      <c r="AT106" s="528" t="e">
        <f t="shared" ca="1" si="80"/>
        <v>#NAME?</v>
      </c>
      <c r="AU106" s="528" t="e">
        <f>IF(AND(V106&gt;=IF($B$2="mil",1,0.0254)*500, $V106&lt;=IF($B$2="mil",1,0.0254)*6500),"Pass",IF($B$2="mil",1,0.0254)*6500-$V106)</f>
        <v>#REF!</v>
      </c>
      <c r="AV106" s="560" t="e">
        <f>IF(AND($W106&gt;=IF($B$2="mil",1,0.0254)*500, $W106&lt;=IF($B$2="mil",1,0.0254)*7000),"Pass",IF($B$2="mil",1,0.0254)*7000-$W106)</f>
        <v>#REF!</v>
      </c>
      <c r="AW106" s="528" t="e">
        <f>IF(AND($AB106&gt;=IF($B$2="mil",1,0.0254)*500, $AB106&lt;=IF($B$2="mil",1,0.0254)*6500),"Pass",IF($B$2="mil",1,0.0254)*6500-$AB106)</f>
        <v>#REF!</v>
      </c>
      <c r="AX106" s="529" t="e">
        <f>IF(AND($AC106&gt;=IF($B$2="mil",1,0.0254)*500, $AC106&lt;=IF($B$2="mil",1,0.0254)*7000),"Pass",IF($B$2="mil",1,0.0254)*7000-$AC106)</f>
        <v>#REF!</v>
      </c>
      <c r="AY106" s="162" t="e">
        <f t="shared" ca="1" si="78"/>
        <v>#REF!</v>
      </c>
      <c r="AZ106" s="3"/>
    </row>
    <row r="107" spans="5:52">
      <c r="P107" s="240" t="s">
        <v>60</v>
      </c>
      <c r="Q107" s="303">
        <v>574.72</v>
      </c>
      <c r="R107" s="344">
        <v>300</v>
      </c>
      <c r="S107" s="409">
        <v>400</v>
      </c>
      <c r="T107" s="409">
        <v>50</v>
      </c>
      <c r="U107" s="409">
        <v>50</v>
      </c>
      <c r="V107" s="545">
        <f t="shared" si="66"/>
        <v>4140.1099999999997</v>
      </c>
      <c r="W107" s="524" t="e">
        <f>$V107+IF($B$2="mil",1,0.0254)*$C55</f>
        <v>#REF!</v>
      </c>
      <c r="X107" s="524" t="e">
        <f>$Y$84 + IF($B$2="mil",1,0.0254)*DDR2Specs!$E$9</f>
        <v>#REF!</v>
      </c>
      <c r="Y107" s="547" t="e">
        <f>$X$84 + IF($B$2="mil",1,0.0254)*DDR2Specs!$F$9</f>
        <v>#REF!</v>
      </c>
      <c r="Z107" s="546" t="e">
        <f>IF($W107&lt;$X107,$X107-$W107,"Pass")</f>
        <v>#REF!</v>
      </c>
      <c r="AA107" s="547" t="e">
        <f>IF($W107&gt;$Y107,$W107-$Y107,"Pass")</f>
        <v>#REF!</v>
      </c>
      <c r="AB107" s="545">
        <f t="shared" si="68"/>
        <v>4240.1099999999997</v>
      </c>
      <c r="AC107" s="524" t="e">
        <f>$AB107+IF($B$2="mil",1,0.0254)*$C55</f>
        <v>#REF!</v>
      </c>
      <c r="AD107" s="524" t="e">
        <f>$AE$84 + IF($B$2="mil",1,0.0254)*DDR2Specs!$E$9</f>
        <v>#REF!</v>
      </c>
      <c r="AE107" s="524" t="e">
        <f>$AD$84 + IF($B$2="mil",1,0.0254)*DDR2Specs!$F$9</f>
        <v>#REF!</v>
      </c>
      <c r="AF107" s="546" t="e">
        <f>IF($AC107&lt;$AD107,$AD107-$AC107,"Pass")</f>
        <v>#REF!</v>
      </c>
      <c r="AG107" s="547" t="e">
        <f>IF($AC107&gt;$AE107,$AC107-$AE107,"Pass")</f>
        <v>#REF!</v>
      </c>
      <c r="AH107" s="554"/>
      <c r="AI107" s="554"/>
      <c r="AJ107" s="554"/>
      <c r="AK107" s="554"/>
      <c r="AL107" s="566" t="s">
        <v>60</v>
      </c>
      <c r="AM107" s="560" t="e">
        <f>IF(P55&lt;=IF($B$2="mil",1,0.0254)*1000,"Pass",IF($B$2="mil",1,0.0254)*1000-P55)</f>
        <v>#REF!</v>
      </c>
      <c r="AN107" s="561" t="s">
        <v>60</v>
      </c>
      <c r="AO107" s="529" t="e">
        <f>IF($Q107&lt;=IF($B$2="mil",1,0.0254)*1000,"Pass",IF($B$2="mil",1,0.0254)*1000-$Q107)</f>
        <v>#REF!</v>
      </c>
      <c r="AP107" s="577"/>
      <c r="AQ107" s="528" t="e">
        <f>IF($R107&lt;=IF($B$2="mil",1,0.0254)*750,"Pass",IF($B$2="mil",1,0.0254)*750-$R107)</f>
        <v>#REF!</v>
      </c>
      <c r="AR107" s="528" t="e">
        <f>IF($S107&lt;=IF($B$2="mil",1,0.0254)*750,"Pass",IF($B$2="mil",1,0.0254)*750-$S107)</f>
        <v>#REF!</v>
      </c>
      <c r="AS107" s="528" t="e">
        <f t="shared" ca="1" si="80"/>
        <v>#NAME?</v>
      </c>
      <c r="AT107" s="528" t="e">
        <f t="shared" ca="1" si="80"/>
        <v>#NAME?</v>
      </c>
      <c r="AU107" s="528" t="e">
        <f>IF(AND(V107&gt;=IF($B$2="mil",1,0.0254)*500, $V107&lt;=IF($B$2="mil",1,0.0254)*6500),"Pass",IF($B$2="mil",1,0.0254)*6500-$V107)</f>
        <v>#REF!</v>
      </c>
      <c r="AV107" s="560" t="e">
        <f>IF(AND($W107&gt;=IF($B$2="mil",1,0.0254)*500, $W107&lt;=IF($B$2="mil",1,0.0254)*7000),"Pass",IF($B$2="mil",1,0.0254)*7000-$W107)</f>
        <v>#REF!</v>
      </c>
      <c r="AW107" s="528" t="e">
        <f>IF(AND($AB107&gt;=IF($B$2="mil",1,0.0254)*500, $AB107&lt;=IF($B$2="mil",1,0.0254)*6500),"Pass",IF($B$2="mil",1,0.0254)*6500-$AB107)</f>
        <v>#REF!</v>
      </c>
      <c r="AX107" s="529" t="e">
        <f>IF(AND($AC107&gt;=IF($B$2="mil",1,0.0254)*500, $AC107&lt;=IF($B$2="mil",1,0.0254)*7000),"Pass",IF($B$2="mil",1,0.0254)*7000-$AC107)</f>
        <v>#REF!</v>
      </c>
      <c r="AY107" s="162" t="e">
        <f t="shared" ca="1" si="78"/>
        <v>#REF!</v>
      </c>
      <c r="AZ107" s="3"/>
    </row>
    <row r="108" spans="5:52" ht="60" customHeight="1">
      <c r="P108" s="329" t="s">
        <v>457</v>
      </c>
      <c r="Q108" s="144" t="e">
        <f>"Trace L7-4 ["&amp;$B$2&amp;"]"</f>
        <v>#REF!</v>
      </c>
      <c r="R108" s="144" t="e">
        <f>"Trace L8-7 to U4 ["&amp;$B$2&amp;"]"</f>
        <v>#REF!</v>
      </c>
      <c r="S108" s="144" t="e">
        <f>"Trace L8-8 to U8 ["&amp;$B$2&amp;"]"</f>
        <v>#REF!</v>
      </c>
      <c r="T108" s="144" t="e">
        <f>"Trace L9-7 to U4 ["&amp;$B$2&amp;"]"</f>
        <v>#REF!</v>
      </c>
      <c r="U108" s="144" t="e">
        <f>"Trace L9-8 to U8 ["&amp;$B$2&amp;"]"</f>
        <v>#REF!</v>
      </c>
      <c r="V108" s="550" t="e">
        <f>"Total MB Length to U4 (L0+L1+L2+L5+L6-2+L7-4+L8-7+L9-7) ["&amp;$B$2&amp;"]"</f>
        <v>#REF!</v>
      </c>
      <c r="W108" s="550" t="e">
        <f>"Total Pad to Pin U4 (P1+LL0+L1+L2+L5+L6-2+L7-4+L8-7+L9-7) ["&amp;$B$2&amp;"]"</f>
        <v>#REF!</v>
      </c>
      <c r="X108" s="551" t="e">
        <f>"Target Min Length  to U4["&amp;$B$2&amp;"]"</f>
        <v>#REF!</v>
      </c>
      <c r="Y108" s="552" t="e">
        <f>"Target Max Length  to U4 ["&amp;$B$2&amp;"]"</f>
        <v>#REF!</v>
      </c>
      <c r="Z108" s="553" t="e">
        <f>"Routed Too Short to U4 [" &amp;$B$2&amp;"]"</f>
        <v>#REF!</v>
      </c>
      <c r="AA108" s="551" t="e">
        <f>"Routed Too Long to U4 [" &amp;$B$2&amp;"]"</f>
        <v>#REF!</v>
      </c>
      <c r="AB108" s="550" t="e">
        <f>"Total MB Length to U8 (L0+L1+L2+L5+L6-2+L7-4+L8-8+L9-8) ["&amp;$B$2&amp;"]"</f>
        <v>#REF!</v>
      </c>
      <c r="AC108" s="550" t="e">
        <f>"Total Pad to Pin U8 (P1+L0+L1+L2+L5+L6-2+L7-4+L8-8+L9-8) ["&amp;$B$2&amp;"]"</f>
        <v>#REF!</v>
      </c>
      <c r="AD108" s="551" t="e">
        <f>"Target Min Length  to U8["&amp;$B$2&amp;"]"</f>
        <v>#REF!</v>
      </c>
      <c r="AE108" s="552" t="e">
        <f>"Target Max Length  to U8 ["&amp;$B$2&amp;"]"</f>
        <v>#REF!</v>
      </c>
      <c r="AF108" s="553" t="e">
        <f>"Routed Too Short to U8 [" &amp;$B$2&amp;"]"</f>
        <v>#REF!</v>
      </c>
      <c r="AG108" s="551" t="e">
        <f>"Routed Too Long to U8 [" &amp;$B$2&amp;"]"</f>
        <v>#REF!</v>
      </c>
      <c r="AH108" s="554"/>
      <c r="AI108" s="554"/>
      <c r="AJ108" s="554"/>
      <c r="AK108" s="554"/>
      <c r="AL108" s="554"/>
      <c r="AM108" s="554"/>
      <c r="AN108" s="568" t="s">
        <v>457</v>
      </c>
      <c r="AO108" s="552" t="e">
        <f>"L7-4 Length Test (&lt;=" &amp; IF($B$2="mil",1,0.0254)*1000&amp;$B$2&amp;")"</f>
        <v>#REF!</v>
      </c>
      <c r="AP108" s="554"/>
      <c r="AQ108" s="556" t="e">
        <f>"L8-7 Length Test (&lt;=" &amp; IF($B$2="mil",1,0.0254)*750&amp;$B$2&amp;")"</f>
        <v>#REF!</v>
      </c>
      <c r="AR108" s="556" t="e">
        <f>"L8-8 Length Test (&lt;=" &amp; IF($B$2="mil",1,0.0254)*750&amp;$B$2&amp;")"</f>
        <v>#REF!</v>
      </c>
      <c r="AS108" s="556" t="e">
        <f>"L9-7 Length Test (&lt;=" &amp; IF($B$2="mil",1,0.0254)*200&amp;$B$2&amp;") or (L8-7+L9-7&lt;= "&amp;IF($B$2="mil",1,0.0254)*950&amp;$B$2&amp;")"</f>
        <v>#REF!</v>
      </c>
      <c r="AT108" s="556" t="e">
        <f>"L9-8 Length Test (&lt;=" &amp; IF($B$2="mil",1,0.0254)*200&amp;$B$2&amp;") or (L8-8+L9-8&lt;= "&amp;IF($B$2="mil",1,0.0254)*950&amp;$B$2&amp;")"</f>
        <v>#REF!</v>
      </c>
      <c r="AU108" s="552" t="e">
        <f>"Total Length to U4 (L0+L1+L2+L5+L6-2+L7-4+L8-7+L9-7) Test ("&amp;IF($B$2="mil",1,0.0254)*500&amp;"-"&amp;IF($B$2="mil",1,0.0254)*6500&amp;IF($B$2="mil","mil","mm")&amp;")"</f>
        <v>#REF!</v>
      </c>
      <c r="AV108" s="552" t="e">
        <f>"Total Length to U4 (P1+L0+L1+L2+L5+L6-2+L7-4+L8-7+L9-7) Test (&lt;="&amp;IF($B$2="mil",1,25.4)*7000&amp;IF($B$2="mil","mil","mm")&amp;")"</f>
        <v>#REF!</v>
      </c>
      <c r="AW108" s="552" t="e">
        <f>"Total Length to U8 (L0+L1+L2+L5+L6-2+L7-4+L8-8+L9-8) Test ("&amp;IF($B$2="mil",1,0.0254)*500&amp;"-"&amp;IF($B$2="mil",1,0.0254)*6500&amp;IF($B$2="mil","mil","mm")&amp;")"</f>
        <v>#REF!</v>
      </c>
      <c r="AX108" s="552" t="e">
        <f>"Total Length to U8 (P1+L0+L1+L2+L5+L6-2+L7-4+L8-8+L9-8) Test (&lt;="&amp;IF($B$2="mil",1,25.4)*7000&amp;IF($B$2="mil","mil","mm")&amp;")"</f>
        <v>#REF!</v>
      </c>
      <c r="AY108" s="3"/>
      <c r="AZ108" s="3"/>
    </row>
    <row r="109" spans="5:52">
      <c r="P109" s="155" t="s">
        <v>210</v>
      </c>
      <c r="Q109" s="156"/>
      <c r="R109" s="156"/>
      <c r="S109" s="156"/>
      <c r="T109" s="156"/>
      <c r="U109" s="156"/>
      <c r="V109" s="156"/>
      <c r="W109" s="156"/>
      <c r="X109" s="156"/>
      <c r="Y109" s="430"/>
      <c r="Z109" s="156"/>
      <c r="AA109" s="156"/>
      <c r="AB109" s="156"/>
      <c r="AC109" s="156"/>
      <c r="AD109" s="156"/>
      <c r="AE109" s="156"/>
      <c r="AF109" s="156"/>
      <c r="AG109" s="156"/>
      <c r="AH109" s="554"/>
      <c r="AI109" s="554"/>
      <c r="AJ109" s="554"/>
      <c r="AK109" s="554"/>
      <c r="AL109" s="554"/>
      <c r="AM109" s="554"/>
      <c r="AN109" s="155" t="s">
        <v>210</v>
      </c>
      <c r="AO109" s="158"/>
      <c r="AP109" s="554"/>
      <c r="AQ109" s="156"/>
      <c r="AR109" s="156"/>
      <c r="AS109" s="156"/>
      <c r="AT109" s="156"/>
      <c r="AU109" s="156"/>
      <c r="AV109" s="158"/>
      <c r="AW109" s="156"/>
      <c r="AX109" s="158"/>
      <c r="AY109" s="3"/>
      <c r="AZ109" s="3"/>
    </row>
    <row r="110" spans="5:52">
      <c r="P110" s="263" t="s">
        <v>214</v>
      </c>
      <c r="Q110" s="166"/>
      <c r="R110" s="166"/>
      <c r="S110" s="166"/>
      <c r="T110" s="166"/>
      <c r="U110" s="166"/>
      <c r="V110" s="166"/>
      <c r="W110" s="558" t="s">
        <v>225</v>
      </c>
      <c r="X110" s="542" t="e">
        <f>MIN('DDR2 Clocks - 4L'!$O$17:$O$18)</f>
        <v>#REF!</v>
      </c>
      <c r="Y110" s="539" t="e">
        <f>MAX('DDR2 Clocks - 4L'!$O$17:$O$18)</f>
        <v>#REF!</v>
      </c>
      <c r="Z110" s="542"/>
      <c r="AA110" s="168"/>
      <c r="AB110" s="166"/>
      <c r="AC110" s="558" t="s">
        <v>287</v>
      </c>
      <c r="AD110" s="542" t="e">
        <f>MIN('DDR2 Clocks - 4L'!$O$19:$O$20)</f>
        <v>#REF!</v>
      </c>
      <c r="AE110" s="541" t="e">
        <f>MAX('DDR2 Clocks - 4L'!$O$19:$O$20)</f>
        <v>#REF!</v>
      </c>
      <c r="AF110" s="542"/>
      <c r="AG110" s="168"/>
      <c r="AH110" s="554"/>
      <c r="AI110" s="554"/>
      <c r="AJ110" s="554"/>
      <c r="AK110" s="554"/>
      <c r="AL110" s="554"/>
      <c r="AM110" s="554"/>
      <c r="AN110" s="164" t="s">
        <v>214</v>
      </c>
      <c r="AO110" s="539"/>
      <c r="AP110" s="554"/>
      <c r="AQ110" s="538"/>
      <c r="AR110" s="538"/>
      <c r="AS110" s="538"/>
      <c r="AT110" s="538"/>
      <c r="AU110" s="538"/>
      <c r="AV110" s="539"/>
      <c r="AW110" s="538"/>
      <c r="AX110" s="539"/>
      <c r="AY110" s="3"/>
      <c r="AZ110" s="3"/>
    </row>
    <row r="111" spans="5:52">
      <c r="P111" s="205" t="s">
        <v>229</v>
      </c>
      <c r="Q111" s="181"/>
      <c r="R111" s="181"/>
      <c r="S111" s="181"/>
      <c r="T111" s="181"/>
      <c r="U111" s="181"/>
      <c r="V111" s="181"/>
      <c r="W111" s="181"/>
      <c r="X111" s="179"/>
      <c r="Y111" s="570"/>
      <c r="Z111" s="531"/>
      <c r="AA111" s="179"/>
      <c r="AB111" s="181"/>
      <c r="AC111" s="179"/>
      <c r="AD111" s="179"/>
      <c r="AE111" s="531"/>
      <c r="AF111" s="531"/>
      <c r="AG111" s="179"/>
      <c r="AH111" s="554"/>
      <c r="AI111" s="554"/>
      <c r="AJ111" s="554"/>
      <c r="AK111" s="554"/>
      <c r="AL111" s="554"/>
      <c r="AM111" s="554"/>
      <c r="AN111" s="155" t="s">
        <v>229</v>
      </c>
      <c r="AO111" s="273"/>
      <c r="AP111" s="554"/>
      <c r="AQ111" s="179"/>
      <c r="AR111" s="179"/>
      <c r="AS111" s="179"/>
      <c r="AT111" s="179"/>
      <c r="AU111" s="179"/>
      <c r="AV111" s="273"/>
      <c r="AW111" s="179"/>
      <c r="AX111" s="273"/>
      <c r="AY111" s="3"/>
      <c r="AZ111" s="3"/>
    </row>
    <row r="112" spans="5:52">
      <c r="P112" s="186" t="s">
        <v>196</v>
      </c>
      <c r="Q112" s="303">
        <v>565.69000000000005</v>
      </c>
      <c r="R112" s="303">
        <v>500</v>
      </c>
      <c r="S112" s="303">
        <v>500</v>
      </c>
      <c r="T112" s="409">
        <v>50</v>
      </c>
      <c r="U112" s="409">
        <v>50</v>
      </c>
      <c r="V112" s="545">
        <f>SUM($E34:$G34,$M34,$Q112:$R112,$P34,$T112)</f>
        <v>4509.7299999999996</v>
      </c>
      <c r="W112" s="524" t="e">
        <f>$V112+IF($B$2="mil",1,0.0254)*$C34</f>
        <v>#REF!</v>
      </c>
      <c r="X112" s="524" t="e">
        <f>$Y$110 + IF($B$2="mil",1,0.0254)*DDR2Specs!$E$9</f>
        <v>#REF!</v>
      </c>
      <c r="Y112" s="547" t="e">
        <f>$X$110 + IF($B$2="mil",1,0.0254)*DDR2Specs!$F$9</f>
        <v>#REF!</v>
      </c>
      <c r="Z112" s="546" t="e">
        <f t="shared" ref="Z112:Z125" si="81">IF($W112&lt;$X112,$X112-$W112,"Pass")</f>
        <v>#REF!</v>
      </c>
      <c r="AA112" s="547" t="e">
        <f t="shared" ref="AA112:AA125" si="82">IF($W112&gt;$Y112,$W112-$Y112,"Pass")</f>
        <v>#REF!</v>
      </c>
      <c r="AB112" s="545">
        <f>SUM($E34:$G34,$M34,$Q112,$P34,$S112,$U112)</f>
        <v>4509.7299999999996</v>
      </c>
      <c r="AC112" s="524" t="e">
        <f>$AB112+IF($B$2="mil",1,0.0254)*$C34</f>
        <v>#REF!</v>
      </c>
      <c r="AD112" s="524" t="e">
        <f>$AE$110 + IF($B$2="mil",1,0.0254)*DDR2Specs!$E$9</f>
        <v>#REF!</v>
      </c>
      <c r="AE112" s="524" t="e">
        <f>$AD$110 + IF($B$2="mil",1,0.0254)*DDR2Specs!$F$9</f>
        <v>#REF!</v>
      </c>
      <c r="AF112" s="546" t="e">
        <f t="shared" ref="AF112:AF125" si="83">IF($AC112&lt;$AD112,$AD112-$AC112,"Pass")</f>
        <v>#REF!</v>
      </c>
      <c r="AG112" s="547" t="e">
        <f t="shared" ref="AG112:AG125" si="84">IF($AC112&gt;$AE112,$AC112-$AE112,"Pass")</f>
        <v>#REF!</v>
      </c>
      <c r="AH112" s="554"/>
      <c r="AI112" s="554"/>
      <c r="AJ112" s="554"/>
      <c r="AK112" s="554"/>
      <c r="AL112" s="554"/>
      <c r="AM112" s="554"/>
      <c r="AN112" s="565" t="s">
        <v>196</v>
      </c>
      <c r="AO112" s="560" t="e">
        <f>IF(Q112&lt;=IF($B$2="mil",1,0.0254)*1000,"Pass",IF($B$2="mil",1,0.0254)*1000-Q112)</f>
        <v>#REF!</v>
      </c>
      <c r="AP112" s="554"/>
      <c r="AQ112" s="528" t="e">
        <f t="shared" ref="AQ112:AQ125" si="85">IF($R112&lt;=IF($B$2="mil",1,0.0254)*750,"Pass",IF($B$2="mil",1,0.0254)*750-$R112)</f>
        <v>#REF!</v>
      </c>
      <c r="AR112" s="528" t="e">
        <f t="shared" ref="AR112:AR125" si="86">IF($S112&lt;=IF($B$2="mil",1,0.0254)*750,"Pass",IF($B$2="mil",1,0.0254)*750-$S112)</f>
        <v>#REF!</v>
      </c>
      <c r="AS112" s="528" t="e">
        <f ca="1">CheckLength2(IF($B$2="mil",1,0.0254)*950,R112,T112,0)</f>
        <v>#NAME?</v>
      </c>
      <c r="AT112" s="528" t="e">
        <f ca="1">CheckLength2(IF($B$2="mil",1,0.0254)*950,S112,U112,0)</f>
        <v>#NAME?</v>
      </c>
      <c r="AU112" s="528" t="e">
        <f>IF(AND(V112&gt;=IF($B$2="mil",1,0.0254)*500, $V112&lt;=IF($B$2="mil",1,0.0254)*6500),"Pass",IF($B$2="mil",1,0.0254)*6500-$V112)</f>
        <v>#REF!</v>
      </c>
      <c r="AV112" s="560" t="e">
        <f>IF(AND($W112&gt;=IF($B$2="mil",1,0.0254)*500, $W112&lt;=IF($B$2="mil",1,0.0254)*7000),"Pass",IF($B$2="mil",1,0.0254)*7000-$W112)</f>
        <v>#REF!</v>
      </c>
      <c r="AW112" s="528" t="e">
        <f>IF(AND($AB112&gt;=IF($B$2="mil",1,0.0254)*500, $AB112&lt;=IF($B$2="mil",1,0.0254)*6500),"Pass",IF($B$2="mil",1,0.0254)*6500-$AB112)</f>
        <v>#REF!</v>
      </c>
      <c r="AX112" s="529" t="e">
        <f>IF(AND($AC112&gt;=IF($B$2="mil",1,0.0254)*500, $AC112&lt;=IF($B$2="mil",1,0.0254)*7000),"Pass",IF($B$2="mil",1,0.0254)*7000-$AC112)</f>
        <v>#REF!</v>
      </c>
      <c r="AY112" s="162" t="e">
        <f ca="1">IF(AND(Z112="Pass",AA112="Pass",AF112="Pass",AG112="Pass",AO112="Pass",AQ112="Pass",AR112="Pass",AS112="Pass",AT112="Pass",AU112="Pass",AV112="Pass",AW112="Pass",AX112="Pass"),"Pass","Fail")</f>
        <v>#REF!</v>
      </c>
      <c r="AZ112" s="162" t="e">
        <f ca="1">IF(AND(AY112="Pass",AY113="Pass",AY114="Pass",AY115="Pass",AY116="Pass",AY117="Pass",AY118="Pass",AY119="Pass",AY120="Pass",AY121="Pass",AY122="Pass"),"Pass","Fail")</f>
        <v>#REF!</v>
      </c>
    </row>
    <row r="113" spans="16:52">
      <c r="P113" s="243" t="s">
        <v>39</v>
      </c>
      <c r="Q113" s="303">
        <v>587.88</v>
      </c>
      <c r="R113" s="303">
        <v>500</v>
      </c>
      <c r="S113" s="303">
        <v>500</v>
      </c>
      <c r="T113" s="409">
        <v>50</v>
      </c>
      <c r="U113" s="409">
        <v>50</v>
      </c>
      <c r="V113" s="545">
        <f t="shared" ref="V113:V133" si="87">SUM($E35:$G35,$M35,$Q113:$R113,$P35,$T113)</f>
        <v>4369.49</v>
      </c>
      <c r="W113" s="524" t="e">
        <f t="shared" ref="W113:W125" si="88">$V113+IF($B$2="mil",1,0.0254)*$C35</f>
        <v>#REF!</v>
      </c>
      <c r="X113" s="524" t="e">
        <f>$Y$110 + IF($B$2="mil",1,0.0254)*DDR2Specs!$E$9</f>
        <v>#REF!</v>
      </c>
      <c r="Y113" s="547" t="e">
        <f>$X$110 + IF($B$2="mil",1,0.0254)*DDR2Specs!$F$9</f>
        <v>#REF!</v>
      </c>
      <c r="Z113" s="546" t="e">
        <f t="shared" si="81"/>
        <v>#REF!</v>
      </c>
      <c r="AA113" s="547" t="e">
        <f t="shared" si="82"/>
        <v>#REF!</v>
      </c>
      <c r="AB113" s="545">
        <f t="shared" ref="AB113:AB133" si="89">SUM($E35:$G35,$M35,$Q113,$P35,$S113,$U113)</f>
        <v>4369.49</v>
      </c>
      <c r="AC113" s="524" t="e">
        <f t="shared" ref="AC113:AC125" si="90">$AB113+IF($B$2="mil",1,0.0254)*$C35</f>
        <v>#REF!</v>
      </c>
      <c r="AD113" s="524" t="e">
        <f>$AE$110 + IF($B$2="mil",1,0.0254)*DDR2Specs!$E$9</f>
        <v>#REF!</v>
      </c>
      <c r="AE113" s="524" t="e">
        <f>$AD$110 + IF($B$2="mil",1,0.0254)*DDR2Specs!$F$9</f>
        <v>#REF!</v>
      </c>
      <c r="AF113" s="546" t="e">
        <f t="shared" si="83"/>
        <v>#REF!</v>
      </c>
      <c r="AG113" s="547" t="e">
        <f t="shared" si="84"/>
        <v>#REF!</v>
      </c>
      <c r="AH113" s="554"/>
      <c r="AI113" s="554"/>
      <c r="AJ113" s="554"/>
      <c r="AK113" s="554"/>
      <c r="AL113" s="554"/>
      <c r="AM113" s="554"/>
      <c r="AN113" s="566" t="s">
        <v>39</v>
      </c>
      <c r="AO113" s="560" t="e">
        <f t="shared" ref="AO113:AO125" si="91">IF(Q113&lt;=IF($B$2="mil",1,0.0254)*1000,"Pass",IF($B$2="mil",1,0.0254)*1000-Q113)</f>
        <v>#REF!</v>
      </c>
      <c r="AP113" s="554"/>
      <c r="AQ113" s="528" t="e">
        <f t="shared" si="85"/>
        <v>#REF!</v>
      </c>
      <c r="AR113" s="528" t="e">
        <f t="shared" si="86"/>
        <v>#REF!</v>
      </c>
      <c r="AS113" s="528" t="e">
        <f t="shared" ref="AS113:AS125" ca="1" si="92">CheckLength2(IF($B$2="mil",1,0.0254)*950,R113,T113,0)</f>
        <v>#NAME?</v>
      </c>
      <c r="AT113" s="528" t="e">
        <f t="shared" ref="AT113:AT125" ca="1" si="93">CheckLength2(IF($B$2="mil",1,0.0254)*950,S113,U113,0)</f>
        <v>#NAME?</v>
      </c>
      <c r="AU113" s="528" t="e">
        <f t="shared" ref="AU113:AU125" si="94">IF(AND(V113&gt;=IF($B$2="mil",1,0.0254)*500, $V113&lt;=IF($B$2="mil",1,0.0254)*6500),"Pass",IF($B$2="mil",1,0.0254)*6500-$V113)</f>
        <v>#REF!</v>
      </c>
      <c r="AV113" s="560" t="e">
        <f t="shared" ref="AV113:AV125" si="95">IF(AND($W113&gt;=IF($B$2="mil",1,0.0254)*500, $W113&lt;=IF($B$2="mil",1,0.0254)*7000),"Pass",IF($B$2="mil",1,0.0254)*7000-$W113)</f>
        <v>#REF!</v>
      </c>
      <c r="AW113" s="528" t="e">
        <f t="shared" ref="AW113:AW125" si="96">IF(AND($AB113&gt;=IF($B$2="mil",1,0.0254)*500, $AB113&lt;=IF($B$2="mil",1,0.0254)*6500),"Pass",IF($B$2="mil",1,0.0254)*6500-$AB113)</f>
        <v>#REF!</v>
      </c>
      <c r="AX113" s="529" t="e">
        <f t="shared" ref="AX113:AX125" si="97">IF(AND($AC113&gt;=IF($B$2="mil",1,0.0254)*500, $AC113&lt;=IF($B$2="mil",1,0.0254)*7000),"Pass",IF($B$2="mil",1,0.0254)*7000-$AC113)</f>
        <v>#REF!</v>
      </c>
      <c r="AY113" s="162" t="e">
        <f t="shared" ref="AY113:AY133" ca="1" si="98">IF(AND(Z113="Pass",AA113="Pass",AF113="Pass",AG113="Pass",AO113="Pass",AQ113="Pass",AR113="Pass",AS113="Pass",AT113="Pass",AU113="Pass",AV113="Pass",AW113="Pass",AX113="Pass"),"Pass","Fail")</f>
        <v>#REF!</v>
      </c>
      <c r="AZ113" s="162" t="e">
        <f ca="1">IF(AND(AY123="Pass",AY124="Pass",AY125="Pass",AY127="Pass",AY128="Pass",AY129="Pass",AY131="Pass",AY132="Pass",AY133="Pass"),"Pass","Fail")</f>
        <v>#REF!</v>
      </c>
    </row>
    <row r="114" spans="16:52">
      <c r="P114" s="243" t="s">
        <v>40</v>
      </c>
      <c r="Q114" s="303">
        <v>565.69000000000005</v>
      </c>
      <c r="R114" s="303">
        <v>500</v>
      </c>
      <c r="S114" s="303">
        <v>500</v>
      </c>
      <c r="T114" s="409">
        <v>50</v>
      </c>
      <c r="U114" s="409">
        <v>50</v>
      </c>
      <c r="V114" s="545">
        <f t="shared" si="87"/>
        <v>5045.3899999999994</v>
      </c>
      <c r="W114" s="524" t="e">
        <f t="shared" si="88"/>
        <v>#REF!</v>
      </c>
      <c r="X114" s="524" t="e">
        <f>$Y$110 + IF($B$2="mil",1,0.0254)*DDR2Specs!$E$9</f>
        <v>#REF!</v>
      </c>
      <c r="Y114" s="547" t="e">
        <f>$X$110 + IF($B$2="mil",1,0.0254)*DDR2Specs!$F$9</f>
        <v>#REF!</v>
      </c>
      <c r="Z114" s="546" t="e">
        <f t="shared" si="81"/>
        <v>#REF!</v>
      </c>
      <c r="AA114" s="547" t="e">
        <f t="shared" si="82"/>
        <v>#REF!</v>
      </c>
      <c r="AB114" s="545">
        <f t="shared" si="89"/>
        <v>5045.3899999999994</v>
      </c>
      <c r="AC114" s="524" t="e">
        <f t="shared" si="90"/>
        <v>#REF!</v>
      </c>
      <c r="AD114" s="524" t="e">
        <f>$AE$110 + IF($B$2="mil",1,0.0254)*DDR2Specs!$E$9</f>
        <v>#REF!</v>
      </c>
      <c r="AE114" s="524" t="e">
        <f>$AD$110 + IF($B$2="mil",1,0.0254)*DDR2Specs!$F$9</f>
        <v>#REF!</v>
      </c>
      <c r="AF114" s="546" t="e">
        <f t="shared" si="83"/>
        <v>#REF!</v>
      </c>
      <c r="AG114" s="547" t="e">
        <f t="shared" si="84"/>
        <v>#REF!</v>
      </c>
      <c r="AH114" s="554"/>
      <c r="AI114" s="554"/>
      <c r="AJ114" s="554"/>
      <c r="AK114" s="554"/>
      <c r="AL114" s="554"/>
      <c r="AM114" s="554"/>
      <c r="AN114" s="566" t="s">
        <v>40</v>
      </c>
      <c r="AO114" s="560" t="e">
        <f t="shared" si="91"/>
        <v>#REF!</v>
      </c>
      <c r="AP114" s="554"/>
      <c r="AQ114" s="528" t="e">
        <f t="shared" si="85"/>
        <v>#REF!</v>
      </c>
      <c r="AR114" s="528" t="e">
        <f t="shared" si="86"/>
        <v>#REF!</v>
      </c>
      <c r="AS114" s="528" t="e">
        <f t="shared" ca="1" si="92"/>
        <v>#NAME?</v>
      </c>
      <c r="AT114" s="528" t="e">
        <f t="shared" ca="1" si="93"/>
        <v>#NAME?</v>
      </c>
      <c r="AU114" s="528" t="e">
        <f t="shared" si="94"/>
        <v>#REF!</v>
      </c>
      <c r="AV114" s="560" t="e">
        <f t="shared" si="95"/>
        <v>#REF!</v>
      </c>
      <c r="AW114" s="528" t="e">
        <f t="shared" si="96"/>
        <v>#REF!</v>
      </c>
      <c r="AX114" s="529" t="e">
        <f t="shared" si="97"/>
        <v>#REF!</v>
      </c>
      <c r="AY114" s="162" t="e">
        <f t="shared" ca="1" si="98"/>
        <v>#REF!</v>
      </c>
      <c r="AZ114" s="3"/>
    </row>
    <row r="115" spans="16:52">
      <c r="P115" s="243" t="s">
        <v>41</v>
      </c>
      <c r="Q115" s="303">
        <v>579.26</v>
      </c>
      <c r="R115" s="303">
        <v>600</v>
      </c>
      <c r="S115" s="303">
        <v>600</v>
      </c>
      <c r="T115" s="409">
        <v>50</v>
      </c>
      <c r="U115" s="409">
        <v>50</v>
      </c>
      <c r="V115" s="545">
        <f t="shared" si="87"/>
        <v>4418.07</v>
      </c>
      <c r="W115" s="524" t="e">
        <f t="shared" si="88"/>
        <v>#REF!</v>
      </c>
      <c r="X115" s="524" t="e">
        <f>$Y$110 + IF($B$2="mil",1,0.0254)*DDR2Specs!$E$9</f>
        <v>#REF!</v>
      </c>
      <c r="Y115" s="547" t="e">
        <f>$X$110 + IF($B$2="mil",1,0.0254)*DDR2Specs!$F$9</f>
        <v>#REF!</v>
      </c>
      <c r="Z115" s="546" t="e">
        <f t="shared" si="81"/>
        <v>#REF!</v>
      </c>
      <c r="AA115" s="547" t="e">
        <f t="shared" si="82"/>
        <v>#REF!</v>
      </c>
      <c r="AB115" s="545">
        <f t="shared" si="89"/>
        <v>4418.07</v>
      </c>
      <c r="AC115" s="524" t="e">
        <f t="shared" si="90"/>
        <v>#REF!</v>
      </c>
      <c r="AD115" s="524" t="e">
        <f>$AE$110 + IF($B$2="mil",1,0.0254)*DDR2Specs!$E$9</f>
        <v>#REF!</v>
      </c>
      <c r="AE115" s="524" t="e">
        <f>$AD$110 + IF($B$2="mil",1,0.0254)*DDR2Specs!$F$9</f>
        <v>#REF!</v>
      </c>
      <c r="AF115" s="546" t="e">
        <f t="shared" si="83"/>
        <v>#REF!</v>
      </c>
      <c r="AG115" s="547" t="e">
        <f t="shared" si="84"/>
        <v>#REF!</v>
      </c>
      <c r="AH115" s="554"/>
      <c r="AI115" s="554"/>
      <c r="AJ115" s="554"/>
      <c r="AK115" s="554"/>
      <c r="AL115" s="554"/>
      <c r="AM115" s="554"/>
      <c r="AN115" s="566" t="s">
        <v>41</v>
      </c>
      <c r="AO115" s="560" t="e">
        <f t="shared" si="91"/>
        <v>#REF!</v>
      </c>
      <c r="AP115" s="554"/>
      <c r="AQ115" s="528" t="e">
        <f t="shared" si="85"/>
        <v>#REF!</v>
      </c>
      <c r="AR115" s="528" t="e">
        <f t="shared" si="86"/>
        <v>#REF!</v>
      </c>
      <c r="AS115" s="528" t="e">
        <f t="shared" ca="1" si="92"/>
        <v>#NAME?</v>
      </c>
      <c r="AT115" s="528" t="e">
        <f t="shared" ca="1" si="93"/>
        <v>#NAME?</v>
      </c>
      <c r="AU115" s="528" t="e">
        <f t="shared" si="94"/>
        <v>#REF!</v>
      </c>
      <c r="AV115" s="560" t="e">
        <f t="shared" si="95"/>
        <v>#REF!</v>
      </c>
      <c r="AW115" s="528" t="e">
        <f t="shared" si="96"/>
        <v>#REF!</v>
      </c>
      <c r="AX115" s="529" t="e">
        <f t="shared" si="97"/>
        <v>#REF!</v>
      </c>
      <c r="AY115" s="162" t="e">
        <f t="shared" ca="1" si="98"/>
        <v>#REF!</v>
      </c>
      <c r="AZ115" s="3"/>
    </row>
    <row r="116" spans="16:52">
      <c r="P116" s="243" t="s">
        <v>42</v>
      </c>
      <c r="Q116" s="303">
        <v>624.74</v>
      </c>
      <c r="R116" s="303">
        <v>550</v>
      </c>
      <c r="S116" s="303">
        <v>500</v>
      </c>
      <c r="T116" s="409">
        <v>50</v>
      </c>
      <c r="U116" s="409">
        <v>50</v>
      </c>
      <c r="V116" s="545">
        <f t="shared" si="87"/>
        <v>5454.44</v>
      </c>
      <c r="W116" s="524" t="e">
        <f t="shared" si="88"/>
        <v>#REF!</v>
      </c>
      <c r="X116" s="524" t="e">
        <f>$Y$110 + IF($B$2="mil",1,0.0254)*DDR2Specs!$E$9</f>
        <v>#REF!</v>
      </c>
      <c r="Y116" s="547" t="e">
        <f>$X$110 + IF($B$2="mil",1,0.0254)*DDR2Specs!$F$9</f>
        <v>#REF!</v>
      </c>
      <c r="Z116" s="546" t="e">
        <f t="shared" si="81"/>
        <v>#REF!</v>
      </c>
      <c r="AA116" s="547" t="e">
        <f t="shared" si="82"/>
        <v>#REF!</v>
      </c>
      <c r="AB116" s="545">
        <f t="shared" si="89"/>
        <v>5404.44</v>
      </c>
      <c r="AC116" s="524" t="e">
        <f t="shared" si="90"/>
        <v>#REF!</v>
      </c>
      <c r="AD116" s="524" t="e">
        <f>$AE$110 + IF($B$2="mil",1,0.0254)*DDR2Specs!$E$9</f>
        <v>#REF!</v>
      </c>
      <c r="AE116" s="524" t="e">
        <f>$AD$110 + IF($B$2="mil",1,0.0254)*DDR2Specs!$F$9</f>
        <v>#REF!</v>
      </c>
      <c r="AF116" s="546" t="e">
        <f t="shared" si="83"/>
        <v>#REF!</v>
      </c>
      <c r="AG116" s="547" t="e">
        <f t="shared" si="84"/>
        <v>#REF!</v>
      </c>
      <c r="AH116" s="554"/>
      <c r="AI116" s="554"/>
      <c r="AJ116" s="554"/>
      <c r="AK116" s="554"/>
      <c r="AL116" s="554"/>
      <c r="AM116" s="554"/>
      <c r="AN116" s="566" t="s">
        <v>42</v>
      </c>
      <c r="AO116" s="560" t="e">
        <f t="shared" si="91"/>
        <v>#REF!</v>
      </c>
      <c r="AP116" s="554"/>
      <c r="AQ116" s="528" t="e">
        <f t="shared" si="85"/>
        <v>#REF!</v>
      </c>
      <c r="AR116" s="528" t="e">
        <f t="shared" si="86"/>
        <v>#REF!</v>
      </c>
      <c r="AS116" s="528" t="e">
        <f t="shared" ca="1" si="92"/>
        <v>#NAME?</v>
      </c>
      <c r="AT116" s="528" t="e">
        <f t="shared" ca="1" si="93"/>
        <v>#NAME?</v>
      </c>
      <c r="AU116" s="528" t="e">
        <f t="shared" si="94"/>
        <v>#REF!</v>
      </c>
      <c r="AV116" s="560" t="e">
        <f t="shared" si="95"/>
        <v>#REF!</v>
      </c>
      <c r="AW116" s="528" t="e">
        <f t="shared" si="96"/>
        <v>#REF!</v>
      </c>
      <c r="AX116" s="529" t="e">
        <f t="shared" si="97"/>
        <v>#REF!</v>
      </c>
      <c r="AY116" s="162" t="e">
        <f t="shared" ca="1" si="98"/>
        <v>#REF!</v>
      </c>
      <c r="AZ116" s="3"/>
    </row>
    <row r="117" spans="16:52">
      <c r="P117" s="243" t="s">
        <v>43</v>
      </c>
      <c r="Q117" s="303">
        <v>610.85</v>
      </c>
      <c r="R117" s="303">
        <v>550</v>
      </c>
      <c r="S117" s="303">
        <v>500</v>
      </c>
      <c r="T117" s="409">
        <v>50</v>
      </c>
      <c r="U117" s="409">
        <v>50</v>
      </c>
      <c r="V117" s="545">
        <f t="shared" si="87"/>
        <v>4451.92</v>
      </c>
      <c r="W117" s="524" t="e">
        <f t="shared" si="88"/>
        <v>#REF!</v>
      </c>
      <c r="X117" s="524" t="e">
        <f>$Y$110 + IF($B$2="mil",1,0.0254)*DDR2Specs!$E$9</f>
        <v>#REF!</v>
      </c>
      <c r="Y117" s="547" t="e">
        <f>$X$110 + IF($B$2="mil",1,0.0254)*DDR2Specs!$F$9</f>
        <v>#REF!</v>
      </c>
      <c r="Z117" s="546" t="e">
        <f t="shared" si="81"/>
        <v>#REF!</v>
      </c>
      <c r="AA117" s="547" t="e">
        <f t="shared" si="82"/>
        <v>#REF!</v>
      </c>
      <c r="AB117" s="545">
        <f t="shared" si="89"/>
        <v>4401.92</v>
      </c>
      <c r="AC117" s="524" t="e">
        <f t="shared" si="90"/>
        <v>#REF!</v>
      </c>
      <c r="AD117" s="524" t="e">
        <f>$AE$110 + IF($B$2="mil",1,0.0254)*DDR2Specs!$E$9</f>
        <v>#REF!</v>
      </c>
      <c r="AE117" s="524" t="e">
        <f>$AD$110 + IF($B$2="mil",1,0.0254)*DDR2Specs!$F$9</f>
        <v>#REF!</v>
      </c>
      <c r="AF117" s="546" t="e">
        <f t="shared" si="83"/>
        <v>#REF!</v>
      </c>
      <c r="AG117" s="547" t="e">
        <f t="shared" si="84"/>
        <v>#REF!</v>
      </c>
      <c r="AH117" s="554"/>
      <c r="AI117" s="554"/>
      <c r="AJ117" s="554"/>
      <c r="AK117" s="554"/>
      <c r="AL117" s="554"/>
      <c r="AM117" s="554"/>
      <c r="AN117" s="566" t="s">
        <v>43</v>
      </c>
      <c r="AO117" s="560" t="e">
        <f t="shared" si="91"/>
        <v>#REF!</v>
      </c>
      <c r="AP117" s="554"/>
      <c r="AQ117" s="528" t="e">
        <f t="shared" si="85"/>
        <v>#REF!</v>
      </c>
      <c r="AR117" s="528" t="e">
        <f t="shared" si="86"/>
        <v>#REF!</v>
      </c>
      <c r="AS117" s="528" t="e">
        <f t="shared" ca="1" si="92"/>
        <v>#NAME?</v>
      </c>
      <c r="AT117" s="528" t="e">
        <f t="shared" ca="1" si="93"/>
        <v>#NAME?</v>
      </c>
      <c r="AU117" s="528" t="e">
        <f t="shared" si="94"/>
        <v>#REF!</v>
      </c>
      <c r="AV117" s="560" t="e">
        <f t="shared" si="95"/>
        <v>#REF!</v>
      </c>
      <c r="AW117" s="528" t="e">
        <f t="shared" si="96"/>
        <v>#REF!</v>
      </c>
      <c r="AX117" s="529" t="e">
        <f t="shared" si="97"/>
        <v>#REF!</v>
      </c>
      <c r="AY117" s="162" t="e">
        <f t="shared" ca="1" si="98"/>
        <v>#REF!</v>
      </c>
      <c r="AZ117" s="3"/>
    </row>
    <row r="118" spans="16:52">
      <c r="P118" s="243" t="s">
        <v>44</v>
      </c>
      <c r="Q118" s="303">
        <v>604.02</v>
      </c>
      <c r="R118" s="303">
        <v>500</v>
      </c>
      <c r="S118" s="303">
        <v>500</v>
      </c>
      <c r="T118" s="409">
        <v>50</v>
      </c>
      <c r="U118" s="409">
        <v>50</v>
      </c>
      <c r="V118" s="545">
        <f t="shared" si="87"/>
        <v>4419.95</v>
      </c>
      <c r="W118" s="524" t="e">
        <f t="shared" si="88"/>
        <v>#REF!</v>
      </c>
      <c r="X118" s="524" t="e">
        <f>$Y$110 + IF($B$2="mil",1,0.0254)*DDR2Specs!$E$9</f>
        <v>#REF!</v>
      </c>
      <c r="Y118" s="547" t="e">
        <f>$X$110 + IF($B$2="mil",1,0.0254)*DDR2Specs!$F$9</f>
        <v>#REF!</v>
      </c>
      <c r="Z118" s="546" t="e">
        <f t="shared" si="81"/>
        <v>#REF!</v>
      </c>
      <c r="AA118" s="547" t="e">
        <f t="shared" si="82"/>
        <v>#REF!</v>
      </c>
      <c r="AB118" s="545">
        <f t="shared" si="89"/>
        <v>4419.95</v>
      </c>
      <c r="AC118" s="524" t="e">
        <f t="shared" si="90"/>
        <v>#REF!</v>
      </c>
      <c r="AD118" s="524" t="e">
        <f>$AE$110 + IF($B$2="mil",1,0.0254)*DDR2Specs!$E$9</f>
        <v>#REF!</v>
      </c>
      <c r="AE118" s="524" t="e">
        <f>$AD$110 + IF($B$2="mil",1,0.0254)*DDR2Specs!$F$9</f>
        <v>#REF!</v>
      </c>
      <c r="AF118" s="546" t="e">
        <f t="shared" si="83"/>
        <v>#REF!</v>
      </c>
      <c r="AG118" s="547" t="e">
        <f t="shared" si="84"/>
        <v>#REF!</v>
      </c>
      <c r="AH118" s="554"/>
      <c r="AI118" s="554"/>
      <c r="AJ118" s="554"/>
      <c r="AK118" s="554"/>
      <c r="AL118" s="554"/>
      <c r="AM118" s="554"/>
      <c r="AN118" s="566" t="s">
        <v>44</v>
      </c>
      <c r="AO118" s="560" t="e">
        <f t="shared" si="91"/>
        <v>#REF!</v>
      </c>
      <c r="AP118" s="554"/>
      <c r="AQ118" s="528" t="e">
        <f t="shared" si="85"/>
        <v>#REF!</v>
      </c>
      <c r="AR118" s="528" t="e">
        <f t="shared" si="86"/>
        <v>#REF!</v>
      </c>
      <c r="AS118" s="528" t="e">
        <f t="shared" ca="1" si="92"/>
        <v>#NAME?</v>
      </c>
      <c r="AT118" s="528" t="e">
        <f t="shared" ca="1" si="93"/>
        <v>#NAME?</v>
      </c>
      <c r="AU118" s="528" t="e">
        <f t="shared" si="94"/>
        <v>#REF!</v>
      </c>
      <c r="AV118" s="560" t="e">
        <f t="shared" si="95"/>
        <v>#REF!</v>
      </c>
      <c r="AW118" s="528" t="e">
        <f t="shared" si="96"/>
        <v>#REF!</v>
      </c>
      <c r="AX118" s="529" t="e">
        <f t="shared" si="97"/>
        <v>#REF!</v>
      </c>
      <c r="AY118" s="162" t="e">
        <f t="shared" ca="1" si="98"/>
        <v>#REF!</v>
      </c>
      <c r="AZ118" s="3"/>
    </row>
    <row r="119" spans="16:52">
      <c r="P119" s="243" t="s">
        <v>46</v>
      </c>
      <c r="Q119" s="303">
        <v>596.35</v>
      </c>
      <c r="R119" s="303">
        <v>550</v>
      </c>
      <c r="S119" s="303">
        <v>500</v>
      </c>
      <c r="T119" s="409">
        <v>50</v>
      </c>
      <c r="U119" s="409">
        <v>50</v>
      </c>
      <c r="V119" s="545">
        <f t="shared" si="87"/>
        <v>4354.2999999999993</v>
      </c>
      <c r="W119" s="524" t="e">
        <f t="shared" si="88"/>
        <v>#REF!</v>
      </c>
      <c r="X119" s="524" t="e">
        <f>$Y$110 + IF($B$2="mil",1,0.0254)*DDR2Specs!$E$9</f>
        <v>#REF!</v>
      </c>
      <c r="Y119" s="547" t="e">
        <f>$X$110 + IF($B$2="mil",1,0.0254)*DDR2Specs!$F$9</f>
        <v>#REF!</v>
      </c>
      <c r="Z119" s="546" t="e">
        <f t="shared" si="81"/>
        <v>#REF!</v>
      </c>
      <c r="AA119" s="547" t="e">
        <f t="shared" si="82"/>
        <v>#REF!</v>
      </c>
      <c r="AB119" s="545">
        <f t="shared" si="89"/>
        <v>4304.2999999999993</v>
      </c>
      <c r="AC119" s="524" t="e">
        <f t="shared" si="90"/>
        <v>#REF!</v>
      </c>
      <c r="AD119" s="524" t="e">
        <f>$AE$110 + IF($B$2="mil",1,0.0254)*DDR2Specs!$E$9</f>
        <v>#REF!</v>
      </c>
      <c r="AE119" s="524" t="e">
        <f>$AD$110 + IF($B$2="mil",1,0.0254)*DDR2Specs!$F$9</f>
        <v>#REF!</v>
      </c>
      <c r="AF119" s="546" t="e">
        <f t="shared" si="83"/>
        <v>#REF!</v>
      </c>
      <c r="AG119" s="547" t="e">
        <f t="shared" si="84"/>
        <v>#REF!</v>
      </c>
      <c r="AH119" s="554"/>
      <c r="AI119" s="554"/>
      <c r="AJ119" s="554"/>
      <c r="AK119" s="554"/>
      <c r="AL119" s="554"/>
      <c r="AM119" s="554"/>
      <c r="AN119" s="566" t="s">
        <v>46</v>
      </c>
      <c r="AO119" s="560" t="e">
        <f t="shared" si="91"/>
        <v>#REF!</v>
      </c>
      <c r="AP119" s="554"/>
      <c r="AQ119" s="528" t="e">
        <f t="shared" si="85"/>
        <v>#REF!</v>
      </c>
      <c r="AR119" s="528" t="e">
        <f t="shared" si="86"/>
        <v>#REF!</v>
      </c>
      <c r="AS119" s="528" t="e">
        <f t="shared" ca="1" si="92"/>
        <v>#NAME?</v>
      </c>
      <c r="AT119" s="528" t="e">
        <f t="shared" ca="1" si="93"/>
        <v>#NAME?</v>
      </c>
      <c r="AU119" s="528" t="e">
        <f t="shared" si="94"/>
        <v>#REF!</v>
      </c>
      <c r="AV119" s="560" t="e">
        <f t="shared" si="95"/>
        <v>#REF!</v>
      </c>
      <c r="AW119" s="528" t="e">
        <f t="shared" si="96"/>
        <v>#REF!</v>
      </c>
      <c r="AX119" s="529" t="e">
        <f t="shared" si="97"/>
        <v>#REF!</v>
      </c>
      <c r="AY119" s="162" t="e">
        <f t="shared" ca="1" si="98"/>
        <v>#REF!</v>
      </c>
      <c r="AZ119" s="3"/>
    </row>
    <row r="120" spans="16:52">
      <c r="P120" s="243" t="s">
        <v>47</v>
      </c>
      <c r="Q120" s="303">
        <v>615.67999999999995</v>
      </c>
      <c r="R120" s="303">
        <v>500</v>
      </c>
      <c r="S120" s="303">
        <v>500</v>
      </c>
      <c r="T120" s="409">
        <v>50</v>
      </c>
      <c r="U120" s="409">
        <v>50</v>
      </c>
      <c r="V120" s="545">
        <f t="shared" si="87"/>
        <v>4376.29</v>
      </c>
      <c r="W120" s="524" t="e">
        <f t="shared" si="88"/>
        <v>#REF!</v>
      </c>
      <c r="X120" s="524" t="e">
        <f>$Y$110 + IF($B$2="mil",1,0.0254)*DDR2Specs!$E$9</f>
        <v>#REF!</v>
      </c>
      <c r="Y120" s="547" t="e">
        <f>$X$110 + IF($B$2="mil",1,0.0254)*DDR2Specs!$F$9</f>
        <v>#REF!</v>
      </c>
      <c r="Z120" s="546" t="e">
        <f t="shared" si="81"/>
        <v>#REF!</v>
      </c>
      <c r="AA120" s="547" t="e">
        <f t="shared" si="82"/>
        <v>#REF!</v>
      </c>
      <c r="AB120" s="545">
        <f t="shared" si="89"/>
        <v>4376.29</v>
      </c>
      <c r="AC120" s="524" t="e">
        <f t="shared" si="90"/>
        <v>#REF!</v>
      </c>
      <c r="AD120" s="524" t="e">
        <f>$AE$110 + IF($B$2="mil",1,0.0254)*DDR2Specs!$E$9</f>
        <v>#REF!</v>
      </c>
      <c r="AE120" s="524" t="e">
        <f>$AD$110 + IF($B$2="mil",1,0.0254)*DDR2Specs!$F$9</f>
        <v>#REF!</v>
      </c>
      <c r="AF120" s="546" t="e">
        <f t="shared" si="83"/>
        <v>#REF!</v>
      </c>
      <c r="AG120" s="547" t="e">
        <f t="shared" si="84"/>
        <v>#REF!</v>
      </c>
      <c r="AH120" s="554"/>
      <c r="AI120" s="554"/>
      <c r="AJ120" s="554"/>
      <c r="AK120" s="554"/>
      <c r="AL120" s="554"/>
      <c r="AM120" s="554"/>
      <c r="AN120" s="566" t="s">
        <v>47</v>
      </c>
      <c r="AO120" s="560" t="e">
        <f t="shared" si="91"/>
        <v>#REF!</v>
      </c>
      <c r="AP120" s="554"/>
      <c r="AQ120" s="528" t="e">
        <f t="shared" si="85"/>
        <v>#REF!</v>
      </c>
      <c r="AR120" s="528" t="e">
        <f t="shared" si="86"/>
        <v>#REF!</v>
      </c>
      <c r="AS120" s="528" t="e">
        <f t="shared" ca="1" si="92"/>
        <v>#NAME?</v>
      </c>
      <c r="AT120" s="528" t="e">
        <f t="shared" ca="1" si="93"/>
        <v>#NAME?</v>
      </c>
      <c r="AU120" s="528" t="e">
        <f t="shared" si="94"/>
        <v>#REF!</v>
      </c>
      <c r="AV120" s="560" t="e">
        <f t="shared" si="95"/>
        <v>#REF!</v>
      </c>
      <c r="AW120" s="528" t="e">
        <f t="shared" si="96"/>
        <v>#REF!</v>
      </c>
      <c r="AX120" s="529" t="e">
        <f t="shared" si="97"/>
        <v>#REF!</v>
      </c>
      <c r="AY120" s="162" t="e">
        <f t="shared" ca="1" si="98"/>
        <v>#REF!</v>
      </c>
      <c r="AZ120" s="3"/>
    </row>
    <row r="121" spans="16:52">
      <c r="P121" s="243" t="s">
        <v>48</v>
      </c>
      <c r="Q121" s="303">
        <v>533.94000000000005</v>
      </c>
      <c r="R121" s="303">
        <v>500</v>
      </c>
      <c r="S121" s="303">
        <v>500</v>
      </c>
      <c r="T121" s="409">
        <v>50</v>
      </c>
      <c r="U121" s="409">
        <v>50</v>
      </c>
      <c r="V121" s="545">
        <f t="shared" si="87"/>
        <v>4546.6000000000004</v>
      </c>
      <c r="W121" s="524" t="e">
        <f t="shared" si="88"/>
        <v>#REF!</v>
      </c>
      <c r="X121" s="524" t="e">
        <f>$Y$110 + IF($B$2="mil",1,0.0254)*DDR2Specs!$E$9</f>
        <v>#REF!</v>
      </c>
      <c r="Y121" s="547" t="e">
        <f>$X$110 + IF($B$2="mil",1,0.0254)*DDR2Specs!$F$9</f>
        <v>#REF!</v>
      </c>
      <c r="Z121" s="546" t="e">
        <f t="shared" si="81"/>
        <v>#REF!</v>
      </c>
      <c r="AA121" s="547" t="e">
        <f t="shared" si="82"/>
        <v>#REF!</v>
      </c>
      <c r="AB121" s="545">
        <f t="shared" si="89"/>
        <v>4546.6000000000004</v>
      </c>
      <c r="AC121" s="524" t="e">
        <f t="shared" si="90"/>
        <v>#REF!</v>
      </c>
      <c r="AD121" s="524" t="e">
        <f>$AE$110 + IF($B$2="mil",1,0.0254)*DDR2Specs!$E$9</f>
        <v>#REF!</v>
      </c>
      <c r="AE121" s="524" t="e">
        <f>$AD$110 + IF($B$2="mil",1,0.0254)*DDR2Specs!$F$9</f>
        <v>#REF!</v>
      </c>
      <c r="AF121" s="546" t="e">
        <f t="shared" si="83"/>
        <v>#REF!</v>
      </c>
      <c r="AG121" s="547" t="e">
        <f t="shared" si="84"/>
        <v>#REF!</v>
      </c>
      <c r="AH121" s="554"/>
      <c r="AI121" s="554"/>
      <c r="AJ121" s="554"/>
      <c r="AK121" s="554"/>
      <c r="AL121" s="554"/>
      <c r="AM121" s="554"/>
      <c r="AN121" s="566" t="s">
        <v>48</v>
      </c>
      <c r="AO121" s="560" t="e">
        <f t="shared" si="91"/>
        <v>#REF!</v>
      </c>
      <c r="AP121" s="554"/>
      <c r="AQ121" s="528" t="e">
        <f t="shared" si="85"/>
        <v>#REF!</v>
      </c>
      <c r="AR121" s="528" t="e">
        <f t="shared" si="86"/>
        <v>#REF!</v>
      </c>
      <c r="AS121" s="528" t="e">
        <f t="shared" ca="1" si="92"/>
        <v>#NAME?</v>
      </c>
      <c r="AT121" s="528" t="e">
        <f t="shared" ca="1" si="93"/>
        <v>#NAME?</v>
      </c>
      <c r="AU121" s="528" t="e">
        <f t="shared" si="94"/>
        <v>#REF!</v>
      </c>
      <c r="AV121" s="560" t="e">
        <f t="shared" si="95"/>
        <v>#REF!</v>
      </c>
      <c r="AW121" s="528" t="e">
        <f t="shared" si="96"/>
        <v>#REF!</v>
      </c>
      <c r="AX121" s="529" t="e">
        <f t="shared" si="97"/>
        <v>#REF!</v>
      </c>
      <c r="AY121" s="162" t="e">
        <f t="shared" ca="1" si="98"/>
        <v>#REF!</v>
      </c>
      <c r="AZ121" s="3"/>
    </row>
    <row r="122" spans="16:52">
      <c r="P122" s="243" t="s">
        <v>50</v>
      </c>
      <c r="Q122" s="303">
        <v>559.79</v>
      </c>
      <c r="R122" s="303">
        <v>500</v>
      </c>
      <c r="S122" s="303">
        <v>500</v>
      </c>
      <c r="T122" s="409">
        <v>50</v>
      </c>
      <c r="U122" s="409">
        <v>50</v>
      </c>
      <c r="V122" s="545">
        <f t="shared" si="87"/>
        <v>4689.49</v>
      </c>
      <c r="W122" s="524" t="e">
        <f t="shared" si="88"/>
        <v>#REF!</v>
      </c>
      <c r="X122" s="524" t="e">
        <f>$Y$110 + IF($B$2="mil",1,0.0254)*DDR2Specs!$E$9</f>
        <v>#REF!</v>
      </c>
      <c r="Y122" s="547" t="e">
        <f>$X$110 + IF($B$2="mil",1,0.0254)*DDR2Specs!$F$9</f>
        <v>#REF!</v>
      </c>
      <c r="Z122" s="546" t="e">
        <f t="shared" si="81"/>
        <v>#REF!</v>
      </c>
      <c r="AA122" s="547" t="e">
        <f t="shared" si="82"/>
        <v>#REF!</v>
      </c>
      <c r="AB122" s="545">
        <f t="shared" si="89"/>
        <v>4689.49</v>
      </c>
      <c r="AC122" s="524" t="e">
        <f t="shared" si="90"/>
        <v>#REF!</v>
      </c>
      <c r="AD122" s="524" t="e">
        <f>$AE$110 + IF($B$2="mil",1,0.0254)*DDR2Specs!$E$9</f>
        <v>#REF!</v>
      </c>
      <c r="AE122" s="524" t="e">
        <f>$AD$110 + IF($B$2="mil",1,0.0254)*DDR2Specs!$F$9</f>
        <v>#REF!</v>
      </c>
      <c r="AF122" s="546" t="e">
        <f t="shared" si="83"/>
        <v>#REF!</v>
      </c>
      <c r="AG122" s="547" t="e">
        <f t="shared" si="84"/>
        <v>#REF!</v>
      </c>
      <c r="AH122" s="554"/>
      <c r="AI122" s="554"/>
      <c r="AJ122" s="554"/>
      <c r="AK122" s="554"/>
      <c r="AL122" s="554"/>
      <c r="AM122" s="554"/>
      <c r="AN122" s="566" t="s">
        <v>50</v>
      </c>
      <c r="AO122" s="560" t="e">
        <f t="shared" si="91"/>
        <v>#REF!</v>
      </c>
      <c r="AP122" s="554"/>
      <c r="AQ122" s="528" t="e">
        <f t="shared" si="85"/>
        <v>#REF!</v>
      </c>
      <c r="AR122" s="528" t="e">
        <f t="shared" si="86"/>
        <v>#REF!</v>
      </c>
      <c r="AS122" s="528" t="e">
        <f t="shared" ca="1" si="92"/>
        <v>#NAME?</v>
      </c>
      <c r="AT122" s="528" t="e">
        <f t="shared" ca="1" si="93"/>
        <v>#NAME?</v>
      </c>
      <c r="AU122" s="528" t="e">
        <f t="shared" si="94"/>
        <v>#REF!</v>
      </c>
      <c r="AV122" s="560" t="e">
        <f t="shared" si="95"/>
        <v>#REF!</v>
      </c>
      <c r="AW122" s="528" t="e">
        <f t="shared" si="96"/>
        <v>#REF!</v>
      </c>
      <c r="AX122" s="529" t="e">
        <f t="shared" si="97"/>
        <v>#REF!</v>
      </c>
      <c r="AY122" s="162" t="e">
        <f t="shared" ca="1" si="98"/>
        <v>#REF!</v>
      </c>
      <c r="AZ122" s="3"/>
    </row>
    <row r="123" spans="16:52">
      <c r="P123" s="243" t="s">
        <v>51</v>
      </c>
      <c r="Q123" s="303">
        <v>632.15</v>
      </c>
      <c r="R123" s="303">
        <v>500</v>
      </c>
      <c r="S123" s="303">
        <v>500</v>
      </c>
      <c r="T123" s="409">
        <v>50</v>
      </c>
      <c r="U123" s="409">
        <v>50</v>
      </c>
      <c r="V123" s="545">
        <f t="shared" si="87"/>
        <v>4518.38</v>
      </c>
      <c r="W123" s="524" t="e">
        <f t="shared" si="88"/>
        <v>#REF!</v>
      </c>
      <c r="X123" s="524" t="e">
        <f>$Y$110 + IF($B$2="mil",1,0.0254)*DDR2Specs!$E$9</f>
        <v>#REF!</v>
      </c>
      <c r="Y123" s="547" t="e">
        <f>$X$110 + IF($B$2="mil",1,0.0254)*DDR2Specs!$F$9</f>
        <v>#REF!</v>
      </c>
      <c r="Z123" s="546" t="e">
        <f t="shared" si="81"/>
        <v>#REF!</v>
      </c>
      <c r="AA123" s="547" t="e">
        <f t="shared" si="82"/>
        <v>#REF!</v>
      </c>
      <c r="AB123" s="545">
        <f t="shared" si="89"/>
        <v>4518.38</v>
      </c>
      <c r="AC123" s="524" t="e">
        <f t="shared" si="90"/>
        <v>#REF!</v>
      </c>
      <c r="AD123" s="524" t="e">
        <f>$AE$110 + IF($B$2="mil",1,0.0254)*DDR2Specs!$E$9</f>
        <v>#REF!</v>
      </c>
      <c r="AE123" s="524" t="e">
        <f>$AD$110 + IF($B$2="mil",1,0.0254)*DDR2Specs!$F$9</f>
        <v>#REF!</v>
      </c>
      <c r="AF123" s="546" t="e">
        <f t="shared" si="83"/>
        <v>#REF!</v>
      </c>
      <c r="AG123" s="547" t="e">
        <f t="shared" si="84"/>
        <v>#REF!</v>
      </c>
      <c r="AH123" s="554"/>
      <c r="AI123" s="554"/>
      <c r="AJ123" s="554"/>
      <c r="AK123" s="554"/>
      <c r="AL123" s="554"/>
      <c r="AM123" s="554"/>
      <c r="AN123" s="566" t="s">
        <v>51</v>
      </c>
      <c r="AO123" s="560" t="e">
        <f t="shared" si="91"/>
        <v>#REF!</v>
      </c>
      <c r="AP123" s="554"/>
      <c r="AQ123" s="528" t="e">
        <f t="shared" si="85"/>
        <v>#REF!</v>
      </c>
      <c r="AR123" s="528" t="e">
        <f t="shared" si="86"/>
        <v>#REF!</v>
      </c>
      <c r="AS123" s="528" t="e">
        <f t="shared" ca="1" si="92"/>
        <v>#NAME?</v>
      </c>
      <c r="AT123" s="528" t="e">
        <f t="shared" ca="1" si="93"/>
        <v>#NAME?</v>
      </c>
      <c r="AU123" s="528" t="e">
        <f t="shared" si="94"/>
        <v>#REF!</v>
      </c>
      <c r="AV123" s="560" t="e">
        <f t="shared" si="95"/>
        <v>#REF!</v>
      </c>
      <c r="AW123" s="528" t="e">
        <f t="shared" si="96"/>
        <v>#REF!</v>
      </c>
      <c r="AX123" s="529" t="e">
        <f t="shared" si="97"/>
        <v>#REF!</v>
      </c>
      <c r="AY123" s="162" t="e">
        <f t="shared" ca="1" si="98"/>
        <v>#REF!</v>
      </c>
      <c r="AZ123" s="3"/>
    </row>
    <row r="124" spans="16:52">
      <c r="P124" s="243" t="s">
        <v>52</v>
      </c>
      <c r="Q124" s="303">
        <v>566.39</v>
      </c>
      <c r="R124" s="303">
        <v>500</v>
      </c>
      <c r="S124" s="303">
        <v>500</v>
      </c>
      <c r="T124" s="409">
        <v>50</v>
      </c>
      <c r="U124" s="409">
        <v>50</v>
      </c>
      <c r="V124" s="545">
        <f t="shared" si="87"/>
        <v>4550.66</v>
      </c>
      <c r="W124" s="524" t="e">
        <f t="shared" si="88"/>
        <v>#REF!</v>
      </c>
      <c r="X124" s="524" t="e">
        <f>$Y$110 + IF($B$2="mil",1,0.0254)*DDR2Specs!$E$9</f>
        <v>#REF!</v>
      </c>
      <c r="Y124" s="547" t="e">
        <f>$X$110 + IF($B$2="mil",1,0.0254)*DDR2Specs!$F$9</f>
        <v>#REF!</v>
      </c>
      <c r="Z124" s="546" t="e">
        <f t="shared" si="81"/>
        <v>#REF!</v>
      </c>
      <c r="AA124" s="547" t="e">
        <f t="shared" si="82"/>
        <v>#REF!</v>
      </c>
      <c r="AB124" s="545">
        <f t="shared" si="89"/>
        <v>4550.66</v>
      </c>
      <c r="AC124" s="524" t="e">
        <f t="shared" si="90"/>
        <v>#REF!</v>
      </c>
      <c r="AD124" s="524" t="e">
        <f>$AE$110 + IF($B$2="mil",1,0.0254)*DDR2Specs!$E$9</f>
        <v>#REF!</v>
      </c>
      <c r="AE124" s="524" t="e">
        <f>$AD$110 + IF($B$2="mil",1,0.0254)*DDR2Specs!$F$9</f>
        <v>#REF!</v>
      </c>
      <c r="AF124" s="546" t="e">
        <f t="shared" si="83"/>
        <v>#REF!</v>
      </c>
      <c r="AG124" s="547" t="e">
        <f t="shared" si="84"/>
        <v>#REF!</v>
      </c>
      <c r="AH124" s="554"/>
      <c r="AI124" s="554"/>
      <c r="AJ124" s="554"/>
      <c r="AK124" s="554"/>
      <c r="AL124" s="554"/>
      <c r="AM124" s="554"/>
      <c r="AN124" s="566" t="s">
        <v>52</v>
      </c>
      <c r="AO124" s="560" t="e">
        <f t="shared" si="91"/>
        <v>#REF!</v>
      </c>
      <c r="AP124" s="554"/>
      <c r="AQ124" s="528" t="e">
        <f t="shared" si="85"/>
        <v>#REF!</v>
      </c>
      <c r="AR124" s="528" t="e">
        <f t="shared" si="86"/>
        <v>#REF!</v>
      </c>
      <c r="AS124" s="528" t="e">
        <f t="shared" ca="1" si="92"/>
        <v>#NAME?</v>
      </c>
      <c r="AT124" s="528" t="e">
        <f t="shared" ca="1" si="93"/>
        <v>#NAME?</v>
      </c>
      <c r="AU124" s="528" t="e">
        <f t="shared" si="94"/>
        <v>#REF!</v>
      </c>
      <c r="AV124" s="560" t="e">
        <f t="shared" si="95"/>
        <v>#REF!</v>
      </c>
      <c r="AW124" s="528" t="e">
        <f t="shared" si="96"/>
        <v>#REF!</v>
      </c>
      <c r="AX124" s="529" t="e">
        <f t="shared" si="97"/>
        <v>#REF!</v>
      </c>
      <c r="AY124" s="162" t="e">
        <f t="shared" ca="1" si="98"/>
        <v>#REF!</v>
      </c>
      <c r="AZ124" s="3"/>
    </row>
    <row r="125" spans="16:52">
      <c r="P125" s="243" t="s">
        <v>53</v>
      </c>
      <c r="Q125" s="303">
        <v>566.39</v>
      </c>
      <c r="R125" s="303">
        <v>500</v>
      </c>
      <c r="S125" s="303">
        <v>500</v>
      </c>
      <c r="T125" s="409">
        <v>50</v>
      </c>
      <c r="U125" s="409">
        <v>50</v>
      </c>
      <c r="V125" s="545">
        <f t="shared" si="87"/>
        <v>4430.66</v>
      </c>
      <c r="W125" s="524" t="e">
        <f t="shared" si="88"/>
        <v>#REF!</v>
      </c>
      <c r="X125" s="524" t="e">
        <f>$Y$110 + IF($B$2="mil",1,0.0254)*DDR2Specs!$E$9</f>
        <v>#REF!</v>
      </c>
      <c r="Y125" s="547" t="e">
        <f>$X$110 + IF($B$2="mil",1,0.0254)*DDR2Specs!$F$9</f>
        <v>#REF!</v>
      </c>
      <c r="Z125" s="546" t="e">
        <f t="shared" si="81"/>
        <v>#REF!</v>
      </c>
      <c r="AA125" s="547" t="e">
        <f t="shared" si="82"/>
        <v>#REF!</v>
      </c>
      <c r="AB125" s="545">
        <f t="shared" si="89"/>
        <v>4430.66</v>
      </c>
      <c r="AC125" s="524" t="e">
        <f t="shared" si="90"/>
        <v>#REF!</v>
      </c>
      <c r="AD125" s="524" t="e">
        <f>$AE$110 + IF($B$2="mil",1,0.0254)*DDR2Specs!$E$9</f>
        <v>#REF!</v>
      </c>
      <c r="AE125" s="524" t="e">
        <f>$AD$110 + IF($B$2="mil",1,0.0254)*DDR2Specs!$F$9</f>
        <v>#REF!</v>
      </c>
      <c r="AF125" s="546" t="e">
        <f t="shared" si="83"/>
        <v>#REF!</v>
      </c>
      <c r="AG125" s="547" t="e">
        <f t="shared" si="84"/>
        <v>#REF!</v>
      </c>
      <c r="AH125" s="554"/>
      <c r="AI125" s="554"/>
      <c r="AJ125" s="554"/>
      <c r="AK125" s="554"/>
      <c r="AL125" s="554"/>
      <c r="AM125" s="554"/>
      <c r="AN125" s="566" t="s">
        <v>53</v>
      </c>
      <c r="AO125" s="560" t="e">
        <f t="shared" si="91"/>
        <v>#REF!</v>
      </c>
      <c r="AP125" s="554"/>
      <c r="AQ125" s="528" t="e">
        <f t="shared" si="85"/>
        <v>#REF!</v>
      </c>
      <c r="AR125" s="528" t="e">
        <f t="shared" si="86"/>
        <v>#REF!</v>
      </c>
      <c r="AS125" s="528" t="e">
        <f t="shared" ca="1" si="92"/>
        <v>#NAME?</v>
      </c>
      <c r="AT125" s="528" t="e">
        <f t="shared" ca="1" si="93"/>
        <v>#NAME?</v>
      </c>
      <c r="AU125" s="528" t="e">
        <f t="shared" si="94"/>
        <v>#REF!</v>
      </c>
      <c r="AV125" s="560" t="e">
        <f t="shared" si="95"/>
        <v>#REF!</v>
      </c>
      <c r="AW125" s="528" t="e">
        <f t="shared" si="96"/>
        <v>#REF!</v>
      </c>
      <c r="AX125" s="529" t="e">
        <f t="shared" si="97"/>
        <v>#REF!</v>
      </c>
      <c r="AY125" s="162" t="e">
        <f t="shared" ca="1" si="98"/>
        <v>#REF!</v>
      </c>
      <c r="AZ125" s="3"/>
    </row>
    <row r="126" spans="16:52">
      <c r="P126" s="205" t="s">
        <v>230</v>
      </c>
      <c r="Q126" s="338"/>
      <c r="R126" s="338"/>
      <c r="S126" s="338"/>
      <c r="T126" s="433"/>
      <c r="U126" s="433"/>
      <c r="V126" s="207"/>
      <c r="W126" s="207"/>
      <c r="X126" s="207"/>
      <c r="Y126" s="571"/>
      <c r="Z126" s="430"/>
      <c r="AA126" s="430"/>
      <c r="AB126" s="207"/>
      <c r="AC126" s="207"/>
      <c r="AD126" s="207"/>
      <c r="AE126" s="207"/>
      <c r="AF126" s="430"/>
      <c r="AG126" s="430"/>
      <c r="AH126" s="554"/>
      <c r="AI126" s="554"/>
      <c r="AJ126" s="554"/>
      <c r="AK126" s="554"/>
      <c r="AL126" s="554"/>
      <c r="AM126" s="554"/>
      <c r="AN126" s="155" t="s">
        <v>230</v>
      </c>
      <c r="AO126" s="273"/>
      <c r="AP126" s="554"/>
      <c r="AQ126" s="179"/>
      <c r="AR126" s="179"/>
      <c r="AS126" s="179"/>
      <c r="AT126" s="179"/>
      <c r="AU126" s="179"/>
      <c r="AV126" s="562"/>
      <c r="AW126" s="179"/>
      <c r="AX126" s="549"/>
      <c r="AY126" s="3"/>
      <c r="AZ126" s="3"/>
    </row>
    <row r="127" spans="16:52">
      <c r="P127" s="186" t="s">
        <v>54</v>
      </c>
      <c r="Q127" s="303">
        <v>570.59</v>
      </c>
      <c r="R127" s="303">
        <v>500</v>
      </c>
      <c r="S127" s="303">
        <v>500</v>
      </c>
      <c r="T127" s="409">
        <v>50</v>
      </c>
      <c r="U127" s="409">
        <v>50</v>
      </c>
      <c r="V127" s="545">
        <f t="shared" si="87"/>
        <v>4441.21</v>
      </c>
      <c r="W127" s="524" t="e">
        <f>$V127+IF($B$2="mil",1,0.0254)*$C49</f>
        <v>#REF!</v>
      </c>
      <c r="X127" s="524" t="e">
        <f>$Y$110 + IF($B$2="mil",1,0.0254)*DDR2Specs!$E$9</f>
        <v>#REF!</v>
      </c>
      <c r="Y127" s="547" t="e">
        <f>$X$110 + IF($B$2="mil",1,0.0254)*DDR2Specs!$F$9</f>
        <v>#REF!</v>
      </c>
      <c r="Z127" s="546" t="e">
        <f>IF($W127&lt;$X127,$X127-$W127,"Pass")</f>
        <v>#REF!</v>
      </c>
      <c r="AA127" s="547" t="e">
        <f>IF($W127&gt;$Y127,$W127-$Y127,"Pass")</f>
        <v>#REF!</v>
      </c>
      <c r="AB127" s="545">
        <f t="shared" si="89"/>
        <v>4441.21</v>
      </c>
      <c r="AC127" s="524" t="e">
        <f>$AB127+IF($B$2="mil",1,0.0254)*$C49</f>
        <v>#REF!</v>
      </c>
      <c r="AD127" s="524" t="e">
        <f>$AE$110 + IF($B$2="mil",1,0.0254)*DDR2Specs!$E$9</f>
        <v>#REF!</v>
      </c>
      <c r="AE127" s="524" t="e">
        <f>$AD$110 + IF($B$2="mil",1,0.0254)*DDR2Specs!$F$9</f>
        <v>#REF!</v>
      </c>
      <c r="AF127" s="546" t="e">
        <f>IF($AC127&lt;$AD127,$AD127-$AC127,"Pass")</f>
        <v>#REF!</v>
      </c>
      <c r="AG127" s="547" t="e">
        <f>IF($AC127&gt;$AE127,$AC127-$AE127,"Pass")</f>
        <v>#REF!</v>
      </c>
      <c r="AH127" s="554"/>
      <c r="AI127" s="554"/>
      <c r="AJ127" s="554"/>
      <c r="AK127" s="554"/>
      <c r="AL127" s="554"/>
      <c r="AM127" s="554"/>
      <c r="AN127" s="565" t="s">
        <v>54</v>
      </c>
      <c r="AO127" s="560" t="e">
        <f>IF(Q127&lt;=IF($B$2="mil",1,0.0254)*1000,"Pass",IF($B$2="mil",1,0.0254)*1000-Q127)</f>
        <v>#REF!</v>
      </c>
      <c r="AP127" s="554"/>
      <c r="AQ127" s="528" t="e">
        <f>IF($R127&lt;=IF($B$2="mil",1,0.0254)*750,"Pass",IF($B$2="mil",1,0.0254)*750-$R127)</f>
        <v>#REF!</v>
      </c>
      <c r="AR127" s="528" t="e">
        <f>IF($S127&lt;=IF($B$2="mil",1,0.0254)*750,"Pass",IF($B$2="mil",1,0.0254)*750-$S127)</f>
        <v>#REF!</v>
      </c>
      <c r="AS127" s="528" t="e">
        <f t="shared" ref="AS127:AT129" ca="1" si="99">CheckLength2(IF($B$2="mil",1,0.0254)*950,R127,T127,0)</f>
        <v>#NAME?</v>
      </c>
      <c r="AT127" s="528" t="e">
        <f t="shared" ca="1" si="99"/>
        <v>#NAME?</v>
      </c>
      <c r="AU127" s="528" t="e">
        <f>IF(AND(V127&gt;=IF($B$2="mil",1,0.0254)*500, $V127&lt;=IF($B$2="mil",1,0.0254)*6500),"Pass",IF($B$2="mil",1,0.0254)*6500-$V127)</f>
        <v>#REF!</v>
      </c>
      <c r="AV127" s="560" t="e">
        <f>IF(AND($W127&gt;=IF($B$2="mil",1,0.0254)*500, $W127&lt;=IF($B$2="mil",1,0.0254)*7000),"Pass",IF($B$2="mil",1,0.0254)*7000-$W127)</f>
        <v>#REF!</v>
      </c>
      <c r="AW127" s="528" t="e">
        <f>IF(AND($AB127&gt;=IF($B$2="mil",1,0.0254)*500, $AB127&lt;=IF($B$2="mil",1,0.0254)*6500),"Pass",IF($B$2="mil",1,0.0254)*6500-$AB127)</f>
        <v>#REF!</v>
      </c>
      <c r="AX127" s="529" t="e">
        <f>IF(AND($AC127&gt;=IF($B$2="mil",1,0.0254)*500, $AC127&lt;=IF($B$2="mil",1,0.0254)*7000),"Pass",IF($B$2="mil",1,0.0254)*7000-$AC127)</f>
        <v>#REF!</v>
      </c>
      <c r="AY127" s="162" t="e">
        <f t="shared" ca="1" si="98"/>
        <v>#REF!</v>
      </c>
      <c r="AZ127" s="3"/>
    </row>
    <row r="128" spans="16:52">
      <c r="P128" s="242" t="s">
        <v>55</v>
      </c>
      <c r="Q128" s="303">
        <v>585.74</v>
      </c>
      <c r="R128" s="303">
        <v>500</v>
      </c>
      <c r="S128" s="303">
        <v>500</v>
      </c>
      <c r="T128" s="409">
        <v>50</v>
      </c>
      <c r="U128" s="409">
        <v>50</v>
      </c>
      <c r="V128" s="545">
        <f>SUM($E50:$G50,$M50,$Q128:$R128,$P50,$T128)</f>
        <v>4509.2999999999993</v>
      </c>
      <c r="W128" s="524" t="e">
        <f>$V128+IF($B$2="mil",1,0.0254)*$C50</f>
        <v>#REF!</v>
      </c>
      <c r="X128" s="524" t="e">
        <f>$Y$110 + IF($B$2="mil",1,0.0254)*DDR2Specs!$E$9</f>
        <v>#REF!</v>
      </c>
      <c r="Y128" s="547" t="e">
        <f>$X$110 + IF($B$2="mil",1,0.0254)*DDR2Specs!$F$9</f>
        <v>#REF!</v>
      </c>
      <c r="Z128" s="546" t="e">
        <f>IF($W128&lt;$X128,$X128-$W128,"Pass")</f>
        <v>#REF!</v>
      </c>
      <c r="AA128" s="547" t="e">
        <f>IF($W128&gt;$Y128,$W128-$Y128,"Pass")</f>
        <v>#REF!</v>
      </c>
      <c r="AB128" s="545">
        <f t="shared" si="89"/>
        <v>4509.2999999999993</v>
      </c>
      <c r="AC128" s="524" t="e">
        <f>$AB128+IF($B$2="mil",1,0.0254)*$C50</f>
        <v>#REF!</v>
      </c>
      <c r="AD128" s="524" t="e">
        <f>$AE$110 + IF($B$2="mil",1,0.0254)*DDR2Specs!$E$9</f>
        <v>#REF!</v>
      </c>
      <c r="AE128" s="524" t="e">
        <f>$AD$110 + IF($B$2="mil",1,0.0254)*DDR2Specs!$F$9</f>
        <v>#REF!</v>
      </c>
      <c r="AF128" s="546" t="e">
        <f>IF($AC128&lt;$AD128,$AD128-$AC128,"Pass")</f>
        <v>#REF!</v>
      </c>
      <c r="AG128" s="547" t="e">
        <f>IF($AC128&gt;$AE128,$AC128-$AE128,"Pass")</f>
        <v>#REF!</v>
      </c>
      <c r="AH128" s="554"/>
      <c r="AI128" s="554"/>
      <c r="AJ128" s="554"/>
      <c r="AK128" s="554"/>
      <c r="AL128" s="554"/>
      <c r="AM128" s="554"/>
      <c r="AN128" s="567" t="s">
        <v>55</v>
      </c>
      <c r="AO128" s="560" t="e">
        <f>IF(Q128&lt;=IF($B$2="mil",1,0.0254)*1000,"Pass",IF($B$2="mil",1,0.0254)*1000-Q128)</f>
        <v>#REF!</v>
      </c>
      <c r="AP128" s="554"/>
      <c r="AQ128" s="528" t="e">
        <f>IF($R128&lt;=IF($B$2="mil",1,0.0254)*750,"Pass",IF($B$2="mil",1,0.0254)*750-$R128)</f>
        <v>#REF!</v>
      </c>
      <c r="AR128" s="528" t="e">
        <f>IF($S128&lt;=IF($B$2="mil",1,0.0254)*750,"Pass",IF($B$2="mil",1,0.0254)*750-$S128)</f>
        <v>#REF!</v>
      </c>
      <c r="AS128" s="528" t="e">
        <f t="shared" ca="1" si="99"/>
        <v>#NAME?</v>
      </c>
      <c r="AT128" s="528" t="e">
        <f t="shared" ca="1" si="99"/>
        <v>#NAME?</v>
      </c>
      <c r="AU128" s="528" t="e">
        <f>IF(AND(V128&gt;=IF($B$2="mil",1,0.0254)*500, $V128&lt;=IF($B$2="mil",1,0.0254)*6500),"Pass",IF($B$2="mil",1,0.0254)*6500-$V128)</f>
        <v>#REF!</v>
      </c>
      <c r="AV128" s="560" t="e">
        <f>IF(AND($W128&gt;=IF($B$2="mil",1,0.0254)*500, $W128&lt;=IF($B$2="mil",1,0.0254)*7000),"Pass",IF($B$2="mil",1,0.0254)*7000-$W128)</f>
        <v>#REF!</v>
      </c>
      <c r="AW128" s="528" t="e">
        <f>IF(AND($AB128&gt;=IF($B$2="mil",1,0.0254)*500, $AB128&lt;=IF($B$2="mil",1,0.0254)*6500),"Pass",IF($B$2="mil",1,0.0254)*6500-$AB128)</f>
        <v>#REF!</v>
      </c>
      <c r="AX128" s="529" t="e">
        <f>IF(AND($AC128&gt;=IF($B$2="mil",1,0.0254)*500, $AC128&lt;=IF($B$2="mil",1,0.0254)*7000),"Pass",IF($B$2="mil",1,0.0254)*7000-$AC128)</f>
        <v>#REF!</v>
      </c>
      <c r="AY128" s="162" t="e">
        <f t="shared" ca="1" si="98"/>
        <v>#REF!</v>
      </c>
      <c r="AZ128" s="3"/>
    </row>
    <row r="129" spans="16:52">
      <c r="P129" s="242" t="s">
        <v>56</v>
      </c>
      <c r="Q129" s="303">
        <v>541.1</v>
      </c>
      <c r="R129" s="303">
        <v>500</v>
      </c>
      <c r="S129" s="303">
        <v>500</v>
      </c>
      <c r="T129" s="409">
        <v>50</v>
      </c>
      <c r="U129" s="409">
        <v>50</v>
      </c>
      <c r="V129" s="545">
        <f t="shared" si="87"/>
        <v>4598.6799999999994</v>
      </c>
      <c r="W129" s="524" t="e">
        <f>$V129+IF($B$2="mil",1,0.0254)*$C51</f>
        <v>#REF!</v>
      </c>
      <c r="X129" s="524" t="e">
        <f>$Y$110 + IF($B$2="mil",1,0.0254)*DDR2Specs!$E$9</f>
        <v>#REF!</v>
      </c>
      <c r="Y129" s="547" t="e">
        <f>$X$110 + IF($B$2="mil",1,0.0254)*DDR2Specs!$F$9</f>
        <v>#REF!</v>
      </c>
      <c r="Z129" s="546" t="e">
        <f>IF($W129&lt;$X129,$X129-$W129,"Pass")</f>
        <v>#REF!</v>
      </c>
      <c r="AA129" s="547" t="e">
        <f>IF($W129&gt;$Y129,$W129-$Y129,"Pass")</f>
        <v>#REF!</v>
      </c>
      <c r="AB129" s="545">
        <f t="shared" si="89"/>
        <v>4598.68</v>
      </c>
      <c r="AC129" s="524" t="e">
        <f>$AB129+IF($B$2="mil",1,0.0254)*$C51</f>
        <v>#REF!</v>
      </c>
      <c r="AD129" s="524" t="e">
        <f>$AE$110 + IF($B$2="mil",1,0.0254)*DDR2Specs!$E$9</f>
        <v>#REF!</v>
      </c>
      <c r="AE129" s="524" t="e">
        <f>$AD$110 + IF($B$2="mil",1,0.0254)*DDR2Specs!$F$9</f>
        <v>#REF!</v>
      </c>
      <c r="AF129" s="546" t="e">
        <f>IF($AC129&lt;$AD129,$AD129-$AC129,"Pass")</f>
        <v>#REF!</v>
      </c>
      <c r="AG129" s="547" t="e">
        <f>IF($AC129&gt;$AE129,$AC129-$AE129,"Pass")</f>
        <v>#REF!</v>
      </c>
      <c r="AH129" s="554"/>
      <c r="AI129" s="554"/>
      <c r="AJ129" s="554"/>
      <c r="AK129" s="554"/>
      <c r="AL129" s="554"/>
      <c r="AM129" s="554"/>
      <c r="AN129" s="567" t="s">
        <v>56</v>
      </c>
      <c r="AO129" s="560" t="e">
        <f>IF(Q129&lt;=IF($B$2="mil",1,0.0254)*1000,"Pass",IF($B$2="mil",1,0.0254)*1000-Q129)</f>
        <v>#REF!</v>
      </c>
      <c r="AP129" s="554"/>
      <c r="AQ129" s="528" t="e">
        <f>IF($R129&lt;=IF($B$2="mil",1,0.0254)*750,"Pass",IF($B$2="mil",1,0.0254)*750-$R129)</f>
        <v>#REF!</v>
      </c>
      <c r="AR129" s="528" t="e">
        <f>IF($S129&lt;=IF($B$2="mil",1,0.0254)*750,"Pass",IF($B$2="mil",1,0.0254)*750-$S129)</f>
        <v>#REF!</v>
      </c>
      <c r="AS129" s="528" t="e">
        <f t="shared" ca="1" si="99"/>
        <v>#NAME?</v>
      </c>
      <c r="AT129" s="528" t="e">
        <f t="shared" ca="1" si="99"/>
        <v>#NAME?</v>
      </c>
      <c r="AU129" s="528" t="e">
        <f>IF(AND(V129&gt;=IF($B$2="mil",1,0.0254)*500, $V129&lt;=IF($B$2="mil",1,0.0254)*6500),"Pass",IF($B$2="mil",1,0.0254)*6500-$V129)</f>
        <v>#REF!</v>
      </c>
      <c r="AV129" s="560" t="e">
        <f>IF(AND($W129&gt;=IF($B$2="mil",1,0.0254)*500, $W129&lt;=IF($B$2="mil",1,0.0254)*7000),"Pass",IF($B$2="mil",1,0.0254)*7000-$W129)</f>
        <v>#REF!</v>
      </c>
      <c r="AW129" s="528" t="e">
        <f>IF(AND($AB129&gt;=IF($B$2="mil",1,0.0254)*500, $AB129&lt;=IF($B$2="mil",1,0.0254)*6500),"Pass",IF($B$2="mil",1,0.0254)*6500-$AB129)</f>
        <v>#REF!</v>
      </c>
      <c r="AX129" s="529" t="e">
        <f>IF(AND($AC129&gt;=IF($B$2="mil",1,0.0254)*500, $AC129&lt;=IF($B$2="mil",1,0.0254)*7000),"Pass",IF($B$2="mil",1,0.0254)*7000-$AC129)</f>
        <v>#REF!</v>
      </c>
      <c r="AY129" s="162" t="e">
        <f t="shared" ca="1" si="98"/>
        <v>#REF!</v>
      </c>
      <c r="AZ129" s="3"/>
    </row>
    <row r="130" spans="16:52">
      <c r="P130" s="205" t="s">
        <v>231</v>
      </c>
      <c r="Q130" s="338"/>
      <c r="R130" s="338"/>
      <c r="S130" s="338"/>
      <c r="T130" s="433"/>
      <c r="U130" s="433"/>
      <c r="V130" s="207"/>
      <c r="W130" s="207"/>
      <c r="X130" s="207"/>
      <c r="Y130" s="571"/>
      <c r="Z130" s="430"/>
      <c r="AA130" s="430"/>
      <c r="AB130" s="207"/>
      <c r="AC130" s="207"/>
      <c r="AD130" s="207"/>
      <c r="AE130" s="207"/>
      <c r="AF130" s="430"/>
      <c r="AG130" s="430"/>
      <c r="AH130" s="554"/>
      <c r="AI130" s="554"/>
      <c r="AJ130" s="554"/>
      <c r="AK130" s="554"/>
      <c r="AL130" s="554"/>
      <c r="AM130" s="554"/>
      <c r="AN130" s="155" t="s">
        <v>231</v>
      </c>
      <c r="AO130" s="562"/>
      <c r="AP130" s="554"/>
      <c r="AQ130" s="430"/>
      <c r="AR130" s="430"/>
      <c r="AS130" s="430"/>
      <c r="AT130" s="430"/>
      <c r="AU130" s="430"/>
      <c r="AV130" s="562"/>
      <c r="AW130" s="430"/>
      <c r="AX130" s="549"/>
      <c r="AY130" s="3"/>
      <c r="AZ130" s="3"/>
    </row>
    <row r="131" spans="16:52">
      <c r="P131" s="186" t="s">
        <v>58</v>
      </c>
      <c r="Q131" s="303">
        <v>564.66</v>
      </c>
      <c r="R131" s="303">
        <v>500</v>
      </c>
      <c r="S131" s="303">
        <v>500</v>
      </c>
      <c r="T131" s="409">
        <v>50</v>
      </c>
      <c r="U131" s="409">
        <v>50</v>
      </c>
      <c r="V131" s="545">
        <f t="shared" si="87"/>
        <v>4422.1499999999996</v>
      </c>
      <c r="W131" s="524" t="e">
        <f>$V131+IF($B$2="mil",1,0.0254)*$C53</f>
        <v>#REF!</v>
      </c>
      <c r="X131" s="524" t="e">
        <f>$Y$110 + IF($B$2="mil",1,0.0254)*DDR2Specs!$E$9</f>
        <v>#REF!</v>
      </c>
      <c r="Y131" s="547" t="e">
        <f>$X$110 + IF($B$2="mil",1,0.0254)*DDR2Specs!$F$9</f>
        <v>#REF!</v>
      </c>
      <c r="Z131" s="546" t="e">
        <f>IF($W131&lt;$X131,$X131-$W131,"Pass")</f>
        <v>#REF!</v>
      </c>
      <c r="AA131" s="547" t="e">
        <f>IF($W131&gt;$Y131,$W131-$Y131,"Pass")</f>
        <v>#REF!</v>
      </c>
      <c r="AB131" s="545">
        <f t="shared" si="89"/>
        <v>4422.1499999999996</v>
      </c>
      <c r="AC131" s="524" t="e">
        <f>$AB131+IF($B$2="mil",1,0.0254)*$C53</f>
        <v>#REF!</v>
      </c>
      <c r="AD131" s="524" t="e">
        <f>$AE$110 + IF($B$2="mil",1,0.0254)*DDR2Specs!$E$9</f>
        <v>#REF!</v>
      </c>
      <c r="AE131" s="524" t="e">
        <f>$AD$110 + IF($B$2="mil",1,0.0254)*DDR2Specs!$F$9</f>
        <v>#REF!</v>
      </c>
      <c r="AF131" s="546" t="e">
        <f>IF($AC131&lt;$AD131,$AD131-$AC131,"Pass")</f>
        <v>#REF!</v>
      </c>
      <c r="AG131" s="547" t="e">
        <f>IF($AC131&gt;$AE131,$AC131-$AE131,"Pass")</f>
        <v>#REF!</v>
      </c>
      <c r="AH131" s="554"/>
      <c r="AI131" s="554"/>
      <c r="AJ131" s="554"/>
      <c r="AK131" s="554"/>
      <c r="AL131" s="554"/>
      <c r="AM131" s="554"/>
      <c r="AN131" s="565" t="s">
        <v>58</v>
      </c>
      <c r="AO131" s="560" t="e">
        <f>IF(Q131&lt;=IF($B$2="mil",1,0.0254)*1000,"Pass",IF($B$2="mil",1,0.0254)*1000-Q131)</f>
        <v>#REF!</v>
      </c>
      <c r="AP131" s="554"/>
      <c r="AQ131" s="528" t="e">
        <f>IF($R131&lt;=IF($B$2="mil",1,0.0254)*750,"Pass",IF($B$2="mil",1,0.0254)*750-$R131)</f>
        <v>#REF!</v>
      </c>
      <c r="AR131" s="528" t="e">
        <f>IF($S131&lt;=IF($B$2="mil",1,0.0254)*750,"Pass",IF($B$2="mil",1,0.0254)*750-$S131)</f>
        <v>#REF!</v>
      </c>
      <c r="AS131" s="528" t="e">
        <f t="shared" ref="AS131:AT133" ca="1" si="100">CheckLength2(IF($B$2="mil",1,0.0254)*950,R131,T131,0)</f>
        <v>#NAME?</v>
      </c>
      <c r="AT131" s="528" t="e">
        <f t="shared" ca="1" si="100"/>
        <v>#NAME?</v>
      </c>
      <c r="AU131" s="528" t="e">
        <f>IF(AND(V131&gt;=IF($B$2="mil",1,0.0254)*500, $V131&lt;=IF($B$2="mil",1,0.0254)*6500),"Pass",IF($B$2="mil",1,0.0254)*6500-$V131)</f>
        <v>#REF!</v>
      </c>
      <c r="AV131" s="560" t="e">
        <f>IF(AND($W131&gt;=IF($B$2="mil",1,0.0254)*500, $W131&lt;=IF($B$2="mil",1,0.0254)*7000),"Pass",IF($B$2="mil",1,0.0254)*7000-$W131)</f>
        <v>#REF!</v>
      </c>
      <c r="AW131" s="528" t="e">
        <f>IF(AND($AB131&gt;=IF($B$2="mil",1,0.0254)*500, $AB131&lt;=IF($B$2="mil",1,0.0254)*6500),"Pass",IF($B$2="mil",1,0.0254)*6500-$AB131)</f>
        <v>#REF!</v>
      </c>
      <c r="AX131" s="529" t="e">
        <f>IF(AND($AC131&gt;=IF($B$2="mil",1,0.0254)*500, $AC131&lt;=IF($B$2="mil",1,0.0254)*7000),"Pass",IF($B$2="mil",1,0.0254)*7000-$AC131)</f>
        <v>#REF!</v>
      </c>
      <c r="AY131" s="162" t="e">
        <f t="shared" ca="1" si="98"/>
        <v>#REF!</v>
      </c>
      <c r="AZ131" s="3"/>
    </row>
    <row r="132" spans="16:52">
      <c r="P132" s="243" t="s">
        <v>59</v>
      </c>
      <c r="Q132" s="303">
        <v>578.77</v>
      </c>
      <c r="R132" s="303">
        <v>500</v>
      </c>
      <c r="S132" s="303">
        <v>500</v>
      </c>
      <c r="T132" s="409">
        <v>50</v>
      </c>
      <c r="U132" s="409">
        <v>50</v>
      </c>
      <c r="V132" s="545">
        <f t="shared" si="87"/>
        <v>4410.4499999999989</v>
      </c>
      <c r="W132" s="524" t="e">
        <f>$V132+IF($B$2="mil",1,0.0254)*$C54</f>
        <v>#REF!</v>
      </c>
      <c r="X132" s="524" t="e">
        <f>$Y$110 + IF($B$2="mil",1,0.0254)*DDR2Specs!$E$9</f>
        <v>#REF!</v>
      </c>
      <c r="Y132" s="547" t="e">
        <f>$X$110 + IF($B$2="mil",1,0.0254)*DDR2Specs!$F$9</f>
        <v>#REF!</v>
      </c>
      <c r="Z132" s="546" t="e">
        <f>IF($W132&lt;$X132,$X132-$W132,"Pass")</f>
        <v>#REF!</v>
      </c>
      <c r="AA132" s="547" t="e">
        <f>IF($W132&gt;$Y132,$W132-$Y132,"Pass")</f>
        <v>#REF!</v>
      </c>
      <c r="AB132" s="545">
        <f t="shared" si="89"/>
        <v>4410.45</v>
      </c>
      <c r="AC132" s="524" t="e">
        <f>$AB132+IF($B$2="mil",1,0.0254)*$C54</f>
        <v>#REF!</v>
      </c>
      <c r="AD132" s="524" t="e">
        <f>$AE$110 + IF($B$2="mil",1,0.0254)*DDR2Specs!$E$9</f>
        <v>#REF!</v>
      </c>
      <c r="AE132" s="524" t="e">
        <f>$AD$110 + IF($B$2="mil",1,0.0254)*DDR2Specs!$F$9</f>
        <v>#REF!</v>
      </c>
      <c r="AF132" s="546" t="e">
        <f>IF($AC132&lt;$AD132,$AD132-$AC132,"Pass")</f>
        <v>#REF!</v>
      </c>
      <c r="AG132" s="547" t="e">
        <f>IF($AC132&gt;$AE132,$AC132-$AE132,"Pass")</f>
        <v>#REF!</v>
      </c>
      <c r="AH132" s="554"/>
      <c r="AI132" s="554"/>
      <c r="AJ132" s="554"/>
      <c r="AK132" s="554"/>
      <c r="AL132" s="554"/>
      <c r="AM132" s="554"/>
      <c r="AN132" s="566" t="s">
        <v>59</v>
      </c>
      <c r="AO132" s="560" t="e">
        <f>IF(Q132&lt;=IF($B$2="mil",1,0.0254)*1000,"Pass",IF($B$2="mil",1,0.0254)*1000-Q132)</f>
        <v>#REF!</v>
      </c>
      <c r="AP132" s="554"/>
      <c r="AQ132" s="528" t="e">
        <f>IF($R132&lt;=IF($B$2="mil",1,0.0254)*750,"Pass",IF($B$2="mil",1,0.0254)*750-$R132)</f>
        <v>#REF!</v>
      </c>
      <c r="AR132" s="528" t="e">
        <f>IF($S132&lt;=IF($B$2="mil",1,0.0254)*750,"Pass",IF($B$2="mil",1,0.0254)*750-$S132)</f>
        <v>#REF!</v>
      </c>
      <c r="AS132" s="528" t="e">
        <f t="shared" ca="1" si="100"/>
        <v>#NAME?</v>
      </c>
      <c r="AT132" s="528" t="e">
        <f t="shared" ca="1" si="100"/>
        <v>#NAME?</v>
      </c>
      <c r="AU132" s="528" t="e">
        <f>IF(AND(V132&gt;=IF($B$2="mil",1,0.0254)*500, $V132&lt;=IF($B$2="mil",1,0.0254)*6500),"Pass",IF($B$2="mil",1,0.0254)*6500-$V132)</f>
        <v>#REF!</v>
      </c>
      <c r="AV132" s="560" t="e">
        <f>IF(AND($W132&gt;=IF($B$2="mil",1,0.0254)*500, $W132&lt;=IF($B$2="mil",1,0.0254)*7000),"Pass",IF($B$2="mil",1,0.0254)*7000-$W132)</f>
        <v>#REF!</v>
      </c>
      <c r="AW132" s="528" t="e">
        <f>IF(AND($AB132&gt;=IF($B$2="mil",1,0.0254)*500, $AB132&lt;=IF($B$2="mil",1,0.0254)*6500),"Pass",IF($B$2="mil",1,0.0254)*6500-$AB132)</f>
        <v>#REF!</v>
      </c>
      <c r="AX132" s="529" t="e">
        <f>IF(AND($AC132&gt;=IF($B$2="mil",1,0.0254)*500, $AC132&lt;=IF($B$2="mil",1,0.0254)*7000),"Pass",IF($B$2="mil",1,0.0254)*7000-$AC132)</f>
        <v>#REF!</v>
      </c>
      <c r="AY132" s="162" t="e">
        <f t="shared" ca="1" si="98"/>
        <v>#REF!</v>
      </c>
      <c r="AZ132" s="3"/>
    </row>
    <row r="133" spans="16:52">
      <c r="P133" s="243" t="s">
        <v>60</v>
      </c>
      <c r="Q133" s="303">
        <v>574.72</v>
      </c>
      <c r="R133" s="303">
        <v>500</v>
      </c>
      <c r="S133" s="303">
        <v>500</v>
      </c>
      <c r="T133" s="409">
        <v>50</v>
      </c>
      <c r="U133" s="409">
        <v>50</v>
      </c>
      <c r="V133" s="545">
        <f t="shared" si="87"/>
        <v>4340.1099999999997</v>
      </c>
      <c r="W133" s="524" t="e">
        <f>$V133+IF($B$2="mil",1,0.0254)*$C55</f>
        <v>#REF!</v>
      </c>
      <c r="X133" s="524" t="e">
        <f>$Y$110 + IF($B$2="mil",1,0.0254)*DDR2Specs!$E$9</f>
        <v>#REF!</v>
      </c>
      <c r="Y133" s="547" t="e">
        <f>$X$110 + IF($B$2="mil",1,0.0254)*DDR2Specs!$F$9</f>
        <v>#REF!</v>
      </c>
      <c r="Z133" s="546" t="e">
        <f>IF($W133&lt;$X133,$X133-$W133,"Pass")</f>
        <v>#REF!</v>
      </c>
      <c r="AA133" s="547" t="e">
        <f>IF($W133&gt;$Y133,$W133-$Y133,"Pass")</f>
        <v>#REF!</v>
      </c>
      <c r="AB133" s="545">
        <f t="shared" si="89"/>
        <v>4340.1099999999997</v>
      </c>
      <c r="AC133" s="524" t="e">
        <f>$AB133+IF($B$2="mil",1,0.0254)*$C55</f>
        <v>#REF!</v>
      </c>
      <c r="AD133" s="524" t="e">
        <f>$AE$110 + IF($B$2="mil",1,0.0254)*DDR2Specs!$E$9</f>
        <v>#REF!</v>
      </c>
      <c r="AE133" s="524" t="e">
        <f>$AD$110 + IF($B$2="mil",1,0.0254)*DDR2Specs!$F$9</f>
        <v>#REF!</v>
      </c>
      <c r="AF133" s="546" t="e">
        <f>IF($AC133&lt;$AD133,$AD133-$AC133,"Pass")</f>
        <v>#REF!</v>
      </c>
      <c r="AG133" s="547" t="e">
        <f>IF($AC133&gt;$AE133,$AC133-$AE133,"Pass")</f>
        <v>#REF!</v>
      </c>
      <c r="AH133" s="554"/>
      <c r="AI133" s="554"/>
      <c r="AJ133" s="554"/>
      <c r="AK133" s="554"/>
      <c r="AL133" s="554"/>
      <c r="AM133" s="554"/>
      <c r="AN133" s="566" t="s">
        <v>60</v>
      </c>
      <c r="AO133" s="560" t="e">
        <f>IF(Q133&lt;=IF($B$2="mil",1,0.0254)*1000,"Pass",IF($B$2="mil",1,0.0254)*1000-Q133)</f>
        <v>#REF!</v>
      </c>
      <c r="AP133" s="554"/>
      <c r="AQ133" s="528" t="e">
        <f>IF($R133&lt;=IF($B$2="mil",1,0.0254)*750,"Pass",IF($B$2="mil",1,0.0254)*750-$R133)</f>
        <v>#REF!</v>
      </c>
      <c r="AR133" s="528" t="e">
        <f>IF($S133&lt;=IF($B$2="mil",1,0.0254)*750,"Pass",IF($B$2="mil",1,0.0254)*750-$S133)</f>
        <v>#REF!</v>
      </c>
      <c r="AS133" s="528" t="e">
        <f t="shared" ca="1" si="100"/>
        <v>#NAME?</v>
      </c>
      <c r="AT133" s="528" t="e">
        <f t="shared" ca="1" si="100"/>
        <v>#NAME?</v>
      </c>
      <c r="AU133" s="528" t="e">
        <f>IF(AND(V133&gt;=IF($B$2="mil",1,0.0254)*500, $V133&lt;=IF($B$2="mil",1,0.0254)*6500),"Pass",IF($B$2="mil",1,0.0254)*6500-$V133)</f>
        <v>#REF!</v>
      </c>
      <c r="AV133" s="560" t="e">
        <f>IF(AND($W133&gt;=IF($B$2="mil",1,0.0254)*500, $W133&lt;=IF($B$2="mil",1,0.0254)*7000),"Pass",IF($B$2="mil",1,0.0254)*7000-$W133)</f>
        <v>#REF!</v>
      </c>
      <c r="AW133" s="528" t="e">
        <f>IF(AND($AB133&gt;=IF($B$2="mil",1,0.0254)*500, $AB133&lt;=IF($B$2="mil",1,0.0254)*6500),"Pass",IF($B$2="mil",1,0.0254)*6500-$AB133)</f>
        <v>#REF!</v>
      </c>
      <c r="AX133" s="529" t="e">
        <f>IF(AND($AC133&gt;=IF($B$2="mil",1,0.0254)*500, $AC133&lt;=IF($B$2="mil",1,0.0254)*7000),"Pass",IF($B$2="mil",1,0.0254)*7000-$AC133)</f>
        <v>#REF!</v>
      </c>
      <c r="AY133" s="162" t="e">
        <f t="shared" ca="1" si="98"/>
        <v>#REF!</v>
      </c>
      <c r="AZ133" s="3"/>
    </row>
    <row r="134" spans="16:52">
      <c r="V134" s="578"/>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row>
    <row r="139" spans="16:52">
      <c r="U139" s="1"/>
      <c r="V139"/>
    </row>
    <row r="140" spans="16:52">
      <c r="U140" s="1"/>
      <c r="V140"/>
    </row>
    <row r="141" spans="16:52">
      <c r="U141" s="1"/>
      <c r="V141"/>
    </row>
    <row r="142" spans="16:52">
      <c r="U142" s="1"/>
      <c r="V142"/>
    </row>
    <row r="143" spans="16:52">
      <c r="U143" s="1"/>
      <c r="V143"/>
    </row>
    <row r="144" spans="16:52">
      <c r="U144" s="1"/>
      <c r="V144"/>
    </row>
    <row r="145" spans="19:22">
      <c r="S145" s="1"/>
      <c r="V145"/>
    </row>
    <row r="146" spans="19:22">
      <c r="S146" s="1"/>
      <c r="V146"/>
    </row>
    <row r="147" spans="19:22">
      <c r="S147" s="1"/>
      <c r="V147"/>
    </row>
    <row r="148" spans="19:22">
      <c r="S148" s="1"/>
      <c r="V148"/>
    </row>
    <row r="149" spans="19:22">
      <c r="S149" s="1"/>
      <c r="V149"/>
    </row>
    <row r="150" spans="19:22">
      <c r="S150" s="1"/>
      <c r="V150"/>
    </row>
    <row r="151" spans="19:22">
      <c r="S151" s="1"/>
      <c r="V151"/>
    </row>
    <row r="152" spans="19:22">
      <c r="S152" s="1"/>
      <c r="V152"/>
    </row>
    <row r="153" spans="19:22">
      <c r="S153" s="1"/>
      <c r="V153"/>
    </row>
    <row r="154" spans="19:22">
      <c r="S154" s="1"/>
      <c r="V154"/>
    </row>
    <row r="155" spans="19:22">
      <c r="S155" s="1"/>
      <c r="V155"/>
    </row>
    <row r="156" spans="19:22">
      <c r="S156" s="1"/>
      <c r="V156"/>
    </row>
    <row r="157" spans="19:22">
      <c r="S157" s="1"/>
      <c r="V157"/>
    </row>
    <row r="158" spans="19:22">
      <c r="S158" s="1"/>
      <c r="V158"/>
    </row>
    <row r="159" spans="19:22">
      <c r="S159" s="1"/>
      <c r="V159"/>
    </row>
    <row r="160" spans="19:22">
      <c r="S160" s="1"/>
      <c r="V160"/>
    </row>
    <row r="161" spans="19:22">
      <c r="S161" s="1"/>
      <c r="V161"/>
    </row>
    <row r="162" spans="19:22">
      <c r="S162" s="1"/>
      <c r="V162"/>
    </row>
    <row r="163" spans="19:22">
      <c r="S163" s="1"/>
      <c r="V163"/>
    </row>
    <row r="164" spans="19:22">
      <c r="S164" s="1"/>
      <c r="V164"/>
    </row>
    <row r="165" spans="19:22">
      <c r="T165" s="1"/>
      <c r="V165"/>
    </row>
    <row r="166" spans="19:22">
      <c r="T166" s="1"/>
      <c r="V166"/>
    </row>
    <row r="167" spans="19:22">
      <c r="T167" s="1"/>
      <c r="V167"/>
    </row>
    <row r="168" spans="19:22">
      <c r="T168" s="1"/>
      <c r="V168"/>
    </row>
    <row r="169" spans="19:22">
      <c r="T169" s="1"/>
      <c r="V169"/>
    </row>
    <row r="170" spans="19:22">
      <c r="T170" s="1"/>
      <c r="V170"/>
    </row>
  </sheetData>
  <protectedRanges>
    <protectedRange sqref="E7:H20 E22:H24 E26:H28 J26:K28 J22:K24 J7:K20 E49:G51 E53:G55 J53:K55 J49:K51 R86:S99 J34:K47 P49:P51 Q127:S129 R105:S107 P53:P55 P34:P47 R75:S77 R60:S73 R79:S81 Q112:S125 E34:G47 R101:S103 Q131:S133" name="DDR2_COMMAND_8LTB"/>
  </protectedRanges>
  <mergeCells count="2">
    <mergeCell ref="A1:E1"/>
    <mergeCell ref="F1:G1"/>
  </mergeCells>
  <phoneticPr fontId="25" type="noConversion"/>
  <conditionalFormatting sqref="AO131:AO133 AO127:AO129 AQ105:AX107 AO105:AO107 AQ112:AX125 AM86:AM99 AO112:AO125 AF131:AG133 AF49:AG51 AF79:AG81 AF34:AG47 Z75:AA77 Z127:AA129 Z112:AA125 AF105:AG107 Z86:AA99 Z101:AA103 Z60:AA73 AF75:AG77 Z34:AA47 Z49:AA51 Z53:AA55 Z79:AA81 AF60:AG73 AF101:AG103 Z105:AA107 AF53:AG55 AF86:AG99 Z131:AA133 AF112:AG125 AF127:AG129 R7:S20 R22:S24 R26:S28 AO86:AO99 AQ79:AX81 U7:AX20 AI53:AX55 AI49:AX51 AQ75:AX77 AQ60:AX73 AQ101:AX103 AQ86:AX99 AQ127:AX129 AO101:AO103 AI34:AX47 AO60:AO73 AM101:AM103 AO79:AO81 U26:AX28 U22:AX24 AO75:AO77 AM105:AM107 AQ131:AX133">
    <cfRule type="cellIs" priority="1" stopIfTrue="1" operator="equal">
      <formula>"Pass"</formula>
    </cfRule>
    <cfRule type="cellIs" dxfId="101" priority="2" stopIfTrue="1" operator="notEqual">
      <formula>"Pass"</formula>
    </cfRule>
  </conditionalFormatting>
  <conditionalFormatting sqref="T26:T28 AH34:AH47 AH49:AH51 T22:T24 T7:T20 AH53:AH55">
    <cfRule type="cellIs" dxfId="100" priority="3" stopIfTrue="1" operator="equal">
      <formula>"Pass"</formula>
    </cfRule>
    <cfRule type="cellIs" dxfId="99" priority="4" stopIfTrue="1" operator="notEqual">
      <formula>"Pass"</formula>
    </cfRule>
  </conditionalFormatting>
  <conditionalFormatting sqref="A1 F1:Z1">
    <cfRule type="expression" dxfId="98" priority="5" stopIfTrue="1">
      <formula>$F$1 = "Fail"</formula>
    </cfRule>
    <cfRule type="expression" dxfId="97" priority="6" stopIfTrue="1">
      <formula>$F$1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26753" r:id="rId4">
          <objectPr defaultSize="0" autoPict="0" r:id="rId5">
            <anchor moveWithCells="1">
              <from>
                <xdr:col>0</xdr:col>
                <xdr:colOff>209550</xdr:colOff>
                <xdr:row>55</xdr:row>
                <xdr:rowOff>419100</xdr:rowOff>
              </from>
              <to>
                <xdr:col>7</xdr:col>
                <xdr:colOff>962025</xdr:colOff>
                <xdr:row>62</xdr:row>
                <xdr:rowOff>38100</xdr:rowOff>
              </to>
            </anchor>
          </objectPr>
        </oleObject>
      </mc:Choice>
      <mc:Fallback>
        <oleObject progId="Visio.Drawing.11" shapeId="26753" r:id="rId4"/>
      </mc:Fallback>
    </mc:AlternateContent>
    <mc:AlternateContent xmlns:mc="http://schemas.openxmlformats.org/markup-compatibility/2006">
      <mc:Choice Requires="x14">
        <oleObject progId="Visio.Drawing.11" shapeId="26754" r:id="rId6">
          <objectPr defaultSize="0" autoPict="0" r:id="rId7">
            <anchor moveWithCells="1">
              <from>
                <xdr:col>0</xdr:col>
                <xdr:colOff>1504950</xdr:colOff>
                <xdr:row>64</xdr:row>
                <xdr:rowOff>85725</xdr:rowOff>
              </from>
              <to>
                <xdr:col>12</xdr:col>
                <xdr:colOff>1257300</xdr:colOff>
                <xdr:row>89</xdr:row>
                <xdr:rowOff>95250</xdr:rowOff>
              </to>
            </anchor>
          </objectPr>
        </oleObject>
      </mc:Choice>
      <mc:Fallback>
        <oleObject progId="Visio.Drawing.11" shapeId="26754" r:id="rId6"/>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L69"/>
  <sheetViews>
    <sheetView topLeftCell="Z1" zoomScale="75" workbookViewId="0">
      <selection activeCell="AS27" sqref="AS27"/>
    </sheetView>
  </sheetViews>
  <sheetFormatPr defaultColWidth="9.140625"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10.28515625" style="3" customWidth="1"/>
    <col min="9" max="9" width="18.140625" style="3" customWidth="1"/>
    <col min="10" max="10" width="0.85546875" style="3" customWidth="1"/>
    <col min="11" max="11" width="10" style="3" bestFit="1" customWidth="1"/>
    <col min="12" max="12" width="0.85546875" style="3" customWidth="1"/>
    <col min="13" max="13" width="16" style="3" customWidth="1"/>
    <col min="14" max="14" width="17.140625" style="3" bestFit="1" customWidth="1"/>
    <col min="15" max="15" width="0.85546875" style="3" customWidth="1"/>
    <col min="16" max="16" width="12.7109375" style="3" customWidth="1"/>
    <col min="17" max="17" width="10.7109375" style="3" customWidth="1"/>
    <col min="18" max="18" width="14.42578125" style="3" customWidth="1"/>
    <col min="19" max="19" width="13.42578125" style="3" customWidth="1"/>
    <col min="20" max="21" width="13.5703125" style="3" customWidth="1"/>
    <col min="22" max="22" width="23.42578125" style="3" customWidth="1"/>
    <col min="23" max="23" width="23.5703125" style="3" customWidth="1"/>
    <col min="24" max="24" width="14.5703125" style="3" customWidth="1"/>
    <col min="25" max="25" width="16.85546875" style="3" customWidth="1"/>
    <col min="26" max="26" width="20" style="3" customWidth="1"/>
    <col min="27" max="27" width="14.85546875" style="3" customWidth="1"/>
    <col min="28" max="28" width="17.85546875" style="3" customWidth="1"/>
    <col min="29" max="29" width="11.5703125" style="3" customWidth="1"/>
    <col min="30" max="30" width="11.28515625" style="3" customWidth="1"/>
    <col min="31" max="31" width="11.85546875" style="3" customWidth="1"/>
    <col min="32" max="32" width="11.5703125" style="3" customWidth="1"/>
    <col min="33" max="33" width="17.42578125" style="3" customWidth="1"/>
    <col min="34" max="34" width="20.85546875" style="3" customWidth="1"/>
    <col min="35" max="36" width="18.140625" style="3" customWidth="1"/>
    <col min="37" max="37" width="15.28515625" style="3" customWidth="1"/>
    <col min="38" max="38" width="18" style="3" customWidth="1"/>
    <col min="39" max="39" width="23.7109375" style="3" customWidth="1"/>
    <col min="40" max="40" width="24.85546875" style="3" customWidth="1"/>
    <col min="41" max="46" width="14.7109375" style="3" customWidth="1"/>
    <col min="47" max="47" width="9" style="3" customWidth="1"/>
    <col min="48" max="48" width="8.85546875" style="3" customWidth="1"/>
    <col min="49" max="49" width="9.28515625" style="3" customWidth="1"/>
    <col min="50" max="50" width="9.140625" style="3"/>
    <col min="51" max="51" width="18" style="3" customWidth="1"/>
    <col min="52" max="52" width="13.85546875" style="3" customWidth="1"/>
    <col min="53" max="53" width="15.5703125" style="3" customWidth="1"/>
    <col min="54" max="54" width="10.7109375" style="3" customWidth="1"/>
    <col min="55" max="16384" width="9.140625" style="3"/>
  </cols>
  <sheetData>
    <row r="1" spans="1:36" ht="26.25">
      <c r="A1" s="1322" t="s">
        <v>20</v>
      </c>
      <c r="B1" s="1322"/>
      <c r="C1" s="1322"/>
      <c r="D1" s="1322"/>
      <c r="E1" s="1322"/>
      <c r="F1" s="1323" t="e">
        <f ca="1">IF(AND(AJ7="Pass",AJ8="Pass",AJ10="Pass",AJ11="Pass",AJ13="Pass",AJ14="Pass",AK20="Pass"),"Pass","Fail")</f>
        <v>#REF!</v>
      </c>
      <c r="G1" s="1323"/>
    </row>
    <row r="2" spans="1:36" s="97" customFormat="1">
      <c r="A2" s="473" t="s">
        <v>10</v>
      </c>
      <c r="B2" s="474" t="e">
        <f>MeasureUnits</f>
        <v>#REF!</v>
      </c>
      <c r="C2" s="98"/>
      <c r="D2" s="98"/>
      <c r="E2" s="98"/>
      <c r="F2" s="143"/>
      <c r="G2" s="143"/>
      <c r="H2" s="99"/>
      <c r="I2" s="99"/>
      <c r="J2" s="99"/>
      <c r="K2" s="99"/>
      <c r="L2" s="99"/>
      <c r="M2" s="99"/>
      <c r="N2" s="99"/>
      <c r="O2" s="99"/>
      <c r="P2" s="99"/>
      <c r="Q2" s="99"/>
      <c r="R2" s="99"/>
      <c r="S2" s="99"/>
      <c r="T2" s="99"/>
      <c r="U2" s="99"/>
      <c r="V2" s="99"/>
      <c r="W2" s="99"/>
      <c r="X2" s="99"/>
      <c r="Y2" s="99"/>
      <c r="Z2" s="99"/>
      <c r="AA2" s="265"/>
    </row>
    <row r="3" spans="1:36" s="154" customFormat="1" ht="45" customHeight="1">
      <c r="A3" s="144" t="s">
        <v>457</v>
      </c>
      <c r="B3" s="144" t="s">
        <v>420</v>
      </c>
      <c r="C3" s="219" t="s">
        <v>22</v>
      </c>
      <c r="D3" s="151"/>
      <c r="E3" s="148" t="e">
        <f>"EscapeLength L0 ["&amp;$B$2&amp;"]"</f>
        <v>#REF!</v>
      </c>
      <c r="F3" s="148" t="e">
        <f>"BreakoutLength L1["&amp; $B$2&amp;"]"</f>
        <v>#REF!</v>
      </c>
      <c r="G3" s="148" t="e">
        <f>"MainLength L2[" &amp;$B$2&amp; " ]"</f>
        <v>#REF!</v>
      </c>
      <c r="H3" s="148" t="e">
        <f>"BreakinLength S1  [" &amp;$B$2&amp;"]"</f>
        <v>#REF!</v>
      </c>
      <c r="I3" s="151" t="e">
        <f>"Via-to-via (SODIMM-to-Rt) L3 [" &amp;$B$2&amp;"]"</f>
        <v>#REF!</v>
      </c>
      <c r="J3" s="150"/>
      <c r="K3" s="151" t="e">
        <f>"Via-to-Rt L4 [" &amp;$B$2&amp;"]"</f>
        <v>#REF!</v>
      </c>
      <c r="L3" s="150"/>
      <c r="M3" s="149" t="e">
        <f>"Total MB Length(L0+L1+L2+S1)[" &amp;$B$2&amp;"]"</f>
        <v>#REF!</v>
      </c>
      <c r="N3" s="150" t="e">
        <f>"Total Pad-to-Pin Length (P1+L0+L1+L2+S1)[" &amp;$B$2&amp;"]"</f>
        <v>#REF!</v>
      </c>
      <c r="O3" s="151"/>
      <c r="P3" s="152" t="s">
        <v>23</v>
      </c>
      <c r="Q3" s="151" t="e">
        <f>"Target Min Length ["&amp;$B$2&amp;"]"</f>
        <v>#REF!</v>
      </c>
      <c r="R3" s="150" t="e">
        <f>"Target Max Length ["&amp;$B$2&amp;"]"</f>
        <v>#REF!</v>
      </c>
      <c r="S3" s="152" t="e">
        <f>"Routed Too Short [" &amp;$B$2&amp;"]"</f>
        <v>#REF!</v>
      </c>
      <c r="T3" s="151" t="e">
        <f>"Routed Too Long [" &amp;$B$2&amp;"]"</f>
        <v>#REF!</v>
      </c>
      <c r="U3" s="153" t="e">
        <f>"L0 Length Test (&lt;=" &amp; IF($B$2="mil",1,0.0254)*50&amp;$B$2&amp;")"</f>
        <v>#REF!</v>
      </c>
      <c r="V3" s="153" t="e">
        <f>"L1 Length Test (&lt;=" &amp; IF($B$2="mil",1,0.0254)*500&amp;$B$2&amp;")"</f>
        <v>#REF!</v>
      </c>
      <c r="W3" s="153" t="e">
        <f>"S1 Length test (&lt;=" &amp; IF($B$2="mil",1,0.0254)*200 &amp;$B$2&amp;")"</f>
        <v>#REF!</v>
      </c>
      <c r="X3" s="150" t="e">
        <f>"Total Length    (L0+L1+L2+S1) Test ("&amp;IF($B$2="mil",1,0.0254)*500&amp;"-"&amp;IF($B$2="mil",1,0.0254)*3500&amp;IF($B$2="mil","mil","mm")&amp;")"</f>
        <v>#REF!</v>
      </c>
      <c r="Y3" s="150" t="e">
        <f>"Total Length    (P1+L0+L1+L2+S1) Test (&lt;="&amp;IF($B$2="mil",1,25.4)*4000&amp;IF($B$2="mil","mil","mm")&amp;")"</f>
        <v>#REF!</v>
      </c>
      <c r="Z3" s="150" t="e">
        <f>"L3 Length Test (&lt;="&amp;IF($B$2="mil",1,0.0254)*1300&amp;$B$2&amp; ")"</f>
        <v>#REF!</v>
      </c>
      <c r="AA3" s="150" t="e">
        <f>"L4 Length Test (&lt;=" &amp; IF($B$2="mil",1,0.0254)*200&amp;$B$2&amp;") or (L3+L4&lt;= "&amp;IF($B$2="mil",1,0.0254)*1500&amp;$B$2&amp;")"</f>
        <v>#REF!</v>
      </c>
    </row>
    <row r="4" spans="1:36" s="162" customFormat="1" ht="12.75" customHeight="1">
      <c r="A4" s="460" t="s">
        <v>211</v>
      </c>
      <c r="B4" s="155"/>
      <c r="C4" s="155"/>
      <c r="D4" s="156"/>
      <c r="E4" s="156"/>
      <c r="F4" s="156"/>
      <c r="G4" s="156"/>
      <c r="H4" s="156"/>
      <c r="I4" s="156"/>
      <c r="J4" s="156"/>
      <c r="K4" s="156"/>
      <c r="L4" s="156"/>
      <c r="M4" s="156"/>
      <c r="N4" s="157"/>
      <c r="O4" s="156"/>
      <c r="P4" s="156"/>
      <c r="Q4" s="156"/>
      <c r="R4" s="156"/>
      <c r="S4" s="156"/>
      <c r="T4" s="156"/>
      <c r="U4" s="156"/>
      <c r="V4" s="156"/>
      <c r="W4" s="156"/>
      <c r="X4" s="156"/>
      <c r="Y4" s="156"/>
      <c r="Z4" s="156"/>
      <c r="AA4" s="271"/>
      <c r="AB4" s="159"/>
      <c r="AC4" s="161"/>
    </row>
    <row r="5" spans="1:36" s="162" customFormat="1" ht="11.25">
      <c r="A5" s="163" t="s">
        <v>18</v>
      </c>
      <c r="B5" s="164"/>
      <c r="C5" s="164"/>
      <c r="D5" s="165"/>
      <c r="E5" s="166"/>
      <c r="F5" s="166"/>
      <c r="G5" s="166"/>
      <c r="H5" s="166"/>
      <c r="I5" s="167"/>
      <c r="J5" s="167"/>
      <c r="K5" s="166"/>
      <c r="L5" s="167"/>
      <c r="M5" s="166"/>
      <c r="N5" s="168"/>
      <c r="O5" s="165"/>
      <c r="P5" s="579"/>
      <c r="Q5" s="536" t="e">
        <f>MIN('DDR2 Clocks - 2L'!$R$10:$R$13)</f>
        <v>#REF!</v>
      </c>
      <c r="R5" s="536" t="e">
        <f>MAX('DDR2 Clocks - 2L'!$R$10:$R$13)</f>
        <v>#REF!</v>
      </c>
      <c r="S5" s="168"/>
      <c r="T5" s="168"/>
      <c r="U5" s="168"/>
      <c r="V5" s="537"/>
      <c r="W5" s="538"/>
      <c r="X5" s="538"/>
      <c r="Y5" s="538"/>
      <c r="Z5" s="538"/>
      <c r="AA5" s="539"/>
      <c r="AB5" s="24"/>
      <c r="AC5" s="161"/>
    </row>
    <row r="6" spans="1:36" s="162" customFormat="1" ht="11.25">
      <c r="A6" s="460" t="s">
        <v>212</v>
      </c>
      <c r="B6" s="155"/>
      <c r="C6" s="155"/>
      <c r="D6" s="179"/>
      <c r="E6" s="180"/>
      <c r="F6" s="180"/>
      <c r="G6" s="180"/>
      <c r="H6" s="180"/>
      <c r="I6" s="181"/>
      <c r="J6" s="180"/>
      <c r="K6" s="181"/>
      <c r="L6" s="180"/>
      <c r="M6" s="180"/>
      <c r="N6" s="180"/>
      <c r="O6" s="179"/>
      <c r="P6" s="179"/>
      <c r="Q6" s="179"/>
      <c r="R6" s="531"/>
      <c r="S6" s="179"/>
      <c r="T6" s="179"/>
      <c r="U6" s="179"/>
      <c r="V6" s="179"/>
      <c r="W6" s="179"/>
      <c r="X6" s="179"/>
      <c r="Y6" s="179"/>
      <c r="Z6" s="179"/>
      <c r="AA6" s="533"/>
      <c r="AB6" s="6"/>
    </row>
    <row r="7" spans="1:36" s="162" customFormat="1">
      <c r="A7" s="559" t="s">
        <v>32</v>
      </c>
      <c r="B7" s="646" t="s">
        <v>340</v>
      </c>
      <c r="C7" s="635">
        <v>468.42519685039372</v>
      </c>
      <c r="D7" s="226"/>
      <c r="E7" s="621">
        <v>22.63</v>
      </c>
      <c r="F7" s="275">
        <v>0</v>
      </c>
      <c r="G7" s="622">
        <v>1700</v>
      </c>
      <c r="H7" s="622">
        <v>135.41999999999999</v>
      </c>
      <c r="I7" s="193">
        <v>0</v>
      </c>
      <c r="J7" s="191"/>
      <c r="K7" s="623">
        <v>41.81</v>
      </c>
      <c r="L7" s="357"/>
      <c r="M7" s="545">
        <f xml:space="preserve"> E7+F7+G7+H7</f>
        <v>1858.0500000000002</v>
      </c>
      <c r="N7" s="534" t="e">
        <f>IF($B$2="mil",1,0.0254)*C7+ M7</f>
        <v>#REF!</v>
      </c>
      <c r="O7" s="523"/>
      <c r="P7" s="534" t="e">
        <f>N7-($Q$5-1250)</f>
        <v>#REF!</v>
      </c>
      <c r="Q7" s="524" t="e">
        <f>MAX($Q$5:$R$5)+IF($B$2="mil",1,0.0254)*DDR2Specs!$B$6</f>
        <v>#REF!</v>
      </c>
      <c r="R7" s="524" t="e">
        <f>MIN($Q$5:$R$5)+IF($B$2="mil",1,0.0254)*DDR2Specs!$C$6</f>
        <v>#REF!</v>
      </c>
      <c r="S7" s="546" t="e">
        <f>IF($N7&lt;$Q7,$Q7-$N7,"Pass")</f>
        <v>#REF!</v>
      </c>
      <c r="T7" s="547" t="e">
        <f>IF($N7&gt;$R7,$N7-$R7,"Pass")</f>
        <v>#REF!</v>
      </c>
      <c r="U7" s="527" t="e">
        <f>IF($E7&lt;=IF($B$2="mil",1,0.0254)*50,"Pass",IF($B$2="mil",1,0.0254)*50-$E7)</f>
        <v>#REF!</v>
      </c>
      <c r="V7" s="528" t="e">
        <f>IF($F7&lt;=IF($B$2="mil",1,0.0254)*500,"Pass",IF($B$2="mil",1,0.0254)*500-$F7)</f>
        <v>#REF!</v>
      </c>
      <c r="W7" s="528" t="e">
        <f>IF($H7&lt;=IF($B$2="mil",1,0.0254)*200,"Pass",IF($B$2="mil",1,0.0254)*200-$H7)</f>
        <v>#REF!</v>
      </c>
      <c r="X7" s="528" t="e">
        <f>IF(AND($M7&gt;=IF($B$2="mil",1,0.0254)*500, $M7&lt;=IF($B$2="mil",1,0.0254)*3500),"Pass",IF($B$2="mil",1,0.0254)*3500-$M7)</f>
        <v>#REF!</v>
      </c>
      <c r="Y7" s="528" t="e">
        <f>IF(AND($N7&gt;=IF($B$2="mil",1,0.0254)*500, $N7&lt;=IF($B$2="mil",1,0.0254)*4000),"Pass",IF($B$2="mil",1,0.0254)*4000-$N7)</f>
        <v>#REF!</v>
      </c>
      <c r="Z7" s="528" t="e">
        <f>IF((I7&lt;=IF($B$2="mil",1,0.0254)*1300),"Pass",IF($B$2="mil",1,0.0254)*1300-I7)</f>
        <v>#REF!</v>
      </c>
      <c r="AA7" s="529" t="e">
        <f ca="1">CheckLength2(IF($B$2="mil",1,0.0254)*1500,I7,K7,0)</f>
        <v>#NAME?</v>
      </c>
      <c r="AB7" s="6"/>
      <c r="AJ7" s="162" t="e">
        <f ca="1">IF(AND(U7="Pass",Z7="Pass",Y7="Pass",X7="Pass",W7="Pass",V7="Pass",S7="Pass",T7="Pass",AA7="Pass"),"Pass","Fail")</f>
        <v>#REF!</v>
      </c>
    </row>
    <row r="8" spans="1:36" s="162" customFormat="1">
      <c r="A8" s="559" t="s">
        <v>34</v>
      </c>
      <c r="B8" s="646" t="s">
        <v>338</v>
      </c>
      <c r="C8" s="635">
        <v>270.6692913385827</v>
      </c>
      <c r="D8" s="227"/>
      <c r="E8" s="621">
        <v>22.63</v>
      </c>
      <c r="F8" s="275">
        <v>0</v>
      </c>
      <c r="G8" s="622">
        <v>1700</v>
      </c>
      <c r="H8" s="622">
        <v>126.24</v>
      </c>
      <c r="I8" s="193">
        <v>0</v>
      </c>
      <c r="J8" s="191"/>
      <c r="K8" s="623">
        <v>32.5</v>
      </c>
      <c r="L8" s="357"/>
      <c r="M8" s="545">
        <f xml:space="preserve"> E8+F8+G8+H8</f>
        <v>1848.8700000000001</v>
      </c>
      <c r="N8" s="534" t="e">
        <f>IF($B$2="mil",1,0.0254)*C8+ M8</f>
        <v>#REF!</v>
      </c>
      <c r="O8" s="530"/>
      <c r="P8" s="534" t="e">
        <f>N8-($Q$5-1250)</f>
        <v>#REF!</v>
      </c>
      <c r="Q8" s="524" t="e">
        <f>MAX($Q$5:$R$5)+IF($B$2="mil",1,0.0254)*DDR2Specs!$B$6</f>
        <v>#REF!</v>
      </c>
      <c r="R8" s="524" t="e">
        <f>MIN($Q$5:$R$5)+IF($B$2="mil",1,0.0254)*DDR2Specs!$C$6</f>
        <v>#REF!</v>
      </c>
      <c r="S8" s="546" t="e">
        <f>IF($N8&lt;$Q8,$Q8-$N8,"Pass")</f>
        <v>#REF!</v>
      </c>
      <c r="T8" s="547" t="e">
        <f>IF($N8&gt;$R8,$N8-$R8,"Pass")</f>
        <v>#REF!</v>
      </c>
      <c r="U8" s="527" t="e">
        <f>IF($E8&lt;=IF($B$2="mil",1,0.0254)*50,"Pass",IF($B$2="mil",1,0.0254)*50-$E8)</f>
        <v>#REF!</v>
      </c>
      <c r="V8" s="528" t="e">
        <f>IF($F8&lt;=IF($B$2="mil",1,0.0254)*500,"Pass",IF($B$2="mil",1,0.0254)*500-$F8)</f>
        <v>#REF!</v>
      </c>
      <c r="W8" s="528" t="e">
        <f>IF($H8&lt;=IF($B$2="mil",1,0.0254)*200,"Pass",IF($B$2="mil",1,0.0254)*200-$H8)</f>
        <v>#REF!</v>
      </c>
      <c r="X8" s="528" t="e">
        <f>IF(AND($M8&gt;=IF($B$2="mil",1,0.0254)*500, $M8&lt;=IF($B$2="mil",1,0.0254)*3500),"Pass",IF($B$2="mil",1,0.0254)*3500-$M8)</f>
        <v>#REF!</v>
      </c>
      <c r="Y8" s="528" t="e">
        <f>IF(AND($N8&gt;=IF($B$2="mil",1,0.0254)*500, $N8&lt;=IF($B$2="mil",1,0.0254)*4000),"Pass",IF($B$2="mil",1,0.0254)*4000-$N8)</f>
        <v>#REF!</v>
      </c>
      <c r="Z8" s="528" t="e">
        <f t="shared" ref="Z8:Z14" si="0">IF((I8&lt;=IF($B$2="mil",1,0.0254)*1300),"Pass",IF($B$2="mil",1,0.0254)*1300-I8)</f>
        <v>#REF!</v>
      </c>
      <c r="AA8" s="529" t="e">
        <f ca="1">CheckLength2(IF($B$2="mil",1,0.0254)*1500,I8,K8,0)</f>
        <v>#NAME?</v>
      </c>
      <c r="AB8" s="6"/>
      <c r="AJ8" s="162" t="e">
        <f ca="1">IF(AND(U8="Pass",Z8="Pass",Y8="Pass",X8="Pass",W8="Pass",V8="Pass",S8="Pass",T8="Pass",AA8="Pass"),"Pass","Fail")</f>
        <v>#REF!</v>
      </c>
    </row>
    <row r="9" spans="1:36" s="213" customFormat="1" ht="12">
      <c r="A9" s="460" t="s">
        <v>208</v>
      </c>
      <c r="B9" s="155"/>
      <c r="C9" s="639"/>
      <c r="D9" s="179"/>
      <c r="E9" s="354"/>
      <c r="F9" s="355"/>
      <c r="G9" s="356"/>
      <c r="H9" s="356"/>
      <c r="I9" s="358"/>
      <c r="J9" s="208"/>
      <c r="K9" s="358"/>
      <c r="L9" s="207"/>
      <c r="M9" s="580"/>
      <c r="N9" s="207"/>
      <c r="O9" s="207"/>
      <c r="P9" s="207"/>
      <c r="Q9" s="207"/>
      <c r="R9" s="207"/>
      <c r="S9" s="571"/>
      <c r="T9" s="571"/>
      <c r="U9" s="571"/>
      <c r="V9" s="548"/>
      <c r="W9" s="548"/>
      <c r="X9" s="430"/>
      <c r="Y9" s="430"/>
      <c r="Z9" s="430"/>
      <c r="AA9" s="430"/>
      <c r="AB9" s="75"/>
      <c r="AJ9" s="162"/>
    </row>
    <row r="10" spans="1:36" s="162" customFormat="1">
      <c r="A10" s="559" t="s">
        <v>35</v>
      </c>
      <c r="B10" s="646" t="s">
        <v>85</v>
      </c>
      <c r="C10" s="635">
        <v>361.10236220472444</v>
      </c>
      <c r="D10" s="226"/>
      <c r="E10" s="621">
        <v>22.63</v>
      </c>
      <c r="F10" s="275">
        <v>0</v>
      </c>
      <c r="G10" s="622">
        <v>1700</v>
      </c>
      <c r="H10" s="622">
        <v>89.36</v>
      </c>
      <c r="I10" s="194">
        <v>0</v>
      </c>
      <c r="J10" s="624"/>
      <c r="K10" s="623">
        <v>85.78</v>
      </c>
      <c r="L10" s="357"/>
      <c r="M10" s="545">
        <f xml:space="preserve"> E10+F10+G10+H10</f>
        <v>1811.99</v>
      </c>
      <c r="N10" s="534" t="e">
        <f>IF($B$2="mil",1,0.0254)*C10+ M10</f>
        <v>#REF!</v>
      </c>
      <c r="O10" s="523"/>
      <c r="P10" s="534" t="e">
        <f>N10-($Q$5-1250)</f>
        <v>#REF!</v>
      </c>
      <c r="Q10" s="524" t="e">
        <f>MAX($Q$5:$R$5)+IF($B$2="mil",1,0.0254)*DDR2Specs!$B$6</f>
        <v>#REF!</v>
      </c>
      <c r="R10" s="524" t="e">
        <f>MIN($Q$5:$R$5)+IF($B$2="mil",1,0.0254)*DDR2Specs!$C$6</f>
        <v>#REF!</v>
      </c>
      <c r="S10" s="546" t="e">
        <f>IF($N10&lt;$Q10,$Q10-$N10,"Pass")</f>
        <v>#REF!</v>
      </c>
      <c r="T10" s="547" t="e">
        <f>IF($N10&gt;$R10,$N10-$R10,"Pass")</f>
        <v>#REF!</v>
      </c>
      <c r="U10" s="527" t="e">
        <f>IF($E10&lt;=IF($B$2="mil",1,0.0254)*50,"Pass",IF($B$2="mil",1,0.0254)*50-$E10)</f>
        <v>#REF!</v>
      </c>
      <c r="V10" s="528" t="e">
        <f>IF($F10&lt;=IF($B$2="mil",1,0.0254)*500,"Pass",IF($B$2="mil",1,0.0254)*500-$F10)</f>
        <v>#REF!</v>
      </c>
      <c r="W10" s="528" t="e">
        <f>IF($H10&lt;=IF($B$2="mil",1,0.0254)*200,"Pass",IF($B$2="mil",1,0.0254)*200-$H10)</f>
        <v>#REF!</v>
      </c>
      <c r="X10" s="528" t="e">
        <f>IF(AND($M10&gt;=IF($B$2="mil",1,0.0254)*500, $M10&lt;=IF($B$2="mil",1,0.0254)*3500),"Pass",IF($B$2="mil",1,0.0254)*3500-$M10)</f>
        <v>#REF!</v>
      </c>
      <c r="Y10" s="528" t="e">
        <f>IF(AND($N10&gt;=IF($B$2="mil",1,0.0254)*500, $N10&lt;=IF($B$2="mil",1,0.0254)*4000),"Pass",IF($B$2="mil",1,0.0254)*4000-$N10)</f>
        <v>#REF!</v>
      </c>
      <c r="Z10" s="528" t="e">
        <f t="shared" si="0"/>
        <v>#REF!</v>
      </c>
      <c r="AA10" s="529" t="e">
        <f ca="1">CheckLength2(IF($B$2="mil",1,0.0254)*1500,I10,K10,0)</f>
        <v>#NAME?</v>
      </c>
      <c r="AB10" s="6"/>
      <c r="AJ10" s="162" t="e">
        <f ca="1">IF(AND(U10="Pass",Z10="Pass",Y10="Pass",X10="Pass",W10="Pass",V10="Pass",S10="Pass",T10="Pass",AA10="Pass"),"Pass","Fail")</f>
        <v>#REF!</v>
      </c>
    </row>
    <row r="11" spans="1:36" s="162" customFormat="1">
      <c r="A11" s="559" t="s">
        <v>36</v>
      </c>
      <c r="B11" s="646" t="s">
        <v>333</v>
      </c>
      <c r="C11" s="635">
        <v>365.03937007874021</v>
      </c>
      <c r="D11" s="228"/>
      <c r="E11" s="621">
        <v>22.63</v>
      </c>
      <c r="F11" s="275">
        <v>0</v>
      </c>
      <c r="G11" s="622">
        <v>1700</v>
      </c>
      <c r="H11" s="622">
        <v>126.78</v>
      </c>
      <c r="I11" s="194">
        <v>0</v>
      </c>
      <c r="J11" s="624"/>
      <c r="K11" s="623">
        <v>42.5</v>
      </c>
      <c r="L11" s="357"/>
      <c r="M11" s="545">
        <f xml:space="preserve"> E11+F11+G11+H11</f>
        <v>1849.41</v>
      </c>
      <c r="N11" s="534" t="e">
        <f>IF($B$2="mil",1,0.0254)*C11+ M11</f>
        <v>#REF!</v>
      </c>
      <c r="O11" s="581"/>
      <c r="P11" s="534" t="e">
        <f>N11-($Q$5-1250)</f>
        <v>#REF!</v>
      </c>
      <c r="Q11" s="524" t="e">
        <f>MAX($Q$5:$R$5)+IF($B$2="mil",1,0.0254)*DDR2Specs!$B$6</f>
        <v>#REF!</v>
      </c>
      <c r="R11" s="524" t="e">
        <f>MIN($Q$5:$R$5)+IF($B$2="mil",1,0.0254)*DDR2Specs!$C$6</f>
        <v>#REF!</v>
      </c>
      <c r="S11" s="546" t="e">
        <f>IF($N11&lt;$Q11,$Q11-$N11,"Pass")</f>
        <v>#REF!</v>
      </c>
      <c r="T11" s="547" t="e">
        <f>IF($N11&gt;$R11,$N11-$R11,"Pass")</f>
        <v>#REF!</v>
      </c>
      <c r="U11" s="527" t="e">
        <f>IF($E11&lt;=IF($B$2="mil",1,0.0254)*50,"Pass",IF($B$2="mil",1,0.0254)*50-$E11)</f>
        <v>#REF!</v>
      </c>
      <c r="V11" s="528" t="e">
        <f>IF($F11&lt;=IF($B$2="mil",1,0.0254)*500,"Pass",IF($B$2="mil",1,0.0254)*500-$F11)</f>
        <v>#REF!</v>
      </c>
      <c r="W11" s="528" t="e">
        <f>IF($H11&lt;=IF($B$2="mil",1,0.0254)*200,"Pass",IF($B$2="mil",1,0.0254)*200-$H11)</f>
        <v>#REF!</v>
      </c>
      <c r="X11" s="528" t="e">
        <f>IF(AND($M11&gt;=IF($B$2="mil",1,0.0254)*500, $M11&lt;=IF($B$2="mil",1,0.0254)*3500),"Pass",IF($B$2="mil",1,0.0254)*3500-$M11)</f>
        <v>#REF!</v>
      </c>
      <c r="Y11" s="528" t="e">
        <f>IF(AND($N11&gt;=IF($B$2="mil",1,0.0254)*500, $N11&lt;=IF($B$2="mil",1,0.0254)*4000),"Pass",IF($B$2="mil",1,0.0254)*4000-$N11)</f>
        <v>#REF!</v>
      </c>
      <c r="Z11" s="528" t="e">
        <f t="shared" si="0"/>
        <v>#REF!</v>
      </c>
      <c r="AA11" s="529" t="e">
        <f ca="1">CheckLength2(IF($B$2="mil",1,0.0254)*1500,I11,K11,0)</f>
        <v>#NAME?</v>
      </c>
      <c r="AB11" s="6"/>
      <c r="AJ11" s="162" t="e">
        <f ca="1">IF(AND(U11="Pass",Z11="Pass",Y11="Pass",X11="Pass",W11="Pass",V11="Pass",S11="Pass",T11="Pass",AA11="Pass"),"Pass","Fail")</f>
        <v>#REF!</v>
      </c>
    </row>
    <row r="12" spans="1:36" s="213" customFormat="1" ht="12">
      <c r="A12" s="460" t="s">
        <v>209</v>
      </c>
      <c r="B12" s="155"/>
      <c r="C12" s="639"/>
      <c r="D12" s="179"/>
      <c r="E12" s="354"/>
      <c r="F12" s="355"/>
      <c r="G12" s="356"/>
      <c r="H12" s="356"/>
      <c r="I12" s="625"/>
      <c r="J12" s="626"/>
      <c r="K12" s="625"/>
      <c r="L12" s="207"/>
      <c r="M12" s="580"/>
      <c r="N12" s="207"/>
      <c r="O12" s="207"/>
      <c r="P12" s="207"/>
      <c r="Q12" s="207"/>
      <c r="R12" s="207"/>
      <c r="S12" s="571"/>
      <c r="T12" s="571"/>
      <c r="U12" s="571"/>
      <c r="V12" s="548"/>
      <c r="W12" s="548"/>
      <c r="X12" s="430"/>
      <c r="Y12" s="430"/>
      <c r="Z12" s="430"/>
      <c r="AA12" s="430"/>
      <c r="AB12" s="75"/>
      <c r="AJ12" s="162"/>
    </row>
    <row r="13" spans="1:36" s="162" customFormat="1">
      <c r="A13" s="559" t="s">
        <v>37</v>
      </c>
      <c r="B13" s="646" t="s">
        <v>316</v>
      </c>
      <c r="C13" s="635">
        <v>280.70866141732284</v>
      </c>
      <c r="D13" s="226"/>
      <c r="E13" s="621">
        <v>22.63</v>
      </c>
      <c r="F13" s="275">
        <v>0</v>
      </c>
      <c r="G13" s="622">
        <v>1700</v>
      </c>
      <c r="H13" s="622">
        <v>126.91</v>
      </c>
      <c r="I13" s="194">
        <v>0</v>
      </c>
      <c r="J13" s="624"/>
      <c r="K13" s="623">
        <v>32.5</v>
      </c>
      <c r="L13" s="357"/>
      <c r="M13" s="545">
        <f xml:space="preserve"> E13+F13+G13+H13</f>
        <v>1849.5400000000002</v>
      </c>
      <c r="N13" s="534" t="e">
        <f>IF($B$2="mil",1,0.0254)*C13+ M13</f>
        <v>#REF!</v>
      </c>
      <c r="O13" s="523"/>
      <c r="P13" s="534" t="e">
        <f>N13-($Q$5-1250)</f>
        <v>#REF!</v>
      </c>
      <c r="Q13" s="524" t="e">
        <f>MAX($Q$5:$R$5)+IF($B$2="mil",1,0.0254)*DDR2Specs!$B$6</f>
        <v>#REF!</v>
      </c>
      <c r="R13" s="524" t="e">
        <f>MIN($Q$5:$R$5)+IF($B$2="mil",1,0.0254)*DDR2Specs!$C$6</f>
        <v>#REF!</v>
      </c>
      <c r="S13" s="546" t="e">
        <f>IF($N13&lt;$Q13,$Q13-$N13,"Pass")</f>
        <v>#REF!</v>
      </c>
      <c r="T13" s="547" t="e">
        <f>IF($N13&gt;$R13,$N13-$R13,"Pass")</f>
        <v>#REF!</v>
      </c>
      <c r="U13" s="527" t="e">
        <f>IF($E13&lt;=IF($B$2="mil",1,0.0254)*50,"Pass",IF($B$2="mil",1,0.0254)*50-$E13)</f>
        <v>#REF!</v>
      </c>
      <c r="V13" s="528" t="e">
        <f>IF($F13&lt;=IF($B$2="mil",1,0.0254)*500,"Pass",IF($B$2="mil",1,0.0254)*500-$F13)</f>
        <v>#REF!</v>
      </c>
      <c r="W13" s="528" t="e">
        <f>IF($H13&lt;=IF($B$2="mil",1,0.0254)*200,"Pass",IF($B$2="mil",1,0.0254)*200-$H13)</f>
        <v>#REF!</v>
      </c>
      <c r="X13" s="528" t="e">
        <f>IF(AND($M13&gt;=IF($B$2="mil",1,0.0254)*500, $M13&lt;=IF($B$2="mil",1,0.0254)*3500),"Pass",IF($B$2="mil",1,0.0254)*3500-$M13)</f>
        <v>#REF!</v>
      </c>
      <c r="Y13" s="528" t="e">
        <f>IF(AND($N13&gt;=IF($B$2="mil",1,0.0254)*500, $N13&lt;=IF($B$2="mil",1,0.0254)*4000),"Pass",IF($B$2="mil",1,0.0254)*4000-$N13)</f>
        <v>#REF!</v>
      </c>
      <c r="Z13" s="528" t="e">
        <f t="shared" si="0"/>
        <v>#REF!</v>
      </c>
      <c r="AA13" s="529" t="e">
        <f ca="1">CheckLength2(IF($B$2="mil",1,0.0254)*1500,I13,K13,0)</f>
        <v>#NAME?</v>
      </c>
      <c r="AB13" s="6"/>
      <c r="AJ13" s="162" t="e">
        <f ca="1">IF(AND(U13="Pass",Z13="Pass",Y13="Pass",X13="Pass",W13="Pass",V13="Pass",S13="Pass",T13="Pass",AA13="Pass"),"Pass","Fail")</f>
        <v>#REF!</v>
      </c>
    </row>
    <row r="14" spans="1:36" s="162" customFormat="1">
      <c r="A14" s="559" t="s">
        <v>38</v>
      </c>
      <c r="B14" s="646" t="s">
        <v>337</v>
      </c>
      <c r="C14" s="635">
        <v>459.64566929133861</v>
      </c>
      <c r="D14" s="227"/>
      <c r="E14" s="621">
        <v>22.63</v>
      </c>
      <c r="F14" s="275">
        <v>0</v>
      </c>
      <c r="G14" s="622">
        <v>1700</v>
      </c>
      <c r="H14" s="622">
        <v>132.19999999999999</v>
      </c>
      <c r="I14" s="194">
        <v>0</v>
      </c>
      <c r="J14" s="624"/>
      <c r="K14" s="623">
        <v>44.57</v>
      </c>
      <c r="L14" s="357"/>
      <c r="M14" s="545">
        <f xml:space="preserve"> E14+F14+G14+H14</f>
        <v>1854.8300000000002</v>
      </c>
      <c r="N14" s="534" t="e">
        <f>IF($B$2="mil",1,0.0254)*C14+ M14</f>
        <v>#REF!</v>
      </c>
      <c r="O14" s="530"/>
      <c r="P14" s="534" t="e">
        <f>N14-($Q$5-1250)</f>
        <v>#REF!</v>
      </c>
      <c r="Q14" s="524" t="e">
        <f>MAX($Q$5:$R$5)+IF($B$2="mil",1,0.0254)*DDR2Specs!$B$6</f>
        <v>#REF!</v>
      </c>
      <c r="R14" s="524" t="e">
        <f>MIN($Q$5:$R$5)+IF($B$2="mil",1,0.0254)*DDR2Specs!$C$6</f>
        <v>#REF!</v>
      </c>
      <c r="S14" s="546" t="e">
        <f>IF($N14&lt;$Q14,$Q14-$N14,"Pass")</f>
        <v>#REF!</v>
      </c>
      <c r="T14" s="547" t="e">
        <f>IF($N14&gt;$R14,$N14-$R14,"Pass")</f>
        <v>#REF!</v>
      </c>
      <c r="U14" s="527" t="e">
        <f>IF($E14&lt;=IF($B$2="mil",1,0.0254)*50,"Pass",IF($B$2="mil",1,0.0254)*50-$E14)</f>
        <v>#REF!</v>
      </c>
      <c r="V14" s="528" t="e">
        <f>IF($F14&lt;=IF($B$2="mil",1,0.0254)*500,"Pass",IF($B$2="mil",1,0.0254)*500-$F14)</f>
        <v>#REF!</v>
      </c>
      <c r="W14" s="528" t="e">
        <f>IF($H14&lt;=IF($B$2="mil",1,0.0254)*200,"Pass",IF($B$2="mil",1,0.0254)*200-$H14)</f>
        <v>#REF!</v>
      </c>
      <c r="X14" s="528" t="e">
        <f>IF(AND($M14&gt;=IF($B$2="mil",1,0.0254)*500, $M14&lt;=IF($B$2="mil",1,0.0254)*3500),"Pass",IF($B$2="mil",1,0.0254)*3500-$M14)</f>
        <v>#REF!</v>
      </c>
      <c r="Y14" s="528" t="e">
        <f>IF(AND($N14&gt;=IF($B$2="mil",1,0.0254)*500, $N14&lt;=IF($B$2="mil",1,0.0254)*4000),"Pass",IF($B$2="mil",1,0.0254)*4000-$N14)</f>
        <v>#REF!</v>
      </c>
      <c r="Z14" s="528" t="e">
        <f t="shared" si="0"/>
        <v>#REF!</v>
      </c>
      <c r="AA14" s="529" t="e">
        <f ca="1">CheckLength2(IF($B$2="mil",1,0.0254)*1500,I14,K14,0)</f>
        <v>#NAME?</v>
      </c>
      <c r="AB14" s="6"/>
      <c r="AJ14" s="162" t="e">
        <f ca="1">IF(AND(U14="Pass",Z14="Pass",Y14="Pass",X14="Pass",W14="Pass",V14="Pass",S14="Pass",T14="Pass",AA14="Pass"),"Pass","Fail")</f>
        <v>#REF!</v>
      </c>
    </row>
    <row r="15" spans="1:36" ht="12.75" customHeight="1">
      <c r="A15" s="574"/>
      <c r="B15" s="582"/>
      <c r="C15" s="644"/>
      <c r="D15" s="42"/>
      <c r="E15" s="42"/>
      <c r="F15" s="475"/>
      <c r="G15" s="42"/>
      <c r="H15" s="42"/>
      <c r="I15" s="42"/>
      <c r="J15" s="42"/>
      <c r="K15" s="42"/>
      <c r="L15" s="42"/>
      <c r="M15" s="582"/>
      <c r="N15" s="582"/>
      <c r="O15" s="582"/>
      <c r="P15" s="582"/>
      <c r="Q15" s="582"/>
      <c r="R15" s="582"/>
      <c r="S15" s="582"/>
      <c r="T15" s="582"/>
      <c r="U15" s="582"/>
      <c r="V15" s="583"/>
      <c r="W15" s="582"/>
      <c r="X15" s="584"/>
      <c r="Y15" s="582"/>
      <c r="Z15" s="582"/>
      <c r="AA15" s="585"/>
      <c r="AB15" s="554"/>
    </row>
    <row r="16" spans="1:36" s="154" customFormat="1" ht="22.5">
      <c r="A16" s="555" t="s">
        <v>457</v>
      </c>
      <c r="B16" s="550" t="s">
        <v>420</v>
      </c>
      <c r="C16" s="643" t="s">
        <v>22</v>
      </c>
      <c r="D16" s="151"/>
      <c r="E16" s="148" t="e">
        <f>"EscapeLength L0 ["&amp;$B$2&amp;"]"</f>
        <v>#REF!</v>
      </c>
      <c r="F16" s="148" t="e">
        <f>"BreakoutLength L1["&amp; $B$2&amp;"]"</f>
        <v>#REF!</v>
      </c>
      <c r="G16" s="148" t="e">
        <f>"MainLength L2[" &amp;$B$2&amp; " ]"</f>
        <v>#REF!</v>
      </c>
      <c r="H16" s="148"/>
      <c r="I16" s="151" t="e">
        <f>"Via-to-via (SODIMM-to-Rt) L3 [" &amp;$B$2&amp;"]"</f>
        <v>#REF!</v>
      </c>
      <c r="J16" s="150"/>
      <c r="K16" s="151" t="e">
        <f>"Via-to-Rt L4 [" &amp;$B$2&amp;"]"</f>
        <v>#REF!</v>
      </c>
      <c r="L16" s="150"/>
      <c r="M16" s="144" t="e">
        <f>"Trace L5 ["&amp;$B$2&amp;"]"</f>
        <v>#REF!</v>
      </c>
      <c r="N16" s="144" t="e">
        <f>"Trace L6-1 ["&amp;$B$2&amp;"]"</f>
        <v>#REF!</v>
      </c>
      <c r="O16" s="144"/>
      <c r="P16" s="144" t="e">
        <f>"Trace L7-1 ["&amp;$B$2&amp;"]"</f>
        <v>#REF!</v>
      </c>
      <c r="Q16" s="144" t="e">
        <f>"Trace L8-1 ["&amp;$B$2&amp;"]"</f>
        <v>#REF!</v>
      </c>
      <c r="R16" s="144" t="e">
        <f>"Total MB Length to U1 (L0+L1+L2+L5+L6-1+L7-1+L8-1) ["&amp;$B$2&amp;"]"</f>
        <v>#REF!</v>
      </c>
      <c r="S16" s="144" t="e">
        <f>"Total Pad to Pin U1 (P1+L0+L1+L2+L5+L6-1+L7-1+L8-1) ["&amp;$B$2&amp;"]"</f>
        <v>#REF!</v>
      </c>
      <c r="T16" s="151" t="e">
        <f>"Target Min Length to U1["&amp;$B$2&amp;"]"</f>
        <v>#REF!</v>
      </c>
      <c r="U16" s="150" t="e">
        <f>"Target Max Length  to U1 ["&amp;$B$2&amp;"]"</f>
        <v>#REF!</v>
      </c>
      <c r="V16" s="152" t="e">
        <f>"Routed Too Short  to U1 [" &amp;$B$2&amp;"]"</f>
        <v>#REF!</v>
      </c>
      <c r="W16" s="151" t="e">
        <f>"Routed Too Long  to U1 [" &amp;$B$2&amp;"]"</f>
        <v>#REF!</v>
      </c>
      <c r="X16" s="153" t="e">
        <f>"L0 Length Test (&lt;=" &amp; IF($B$2="mil",1,0.0254)*50&amp;$B$2&amp;")"</f>
        <v>#REF!</v>
      </c>
      <c r="Y16" s="153" t="e">
        <f>"L1 Length Test (&lt;=" &amp; IF($B$2="mil",1,0.0254)*500&amp;$B$2&amp;")"</f>
        <v>#REF!</v>
      </c>
      <c r="Z16" s="153" t="e">
        <f>"L3 Length Test (&lt;=" &amp; IF($B$2="mil",1,0.0254)*1000&amp;$B$2&amp;")"</f>
        <v>#REF!</v>
      </c>
      <c r="AA16" s="153" t="e">
        <f>"L4 Length Test (&lt;=" &amp; IF($B$2="mil",1,0.0254)*200&amp;$B$2&amp;") or (L3+L4&lt;= "&amp;IF($B$2="mil",1,0.0254)*1200&amp;$B$2&amp;")"</f>
        <v>#REF!</v>
      </c>
      <c r="AB16" s="153" t="e">
        <f>"L5 Length Test (&lt;=" &amp; IF($B$2="mil",1,0.0254)*1500&amp;$B$2&amp;")"</f>
        <v>#REF!</v>
      </c>
      <c r="AC16" s="153" t="e">
        <f>"L6-1 Length Test (&lt;=" &amp; IF($B$2="mil",1,0.0254)*1000&amp;$B$2&amp;")"</f>
        <v>#REF!</v>
      </c>
      <c r="AD16" s="153" t="e">
        <f>"Diff L6-1 &amp; L6-2 (&lt;="&amp;IF($B$2="mil",1,0.0254)*50&amp;$B$2&amp;")"</f>
        <v>#REF!</v>
      </c>
      <c r="AE16" s="153" t="e">
        <f>"L7-1 Length Test (&lt;=" &amp; IF($B$2="mil",1,0.0254)*1250&amp;$B$2&amp;")"</f>
        <v>#REF!</v>
      </c>
      <c r="AF16" s="153" t="e">
        <f>"Diff L7-1 &amp; L7-2 (&lt;="&amp;IF($B$2="mil",1,0.0254)*50&amp;$B$2&amp;")"</f>
        <v>#REF!</v>
      </c>
      <c r="AG16" s="153" t="e">
        <f>"L8-1 Length Test (&lt;=" &amp; IF($B$2="mil",1,0.0254)*200&amp;$B$2&amp;") or (L7-1+L8-1&lt;= "&amp;IF($B$2="mil",1,0.0254)*1450&amp;$B$2&amp;")"</f>
        <v>#REF!</v>
      </c>
      <c r="AH16" s="150" t="e">
        <f>"Total Length to U1 (L0+L1+L2+L5+L6-1+L7-1+L8-1) Test ("&amp;IF($B$2="mil",1,0.0254)*500&amp;"-"&amp;IF($B$2="mil",1,0.0254)*6500&amp;IF($B$2="mil","mil","mm")&amp;")"</f>
        <v>#REF!</v>
      </c>
      <c r="AI16" s="150" t="e">
        <f>"Total Length to U1 (P1+L0+L1+L2+L5+L6-1+L7-1+L8-1) Test (&lt;="&amp;IF($B$2="mil",1,25.4)*7000&amp;IF($B$2="mil","mil","mm")&amp;")"</f>
        <v>#REF!</v>
      </c>
      <c r="AJ16" s="162"/>
    </row>
    <row r="17" spans="1:38" s="162" customFormat="1" ht="12.75" customHeight="1">
      <c r="A17" s="155" t="s">
        <v>210</v>
      </c>
      <c r="B17" s="155"/>
      <c r="C17" s="639"/>
      <c r="D17" s="156"/>
      <c r="E17" s="156"/>
      <c r="F17" s="220"/>
      <c r="G17" s="156"/>
      <c r="H17" s="156"/>
      <c r="I17" s="156"/>
      <c r="J17" s="156"/>
      <c r="K17" s="156"/>
      <c r="L17" s="156"/>
      <c r="M17" s="156"/>
      <c r="N17" s="156"/>
      <c r="O17" s="156"/>
      <c r="P17" s="156"/>
      <c r="Q17" s="156"/>
      <c r="R17" s="221"/>
      <c r="S17" s="221"/>
      <c r="T17" s="221"/>
      <c r="U17" s="221"/>
      <c r="V17" s="221"/>
      <c r="W17" s="221"/>
      <c r="X17" s="212"/>
      <c r="Y17" s="221"/>
      <c r="Z17" s="221"/>
      <c r="AA17" s="221"/>
      <c r="AB17" s="221"/>
      <c r="AC17" s="221"/>
      <c r="AD17" s="221"/>
      <c r="AE17" s="221"/>
      <c r="AF17" s="221"/>
      <c r="AG17" s="221"/>
      <c r="AH17" s="221"/>
      <c r="AI17" s="271"/>
    </row>
    <row r="18" spans="1:38" s="162" customFormat="1" ht="11.25">
      <c r="A18" s="163" t="s">
        <v>19</v>
      </c>
      <c r="B18" s="164"/>
      <c r="C18" s="641"/>
      <c r="D18" s="165"/>
      <c r="E18" s="166"/>
      <c r="F18" s="222"/>
      <c r="G18" s="166"/>
      <c r="H18" s="166"/>
      <c r="I18" s="167"/>
      <c r="J18" s="167"/>
      <c r="K18" s="166"/>
      <c r="L18" s="167"/>
      <c r="M18" s="166"/>
      <c r="N18" s="166"/>
      <c r="O18" s="166"/>
      <c r="P18" s="166"/>
      <c r="Q18" s="166"/>
      <c r="R18" s="166"/>
      <c r="S18" s="540" t="s">
        <v>224</v>
      </c>
      <c r="T18" s="542" t="e">
        <f>MIN('DDR2 Clocks - 2L'!$R$5:$R$6)</f>
        <v>#REF!</v>
      </c>
      <c r="U18" s="539" t="e">
        <f>MAX('DDR2 Clocks - 2L'!$R$5:$R$6)</f>
        <v>#REF!</v>
      </c>
      <c r="V18" s="542"/>
      <c r="W18" s="168"/>
      <c r="X18" s="543"/>
      <c r="Y18" s="543"/>
      <c r="Z18" s="538"/>
      <c r="AA18" s="538"/>
      <c r="AB18" s="538"/>
      <c r="AC18" s="538"/>
      <c r="AD18" s="538"/>
      <c r="AE18" s="538"/>
      <c r="AF18" s="538"/>
      <c r="AG18" s="538"/>
      <c r="AH18" s="538"/>
      <c r="AI18" s="539"/>
    </row>
    <row r="19" spans="1:38" s="162" customFormat="1" ht="11.25">
      <c r="A19" s="155" t="s">
        <v>377</v>
      </c>
      <c r="B19" s="155"/>
      <c r="C19" s="639"/>
      <c r="D19" s="179"/>
      <c r="E19" s="180"/>
      <c r="F19" s="224"/>
      <c r="G19" s="180"/>
      <c r="H19" s="180"/>
      <c r="I19" s="181"/>
      <c r="J19" s="180"/>
      <c r="K19" s="181"/>
      <c r="L19" s="180"/>
      <c r="M19" s="181"/>
      <c r="N19" s="181"/>
      <c r="O19" s="181"/>
      <c r="P19" s="181"/>
      <c r="Q19" s="181"/>
      <c r="R19" s="181"/>
      <c r="S19" s="179"/>
      <c r="T19" s="179"/>
      <c r="U19" s="531"/>
      <c r="V19" s="531"/>
      <c r="W19" s="179"/>
      <c r="X19" s="430"/>
      <c r="Y19" s="179"/>
      <c r="Z19" s="179"/>
      <c r="AA19" s="179"/>
      <c r="AB19" s="179"/>
      <c r="AC19" s="179"/>
      <c r="AD19" s="179"/>
      <c r="AE19" s="179"/>
      <c r="AF19" s="179"/>
      <c r="AG19" s="179"/>
      <c r="AH19" s="179"/>
      <c r="AI19" s="533"/>
    </row>
    <row r="20" spans="1:38" s="162" customFormat="1">
      <c r="A20" s="559" t="s">
        <v>25</v>
      </c>
      <c r="B20" s="647" t="s">
        <v>458</v>
      </c>
      <c r="C20" s="635">
        <v>466</v>
      </c>
      <c r="D20" s="188"/>
      <c r="E20" s="621">
        <v>22.63</v>
      </c>
      <c r="F20" s="193">
        <v>0</v>
      </c>
      <c r="G20" s="622">
        <v>2620.0700000000002</v>
      </c>
      <c r="H20" s="238"/>
      <c r="I20" s="193">
        <v>0</v>
      </c>
      <c r="J20" s="238"/>
      <c r="K20" s="623">
        <v>53.71</v>
      </c>
      <c r="L20" s="192"/>
      <c r="M20" s="623">
        <v>961.92</v>
      </c>
      <c r="N20" s="622">
        <v>723.91</v>
      </c>
      <c r="O20" s="305"/>
      <c r="P20" s="622">
        <v>640.04</v>
      </c>
      <c r="Q20" s="623">
        <v>55.74</v>
      </c>
      <c r="R20" s="545">
        <f>SUM($E20:$G20,$M20,$N20,$P20,$Q20)</f>
        <v>5024.3100000000004</v>
      </c>
      <c r="S20" s="524" t="e">
        <f>$R20+IF($B$2="mil",1,0.0254)*$C20</f>
        <v>#REF!</v>
      </c>
      <c r="T20" s="524" t="e">
        <f>$U$18 + IF($B$2="mil",1,0.0254)*DDR2Specs!$E$6</f>
        <v>#REF!</v>
      </c>
      <c r="U20" s="586" t="e">
        <f>$T$18 + IF($B$2="mil",1,0.0254)*DDR2Specs!$F$6</f>
        <v>#REF!</v>
      </c>
      <c r="V20" s="546" t="e">
        <f>IF($S20&lt;$T20,$T20-$S20,"Pass")</f>
        <v>#REF!</v>
      </c>
      <c r="W20" s="547" t="e">
        <f>IF($S20&gt;$U20,$S20-$U20,"Pass")</f>
        <v>#REF!</v>
      </c>
      <c r="X20" s="527" t="e">
        <f>IF($E20&lt;=IF($B$2="mil",1,0.0254)*50,"Pass",IF($B$2="mil",1,0.0254)*50-$E20)</f>
        <v>#REF!</v>
      </c>
      <c r="Y20" s="528" t="e">
        <f>IF($F20&lt;=IF($B$2="mil",1,0.0254)*500,"Pass",IF($B$2="mil",1,0.0254)*500-$F20)</f>
        <v>#REF!</v>
      </c>
      <c r="Z20" s="528" t="e">
        <f>IF($I20&lt;=IF($B$2="mil",1,0.0254)*1000,"Pass",IF($B$2="mil",1,0.0254)*1000-$I20)</f>
        <v>#REF!</v>
      </c>
      <c r="AA20" s="528" t="e">
        <f ca="1">CheckLength2(IF($B$2="mil",1,0.0254)*1200,I20,K20,0)</f>
        <v>#NAME?</v>
      </c>
      <c r="AB20" s="528" t="e">
        <f>IF(M20&lt;=IF($B$2="mil",1,0.0254)*1500,"Pass",IF($B$2="mil",1,0.0254)*1500-M20)</f>
        <v>#REF!</v>
      </c>
      <c r="AC20" s="528" t="e">
        <f>IF(N20&lt;=IF($B$2="mil",1,0.0254)*1000,"Pass",IF($B$2="mil",1,0.0254)*1000-N20)</f>
        <v>#REF!</v>
      </c>
      <c r="AD20" s="528" t="e">
        <f>IF(MAX(N20,P44)-MIN(N20,P44)&lt;=IF($B$2="mil",1,0.0254)*50,"Pass",MAX(N20,P44)-MIN(N20,P44)-IF($B$2="mil",1,0.0254)*50)</f>
        <v>#REF!</v>
      </c>
      <c r="AE20" s="528" t="e">
        <f>IF(P20&lt;=IF($B$2="mil",1,0.0254)*1250,"Pass",IF($B$2="mil",1,0.0254)*1250-P20)</f>
        <v>#REF!</v>
      </c>
      <c r="AF20" s="528" t="e">
        <f>IF(MAX(P20,P56)-MIN(P20,P56)&lt;=IF($B$2="mil",1,0.0254)*50,"Pass",MAX(P20,P56)-MIN(P20,P56)-IF($B$2="mil",1,0.0254)*50)</f>
        <v>#REF!</v>
      </c>
      <c r="AG20" s="528" t="e">
        <f ca="1">CheckLength2(IF($B$2="mil",1,0.0254)*1450,P20,Q20,0)</f>
        <v>#NAME?</v>
      </c>
      <c r="AH20" s="528" t="e">
        <f>IF(AND($R20&gt;=IF($B$2="mil",1,0.0254)*500, $R20&lt;=IF($B$2="mil",1,0.0254)*6500),"Pass",IF($B$2="mil",1,0.0254)*6500-$R20)</f>
        <v>#REF!</v>
      </c>
      <c r="AI20" s="529" t="e">
        <f>IF(AND($S20&gt;=IF($B$2="mil",1,0.0254)*500, $S20&lt;=IF($B$2="mil",1,0.0254)*7000),"Pass",IF($B$2="mil",1,0.0254)*7000-$S20)</f>
        <v>#REF!</v>
      </c>
      <c r="AJ20" s="162" t="e">
        <f ca="1">IF(AND(V20="Pass",W20="Pass",X20="Pass",Y20="Pass",Z20="Pass",AA20="Pass",AB20="Pass",AC20="Pass",AD20="Pass",AE20="Pass",AF20="Pass",AG20="Pass",AH20="Pass",AI20="Pass"),"Pass","Fail")</f>
        <v>#REF!</v>
      </c>
      <c r="AK20" s="162" t="e">
        <f ca="1">IF(AND(AJ20="Pass",AJ21="Pass",AJ22="Pass",AJ32="Pass",AJ33="Pass",AJ34="Pass",AJ44="Pass",AJ45="Pass",AJ46="Pass",AJ56="Pass",AJ57="Pass",AJ58="Pass"),"Pass","Fail")</f>
        <v>#REF!</v>
      </c>
    </row>
    <row r="21" spans="1:38" s="162" customFormat="1">
      <c r="A21" s="559" t="s">
        <v>27</v>
      </c>
      <c r="B21" s="646" t="s">
        <v>317</v>
      </c>
      <c r="C21" s="635">
        <v>380</v>
      </c>
      <c r="D21" s="188"/>
      <c r="E21" s="621">
        <v>22.63</v>
      </c>
      <c r="F21" s="189">
        <v>0</v>
      </c>
      <c r="G21" s="622">
        <v>2617.5700000000002</v>
      </c>
      <c r="H21" s="238"/>
      <c r="I21" s="193">
        <v>0</v>
      </c>
      <c r="J21" s="238"/>
      <c r="K21" s="622">
        <v>86.64</v>
      </c>
      <c r="L21" s="192"/>
      <c r="M21" s="623">
        <v>938.57</v>
      </c>
      <c r="N21" s="622">
        <v>720.4</v>
      </c>
      <c r="O21" s="305"/>
      <c r="P21" s="622">
        <v>710.96</v>
      </c>
      <c r="Q21" s="623">
        <v>120.83</v>
      </c>
      <c r="R21" s="545">
        <f>SUM($E21:$G21,$M21,$N21,$P21,$Q21)</f>
        <v>5130.96</v>
      </c>
      <c r="S21" s="524" t="e">
        <f>$R21+IF($B$2="mil",1,0.0254)*$C21</f>
        <v>#REF!</v>
      </c>
      <c r="T21" s="524" t="e">
        <f>$U$18 + IF($B$2="mil",1,0.0254)*DDR2Specs!$E$6</f>
        <v>#REF!</v>
      </c>
      <c r="U21" s="586" t="e">
        <f>$T$18 + IF($B$2="mil",1,0.0254)*DDR2Specs!$F$6</f>
        <v>#REF!</v>
      </c>
      <c r="V21" s="546" t="e">
        <f>IF($S21&lt;$T21,$T21-$S21,"Pass")</f>
        <v>#REF!</v>
      </c>
      <c r="W21" s="547" t="e">
        <f>IF($S21&gt;$U21,$S21-$U21,"Pass")</f>
        <v>#REF!</v>
      </c>
      <c r="X21" s="527" t="e">
        <f>IF($E21&lt;=IF($B$2="mil",1,0.0254)*50,"Pass",IF($B$2="mil",1,0.0254)*50-$E21)</f>
        <v>#REF!</v>
      </c>
      <c r="Y21" s="528" t="e">
        <f>IF($F21&lt;=IF($B$2="mil",1,0.0254)*500,"Pass",IF($B$2="mil",1,0.0254)*500-$F21)</f>
        <v>#REF!</v>
      </c>
      <c r="Z21" s="528" t="e">
        <f>IF($I21&lt;=IF($B$2="mil",1,0.0254)*1000,"Pass",IF($B$2="mil",1,0.0254)*1000-$I21)</f>
        <v>#REF!</v>
      </c>
      <c r="AA21" s="528" t="e">
        <f ca="1">CheckLength2(IF($B$2="mil",1,0.0254)*1200,I21,K21,0)</f>
        <v>#NAME?</v>
      </c>
      <c r="AB21" s="528" t="e">
        <f>IF(M21&lt;=IF($B$2="mil",1,0.0254)*1500,"Pass",IF($B$2="mil",1,0.0254)*1500-M21)</f>
        <v>#REF!</v>
      </c>
      <c r="AC21" s="528" t="e">
        <f>IF(N21&lt;=IF($B$2="mil",1,0.0254)*1000,"Pass",IF($B$2="mil",1,0.0254)*1000-N21)</f>
        <v>#REF!</v>
      </c>
      <c r="AD21" s="528" t="e">
        <f>IF(MAX(N21,P45)-MIN(N21,P45)&lt;=IF($B$2="mil",1,0.0254)*50,"Pass",MAX(N21,P45)-MIN(N21,P45)-IF($B$2="mil",1,0.0254)*50)</f>
        <v>#REF!</v>
      </c>
      <c r="AE21" s="528" t="e">
        <f>IF(P21&lt;=IF($B$2="mil",1,0.0254)*1250,"Pass",IF($B$2="mil",1,0.0254)*1250-P21)</f>
        <v>#REF!</v>
      </c>
      <c r="AF21" s="528" t="e">
        <f>IF(MAX(P21,P57)-MIN(P21,P57)&lt;=IF($B$2="mil",1,0.0254)*50,"Pass",MAX(P21,P57)-MIN(P21,P57)-IF($B$2="mil",1,0.0254)*50)</f>
        <v>#REF!</v>
      </c>
      <c r="AG21" s="528" t="e">
        <f ca="1">CheckLength2(IF($B$2="mil",1,0.0254)*1450,P21,Q21,0)</f>
        <v>#NAME?</v>
      </c>
      <c r="AH21" s="528" t="e">
        <f>IF(AND($R21&gt;=IF($B$2="mil",1,0.0254)*500, $R21&lt;=IF($B$2="mil",1,0.0254)*6500),"Pass",IF($B$2="mil",1,0.0254)*6500-$R21)</f>
        <v>#REF!</v>
      </c>
      <c r="AI21" s="529" t="e">
        <f>IF(AND($S21&gt;=IF($B$2="mil",1,0.0254)*500, $S21&lt;=IF($B$2="mil",1,0.0254)*7000),"Pass",IF($B$2="mil",1,0.0254)*7000-$S21)</f>
        <v>#REF!</v>
      </c>
      <c r="AJ21" s="162" t="e">
        <f ca="1">IF(AND(V21="Pass",W21="Pass",X21="Pass",Y21="Pass",Z21="Pass",AA21="Pass",AB21="Pass",AC21="Pass",AD21="Pass",AE21="Pass",AF21="Pass",AG21="Pass",AH21="Pass",AI21="Pass"),"Pass","Fail")</f>
        <v>#REF!</v>
      </c>
      <c r="AK21" s="162" t="e">
        <f ca="1">IF(AND(AJ26="Pass",AJ27="Pass",AJ28="Pass",AJ38="Pass",AJ39="Pass",AJ40="Pass",AJ50="Pass",AJ51="Pass",AJ52="Pass",AJ62="Pass",AJ63="Pass",AJ64="Pass"),"Pass","Fail")</f>
        <v>#REF!</v>
      </c>
    </row>
    <row r="22" spans="1:38" s="162" customFormat="1">
      <c r="A22" s="559" t="s">
        <v>29</v>
      </c>
      <c r="B22" s="646" t="s">
        <v>301</v>
      </c>
      <c r="C22" s="635">
        <v>426</v>
      </c>
      <c r="D22" s="188"/>
      <c r="E22" s="621">
        <v>22.63</v>
      </c>
      <c r="F22" s="189">
        <v>0</v>
      </c>
      <c r="G22" s="622">
        <v>2628.9</v>
      </c>
      <c r="H22" s="238"/>
      <c r="I22" s="193">
        <v>0</v>
      </c>
      <c r="J22" s="238"/>
      <c r="K22" s="622">
        <v>90.78</v>
      </c>
      <c r="L22" s="192"/>
      <c r="M22" s="623">
        <v>865.59</v>
      </c>
      <c r="N22" s="622">
        <v>742.29</v>
      </c>
      <c r="O22" s="305"/>
      <c r="P22" s="622">
        <v>681.47</v>
      </c>
      <c r="Q22" s="623">
        <v>52.48</v>
      </c>
      <c r="R22" s="545">
        <f>SUM($E22:$G22,$M22,$N22,$P22,$Q22)</f>
        <v>4993.3599999999997</v>
      </c>
      <c r="S22" s="524" t="e">
        <f>$R22+IF($B$2="mil",1,0.0254)*$C22</f>
        <v>#REF!</v>
      </c>
      <c r="T22" s="524" t="e">
        <f>$U$18 + IF($B$2="mil",1,0.0254)*DDR2Specs!$E$6</f>
        <v>#REF!</v>
      </c>
      <c r="U22" s="586" t="e">
        <f>$T$18 + IF($B$2="mil",1,0.0254)*DDR2Specs!$F$6</f>
        <v>#REF!</v>
      </c>
      <c r="V22" s="546" t="e">
        <f>IF($S22&lt;$T22,$T22-$S22,"Pass")</f>
        <v>#REF!</v>
      </c>
      <c r="W22" s="547" t="e">
        <f>IF($S22&gt;$U22,$S22-$U22,"Pass")</f>
        <v>#REF!</v>
      </c>
      <c r="X22" s="527" t="e">
        <f>IF($E22&lt;=IF($B$2="mil",1,0.0254)*50,"Pass",IF($B$2="mil",1,0.0254)*50-$E22)</f>
        <v>#REF!</v>
      </c>
      <c r="Y22" s="528" t="e">
        <f>IF($F22&lt;=IF($B$2="mil",1,0.0254)*500,"Pass",IF($B$2="mil",1,0.0254)*500-$F22)</f>
        <v>#REF!</v>
      </c>
      <c r="Z22" s="528" t="e">
        <f>IF($I22&lt;=IF($B$2="mil",1,0.0254)*1000,"Pass",IF($B$2="mil",1,0.0254)*1000-$I22)</f>
        <v>#REF!</v>
      </c>
      <c r="AA22" s="528" t="e">
        <f ca="1">CheckLength2(IF($B$2="mil",1,0.0254)*1200,I22,K22,0)</f>
        <v>#NAME?</v>
      </c>
      <c r="AB22" s="528" t="e">
        <f>IF(M22&lt;=IF($B$2="mil",1,0.0254)*1500,"Pass",IF($B$2="mil",1,0.0254)*1500-M22)</f>
        <v>#REF!</v>
      </c>
      <c r="AC22" s="528" t="e">
        <f>IF(N22&lt;=IF($B$2="mil",1,0.0254)*1000,"Pass",IF($B$2="mil",1,0.0254)*1000-N22)</f>
        <v>#REF!</v>
      </c>
      <c r="AD22" s="528" t="e">
        <f>IF(MAX(N22,P46)-MIN(N22,P46)&lt;=IF($B$2="mil",1,0.0254)*50,"Pass",MAX(N22,P46)-MIN(N22,P46)-IF($B$2="mil",1,0.0254)*50)</f>
        <v>#REF!</v>
      </c>
      <c r="AE22" s="528" t="e">
        <f>IF(P22&lt;=IF($B$2="mil",1,0.0254)*1250,"Pass",IF($B$2="mil",1,0.0254)*1250-P22)</f>
        <v>#REF!</v>
      </c>
      <c r="AF22" s="528" t="e">
        <f>IF(MAX(P22,P58)-MIN(P22,P58)&lt;=IF($B$2="mil",1,0.0254)*50,"Pass",MAX(P22,P58)-MIN(P22,P58)-IF($B$2="mil",1,0.0254)*50)</f>
        <v>#REF!</v>
      </c>
      <c r="AG22" s="528" t="e">
        <f ca="1">CheckLength2(IF($B$2="mil",1,0.0254)*1450,P22,Q22,0)</f>
        <v>#NAME?</v>
      </c>
      <c r="AH22" s="528" t="e">
        <f>IF(AND($R22&gt;=IF($B$2="mil",1,0.0254)*500, $R22&lt;=IF($B$2="mil",1,0.0254)*6500),"Pass",IF($B$2="mil",1,0.0254)*6500-$R22)</f>
        <v>#REF!</v>
      </c>
      <c r="AI22" s="529" t="e">
        <f>IF(AND($S22&gt;=IF($B$2="mil",1,0.0254)*500, $S22&lt;=IF($B$2="mil",1,0.0254)*7000),"Pass",IF($B$2="mil",1,0.0254)*7000-$S22)</f>
        <v>#REF!</v>
      </c>
      <c r="AJ22" s="162" t="e">
        <f ca="1">IF(AND(V22="Pass",W22="Pass",X22="Pass",Y22="Pass",Z22="Pass",AA22="Pass",AB22="Pass",AC22="Pass",AD22="Pass",AE22="Pass",AF22="Pass",AG22="Pass",AH22="Pass",AI22="Pass"),"Pass","Fail")</f>
        <v>#REF!</v>
      </c>
    </row>
    <row r="23" spans="1:38" s="154" customFormat="1" ht="22.5">
      <c r="A23" s="550" t="s">
        <v>457</v>
      </c>
      <c r="B23" s="550" t="s">
        <v>420</v>
      </c>
      <c r="C23" s="645" t="s">
        <v>22</v>
      </c>
      <c r="D23" s="151"/>
      <c r="E23" s="148" t="e">
        <f>"EscapeLength L0 ["&amp;$B$2&amp;"]"</f>
        <v>#REF!</v>
      </c>
      <c r="F23" s="148" t="e">
        <f>"BreakoutLength L1["&amp; $B$2&amp;"]"</f>
        <v>#REF!</v>
      </c>
      <c r="G23" s="148" t="e">
        <f>"MainLength L2[" &amp;$B$2&amp; " ]"</f>
        <v>#REF!</v>
      </c>
      <c r="H23" s="148"/>
      <c r="I23" s="151" t="e">
        <f>"Via-to-via (SODIMM-to-Rt) L3 [" &amp;$B$2&amp;"]"</f>
        <v>#REF!</v>
      </c>
      <c r="J23" s="150"/>
      <c r="K23" s="151" t="e">
        <f>"Via-to-Rt L4 [" &amp;$B$2&amp;"]"</f>
        <v>#REF!</v>
      </c>
      <c r="L23" s="150"/>
      <c r="M23" s="144" t="e">
        <f>"Trace L5 ["&amp;$B$2&amp;"]"</f>
        <v>#REF!</v>
      </c>
      <c r="N23" s="144" t="e">
        <f>"Trace L6-1 ["&amp;$B$2&amp;"]"</f>
        <v>#REF!</v>
      </c>
      <c r="O23" s="144"/>
      <c r="P23" s="144" t="e">
        <f>"Trace L7-1 ["&amp;$B$2&amp;"]"</f>
        <v>#REF!</v>
      </c>
      <c r="Q23" s="144" t="e">
        <f>"Trace L8-1 ["&amp;$B$2&amp;"]"</f>
        <v>#REF!</v>
      </c>
      <c r="R23" s="550" t="e">
        <f>"Total MB Length to U5 (L0+L1+L2+L5+L6-1+L7-1+L8-1) ["&amp;$B$2&amp;"]"</f>
        <v>#REF!</v>
      </c>
      <c r="S23" s="550" t="e">
        <f>"Total Pad to Pin U5 (P1+L0+L1+L2+L5+L6-1+L7-1+L8-1) ["&amp;$B$2&amp;"]"</f>
        <v>#REF!</v>
      </c>
      <c r="T23" s="552" t="e">
        <f>"Target Min Length to U5["&amp;$B$2&amp;"]"</f>
        <v>#REF!</v>
      </c>
      <c r="U23" s="552" t="e">
        <f>"Target Max Length  to U5 ["&amp;$B$2&amp;"]"</f>
        <v>#REF!</v>
      </c>
      <c r="V23" s="587" t="e">
        <f>"Routed Too Short  to U5 [" &amp;$B$2&amp;"]"</f>
        <v>#REF!</v>
      </c>
      <c r="W23" s="552" t="e">
        <f>"Routed Too Long  to U5 [" &amp;$B$2&amp;"]"</f>
        <v>#REF!</v>
      </c>
      <c r="X23" s="556" t="e">
        <f>"L0 Length Test (&lt;=" &amp; IF($B$2="mil",1,0.0254)*50&amp;$B$2&amp;")"</f>
        <v>#REF!</v>
      </c>
      <c r="Y23" s="556" t="e">
        <f>"L1 Length Test (&lt;=" &amp; IF($B$2="mil",1,0.0254)*500&amp;$B$2&amp;")"</f>
        <v>#REF!</v>
      </c>
      <c r="Z23" s="556" t="e">
        <f>"L3 Length Test (&lt;=" &amp; IF($B$2="mil",1,0.0254)*1000&amp;$B$2&amp;")"</f>
        <v>#REF!</v>
      </c>
      <c r="AA23" s="556" t="e">
        <f>"L4 Length Test (&lt;=" &amp; IF($B$2="mil",1,0.0254)*200&amp;$B$2&amp;") or (L3+L4&lt;= "&amp;IF($B$2="mil",1,0.0254)*1200&amp;$B$2&amp;")"</f>
        <v>#REF!</v>
      </c>
      <c r="AB23" s="556" t="e">
        <f>"L5 Length Test (&lt;=" &amp; IF($B$2="mil",1,0.0254)*1500&amp;$B$2&amp;")"</f>
        <v>#REF!</v>
      </c>
      <c r="AC23" s="556" t="e">
        <f>"L6-1 Length Test (&lt;=" &amp; IF($B$2="mil",1,0.0254)*1000&amp;$B$2&amp;")"</f>
        <v>#REF!</v>
      </c>
      <c r="AD23" s="556" t="e">
        <f>"Diff L6-1 &amp; L6-2 (&lt;="&amp;IF($B$2="mil",1,0.0254)*50&amp;$B$2&amp;")"</f>
        <v>#REF!</v>
      </c>
      <c r="AE23" s="556" t="e">
        <f>"L7-1 Length Test (&lt;=" &amp; IF($B$2="mil",1,0.0254)*1250&amp;$B$2&amp;")"</f>
        <v>#REF!</v>
      </c>
      <c r="AF23" s="556" t="e">
        <f>"Diff L7-1 &amp; L7-2 (&lt;="&amp;IF($B$2="mil",1,0.0254)*50&amp;$B$2&amp;")"</f>
        <v>#REF!</v>
      </c>
      <c r="AG23" s="556" t="e">
        <f>"L8-1 Length Test (&lt;=" &amp; IF($B$2="mil",1,0.0254)*200&amp;$B$2&amp;") or (L7-1+L8-1&lt;= "&amp;IF($B$2="mil",1,0.0254)*1450&amp;$B$2&amp;")"</f>
        <v>#REF!</v>
      </c>
      <c r="AH23" s="552" t="e">
        <f>"Total Length to U5 (L0+L1+L2+L5+L6-1+L7-1+L8-1) Test ("&amp;IF($B$2="mil",1,0.0254)*500&amp;"-"&amp;IF($B$2="mil",1,0.0254)*6500&amp;IF($B$2="mil","mil","mm")&amp;")"</f>
        <v>#REF!</v>
      </c>
      <c r="AI23" s="552" t="e">
        <f>"Total Length to U5 (P1+L0+L1+L2+L5+L6-1+L7-1+L8-1) Test (&lt;="&amp;IF($B$2="mil",1,25.4)*7000&amp;IF($B$2="mil","mil","mm")&amp;")"</f>
        <v>#REF!</v>
      </c>
      <c r="AJ23" s="162"/>
    </row>
    <row r="24" spans="1:38" s="162" customFormat="1" ht="11.25">
      <c r="A24" s="163" t="s">
        <v>19</v>
      </c>
      <c r="B24" s="164"/>
      <c r="C24" s="641"/>
      <c r="D24" s="165"/>
      <c r="E24" s="166"/>
      <c r="F24" s="222"/>
      <c r="G24" s="166"/>
      <c r="H24" s="166"/>
      <c r="I24" s="167"/>
      <c r="J24" s="167"/>
      <c r="K24" s="166"/>
      <c r="L24" s="167"/>
      <c r="M24" s="166"/>
      <c r="N24" s="166"/>
      <c r="O24" s="166"/>
      <c r="P24" s="166"/>
      <c r="Q24" s="166"/>
      <c r="R24" s="389"/>
      <c r="S24" s="540" t="s">
        <v>284</v>
      </c>
      <c r="T24" s="542" t="e">
        <f>MIN('DDR2 Clocks - 4L'!$O$7:$O$8)</f>
        <v>#REF!</v>
      </c>
      <c r="U24" s="541" t="e">
        <f>MAX('DDR2 Clocks - 4L'!$O$7:$O$8)</f>
        <v>#REF!</v>
      </c>
      <c r="V24" s="542"/>
      <c r="W24" s="168"/>
      <c r="X24" s="543"/>
      <c r="Y24" s="543"/>
      <c r="Z24" s="538"/>
      <c r="AA24" s="538"/>
      <c r="AB24" s="538"/>
      <c r="AC24" s="538"/>
      <c r="AD24" s="538"/>
      <c r="AE24" s="538"/>
      <c r="AF24" s="538"/>
      <c r="AG24" s="538"/>
      <c r="AH24" s="538"/>
      <c r="AI24" s="539"/>
    </row>
    <row r="25" spans="1:38" s="162" customFormat="1" ht="11.25">
      <c r="A25" s="155" t="s">
        <v>378</v>
      </c>
      <c r="B25" s="155"/>
      <c r="C25" s="639"/>
      <c r="D25" s="179"/>
      <c r="E25" s="180"/>
      <c r="F25" s="224"/>
      <c r="G25" s="180"/>
      <c r="H25" s="180"/>
      <c r="I25" s="181"/>
      <c r="J25" s="180"/>
      <c r="K25" s="181"/>
      <c r="L25" s="180"/>
      <c r="M25" s="181"/>
      <c r="N25" s="181"/>
      <c r="O25" s="181"/>
      <c r="P25" s="181"/>
      <c r="Q25" s="181"/>
      <c r="R25" s="181"/>
      <c r="S25" s="179"/>
      <c r="T25" s="179"/>
      <c r="U25" s="531"/>
      <c r="V25" s="531"/>
      <c r="W25" s="179"/>
      <c r="X25" s="430"/>
      <c r="Y25" s="179"/>
      <c r="Z25" s="179"/>
      <c r="AA25" s="179"/>
      <c r="AB25" s="179"/>
      <c r="AC25" s="179"/>
      <c r="AD25" s="179"/>
      <c r="AE25" s="179"/>
      <c r="AF25" s="179"/>
      <c r="AG25" s="179"/>
      <c r="AH25" s="179"/>
      <c r="AI25" s="533"/>
    </row>
    <row r="26" spans="1:38" s="162" customFormat="1">
      <c r="A26" s="559" t="s">
        <v>26</v>
      </c>
      <c r="B26" s="647" t="s">
        <v>459</v>
      </c>
      <c r="C26" s="635">
        <v>526.57480314960628</v>
      </c>
      <c r="D26" s="203"/>
      <c r="E26" s="621">
        <v>22.63</v>
      </c>
      <c r="F26" s="193">
        <v>0</v>
      </c>
      <c r="G26" s="622">
        <v>2728.3</v>
      </c>
      <c r="H26" s="238"/>
      <c r="I26" s="193">
        <v>0</v>
      </c>
      <c r="J26" s="238"/>
      <c r="K26" s="623">
        <v>36.64</v>
      </c>
      <c r="L26" s="192"/>
      <c r="M26" s="623">
        <v>955.85</v>
      </c>
      <c r="N26" s="622">
        <v>477.35</v>
      </c>
      <c r="O26" s="305"/>
      <c r="P26" s="622">
        <v>682.78</v>
      </c>
      <c r="Q26" s="623">
        <v>54.75</v>
      </c>
      <c r="R26" s="545">
        <f>SUM($E26:$G26,$M26,$N26,$P26,$Q26)</f>
        <v>4921.66</v>
      </c>
      <c r="S26" s="524" t="e">
        <f>$R26+IF($B$2="mil",1,0.0254)*$C26</f>
        <v>#REF!</v>
      </c>
      <c r="T26" s="524" t="e">
        <f>$U$24 + IF($B$2="mil",1,0.0254)*DDR2Specs!$E$6</f>
        <v>#REF!</v>
      </c>
      <c r="U26" s="586" t="e">
        <f>$T$24 + IF($B$2="mil",1,0.0254)*DDR2Specs!$F$6</f>
        <v>#REF!</v>
      </c>
      <c r="V26" s="546" t="e">
        <f>IF($S26&lt;$T26,$T26-$S26,"Pass")</f>
        <v>#REF!</v>
      </c>
      <c r="W26" s="547" t="e">
        <f>IF($S26&gt;$U26,$S26-$U26,"Pass")</f>
        <v>#REF!</v>
      </c>
      <c r="X26" s="527" t="e">
        <f>IF($E26&lt;=IF($B$2="mil",1,0.0254)*50,"Pass",IF($B$2="mil",1,0.0254)*50-$E26)</f>
        <v>#REF!</v>
      </c>
      <c r="Y26" s="528" t="e">
        <f>IF($F26&lt;=IF($B$2="mil",1,0.0254)*500,"Pass",IF($B$2="mil",1,0.0254)*500-$F26)</f>
        <v>#REF!</v>
      </c>
      <c r="Z26" s="528" t="e">
        <f>IF($I26&lt;=IF($B$2="mil",1,0.0254)*1000,"Pass",IF($B$2="mil",1,0.0254)*1000-$I26)</f>
        <v>#REF!</v>
      </c>
      <c r="AA26" s="528" t="e">
        <f ca="1">CheckLength2(IF($B$2="mil",1,0.0254)*1200,I26,K26,0)</f>
        <v>#NAME?</v>
      </c>
      <c r="AB26" s="528" t="e">
        <f>IF(M26&lt;=IF($B$2="mil",1,0.0254)*1500,"Pass",IF($B$2="mil",1,0.0254)*1500-M26)</f>
        <v>#REF!</v>
      </c>
      <c r="AC26" s="528" t="e">
        <f>IF(N26&lt;=IF($B$2="mil",1,0.0254)*1000,"Pass",IF($B$2="mil",1,0.0254)*1000-N26)</f>
        <v>#REF!</v>
      </c>
      <c r="AD26" s="528" t="e">
        <f>IF(MAX(N26,P50)-MIN(N26,P50)&lt;=IF($B$2="mil",1,0.0254)*50,"Pass",MAX(N26,P50)-MIN(N26,P50)-IF($B$2="mil",1,0.0254)*50)</f>
        <v>#REF!</v>
      </c>
      <c r="AE26" s="528" t="e">
        <f>IF(P26&lt;=IF($B$2="mil",1,0.0254)*1250,"Pass",IF($B$2="mil",1,0.0254)*1250-P26)</f>
        <v>#REF!</v>
      </c>
      <c r="AF26" s="528" t="e">
        <f>IF(MAX(P26,P62)-MIN(P26,P62)&lt;=IF($B$2="mil",1,0.0254)*50,"Pass",MAX(P26,P62)-MIN(P26,P62)-IF($B$2="mil",1,0.0254)*50)</f>
        <v>#REF!</v>
      </c>
      <c r="AG26" s="528" t="e">
        <f ca="1">CheckLength2(IF($B$2="mil",1,0.0254)*1450,P26,Q26,0)</f>
        <v>#NAME?</v>
      </c>
      <c r="AH26" s="528" t="e">
        <f>IF(AND($R26&gt;=IF($B$2="mil",1,0.0254)*500, $R26&lt;=IF($B$2="mil",1,0.0254)*6500),"Pass",IF($B$2="mil",1,0.0254)*6500-$R26)</f>
        <v>#REF!</v>
      </c>
      <c r="AI26" s="529" t="e">
        <f>IF(AND($S26&gt;=IF($B$2="mil",1,0.0254)*500, $S26&lt;=IF($B$2="mil",1,0.0254)*7000),"Pass",IF($B$2="mil",1,0.0254)*7000-$S26)</f>
        <v>#REF!</v>
      </c>
      <c r="AJ26" s="162" t="e">
        <f ca="1">IF(AND(V26="Pass",W26="Pass",X26="Pass",Y26="Pass",Z26="Pass",AA26="Pass",AB26="Pass",AC26="Pass",AD26="Pass",AE26="Pass",AF26="Pass",AG26="Pass",AH26="Pass",AI26="Pass"),"Pass","Fail")</f>
        <v>#REF!</v>
      </c>
    </row>
    <row r="27" spans="1:38" s="162" customFormat="1">
      <c r="A27" s="559" t="s">
        <v>28</v>
      </c>
      <c r="B27" s="646" t="s">
        <v>334</v>
      </c>
      <c r="C27" s="635">
        <v>400</v>
      </c>
      <c r="D27" s="216"/>
      <c r="E27" s="621">
        <v>22.63</v>
      </c>
      <c r="F27" s="189">
        <v>0</v>
      </c>
      <c r="G27" s="622">
        <v>2817.98</v>
      </c>
      <c r="H27" s="238"/>
      <c r="I27" s="193">
        <v>0</v>
      </c>
      <c r="J27" s="238"/>
      <c r="K27" s="622">
        <v>36.64</v>
      </c>
      <c r="L27" s="192"/>
      <c r="M27" s="623">
        <v>834.08</v>
      </c>
      <c r="N27" s="622">
        <v>527.44000000000005</v>
      </c>
      <c r="O27" s="305"/>
      <c r="P27" s="622">
        <v>634.41999999999996</v>
      </c>
      <c r="Q27" s="623">
        <v>123.33</v>
      </c>
      <c r="R27" s="545">
        <f>SUM($E27:$G27,$M27,$N27,$P27,$Q27)</f>
        <v>4959.88</v>
      </c>
      <c r="S27" s="524" t="e">
        <f>$R27+IF($B$2="mil",1,0.0254)*$C27</f>
        <v>#REF!</v>
      </c>
      <c r="T27" s="524" t="e">
        <f>$U$24 + IF($B$2="mil",1,0.0254)*DDR2Specs!$E$6</f>
        <v>#REF!</v>
      </c>
      <c r="U27" s="586" t="e">
        <f>$T$24 + IF($B$2="mil",1,0.0254)*DDR2Specs!$F$6</f>
        <v>#REF!</v>
      </c>
      <c r="V27" s="546" t="e">
        <f>IF($S27&lt;$T27,$T27-$S27,"Pass")</f>
        <v>#REF!</v>
      </c>
      <c r="W27" s="547" t="e">
        <f>IF($S27&gt;$U27,$S27-$U27,"Pass")</f>
        <v>#REF!</v>
      </c>
      <c r="X27" s="527" t="e">
        <f>IF($E27&lt;=IF($B$2="mil",1,0.0254)*50,"Pass",IF($B$2="mil",1,0.0254)*50-$E27)</f>
        <v>#REF!</v>
      </c>
      <c r="Y27" s="528" t="e">
        <f>IF($F27&lt;=IF($B$2="mil",1,0.0254)*500,"Pass",IF($B$2="mil",1,0.0254)*500-$F27)</f>
        <v>#REF!</v>
      </c>
      <c r="Z27" s="528" t="e">
        <f>IF($I27&lt;=IF($B$2="mil",1,0.0254)*1000,"Pass",IF($B$2="mil",1,0.0254)*1000-$I27)</f>
        <v>#REF!</v>
      </c>
      <c r="AA27" s="528" t="e">
        <f ca="1">CheckLength2(IF($B$2="mil",1,0.0254)*1200,I27,K27,0)</f>
        <v>#NAME?</v>
      </c>
      <c r="AB27" s="528" t="e">
        <f>IF(M27&lt;=IF($B$2="mil",1,0.0254)*1500,"Pass",IF($B$2="mil",1,0.0254)*1500-M27)</f>
        <v>#REF!</v>
      </c>
      <c r="AC27" s="528" t="e">
        <f>IF(N27&lt;=IF($B$2="mil",1,0.0254)*1000,"Pass",IF($B$2="mil",1,0.0254)*1000-N27)</f>
        <v>#REF!</v>
      </c>
      <c r="AD27" s="528" t="e">
        <f>IF(MAX(N27,P51)-MIN(N27,P51)&lt;=IF($B$2="mil",1,0.0254)*50,"Pass",MAX(N27,P51)-MIN(N27,P51)-IF($B$2="mil",1,0.0254)*50)</f>
        <v>#REF!</v>
      </c>
      <c r="AE27" s="528" t="e">
        <f>IF(P27&lt;=IF($B$2="mil",1,0.0254)*1250,"Pass",IF($B$2="mil",1,0.0254)*1250-P27)</f>
        <v>#REF!</v>
      </c>
      <c r="AF27" s="528" t="e">
        <f>IF(MAX(P27,P63)-MIN(P27,P63)&lt;=IF($B$2="mil",1,0.0254)*50,"Pass",MAX(P27,P63)-MIN(P27,P63)-IF($B$2="mil",1,0.0254)*50)</f>
        <v>#REF!</v>
      </c>
      <c r="AG27" s="528" t="e">
        <f ca="1">CheckLength2(IF($B$2="mil",1,0.0254)*1450,P27,Q27,0)</f>
        <v>#NAME?</v>
      </c>
      <c r="AH27" s="528" t="e">
        <f>IF(AND($R27&gt;=IF($B$2="mil",1,0.0254)*500, $R27&lt;=IF($B$2="mil",1,0.0254)*6500),"Pass",IF($B$2="mil",1,0.0254)*6500-$R27)</f>
        <v>#REF!</v>
      </c>
      <c r="AI27" s="529" t="e">
        <f>IF(AND($S27&gt;=IF($B$2="mil",1,0.0254)*500, $S27&lt;=IF($B$2="mil",1,0.0254)*7000),"Pass",IF($B$2="mil",1,0.0254)*7000-$S27)</f>
        <v>#REF!</v>
      </c>
      <c r="AJ27" s="162" t="e">
        <f ca="1">IF(AND(V27="Pass",W27="Pass",X27="Pass",Y27="Pass",Z27="Pass",AA27="Pass",AB27="Pass",AC27="Pass",AD27="Pass",AE27="Pass",AF27="Pass",AG27="Pass",AH27="Pass",AI27="Pass"),"Pass","Fail")</f>
        <v>#REF!</v>
      </c>
    </row>
    <row r="28" spans="1:38" s="162" customFormat="1">
      <c r="A28" s="559" t="s">
        <v>30</v>
      </c>
      <c r="B28" s="646" t="s">
        <v>321</v>
      </c>
      <c r="C28" s="635">
        <v>602.91338582677167</v>
      </c>
      <c r="D28" s="203"/>
      <c r="E28" s="621">
        <v>22.63</v>
      </c>
      <c r="F28" s="189">
        <v>0</v>
      </c>
      <c r="G28" s="622">
        <v>2625.35</v>
      </c>
      <c r="H28" s="238"/>
      <c r="I28" s="193">
        <v>0</v>
      </c>
      <c r="J28" s="238"/>
      <c r="K28" s="622">
        <v>32.5</v>
      </c>
      <c r="L28" s="192"/>
      <c r="M28" s="623">
        <v>907.66</v>
      </c>
      <c r="N28" s="622">
        <v>524.9</v>
      </c>
      <c r="O28" s="305"/>
      <c r="P28" s="622">
        <v>644.36</v>
      </c>
      <c r="Q28" s="623">
        <v>53.02</v>
      </c>
      <c r="R28" s="545">
        <f>SUM($E28:$G28,$M28,$N28,$P28,$Q28)</f>
        <v>4777.92</v>
      </c>
      <c r="S28" s="524" t="e">
        <f>$R28+IF($B$2="mil",1,0.0254)*$C28</f>
        <v>#REF!</v>
      </c>
      <c r="T28" s="524" t="e">
        <f>$U$24 + IF($B$2="mil",1,0.0254)*DDR2Specs!$E$6</f>
        <v>#REF!</v>
      </c>
      <c r="U28" s="586" t="e">
        <f>$T$24 + IF($B$2="mil",1,0.0254)*DDR2Specs!$F$6</f>
        <v>#REF!</v>
      </c>
      <c r="V28" s="546" t="e">
        <f>IF($S28&lt;$T28,$T28-$S28,"Pass")</f>
        <v>#REF!</v>
      </c>
      <c r="W28" s="547" t="e">
        <f>IF($S28&gt;$U28,$S28-$U28,"Pass")</f>
        <v>#REF!</v>
      </c>
      <c r="X28" s="527" t="e">
        <f>IF($E28&lt;=IF($B$2="mil",1,0.0254)*50,"Pass",IF($B$2="mil",1,0.0254)*50-$E28)</f>
        <v>#REF!</v>
      </c>
      <c r="Y28" s="528" t="e">
        <f>IF($F28&lt;=IF($B$2="mil",1,0.0254)*500,"Pass",IF($B$2="mil",1,0.0254)*500-$F28)</f>
        <v>#REF!</v>
      </c>
      <c r="Z28" s="528" t="e">
        <f>IF($I28&lt;=IF($B$2="mil",1,0.0254)*1000,"Pass",IF($B$2="mil",1,0.0254)*1000-$I28)</f>
        <v>#REF!</v>
      </c>
      <c r="AA28" s="528" t="e">
        <f ca="1">CheckLength2(IF($B$2="mil",1,0.0254)*1200,I28,K28,0)</f>
        <v>#NAME?</v>
      </c>
      <c r="AB28" s="528" t="e">
        <f>IF(M28&lt;=IF($B$2="mil",1,0.0254)*1500,"Pass",IF($B$2="mil",1,0.0254)*1500-M28)</f>
        <v>#REF!</v>
      </c>
      <c r="AC28" s="528" t="e">
        <f>IF(N28&lt;=IF($B$2="mil",1,0.0254)*1000,"Pass",IF($B$2="mil",1,0.0254)*1000-N28)</f>
        <v>#REF!</v>
      </c>
      <c r="AD28" s="528" t="e">
        <f>IF(MAX(N28,P52)-MIN(N28,P52)&lt;=IF($B$2="mil",1,0.0254)*50,"Pass",MAX(N28,P52)-MIN(N28,P52)-IF($B$2="mil",1,0.0254)*50)</f>
        <v>#REF!</v>
      </c>
      <c r="AE28" s="528" t="e">
        <f>IF(P28&lt;=IF($B$2="mil",1,0.0254)*1250,"Pass",IF($B$2="mil",1,0.0254)*1250-P28)</f>
        <v>#REF!</v>
      </c>
      <c r="AF28" s="528" t="e">
        <f>IF(MAX(P28,P64)-MIN(P28,P64)&lt;=IF($B$2="mil",1,0.0254)*50,"Pass",MAX(P28,P64)-MIN(P28,P64)-IF($B$2="mil",1,0.0254)*50)</f>
        <v>#REF!</v>
      </c>
      <c r="AG28" s="528" t="e">
        <f ca="1">CheckLength2(IF($B$2="mil",1,0.0254)*1450,P28,Q28,0)</f>
        <v>#NAME?</v>
      </c>
      <c r="AH28" s="528" t="e">
        <f>IF(AND($R28&gt;=IF($B$2="mil",1,0.0254)*500, $R28&lt;=IF($B$2="mil",1,0.0254)*6500),"Pass",IF($B$2="mil",1,0.0254)*6500-$R28)</f>
        <v>#REF!</v>
      </c>
      <c r="AI28" s="529" t="e">
        <f>IF(AND($S28&gt;=IF($B$2="mil",1,0.0254)*500, $S28&lt;=IF($B$2="mil",1,0.0254)*7000),"Pass",IF($B$2="mil",1,0.0254)*7000-$S28)</f>
        <v>#REF!</v>
      </c>
      <c r="AJ28" s="162" t="e">
        <f ca="1">IF(AND(V28="Pass",W28="Pass",X28="Pass",Y28="Pass",Z28="Pass",AA28="Pass",AB28="Pass",AC28="Pass",AD28="Pass",AE28="Pass",AF28="Pass",AG28="Pass",AH28="Pass",AI28="Pass"),"Pass","Fail")</f>
        <v>#REF!</v>
      </c>
    </row>
    <row r="29" spans="1:38" s="162" customFormat="1" ht="45">
      <c r="A29" s="392"/>
      <c r="B29" s="392"/>
      <c r="C29" s="230"/>
      <c r="D29" s="395"/>
      <c r="E29" s="161"/>
      <c r="F29" s="178"/>
      <c r="G29" s="396"/>
      <c r="H29" s="178"/>
      <c r="I29" s="178"/>
      <c r="J29" s="397"/>
      <c r="K29" s="178"/>
      <c r="L29" s="398"/>
      <c r="M29" s="386"/>
      <c r="N29" s="396"/>
      <c r="O29" s="396"/>
      <c r="P29" s="218" t="s">
        <v>457</v>
      </c>
      <c r="Q29" s="218" t="e">
        <f>"Trace L8-2 ["&amp;$B$2&amp;"]"</f>
        <v>#REF!</v>
      </c>
      <c r="R29" s="555" t="s">
        <v>393</v>
      </c>
      <c r="S29" s="555" t="s">
        <v>394</v>
      </c>
      <c r="T29" s="551" t="e">
        <f>"Target Min Length  to U2["&amp;$B$2&amp;"]"</f>
        <v>#REF!</v>
      </c>
      <c r="U29" s="551" t="e">
        <f>"Target Max Length  to U2 ["&amp;$B$2&amp;"]"</f>
        <v>#REF!</v>
      </c>
      <c r="V29" s="553" t="e">
        <f>"Routed Too Short to U2 [" &amp;$B$2&amp;"]"</f>
        <v>#REF!</v>
      </c>
      <c r="W29" s="551" t="e">
        <f>"Routed Too Long to U2 [" &amp;$B$2&amp;"]"</f>
        <v>#REF!</v>
      </c>
      <c r="X29" s="564"/>
      <c r="Y29" s="425"/>
      <c r="Z29" s="425"/>
      <c r="AA29" s="425"/>
      <c r="AB29" s="425"/>
      <c r="AC29" s="425"/>
      <c r="AD29" s="425"/>
      <c r="AE29" s="425"/>
      <c r="AF29" s="555" t="s">
        <v>457</v>
      </c>
      <c r="AG29" s="556" t="e">
        <f>"L8-2 Length Test (&lt;=" &amp; IF($B$2="mil",1,0.0254)*200&amp;$B$2&amp;") or (L6-1+L8-2&lt;= "&amp;IF($B$2="mil",1,0.0254)*1200&amp;$B$2&amp;")"</f>
        <v>#REF!</v>
      </c>
      <c r="AH29" s="552" t="e">
        <f>"Total Length to U2 (L0+L1+L2+L5+L6-1+L8-2)Test ("&amp;IF($B$2="mil",1,0.0254)*500&amp;"-"&amp;IF($B$2="mil",1,0.0254)*6500&amp;IF($B$2="mil","mil","mm")&amp;")"</f>
        <v>#REF!</v>
      </c>
      <c r="AI29" s="552" t="e">
        <f>"Total Length to U2 (P1+L0+L1+L2+L5+L6-1+L8-2) Test (&lt;="&amp;IF($B$2="mil",1,25.4)*7000&amp;IF($B$2="mil","mil","mm")&amp;")"</f>
        <v>#REF!</v>
      </c>
    </row>
    <row r="30" spans="1:38">
      <c r="P30" s="166" t="s">
        <v>19</v>
      </c>
      <c r="Q30" s="166"/>
      <c r="R30" s="166"/>
      <c r="S30" s="558" t="s">
        <v>227</v>
      </c>
      <c r="T30" s="541" t="e">
        <f>MIN('DDR2 Clocks - 2L'!$S$5:$S$6)</f>
        <v>#REF!</v>
      </c>
      <c r="U30" s="167" t="e">
        <f>MAX('DDR2 Clocks - 2L'!$S$5:$S$6)</f>
        <v>#REF!</v>
      </c>
      <c r="V30" s="541"/>
      <c r="W30" s="541"/>
      <c r="X30" s="554"/>
      <c r="Y30" s="554"/>
      <c r="Z30" s="554"/>
      <c r="AA30" s="554"/>
      <c r="AB30" s="554"/>
      <c r="AC30" s="554"/>
      <c r="AD30" s="554"/>
      <c r="AE30" s="554"/>
      <c r="AF30" s="166" t="s">
        <v>19</v>
      </c>
      <c r="AG30" s="538"/>
      <c r="AH30" s="538"/>
      <c r="AI30" s="539"/>
      <c r="AL30" s="162"/>
    </row>
    <row r="31" spans="1:38">
      <c r="K31" s="272"/>
      <c r="P31" s="155" t="s">
        <v>377</v>
      </c>
      <c r="Q31" s="181"/>
      <c r="R31" s="181"/>
      <c r="S31" s="181"/>
      <c r="T31" s="588"/>
      <c r="U31" s="589"/>
      <c r="V31" s="589"/>
      <c r="W31" s="588"/>
      <c r="X31" s="554"/>
      <c r="Y31" s="554"/>
      <c r="Z31" s="554"/>
      <c r="AA31" s="554"/>
      <c r="AB31" s="554"/>
      <c r="AC31" s="554"/>
      <c r="AD31" s="554"/>
      <c r="AE31" s="554"/>
      <c r="AF31" s="155" t="s">
        <v>232</v>
      </c>
      <c r="AG31" s="179"/>
      <c r="AH31" s="179"/>
      <c r="AI31" s="533"/>
      <c r="AL31" s="162"/>
    </row>
    <row r="32" spans="1:38">
      <c r="K32" s="272"/>
      <c r="P32" s="240" t="s">
        <v>25</v>
      </c>
      <c r="Q32" s="623">
        <v>22.25</v>
      </c>
      <c r="R32" s="590">
        <f>SUM($E20:$G20,$M20,$N20,$Q32)</f>
        <v>4350.7800000000007</v>
      </c>
      <c r="S32" s="534" t="e">
        <f>$R32+IF($B$2="mil",1,0.0254)*$C20</f>
        <v>#REF!</v>
      </c>
      <c r="T32" s="524" t="e">
        <f>$U$30 + IF($B$2="mil",1,0.0254)*DDR2Specs!$E$6</f>
        <v>#REF!</v>
      </c>
      <c r="U32" s="586" t="e">
        <f>$T$30 + IF($B$2="mil",1,0.0254)*DDR2Specs!$F$6</f>
        <v>#REF!</v>
      </c>
      <c r="V32" s="591" t="e">
        <f>IF($S32&lt;$T32,$T32-$S32,"Pass")</f>
        <v>#REF!</v>
      </c>
      <c r="W32" s="591" t="e">
        <f>IF($S32&gt;$U32,$S32-$U32,"Pass")</f>
        <v>#REF!</v>
      </c>
      <c r="X32" s="554"/>
      <c r="Y32" s="554"/>
      <c r="Z32" s="554"/>
      <c r="AA32" s="554"/>
      <c r="AB32" s="554"/>
      <c r="AC32" s="554"/>
      <c r="AD32" s="554"/>
      <c r="AE32" s="554"/>
      <c r="AF32" s="561" t="s">
        <v>25</v>
      </c>
      <c r="AG32" s="528" t="e">
        <f ca="1">CheckLength2(IF($B$2="mil",1,0.0254)*1200,N20,Q32,0)</f>
        <v>#NAME?</v>
      </c>
      <c r="AH32" s="560" t="e">
        <f>IF(AND(R32&gt;=IF($B$2="mil",1,0.0254)*500, $R32&lt;=IF($B$2="mil",1,0.0254)*6500),"Pass",IF($B$2="mil",1,0.0254)*6500-$R32)</f>
        <v>#REF!</v>
      </c>
      <c r="AI32" s="560" t="e">
        <f>IF(AND($S32&gt;=IF($B$2="mil",1,0.0254)*500, $S32&lt;=IF($B$2="mil",1,0.0254)*7000),"Pass",IF($B$2="mil",1,0.0254)*7000-$S32)</f>
        <v>#REF!</v>
      </c>
      <c r="AJ32" s="162" t="e">
        <f ca="1">IF(AND(V32="Pass",W32="Pass",AG32="Pass",AH32="Pass",AI32="Pass"),"Pass","Fail")</f>
        <v>#REF!</v>
      </c>
      <c r="AL32" s="162"/>
    </row>
    <row r="33" spans="11:38">
      <c r="K33" s="272"/>
      <c r="P33" s="240" t="s">
        <v>27</v>
      </c>
      <c r="Q33" s="623">
        <v>87.69</v>
      </c>
      <c r="R33" s="590">
        <f>SUM($E21:$G21,$M21,$N21,$Q33)</f>
        <v>4386.8599999999997</v>
      </c>
      <c r="S33" s="534" t="e">
        <f>$R33+IF($B$2="mil",1,0.0254)*$C21</f>
        <v>#REF!</v>
      </c>
      <c r="T33" s="524" t="e">
        <f>$U$30 + IF($B$2="mil",1,0.0254)*DDR2Specs!$E$6</f>
        <v>#REF!</v>
      </c>
      <c r="U33" s="586" t="e">
        <f>$T$30 + IF($B$2="mil",1,0.0254)*DDR2Specs!$F$6</f>
        <v>#REF!</v>
      </c>
      <c r="V33" s="591" t="e">
        <f>IF($S33&lt;$T33,$T33-$S33,"Pass")</f>
        <v>#REF!</v>
      </c>
      <c r="W33" s="591" t="e">
        <f>IF($S33&gt;$U33,$S33-$U33,"Pass")</f>
        <v>#REF!</v>
      </c>
      <c r="X33" s="554"/>
      <c r="Y33" s="554"/>
      <c r="Z33" s="554"/>
      <c r="AA33" s="554"/>
      <c r="AB33" s="554"/>
      <c r="AC33" s="554"/>
      <c r="AD33" s="554"/>
      <c r="AE33" s="554"/>
      <c r="AF33" s="561" t="s">
        <v>27</v>
      </c>
      <c r="AG33" s="528" t="e">
        <f ca="1">CheckLength2(IF($B$2="mil",1,0.0254)*1200,N21,Q33,0)</f>
        <v>#NAME?</v>
      </c>
      <c r="AH33" s="560" t="e">
        <f>IF(AND(R33&gt;=IF($B$2="mil",1,0.0254)*500, $R33&lt;=IF($B$2="mil",1,0.0254)*6500),"Pass",IF($B$2="mil",1,0.0254)*6500-$R33)</f>
        <v>#REF!</v>
      </c>
      <c r="AI33" s="560" t="e">
        <f>IF(AND($S33&gt;=IF($B$2="mil",1,0.0254)*500, $S33&lt;=IF($B$2="mil",1,0.0254)*7000),"Pass",IF($B$2="mil",1,0.0254)*7000-$S33)</f>
        <v>#REF!</v>
      </c>
      <c r="AJ33" s="162" t="e">
        <f ca="1">IF(AND(V33="Pass",W33="Pass",AG33="Pass",AH33="Pass",AI33="Pass"),"Pass","Fail")</f>
        <v>#REF!</v>
      </c>
      <c r="AL33" s="162"/>
    </row>
    <row r="34" spans="11:38">
      <c r="P34" s="186" t="s">
        <v>29</v>
      </c>
      <c r="Q34" s="623">
        <v>58.38</v>
      </c>
      <c r="R34" s="590">
        <f>SUM($E22:$G22,$M22,$N22,$Q34)</f>
        <v>4317.79</v>
      </c>
      <c r="S34" s="534" t="e">
        <f>$R34+IF($B$2="mil",1,0.0254)*$C22</f>
        <v>#REF!</v>
      </c>
      <c r="T34" s="524" t="e">
        <f>$U$30 + IF($B$2="mil",1,0.0254)*DDR2Specs!$E$6</f>
        <v>#REF!</v>
      </c>
      <c r="U34" s="586" t="e">
        <f>$T$30 + IF($B$2="mil",1,0.0254)*DDR2Specs!$F$6</f>
        <v>#REF!</v>
      </c>
      <c r="V34" s="546" t="e">
        <f>IF($S34&lt;$T34,$T34-$S34,"Pass")</f>
        <v>#REF!</v>
      </c>
      <c r="W34" s="547" t="e">
        <f>IF($S34&gt;$U34,$S34-$U34,"Pass")</f>
        <v>#REF!</v>
      </c>
      <c r="X34" s="554"/>
      <c r="Y34" s="554"/>
      <c r="Z34" s="554"/>
      <c r="AA34" s="554"/>
      <c r="AB34" s="554"/>
      <c r="AC34" s="554"/>
      <c r="AD34" s="554"/>
      <c r="AE34" s="554"/>
      <c r="AF34" s="559" t="s">
        <v>29</v>
      </c>
      <c r="AG34" s="528" t="e">
        <f ca="1">CheckLength2(IF($B$2="mil",1,0.0254)*1200,N22,Q34,0)</f>
        <v>#NAME?</v>
      </c>
      <c r="AH34" s="560" t="e">
        <f>IF(AND(R34&gt;=IF($B$2="mil",1,0.0254)*500, $R34&lt;=IF($B$2="mil",1,0.0254)*6500),"Pass",IF($B$2="mil",1,0.0254)*6500-$R34)</f>
        <v>#REF!</v>
      </c>
      <c r="AI34" s="560" t="e">
        <f>IF(AND($S34&gt;=IF($B$2="mil",1,0.0254)*500, $S34&lt;=IF($B$2="mil",1,0.0254)*7000),"Pass",IF($B$2="mil",1,0.0254)*7000-$S34)</f>
        <v>#REF!</v>
      </c>
      <c r="AJ34" s="162" t="e">
        <f ca="1">IF(AND(V34="Pass",W34="Pass",AG34="Pass",AH34="Pass",AI34="Pass"),"Pass","Fail")</f>
        <v>#REF!</v>
      </c>
      <c r="AL34" s="162"/>
    </row>
    <row r="35" spans="11:38" ht="45">
      <c r="N35" s="55"/>
      <c r="O35" s="55"/>
      <c r="P35" s="144" t="s">
        <v>457</v>
      </c>
      <c r="Q35" s="144" t="e">
        <f>"Trace L8-2 ["&amp;$B$2&amp;"]"</f>
        <v>#REF!</v>
      </c>
      <c r="R35" s="550" t="s">
        <v>395</v>
      </c>
      <c r="S35" s="550" t="s">
        <v>396</v>
      </c>
      <c r="T35" s="552" t="e">
        <f>"Target Min Length  to U6["&amp;$B$2&amp;"]"</f>
        <v>#REF!</v>
      </c>
      <c r="U35" s="552" t="e">
        <f>"Target Max Length  to U6 ["&amp;$B$2&amp;"]"</f>
        <v>#REF!</v>
      </c>
      <c r="V35" s="552" t="e">
        <f>"Routed Too Short to U6 [" &amp;$B$2&amp;"]"</f>
        <v>#REF!</v>
      </c>
      <c r="W35" s="552" t="e">
        <f>"Routed Too Long to U6 [" &amp;$B$2&amp;"]"</f>
        <v>#REF!</v>
      </c>
      <c r="X35" s="554"/>
      <c r="Y35" s="554"/>
      <c r="Z35" s="554"/>
      <c r="AA35" s="554"/>
      <c r="AB35" s="554"/>
      <c r="AC35" s="554"/>
      <c r="AD35" s="554"/>
      <c r="AE35" s="554"/>
      <c r="AF35" s="555" t="s">
        <v>457</v>
      </c>
      <c r="AG35" s="556" t="e">
        <f>"L8-2 Length Test (&lt;=" &amp; IF($B$2="mil",1,0.0254)*200&amp;$B$2&amp;") or (L6-1+L8-2&lt;= "&amp;IF($B$2="mil",1,0.0254)*1200&amp;$B$2&amp;")"</f>
        <v>#REF!</v>
      </c>
      <c r="AH35" s="552" t="e">
        <f>"Total Length to U6 (L0+L1+L2+L5+L6-1+L8-2)Test ("&amp;IF($B$2="mil",1,0.0254)*500&amp;"-"&amp;IF($B$2="mil",1,0.0254)*6500&amp;IF($B$2="mil","mil","mm")&amp;")"</f>
        <v>#REF!</v>
      </c>
      <c r="AI35" s="552" t="e">
        <f>"Total Length to U6 (P1+L0+L1+L2+L5+L6-1+L8-2) Test (&lt;="&amp;IF($B$2="mil",1,25.4)*7000&amp;IF($B$2="mil","mil","mm")&amp;")"</f>
        <v>#REF!</v>
      </c>
      <c r="AJ35" s="162"/>
      <c r="AL35" s="162"/>
    </row>
    <row r="36" spans="11:38">
      <c r="K36" s="29"/>
      <c r="M36" s="29"/>
      <c r="P36" s="163" t="s">
        <v>19</v>
      </c>
      <c r="Q36" s="389"/>
      <c r="R36" s="389"/>
      <c r="S36" s="558" t="s">
        <v>285</v>
      </c>
      <c r="T36" s="541" t="e">
        <f>MIN('DDR2 Clocks - 4L'!$O$11:$O$12)</f>
        <v>#REF!</v>
      </c>
      <c r="U36" s="541" t="e">
        <f>MAX('DDR2 Clocks - 4L'!$O$11:$O$12)</f>
        <v>#REF!</v>
      </c>
      <c r="V36" s="542"/>
      <c r="W36" s="168"/>
      <c r="X36" s="554"/>
      <c r="Y36" s="554"/>
      <c r="Z36" s="554"/>
      <c r="AA36" s="554"/>
      <c r="AB36" s="554"/>
      <c r="AC36" s="554"/>
      <c r="AD36" s="554"/>
      <c r="AE36" s="554"/>
      <c r="AF36" s="166" t="s">
        <v>19</v>
      </c>
      <c r="AG36" s="538"/>
      <c r="AH36" s="538"/>
      <c r="AI36" s="539"/>
      <c r="AJ36" s="162"/>
      <c r="AL36" s="162"/>
    </row>
    <row r="37" spans="11:38">
      <c r="K37" s="29"/>
      <c r="M37" s="29"/>
      <c r="P37" s="155" t="s">
        <v>378</v>
      </c>
      <c r="Q37" s="181"/>
      <c r="R37" s="181"/>
      <c r="S37" s="181"/>
      <c r="T37" s="179"/>
      <c r="U37" s="531"/>
      <c r="V37" s="531"/>
      <c r="W37" s="179"/>
      <c r="X37" s="554"/>
      <c r="Y37" s="554"/>
      <c r="Z37" s="554"/>
      <c r="AA37" s="554"/>
      <c r="AB37" s="554"/>
      <c r="AC37" s="554"/>
      <c r="AD37" s="554"/>
      <c r="AE37" s="554"/>
      <c r="AF37" s="155" t="s">
        <v>232</v>
      </c>
      <c r="AG37" s="179"/>
      <c r="AH37" s="179"/>
      <c r="AI37" s="533"/>
      <c r="AJ37" s="162"/>
      <c r="AL37" s="162"/>
    </row>
    <row r="38" spans="11:38">
      <c r="P38" s="186" t="s">
        <v>26</v>
      </c>
      <c r="Q38" s="623">
        <v>79.69</v>
      </c>
      <c r="R38" s="590">
        <f>SUM($E26:$G26,$M26,$N26,$Q38)</f>
        <v>4263.82</v>
      </c>
      <c r="S38" s="534" t="e">
        <f>$R38+IF($B$2="mil",1,0.0254)*$C26</f>
        <v>#REF!</v>
      </c>
      <c r="T38" s="524" t="e">
        <f>$U$36 + IF($B$2="mil",1,0.0254)*DDR2Specs!$E$6</f>
        <v>#REF!</v>
      </c>
      <c r="U38" s="586" t="e">
        <f>$T$36 + IF($B$2="mil",1,0.0254)*DDR2Specs!$F$6</f>
        <v>#REF!</v>
      </c>
      <c r="V38" s="546" t="e">
        <f>IF($S38&lt;$T38,$T38-$S38,"Pass")</f>
        <v>#REF!</v>
      </c>
      <c r="W38" s="547" t="e">
        <f>IF($S38&gt;$U38,$S38-$U38,"Pass")</f>
        <v>#REF!</v>
      </c>
      <c r="X38" s="554"/>
      <c r="Y38" s="554"/>
      <c r="Z38" s="554"/>
      <c r="AA38" s="554"/>
      <c r="AB38" s="554"/>
      <c r="AC38" s="554"/>
      <c r="AD38" s="554"/>
      <c r="AE38" s="554"/>
      <c r="AF38" s="559" t="s">
        <v>26</v>
      </c>
      <c r="AG38" s="528" t="e">
        <f ca="1">CheckLength2(IF($B$2="mil",1,0.0254)*1200,N26,Q38,0)</f>
        <v>#NAME?</v>
      </c>
      <c r="AH38" s="560" t="e">
        <f>IF(AND(R38&gt;=IF($B$2="mil",1,0.0254)*500, $R38&lt;=IF($B$2="mil",1,0.0254)*6500),"Pass",IF($B$2="mil",1,0.0254)*6500-$R38)</f>
        <v>#REF!</v>
      </c>
      <c r="AI38" s="560" t="e">
        <f>IF(AND($S38&gt;=IF($B$2="mil",1,0.0254)*500, $S38&lt;=IF($B$2="mil",1,0.0254)*7000),"Pass",IF($B$2="mil",1,0.0254)*7000-$S38)</f>
        <v>#REF!</v>
      </c>
      <c r="AJ38" s="162" t="e">
        <f ca="1">IF(AND(V38="Pass",W38="Pass",AG38="Pass",AH38="Pass",AI38="Pass"),"Pass","Fail")</f>
        <v>#REF!</v>
      </c>
      <c r="AL38" s="162"/>
    </row>
    <row r="39" spans="11:38">
      <c r="P39" s="186" t="s">
        <v>28</v>
      </c>
      <c r="Q39" s="623">
        <v>109.17</v>
      </c>
      <c r="R39" s="590">
        <f>SUM($E27:$G27,$M27,$N27,$Q39)</f>
        <v>4311.3</v>
      </c>
      <c r="S39" s="534" t="e">
        <f>$R39+IF($B$2="mil",1,0.0254)*$C27</f>
        <v>#REF!</v>
      </c>
      <c r="T39" s="524" t="e">
        <f>$U$36 + IF($B$2="mil",1,0.0254)*DDR2Specs!$E$6</f>
        <v>#REF!</v>
      </c>
      <c r="U39" s="586" t="e">
        <f>$T$36 + IF($B$2="mil",1,0.0254)*DDR2Specs!$F$6</f>
        <v>#REF!</v>
      </c>
      <c r="V39" s="546" t="e">
        <f>IF($S39&lt;$T39,$T39-$S39,"Pass")</f>
        <v>#REF!</v>
      </c>
      <c r="W39" s="547" t="e">
        <f>IF($S39&gt;$U39,$S39-$U39,"Pass")</f>
        <v>#REF!</v>
      </c>
      <c r="X39" s="554"/>
      <c r="Y39" s="554"/>
      <c r="Z39" s="554"/>
      <c r="AA39" s="554"/>
      <c r="AB39" s="554"/>
      <c r="AC39" s="554"/>
      <c r="AD39" s="554"/>
      <c r="AE39" s="554"/>
      <c r="AF39" s="559" t="s">
        <v>28</v>
      </c>
      <c r="AG39" s="528" t="e">
        <f ca="1">CheckLength2(IF($B$2="mil",1,0.0254)*1200,N27,Q39,0)</f>
        <v>#NAME?</v>
      </c>
      <c r="AH39" s="560" t="e">
        <f>IF(AND(R39&gt;=IF($B$2="mil",1,0.0254)*500, $R39&lt;=IF($B$2="mil",1,0.0254)*6500),"Pass",IF($B$2="mil",1,0.0254)*6500-$R39)</f>
        <v>#REF!</v>
      </c>
      <c r="AI39" s="560" t="e">
        <f>IF(AND($S39&gt;=IF($B$2="mil",1,0.0254)*500, $S39&lt;=IF($B$2="mil",1,0.0254)*7000),"Pass",IF($B$2="mil",1,0.0254)*7000-$S39)</f>
        <v>#REF!</v>
      </c>
      <c r="AJ39" s="162" t="e">
        <f ca="1">IF(AND(V39="Pass",W39="Pass",AG39="Pass",AH39="Pass",AI39="Pass"),"Pass","Fail")</f>
        <v>#REF!</v>
      </c>
      <c r="AL39" s="162"/>
    </row>
    <row r="40" spans="11:38">
      <c r="P40" s="186" t="s">
        <v>30</v>
      </c>
      <c r="Q40" s="623">
        <v>22.28</v>
      </c>
      <c r="R40" s="590">
        <f>SUM($E28:$G28,$M28,$N28,$Q40)</f>
        <v>4102.82</v>
      </c>
      <c r="S40" s="534" t="e">
        <f>$R40+IF($B$2="mil",1,0.0254)*$C28</f>
        <v>#REF!</v>
      </c>
      <c r="T40" s="524" t="e">
        <f>$U$36 + IF($B$2="mil",1,0.0254)*DDR2Specs!$E$6</f>
        <v>#REF!</v>
      </c>
      <c r="U40" s="586" t="e">
        <f>$T$36 + IF($B$2="mil",1,0.0254)*DDR2Specs!$F$6</f>
        <v>#REF!</v>
      </c>
      <c r="V40" s="546" t="e">
        <f>IF($S40&lt;$T40,$T40-$S40,"Pass")</f>
        <v>#REF!</v>
      </c>
      <c r="W40" s="547" t="e">
        <f>IF($S40&gt;$U40,$S40-$U40,"Pass")</f>
        <v>#REF!</v>
      </c>
      <c r="X40" s="554"/>
      <c r="Y40" s="554"/>
      <c r="Z40" s="554"/>
      <c r="AA40" s="554"/>
      <c r="AB40" s="554"/>
      <c r="AC40" s="554"/>
      <c r="AD40" s="554"/>
      <c r="AE40" s="554"/>
      <c r="AF40" s="559" t="s">
        <v>30</v>
      </c>
      <c r="AG40" s="528" t="e">
        <f ca="1">CheckLength2(IF($B$2="mil",1,0.0254)*1200,N28,Q40,0)</f>
        <v>#NAME?</v>
      </c>
      <c r="AH40" s="560" t="e">
        <f>IF(AND(R40&gt;=IF($B$2="mil",1,0.0254)*500, $R40&lt;=IF($B$2="mil",1,0.0254)*6500),"Pass",IF($B$2="mil",1,0.0254)*6500-$R40)</f>
        <v>#REF!</v>
      </c>
      <c r="AI40" s="560" t="e">
        <f>IF(AND($S40&gt;=IF($B$2="mil",1,0.0254)*500, $S40&lt;=IF($B$2="mil",1,0.0254)*7000),"Pass",IF($B$2="mil",1,0.0254)*7000-$S40)</f>
        <v>#REF!</v>
      </c>
      <c r="AJ40" s="162" t="e">
        <f ca="1">IF(AND(V40="Pass",W40="Pass",AG40="Pass",AH40="Pass",AI40="Pass"),"Pass","Fail")</f>
        <v>#REF!</v>
      </c>
      <c r="AL40" s="162"/>
    </row>
    <row r="41" spans="11:38" ht="45">
      <c r="K41" s="400"/>
      <c r="M41" s="400"/>
      <c r="N41" s="144" t="s">
        <v>457</v>
      </c>
      <c r="O41" s="144"/>
      <c r="P41" s="144" t="e">
        <f>"Trace L6-2 ["&amp;$B$2&amp;"]"</f>
        <v>#REF!</v>
      </c>
      <c r="Q41" s="144" t="e">
        <f>"Trace L8-3 ["&amp;$B$2&amp;"]"</f>
        <v>#REF!</v>
      </c>
      <c r="R41" s="550" t="s">
        <v>397</v>
      </c>
      <c r="S41" s="555" t="s">
        <v>398</v>
      </c>
      <c r="T41" s="551" t="e">
        <f>"Target Min Length to U3["&amp;$B$2&amp;"]"</f>
        <v>#REF!</v>
      </c>
      <c r="U41" s="551" t="e">
        <f>"Target Max Length to U3 ["&amp;$B$2&amp;"]"</f>
        <v>#REF!</v>
      </c>
      <c r="V41" s="553" t="e">
        <f>"Routed Too Short to U3 [" &amp;$B$2&amp;"]"</f>
        <v>#REF!</v>
      </c>
      <c r="W41" s="551" t="e">
        <f>"Routed Too Long to U3 [" &amp;$B$2&amp;"]"</f>
        <v>#REF!</v>
      </c>
      <c r="X41" s="554"/>
      <c r="Y41" s="554"/>
      <c r="Z41" s="554"/>
      <c r="AA41" s="554"/>
      <c r="AB41" s="555" t="s">
        <v>457</v>
      </c>
      <c r="AC41" s="552" t="e">
        <f>"L6-2 Length Test (&lt;=" &amp; IF($B$2="mil",1,0.0254)*1000&amp;$B$2&amp;")"</f>
        <v>#REF!</v>
      </c>
      <c r="AD41" s="554"/>
      <c r="AE41" s="554"/>
      <c r="AF41" s="554"/>
      <c r="AG41" s="556" t="e">
        <f>"L8-3 Length Test (&lt;=" &amp; IF($B$2="mil",1,0.0254)*200&amp;$B$2&amp;") or (L6-2+L8-3&lt;= "&amp;IF($B$2="mil",1,0.0254)*1200&amp;$B$2&amp;")"</f>
        <v>#REF!</v>
      </c>
      <c r="AH41" s="552" t="e">
        <f>"Total Length to U3 (L0+L1+L2+L5+L6-2+L8-3)Test ("&amp;IF($B$2="mil",1,0.0254)*500&amp;"-"&amp;IF($B$2="mil",1,0.0254)*6500&amp;IF($B$2="mil","mil","mm")&amp;")"</f>
        <v>#REF!</v>
      </c>
      <c r="AI41" s="552" t="e">
        <f>"Total Length to U3 (P1+L0+L1+L2+L5+L6-2+L8-3) Test (&lt;="&amp;IF($B$2="mil",1,25.4)*7000&amp;IF($B$2="mil","mil","mm")&amp;")"</f>
        <v>#REF!</v>
      </c>
      <c r="AL41" s="162"/>
    </row>
    <row r="42" spans="11:38">
      <c r="N42" s="163" t="s">
        <v>19</v>
      </c>
      <c r="O42" s="163"/>
      <c r="P42" s="166"/>
      <c r="Q42" s="166"/>
      <c r="R42" s="166"/>
      <c r="S42" s="558" t="s">
        <v>226</v>
      </c>
      <c r="T42" s="541" t="e">
        <f>MIN('DDR2 Clocks - 2L'!$R$7:$R$8)</f>
        <v>#REF!</v>
      </c>
      <c r="U42" s="167" t="e">
        <f>MAX('DDR2 Clocks - 2L'!$R$7:$R$8)</f>
        <v>#REF!</v>
      </c>
      <c r="V42" s="592"/>
      <c r="W42" s="541"/>
      <c r="X42" s="554"/>
      <c r="Y42" s="554"/>
      <c r="Z42" s="554"/>
      <c r="AA42" s="554"/>
      <c r="AB42" s="166" t="s">
        <v>19</v>
      </c>
      <c r="AC42" s="539"/>
      <c r="AD42" s="554"/>
      <c r="AE42" s="554"/>
      <c r="AF42" s="554"/>
      <c r="AG42" s="538"/>
      <c r="AH42" s="538"/>
      <c r="AI42" s="539"/>
      <c r="AL42" s="162"/>
    </row>
    <row r="43" spans="11:38">
      <c r="K43" s="400"/>
      <c r="M43" s="400"/>
      <c r="N43" s="155" t="s">
        <v>377</v>
      </c>
      <c r="O43" s="411"/>
      <c r="P43" s="181"/>
      <c r="Q43" s="181"/>
      <c r="R43" s="181"/>
      <c r="S43" s="181"/>
      <c r="T43" s="588"/>
      <c r="U43" s="589"/>
      <c r="V43" s="589"/>
      <c r="W43" s="588"/>
      <c r="X43" s="554"/>
      <c r="Y43" s="554"/>
      <c r="Z43" s="554"/>
      <c r="AA43" s="554"/>
      <c r="AB43" s="155" t="s">
        <v>232</v>
      </c>
      <c r="AC43" s="273"/>
      <c r="AD43" s="554"/>
      <c r="AE43" s="554"/>
      <c r="AF43" s="554"/>
      <c r="AG43" s="179"/>
      <c r="AH43" s="179"/>
      <c r="AI43" s="533"/>
      <c r="AL43" s="162"/>
    </row>
    <row r="44" spans="11:38">
      <c r="N44" s="185" t="s">
        <v>25</v>
      </c>
      <c r="O44" s="185"/>
      <c r="P44" s="622">
        <v>746.61</v>
      </c>
      <c r="Q44" s="623">
        <v>56.17</v>
      </c>
      <c r="R44" s="534">
        <f>SUM($E20:$G20,$M20,$P44,$Q44)</f>
        <v>4407.4000000000005</v>
      </c>
      <c r="S44" s="534" t="e">
        <f>$R44+IF($B$2="mil",1,0.0254)*$C20</f>
        <v>#REF!</v>
      </c>
      <c r="T44" s="524" t="e">
        <f>$U$42 + IF($B$2="mil",1,0.0254)*DDR2Specs!$E$6</f>
        <v>#REF!</v>
      </c>
      <c r="U44" s="586" t="e">
        <f>$T$42 + IF($B$2="mil",1,0.0254)*DDR2Specs!$F$6</f>
        <v>#REF!</v>
      </c>
      <c r="V44" s="546" t="e">
        <f>IF($S44&lt;$T44,$T44-$S44,"Pass")</f>
        <v>#REF!</v>
      </c>
      <c r="W44" s="547" t="e">
        <f>IF($S44&gt;$U44,$S44-$U44,"Pass")</f>
        <v>#REF!</v>
      </c>
      <c r="X44" s="554"/>
      <c r="Y44" s="554"/>
      <c r="Z44" s="554"/>
      <c r="AA44" s="554"/>
      <c r="AB44" s="559" t="s">
        <v>25</v>
      </c>
      <c r="AC44" s="560" t="e">
        <f>IF(P44&lt;=IF($B$2="mil",1,0.0254)*1000,"Pass",IF($B$2="mil",1,0.0254)*1000-P44)</f>
        <v>#REF!</v>
      </c>
      <c r="AD44" s="554"/>
      <c r="AE44" s="554"/>
      <c r="AF44" s="554"/>
      <c r="AG44" s="528" t="e">
        <f ca="1">CheckLength2(IF($B$2="mil",1,0.0254)*1200,P44,Q44,0)</f>
        <v>#NAME?</v>
      </c>
      <c r="AH44" s="528" t="e">
        <f>IF(AND(R44&gt;=IF($B$2="mil",1,0.0254)*500, $R44&lt;=IF($B$2="mil",1,0.0254)*6500),"Pass",IF($B$2="mil",1,0.0254)*6500-$R44)</f>
        <v>#REF!</v>
      </c>
      <c r="AI44" s="529" t="e">
        <f>IF(AND($S44&gt;=IF($B$2="mil",1,0.0254)*500, $S44&lt;=IF($B$2="mil",1,0.0254)*7000),"Pass",IF($B$2="mil",1,0.0254)*7000-$S44)</f>
        <v>#REF!</v>
      </c>
      <c r="AJ44" s="162" t="e">
        <f ca="1">IF(AND(V44="Pass",W44="Pass",AC44="Pass",AG44="Pass",AH44="Pass",AI44="Pass"),"Pass","Fail")</f>
        <v>#REF!</v>
      </c>
      <c r="AL44" s="162"/>
    </row>
    <row r="45" spans="11:38">
      <c r="N45" s="185" t="s">
        <v>27</v>
      </c>
      <c r="O45" s="185"/>
      <c r="P45" s="622">
        <v>688.58</v>
      </c>
      <c r="Q45" s="623">
        <v>101.85</v>
      </c>
      <c r="R45" s="534">
        <f>SUM($E21:$G21,$M21,$P45,$Q45)</f>
        <v>4369.2000000000007</v>
      </c>
      <c r="S45" s="534" t="e">
        <f>$R45+IF($B$2="mil",1,0.0254)*$C21</f>
        <v>#REF!</v>
      </c>
      <c r="T45" s="524" t="e">
        <f>$U$42 + IF($B$2="mil",1,0.0254)*DDR2Specs!$E$6</f>
        <v>#REF!</v>
      </c>
      <c r="U45" s="586" t="e">
        <f>$T$42 + IF($B$2="mil",1,0.0254)*DDR2Specs!$F$6</f>
        <v>#REF!</v>
      </c>
      <c r="V45" s="546" t="e">
        <f>IF($S45&lt;$T45,$T45-$S45,"Pass")</f>
        <v>#REF!</v>
      </c>
      <c r="W45" s="547" t="e">
        <f>IF($S45&gt;$U45,$S45-$U45,"Pass")</f>
        <v>#REF!</v>
      </c>
      <c r="X45" s="554"/>
      <c r="Y45" s="554"/>
      <c r="Z45" s="554"/>
      <c r="AA45" s="554"/>
      <c r="AB45" s="559" t="s">
        <v>27</v>
      </c>
      <c r="AC45" s="560" t="e">
        <f>IF(P45&lt;=IF($B$2="mil",1,0.0254)*1000,"Pass",IF($B$2="mil",1,0.0254)*1000-P45)</f>
        <v>#REF!</v>
      </c>
      <c r="AD45" s="554"/>
      <c r="AE45" s="554"/>
      <c r="AF45" s="554"/>
      <c r="AG45" s="528" t="e">
        <f ca="1">CheckLength2(IF($B$2="mil",1,0.0254)*1200,P45,Q45,0)</f>
        <v>#NAME?</v>
      </c>
      <c r="AH45" s="528" t="e">
        <f>IF(AND(R45&gt;=IF($B$2="mil",1,0.0254)*500, $R45&lt;=IF($B$2="mil",1,0.0254)*6500),"Pass",IF($B$2="mil",1,0.0254)*6500-$R45)</f>
        <v>#REF!</v>
      </c>
      <c r="AI45" s="529" t="e">
        <f>IF(AND($S45&gt;=IF($B$2="mil",1,0.0254)*500, $S45&lt;=IF($B$2="mil",1,0.0254)*7000),"Pass",IF($B$2="mil",1,0.0254)*7000-$S45)</f>
        <v>#REF!</v>
      </c>
      <c r="AJ45" s="162" t="e">
        <f ca="1">IF(AND(V45="Pass",W45="Pass",AC45="Pass",AG45="Pass",AH45="Pass",AI45="Pass"),"Pass","Fail")</f>
        <v>#REF!</v>
      </c>
      <c r="AL45" s="162"/>
    </row>
    <row r="46" spans="11:38">
      <c r="N46" s="185" t="s">
        <v>29</v>
      </c>
      <c r="O46" s="185"/>
      <c r="P46" s="622">
        <v>704.48</v>
      </c>
      <c r="Q46" s="623">
        <v>86.1</v>
      </c>
      <c r="R46" s="534">
        <f>SUM($E22:$G22,$M22,$P46,$Q46)</f>
        <v>4307.7000000000007</v>
      </c>
      <c r="S46" s="534" t="e">
        <f>$R46+IF($B$2="mil",1,0.0254)*$C22</f>
        <v>#REF!</v>
      </c>
      <c r="T46" s="524" t="e">
        <f>$U$42 + IF($B$2="mil",1,0.0254)*DDR2Specs!$E$6</f>
        <v>#REF!</v>
      </c>
      <c r="U46" s="586" t="e">
        <f>$T$42 + IF($B$2="mil",1,0.0254)*DDR2Specs!$F$6</f>
        <v>#REF!</v>
      </c>
      <c r="V46" s="546" t="e">
        <f>IF($S46&lt;$T46,$T46-$S46,"Pass")</f>
        <v>#REF!</v>
      </c>
      <c r="W46" s="547" t="e">
        <f>IF($S46&gt;$U46,$S46-$U46,"Pass")</f>
        <v>#REF!</v>
      </c>
      <c r="X46" s="554"/>
      <c r="Y46" s="554"/>
      <c r="Z46" s="554"/>
      <c r="AA46" s="554"/>
      <c r="AB46" s="559" t="s">
        <v>29</v>
      </c>
      <c r="AC46" s="560" t="e">
        <f>IF(P46&lt;=IF($B$2="mil",1,0.0254)*1000,"Pass",IF($B$2="mil",1,0.0254)*1000-P46)</f>
        <v>#REF!</v>
      </c>
      <c r="AD46" s="554"/>
      <c r="AE46" s="554"/>
      <c r="AF46" s="554"/>
      <c r="AG46" s="528" t="e">
        <f ca="1">CheckLength2(IF($B$2="mil",1,0.0254)*1200,P46,Q46,0)</f>
        <v>#NAME?</v>
      </c>
      <c r="AH46" s="528" t="e">
        <f>IF(AND(R46&gt;=IF($B$2="mil",1,0.0254)*500, $R46&lt;=IF($B$2="mil",1,0.0254)*6500),"Pass",IF($B$2="mil",1,0.0254)*6500-$R46)</f>
        <v>#REF!</v>
      </c>
      <c r="AI46" s="529" t="e">
        <f>IF(AND($S46&gt;=IF($B$2="mil",1,0.0254)*500, $S46&lt;=IF($B$2="mil",1,0.0254)*7000),"Pass",IF($B$2="mil",1,0.0254)*7000-$S46)</f>
        <v>#REF!</v>
      </c>
      <c r="AJ46" s="162" t="e">
        <f ca="1">IF(AND(V46="Pass",W46="Pass",AC46="Pass",AG46="Pass",AH46="Pass",AI46="Pass"),"Pass","Fail")</f>
        <v>#REF!</v>
      </c>
      <c r="AL46" s="162"/>
    </row>
    <row r="47" spans="11:38" ht="45">
      <c r="K47" s="400"/>
      <c r="M47" s="400"/>
      <c r="N47" s="144" t="s">
        <v>457</v>
      </c>
      <c r="O47" s="144"/>
      <c r="P47" s="144" t="e">
        <f>"Trace L6-2 ["&amp;$B$2&amp;"]"</f>
        <v>#REF!</v>
      </c>
      <c r="Q47" s="144" t="e">
        <f>"Trace L8-3 ["&amp;$B$2&amp;"]"</f>
        <v>#REF!</v>
      </c>
      <c r="R47" s="550" t="s">
        <v>399</v>
      </c>
      <c r="S47" s="550" t="s">
        <v>400</v>
      </c>
      <c r="T47" s="552" t="e">
        <f>"Target Min Length to U7["&amp;$B$2&amp;"]"</f>
        <v>#REF!</v>
      </c>
      <c r="U47" s="552" t="e">
        <f>"Target Max Length to U7 ["&amp;$B$2&amp;"]"</f>
        <v>#REF!</v>
      </c>
      <c r="V47" s="587" t="e">
        <f>"Routed Too Short to U7 [" &amp;$B$2&amp;"]"</f>
        <v>#REF!</v>
      </c>
      <c r="W47" s="552" t="e">
        <f>"Routed Too Long to U7 [" &amp;$B$2&amp;"]"</f>
        <v>#REF!</v>
      </c>
      <c r="X47" s="554"/>
      <c r="Y47" s="554"/>
      <c r="Z47" s="554"/>
      <c r="AA47" s="554"/>
      <c r="AB47" s="550" t="s">
        <v>457</v>
      </c>
      <c r="AC47" s="552" t="e">
        <f>"L6-2 Length Test (&lt;=" &amp; IF($B$2="mil",1,0.0254)*1000&amp;$B$2&amp;")"</f>
        <v>#REF!</v>
      </c>
      <c r="AD47" s="554"/>
      <c r="AE47" s="554"/>
      <c r="AF47" s="554"/>
      <c r="AG47" s="556" t="e">
        <f>"L8-3 Length Test (&lt;=" &amp; IF($B$2="mil",1,0.0254)*200&amp;$B$2&amp;") or (L6-2+L8-3&lt;= "&amp;IF($B$2="mil",1,0.0254)*1200&amp;$B$2&amp;")"</f>
        <v>#REF!</v>
      </c>
      <c r="AH47" s="552" t="e">
        <f>"Total Length to U7 (L0+L1+L2+L5+L6-2+L8-3)Test ("&amp;IF($B$2="mil",1,0.0254)*500&amp;"-"&amp;IF($B$2="mil",1,0.0254)*6500&amp;IF($B$2="mil","mil","mm")&amp;")"</f>
        <v>#REF!</v>
      </c>
      <c r="AI47" s="552" t="e">
        <f>"Total Length to U7 (P1+L0+L1+L2+L5+L6-2+L8-3) Test (&lt;="&amp;IF($B$2="mil",1,25.4)*7000&amp;IF($B$2="mil","mil","mm")&amp;")"</f>
        <v>#REF!</v>
      </c>
      <c r="AL47" s="162"/>
    </row>
    <row r="48" spans="11:38">
      <c r="N48" s="163" t="s">
        <v>19</v>
      </c>
      <c r="O48" s="163"/>
      <c r="P48" s="166"/>
      <c r="Q48" s="166"/>
      <c r="R48" s="389"/>
      <c r="S48" s="558" t="s">
        <v>286</v>
      </c>
      <c r="T48" s="542" t="e">
        <f>MIN('DDR2 Clocks - 4L'!$O$15:$O$16)</f>
        <v>#REF!</v>
      </c>
      <c r="U48" s="541" t="e">
        <f>MAX('DDR2 Clocks - 4L'!$O$15:$O$16)</f>
        <v>#REF!</v>
      </c>
      <c r="V48" s="542"/>
      <c r="W48" s="168"/>
      <c r="X48" s="554"/>
      <c r="Y48" s="554"/>
      <c r="Z48" s="554"/>
      <c r="AA48" s="554"/>
      <c r="AB48" s="163" t="s">
        <v>19</v>
      </c>
      <c r="AC48" s="539"/>
      <c r="AD48" s="554"/>
      <c r="AE48" s="554"/>
      <c r="AF48" s="554"/>
      <c r="AG48" s="538"/>
      <c r="AH48" s="538"/>
      <c r="AI48" s="539"/>
      <c r="AL48" s="162"/>
    </row>
    <row r="49" spans="14:38">
      <c r="N49" s="155" t="s">
        <v>378</v>
      </c>
      <c r="O49" s="411"/>
      <c r="P49" s="181"/>
      <c r="Q49" s="181"/>
      <c r="R49" s="181"/>
      <c r="S49" s="181"/>
      <c r="T49" s="179"/>
      <c r="U49" s="531"/>
      <c r="V49" s="531"/>
      <c r="W49" s="179"/>
      <c r="X49" s="554"/>
      <c r="Y49" s="554"/>
      <c r="Z49" s="554"/>
      <c r="AA49" s="554"/>
      <c r="AB49" s="155" t="s">
        <v>232</v>
      </c>
      <c r="AC49" s="273"/>
      <c r="AD49" s="554"/>
      <c r="AE49" s="554"/>
      <c r="AF49" s="554"/>
      <c r="AG49" s="179"/>
      <c r="AH49" s="179"/>
      <c r="AI49" s="533"/>
      <c r="AL49" s="162"/>
    </row>
    <row r="50" spans="14:38">
      <c r="N50" s="185" t="s">
        <v>26</v>
      </c>
      <c r="O50" s="185"/>
      <c r="P50" s="622">
        <v>468.37</v>
      </c>
      <c r="Q50" s="623">
        <v>75.78</v>
      </c>
      <c r="R50" s="534">
        <f>SUM($E26:$G26,$M26,$P50,$Q50)</f>
        <v>4250.93</v>
      </c>
      <c r="S50" s="534" t="e">
        <f>$R50+IF($B$2="mil",1,0.0254)*$C26</f>
        <v>#REF!</v>
      </c>
      <c r="T50" s="524" t="e">
        <f>$U$48 + IF($B$2="mil",1,0.0254)*DDR2Specs!$E$6</f>
        <v>#REF!</v>
      </c>
      <c r="U50" s="586" t="e">
        <f>$T$48 + IF($B$2="mil",1,0.0254)*DDR2Specs!$F$6</f>
        <v>#REF!</v>
      </c>
      <c r="V50" s="546" t="e">
        <f>IF($S50&lt;$T50,$T50-$S50,"Pass")</f>
        <v>#REF!</v>
      </c>
      <c r="W50" s="547" t="e">
        <f>IF($S50&gt;$U50,$S50-$U50,"Pass")</f>
        <v>#REF!</v>
      </c>
      <c r="X50" s="554"/>
      <c r="Y50" s="554"/>
      <c r="Z50" s="554"/>
      <c r="AA50" s="554"/>
      <c r="AB50" s="559" t="s">
        <v>26</v>
      </c>
      <c r="AC50" s="560" t="e">
        <f>IF(P50&lt;=IF($B$2="mil",1,0.0254)*1000,"Pass",IF($B$2="mil",1,0.0254)*1000-P50)</f>
        <v>#REF!</v>
      </c>
      <c r="AD50" s="554"/>
      <c r="AE50" s="554"/>
      <c r="AF50" s="554"/>
      <c r="AG50" s="528" t="e">
        <f ca="1">CheckLength2(IF($B$2="mil",1,0.0254)*1200,P50,Q50,0)</f>
        <v>#NAME?</v>
      </c>
      <c r="AH50" s="528" t="e">
        <f>IF(AND(R50&gt;=IF($B$2="mil",1,0.0254)*500, $R50&lt;=IF($B$2="mil",1,0.0254)*6500),"Pass",IF($B$2="mil",1,0.0254)*6500-$R50)</f>
        <v>#REF!</v>
      </c>
      <c r="AI50" s="529" t="e">
        <f>IF(AND($S50&gt;=IF($B$2="mil",1,0.0254)*500, $S50&lt;=IF($B$2="mil",1,0.0254)*7000),"Pass",IF($B$2="mil",1,0.0254)*7000-$S50)</f>
        <v>#REF!</v>
      </c>
      <c r="AJ50" s="162" t="e">
        <f ca="1">IF(AND(V50="Pass",W50="Pass",AC50="Pass",AG50="Pass",AH50="Pass",AI50="Pass"),"Pass","Fail")</f>
        <v>#REF!</v>
      </c>
      <c r="AL50" s="162"/>
    </row>
    <row r="51" spans="14:38">
      <c r="N51" s="185" t="s">
        <v>28</v>
      </c>
      <c r="O51" s="185"/>
      <c r="P51" s="622">
        <v>560.38</v>
      </c>
      <c r="Q51" s="623">
        <v>126.74</v>
      </c>
      <c r="R51" s="534">
        <f>SUM($E27:$G27,$M27,$P51,$Q51)</f>
        <v>4361.8099999999995</v>
      </c>
      <c r="S51" s="534" t="e">
        <f>$R51+IF($B$2="mil",1,0.0254)*$C27</f>
        <v>#REF!</v>
      </c>
      <c r="T51" s="524" t="e">
        <f>$U$48 + IF($B$2="mil",1,0.0254)*DDR2Specs!$E$6</f>
        <v>#REF!</v>
      </c>
      <c r="U51" s="586" t="e">
        <f>$T$48 + IF($B$2="mil",1,0.0254)*DDR2Specs!$F$6</f>
        <v>#REF!</v>
      </c>
      <c r="V51" s="546" t="e">
        <f>IF($S51&lt;$T51,$T51-$S51,"Pass")</f>
        <v>#REF!</v>
      </c>
      <c r="W51" s="547" t="e">
        <f>IF($S51&gt;$U51,$S51-$U51,"Pass")</f>
        <v>#REF!</v>
      </c>
      <c r="X51" s="554"/>
      <c r="Y51" s="554"/>
      <c r="Z51" s="554"/>
      <c r="AA51" s="554"/>
      <c r="AB51" s="559" t="s">
        <v>28</v>
      </c>
      <c r="AC51" s="560" t="e">
        <f>IF(P51&lt;=IF($B$2="mil",1,0.0254)*1000,"Pass",IF($B$2="mil",1,0.0254)*1000-P51)</f>
        <v>#REF!</v>
      </c>
      <c r="AD51" s="554"/>
      <c r="AE51" s="554"/>
      <c r="AF51" s="554"/>
      <c r="AG51" s="528" t="e">
        <f ca="1">CheckLength2(IF($B$2="mil",1,0.0254)*1200,P51,Q51,0)</f>
        <v>#NAME?</v>
      </c>
      <c r="AH51" s="528" t="e">
        <f>IF(AND(R51&gt;=IF($B$2="mil",1,0.0254)*500, $R51&lt;=IF($B$2="mil",1,0.0254)*6500),"Pass",IF($B$2="mil",1,0.0254)*6500-$R51)</f>
        <v>#REF!</v>
      </c>
      <c r="AI51" s="529" t="e">
        <f>IF(AND($S51&gt;=IF($B$2="mil",1,0.0254)*500, $S51&lt;=IF($B$2="mil",1,0.0254)*7000),"Pass",IF($B$2="mil",1,0.0254)*7000-$S51)</f>
        <v>#REF!</v>
      </c>
      <c r="AJ51" s="162" t="e">
        <f ca="1">IF(AND(V51="Pass",W51="Pass",AC51="Pass",AG51="Pass",AH51="Pass",AI51="Pass"),"Pass","Fail")</f>
        <v>#REF!</v>
      </c>
      <c r="AL51" s="162"/>
    </row>
    <row r="52" spans="14:38">
      <c r="N52" s="185" t="s">
        <v>30</v>
      </c>
      <c r="O52" s="185"/>
      <c r="P52" s="622">
        <v>550.91</v>
      </c>
      <c r="Q52" s="623">
        <v>58.36</v>
      </c>
      <c r="R52" s="534">
        <f>SUM($E28:$G28,$M28,$P52,$Q52)</f>
        <v>4164.91</v>
      </c>
      <c r="S52" s="534" t="e">
        <f>$R52+IF($B$2="mil",1,0.0254)*$C28</f>
        <v>#REF!</v>
      </c>
      <c r="T52" s="524" t="e">
        <f>$U$48 + IF($B$2="mil",1,0.0254)*DDR2Specs!$E$6</f>
        <v>#REF!</v>
      </c>
      <c r="U52" s="586" t="e">
        <f>$T$48 + IF($B$2="mil",1,0.0254)*DDR2Specs!$F$6</f>
        <v>#REF!</v>
      </c>
      <c r="V52" s="546" t="e">
        <f>IF($S52&lt;$T52,$T52-$S52,"Pass")</f>
        <v>#REF!</v>
      </c>
      <c r="W52" s="547" t="e">
        <f>IF($S52&gt;$U52,$S52-$U52,"Pass")</f>
        <v>#REF!</v>
      </c>
      <c r="X52" s="554"/>
      <c r="Y52" s="554"/>
      <c r="Z52" s="554"/>
      <c r="AA52" s="554"/>
      <c r="AB52" s="559" t="s">
        <v>30</v>
      </c>
      <c r="AC52" s="560" t="e">
        <f>IF(P52&lt;=IF($B$2="mil",1,0.0254)*1000,"Pass",IF($B$2="mil",1,0.0254)*1000-P52)</f>
        <v>#REF!</v>
      </c>
      <c r="AD52" s="554"/>
      <c r="AE52" s="554"/>
      <c r="AF52" s="554"/>
      <c r="AG52" s="528" t="e">
        <f ca="1">CheckLength2(IF($B$2="mil",1,0.0254)*1200,P52,Q52,0)</f>
        <v>#NAME?</v>
      </c>
      <c r="AH52" s="528" t="e">
        <f>IF(AND(R52&gt;=IF($B$2="mil",1,0.0254)*500, $R52&lt;=IF($B$2="mil",1,0.0254)*6500),"Pass",IF($B$2="mil",1,0.0254)*6500-$R52)</f>
        <v>#REF!</v>
      </c>
      <c r="AI52" s="529" t="e">
        <f>IF(AND($S52&gt;=IF($B$2="mil",1,0.0254)*500, $S52&lt;=IF($B$2="mil",1,0.0254)*7000),"Pass",IF($B$2="mil",1,0.0254)*7000-$S52)</f>
        <v>#REF!</v>
      </c>
      <c r="AJ52" s="162" t="e">
        <f ca="1">IF(AND(V52="Pass",W52="Pass",AC52="Pass",AG52="Pass",AH52="Pass",AI52="Pass"),"Pass","Fail")</f>
        <v>#REF!</v>
      </c>
      <c r="AL52" s="162"/>
    </row>
    <row r="53" spans="14:38" ht="56.25">
      <c r="N53" s="144" t="s">
        <v>457</v>
      </c>
      <c r="O53" s="144"/>
      <c r="P53" s="144" t="e">
        <f>"Trace L7-2 ["&amp;$B$2&amp;"]"</f>
        <v>#REF!</v>
      </c>
      <c r="Q53" s="144" t="e">
        <f>"Trace L8-4 ["&amp;$B$2&amp;"]"</f>
        <v>#REF!</v>
      </c>
      <c r="R53" s="555" t="s">
        <v>401</v>
      </c>
      <c r="S53" s="555" t="s">
        <v>402</v>
      </c>
      <c r="T53" s="551" t="e">
        <f>"Target Min Length to U4["&amp;$B$2&amp;"]"</f>
        <v>#REF!</v>
      </c>
      <c r="U53" s="551" t="e">
        <f>"Target Max Length to U4 ["&amp;$B$2&amp;"]"</f>
        <v>#REF!</v>
      </c>
      <c r="V53" s="553" t="e">
        <f>"Routed Too Short to U4 [" &amp;$B$2&amp;"]"</f>
        <v>#REF!</v>
      </c>
      <c r="W53" s="551" t="e">
        <f>"Routed Too Long to U4 [" &amp;$B$2&amp;"]"</f>
        <v>#REF!</v>
      </c>
      <c r="X53" s="554"/>
      <c r="Y53" s="554"/>
      <c r="Z53" s="554"/>
      <c r="AA53" s="554"/>
      <c r="AB53" s="554"/>
      <c r="AC53" s="554"/>
      <c r="AD53" s="555" t="s">
        <v>457</v>
      </c>
      <c r="AE53" s="552" t="e">
        <f>"L7-2 Length Test (&lt;=" &amp; IF($B$2="mil",1,0.0254)*1250&amp;$B$2&amp;")"</f>
        <v>#REF!</v>
      </c>
      <c r="AF53" s="554"/>
      <c r="AG53" s="556" t="e">
        <f>"L8-4 Length Test (&lt;=" &amp; IF($B$2="mil",1,0.0254)*200&amp;$B$2&amp;") or (L7-2+L8-4&lt;= "&amp;IF($B$2="mil",1,0.0254)*1450&amp;$B$2&amp;")"</f>
        <v>#REF!</v>
      </c>
      <c r="AH53" s="552" t="e">
        <f>"Total Length to U4 (L0+L1+L2+L5+L6-2+L7-2+L8-4)Test ("&amp;IF($B$2="mil",1,0.0254)*500&amp;"-"&amp;IF($B$2="mil",1,0.0254)*6500&amp;IF($B$2="mil","mil","mm")&amp;")"</f>
        <v>#REF!</v>
      </c>
      <c r="AI53" s="552" t="e">
        <f>"Total Length to U4 (P1+L0+L1+L2+L5+L6-2+L7-2+L8-4) Test (&lt;="&amp;IF($B$2="mil",1,25.4)*7000&amp;IF($B$2="mil","mil","mm")&amp;")"</f>
        <v>#REF!</v>
      </c>
      <c r="AL53" s="162"/>
    </row>
    <row r="54" spans="14:38">
      <c r="N54" s="163" t="s">
        <v>19</v>
      </c>
      <c r="O54" s="163"/>
      <c r="P54" s="166"/>
      <c r="Q54" s="166"/>
      <c r="R54" s="166"/>
      <c r="S54" s="558" t="s">
        <v>225</v>
      </c>
      <c r="T54" s="167" t="e">
        <f>MIN('DDR2 Clocks - 2L'!$S$7:$S$8)</f>
        <v>#REF!</v>
      </c>
      <c r="U54" s="167" t="e">
        <f>MAX('DDR2 Clocks - 2L'!$S$7:$S$8)</f>
        <v>#REF!</v>
      </c>
      <c r="V54" s="592"/>
      <c r="W54" s="541"/>
      <c r="X54" s="554"/>
      <c r="Y54" s="554"/>
      <c r="Z54" s="554"/>
      <c r="AA54" s="554"/>
      <c r="AB54" s="554"/>
      <c r="AC54" s="554"/>
      <c r="AD54" s="163" t="s">
        <v>19</v>
      </c>
      <c r="AE54" s="539"/>
      <c r="AF54" s="554"/>
      <c r="AG54" s="538"/>
      <c r="AH54" s="538"/>
      <c r="AI54" s="539"/>
    </row>
    <row r="55" spans="14:38">
      <c r="N55" s="155" t="s">
        <v>377</v>
      </c>
      <c r="O55" s="411"/>
      <c r="P55" s="181"/>
      <c r="Q55" s="181"/>
      <c r="R55" s="181"/>
      <c r="S55" s="181"/>
      <c r="T55" s="588"/>
      <c r="U55" s="589"/>
      <c r="V55" s="589"/>
      <c r="W55" s="588"/>
      <c r="X55" s="554"/>
      <c r="Y55" s="554"/>
      <c r="Z55" s="554"/>
      <c r="AA55" s="554"/>
      <c r="AB55" s="554"/>
      <c r="AC55" s="554"/>
      <c r="AD55" s="155" t="s">
        <v>232</v>
      </c>
      <c r="AE55" s="273"/>
      <c r="AF55" s="554"/>
      <c r="AG55" s="179"/>
      <c r="AH55" s="179"/>
      <c r="AI55" s="533"/>
    </row>
    <row r="56" spans="14:38">
      <c r="N56" s="185" t="s">
        <v>25</v>
      </c>
      <c r="O56" s="185"/>
      <c r="P56" s="622">
        <v>666.64</v>
      </c>
      <c r="Q56" s="623">
        <v>54.75</v>
      </c>
      <c r="R56" s="534">
        <f>SUM($E20:$G20,$M20,$P44,P56,$Q56)</f>
        <v>5072.6200000000008</v>
      </c>
      <c r="S56" s="534" t="e">
        <f>$R56+IF($B$2="mil",1,0.0254)*$C20</f>
        <v>#REF!</v>
      </c>
      <c r="T56" s="524" t="e">
        <f>$U$54 + IF($B$2="mil",1,0.0254)*DDR2Specs!$E$6</f>
        <v>#REF!</v>
      </c>
      <c r="U56" s="586" t="e">
        <f>$T$54 + IF($B$2="mil",1,0.0254)*DDR2Specs!$F$6</f>
        <v>#REF!</v>
      </c>
      <c r="V56" s="546" t="e">
        <f>IF($S56&lt;$T56,$T56-$S56,"Pass")</f>
        <v>#REF!</v>
      </c>
      <c r="W56" s="547" t="e">
        <f>IF($S56&gt;$U56,$S56-$U56,"Pass")</f>
        <v>#REF!</v>
      </c>
      <c r="X56" s="554"/>
      <c r="Y56" s="554"/>
      <c r="Z56" s="554"/>
      <c r="AA56" s="554"/>
      <c r="AB56" s="554"/>
      <c r="AC56" s="554"/>
      <c r="AD56" s="559" t="s">
        <v>25</v>
      </c>
      <c r="AE56" s="560" t="e">
        <f>IF(P56&lt;=IF($B$2="mil",1,0.0254)*1250,"Pass",IF($B$2="mil",1,0.0254)*1250-P56)</f>
        <v>#REF!</v>
      </c>
      <c r="AF56" s="554"/>
      <c r="AG56" s="528" t="e">
        <f ca="1">CheckLength2(IF($B$2="mil",1,0.0254)*1450,P56,Q56,0)</f>
        <v>#NAME?</v>
      </c>
      <c r="AH56" s="528" t="e">
        <f>IF(AND(R56&gt;=IF($B$2="mil",1,0.0254)*500, $R56&lt;=IF($B$2="mil",1,0.0254)*6500),"Pass",IF($B$2="mil",1,0.0254)*6500-$R56)</f>
        <v>#REF!</v>
      </c>
      <c r="AI56" s="529" t="e">
        <f>IF(AND($S56&gt;=IF($B$2="mil",1,0.0254)*500, $S56&lt;=IF($B$2="mil",1,0.0254)*7000),"Pass",IF($B$2="mil",1,0.0254)*7000-$S56)</f>
        <v>#REF!</v>
      </c>
      <c r="AJ56" s="162" t="e">
        <f ca="1">IF(AND(V56="Pass",W56="Pass",AE56="Pass",AG56="Pass",AH56="Pass",AI56="Pass"),"Pass","Fail")</f>
        <v>#REF!</v>
      </c>
    </row>
    <row r="57" spans="14:38">
      <c r="N57" s="185" t="s">
        <v>27</v>
      </c>
      <c r="O57" s="185"/>
      <c r="P57" s="622">
        <v>687.15</v>
      </c>
      <c r="Q57" s="623">
        <v>100.11</v>
      </c>
      <c r="R57" s="534">
        <f>SUM($E21:$G21,$M21,$P45,P57,$Q57)</f>
        <v>5054.6099999999997</v>
      </c>
      <c r="S57" s="534" t="e">
        <f>$R57+IF($B$2="mil",1,0.0254)*$C21</f>
        <v>#REF!</v>
      </c>
      <c r="T57" s="524" t="e">
        <f>$U$54 + IF($B$2="mil",1,0.0254)*DDR2Specs!$E$6</f>
        <v>#REF!</v>
      </c>
      <c r="U57" s="586" t="e">
        <f>$T$54 + IF($B$2="mil",1,0.0254)*DDR2Specs!$F$6</f>
        <v>#REF!</v>
      </c>
      <c r="V57" s="546" t="e">
        <f>IF($S57&lt;$T57,$T57-$S57,"Pass")</f>
        <v>#REF!</v>
      </c>
      <c r="W57" s="547" t="e">
        <f>IF($S57&gt;$U57,$S57-$U57,"Pass")</f>
        <v>#REF!</v>
      </c>
      <c r="X57" s="554"/>
      <c r="Y57" s="554"/>
      <c r="Z57" s="554"/>
      <c r="AA57" s="554"/>
      <c r="AB57" s="554"/>
      <c r="AC57" s="554"/>
      <c r="AD57" s="559" t="s">
        <v>27</v>
      </c>
      <c r="AE57" s="560" t="e">
        <f>IF(P57&lt;=IF($B$2="mil",1,0.0254)*1250,"Pass",IF($B$2="mil",1,0.0254)*1250-P57)</f>
        <v>#REF!</v>
      </c>
      <c r="AF57" s="554"/>
      <c r="AG57" s="528" t="e">
        <f ca="1">CheckLength2(IF($B$2="mil",1,0.0254)*1450,P57,Q57,0)</f>
        <v>#NAME?</v>
      </c>
      <c r="AH57" s="528" t="e">
        <f>IF(AND(R57&gt;=IF($B$2="mil",1,0.0254)*500, $R57&lt;=IF($B$2="mil",1,0.0254)*6500),"Pass",IF($B$2="mil",1,0.0254)*6500-$R57)</f>
        <v>#REF!</v>
      </c>
      <c r="AI57" s="529" t="e">
        <f>IF(AND($S57&gt;=IF($B$2="mil",1,0.0254)*500, $S57&lt;=IF($B$2="mil",1,0.0254)*7000),"Pass",IF($B$2="mil",1,0.0254)*7000-$S57)</f>
        <v>#REF!</v>
      </c>
      <c r="AJ57" s="162" t="e">
        <f ca="1">IF(AND(V57="Pass",W57="Pass",AE57="Pass",AG57="Pass",AH57="Pass",AI57="Pass"),"Pass","Fail")</f>
        <v>#REF!</v>
      </c>
    </row>
    <row r="58" spans="14:38">
      <c r="N58" s="185" t="s">
        <v>29</v>
      </c>
      <c r="O58" s="185"/>
      <c r="P58" s="622">
        <v>699.71</v>
      </c>
      <c r="Q58" s="623">
        <v>86.74</v>
      </c>
      <c r="R58" s="534">
        <f>SUM($E22:$G22,$M22,$P46,P58,$Q58)</f>
        <v>5008.05</v>
      </c>
      <c r="S58" s="534" t="e">
        <f>$R58+IF($B$2="mil",1,0.0254)*$C22</f>
        <v>#REF!</v>
      </c>
      <c r="T58" s="524" t="e">
        <f>$U$54 + IF($B$2="mil",1,0.0254)*DDR2Specs!$E$6</f>
        <v>#REF!</v>
      </c>
      <c r="U58" s="586" t="e">
        <f>$T$54 + IF($B$2="mil",1,0.0254)*DDR2Specs!$F$6</f>
        <v>#REF!</v>
      </c>
      <c r="V58" s="546" t="e">
        <f>IF($S58&lt;$T58,$T58-$S58,"Pass")</f>
        <v>#REF!</v>
      </c>
      <c r="W58" s="547" t="e">
        <f>IF($S58&gt;$U58,$S58-$U58,"Pass")</f>
        <v>#REF!</v>
      </c>
      <c r="X58" s="554"/>
      <c r="Y58" s="554"/>
      <c r="Z58" s="554"/>
      <c r="AA58" s="554"/>
      <c r="AB58" s="554"/>
      <c r="AC58" s="554"/>
      <c r="AD58" s="559" t="s">
        <v>29</v>
      </c>
      <c r="AE58" s="560" t="e">
        <f>IF(P58&lt;=IF($B$2="mil",1,0.0254)*1250,"Pass",IF($B$2="mil",1,0.0254)*1250-P58)</f>
        <v>#REF!</v>
      </c>
      <c r="AF58" s="554"/>
      <c r="AG58" s="528" t="e">
        <f ca="1">CheckLength2(IF($B$2="mil",1,0.0254)*1450,P58,Q58,0)</f>
        <v>#NAME?</v>
      </c>
      <c r="AH58" s="528" t="e">
        <f>IF(AND(R58&gt;=IF($B$2="mil",1,0.0254)*500, $R58&lt;=IF($B$2="mil",1,0.0254)*6500),"Pass",IF($B$2="mil",1,0.0254)*6500-$R58)</f>
        <v>#REF!</v>
      </c>
      <c r="AI58" s="529" t="e">
        <f>IF(AND($S58&gt;=IF($B$2="mil",1,0.0254)*500, $S58&lt;=IF($B$2="mil",1,0.0254)*7000),"Pass",IF($B$2="mil",1,0.0254)*7000-$S58)</f>
        <v>#REF!</v>
      </c>
      <c r="AJ58" s="162" t="e">
        <f ca="1">IF(AND(V58="Pass",W58="Pass",AE58="Pass",AG58="Pass",AH58="Pass",AI58="Pass"),"Pass","Fail")</f>
        <v>#REF!</v>
      </c>
    </row>
    <row r="59" spans="14:38" ht="56.25">
      <c r="N59" s="144" t="s">
        <v>457</v>
      </c>
      <c r="O59" s="144"/>
      <c r="P59" s="144" t="e">
        <f>"Trace L7-2 ["&amp;$B$2&amp;"]"</f>
        <v>#REF!</v>
      </c>
      <c r="Q59" s="144" t="e">
        <f>"Trace L8-4 ["&amp;$B$2&amp;"]"</f>
        <v>#REF!</v>
      </c>
      <c r="R59" s="550" t="s">
        <v>403</v>
      </c>
      <c r="S59" s="550" t="s">
        <v>404</v>
      </c>
      <c r="T59" s="552" t="e">
        <f>"Target Min Length to U8["&amp;$B$2&amp;"]"</f>
        <v>#REF!</v>
      </c>
      <c r="U59" s="552" t="e">
        <f>"Target Max Length to U8 ["&amp;$B$2&amp;"]"</f>
        <v>#REF!</v>
      </c>
      <c r="V59" s="587" t="e">
        <f>"Routed Too Short to U8 [" &amp;$B$2&amp;"]"</f>
        <v>#REF!</v>
      </c>
      <c r="W59" s="552" t="e">
        <f>"Routed Too Long to U8 [" &amp;$B$2&amp;"]"</f>
        <v>#REF!</v>
      </c>
      <c r="X59" s="554"/>
      <c r="Y59" s="554"/>
      <c r="Z59" s="554"/>
      <c r="AA59" s="554"/>
      <c r="AB59" s="554"/>
      <c r="AC59" s="554"/>
      <c r="AD59" s="550" t="s">
        <v>457</v>
      </c>
      <c r="AE59" s="552" t="e">
        <f>"L7-2 Length Test (&lt;=" &amp; IF($B$2="mil",1,0.0254)*1250&amp;$B$2&amp;")"</f>
        <v>#REF!</v>
      </c>
      <c r="AF59" s="554"/>
      <c r="AG59" s="556" t="e">
        <f>"L8-4 Length Test (&lt;=" &amp; IF($B$2="mil",1,0.0254)*200&amp;$B$2&amp;") or (L7-2+L8-4&lt;= "&amp;IF($B$2="mil",1,0.0254)*1450&amp;$B$2&amp;")"</f>
        <v>#REF!</v>
      </c>
      <c r="AH59" s="552" t="e">
        <f>"Total Length to U8 (L0+L1+L2+L5+L6-2+L7-2+L8-4)Test ("&amp;IF($B$2="mil",1,0.0254)*500&amp;"-"&amp;IF($B$2="mil",1,0.0254)*6500&amp;IF($B$2="mil","mil","mm")&amp;")"</f>
        <v>#REF!</v>
      </c>
      <c r="AI59" s="552" t="e">
        <f>"Total Length to U8 (P1+L0+L1+L2+L5+L6-2+L7-2+L8-4) Test (&lt;="&amp;IF($B$2="mil",1,25.4)*7000&amp;IF($B$2="mil","mil","mm")&amp;")"</f>
        <v>#REF!</v>
      </c>
      <c r="AL59" s="162"/>
    </row>
    <row r="60" spans="14:38">
      <c r="N60" s="163" t="s">
        <v>19</v>
      </c>
      <c r="O60" s="163"/>
      <c r="P60" s="166"/>
      <c r="Q60" s="166"/>
      <c r="R60" s="389"/>
      <c r="S60" s="540" t="s">
        <v>287</v>
      </c>
      <c r="T60" s="542" t="e">
        <f>MIN('DDR2 Clocks - 4L'!$O$19:$O$20)</f>
        <v>#REF!</v>
      </c>
      <c r="U60" s="541" t="e">
        <f>MAX('DDR2 Clocks - 4L'!$O$19:$O$20)</f>
        <v>#REF!</v>
      </c>
      <c r="V60" s="542"/>
      <c r="W60" s="168"/>
      <c r="X60" s="554"/>
      <c r="Y60" s="554"/>
      <c r="Z60" s="554"/>
      <c r="AA60" s="554"/>
      <c r="AB60" s="554"/>
      <c r="AC60" s="554"/>
      <c r="AD60" s="163" t="s">
        <v>19</v>
      </c>
      <c r="AE60" s="593"/>
      <c r="AF60" s="554"/>
      <c r="AG60" s="594"/>
      <c r="AH60" s="594"/>
      <c r="AI60" s="593"/>
    </row>
    <row r="61" spans="14:38">
      <c r="N61" s="155" t="s">
        <v>378</v>
      </c>
      <c r="O61" s="411"/>
      <c r="P61" s="181"/>
      <c r="Q61" s="181"/>
      <c r="R61" s="181"/>
      <c r="S61" s="179"/>
      <c r="T61" s="179"/>
      <c r="U61" s="531"/>
      <c r="V61" s="531"/>
      <c r="W61" s="179"/>
      <c r="X61" s="554"/>
      <c r="Y61" s="554"/>
      <c r="Z61" s="554"/>
      <c r="AA61" s="554"/>
      <c r="AB61" s="554"/>
      <c r="AC61" s="554"/>
      <c r="AD61" s="155" t="s">
        <v>232</v>
      </c>
      <c r="AE61" s="273"/>
      <c r="AF61" s="554"/>
      <c r="AG61" s="179"/>
      <c r="AH61" s="179"/>
      <c r="AI61" s="533"/>
    </row>
    <row r="62" spans="14:38">
      <c r="N62" s="185" t="s">
        <v>26</v>
      </c>
      <c r="O62" s="185"/>
      <c r="P62" s="622">
        <v>700.07</v>
      </c>
      <c r="Q62" s="623">
        <v>85.77</v>
      </c>
      <c r="R62" s="534">
        <f>SUM($E26:$G26,$M26,$P50,P62,$Q62)</f>
        <v>4960.9900000000007</v>
      </c>
      <c r="S62" s="534" t="e">
        <f>$R62+IF($B$2="mil",1,0.0254)*$C26</f>
        <v>#REF!</v>
      </c>
      <c r="T62" s="524" t="e">
        <f>$U$60 + IF($B$2="mil",1,0.0254)*DDR2Specs!$E$6</f>
        <v>#REF!</v>
      </c>
      <c r="U62" s="586" t="e">
        <f>$T$60 + IF($B$2="mil",1,0.0254)*DDR2Specs!$F$6</f>
        <v>#REF!</v>
      </c>
      <c r="V62" s="546" t="e">
        <f>IF($S62&lt;$T62,$T62-$S62,"Pass")</f>
        <v>#REF!</v>
      </c>
      <c r="W62" s="547" t="e">
        <f>IF($S62&gt;$U62,$S62-$U62,"Pass")</f>
        <v>#REF!</v>
      </c>
      <c r="X62" s="554"/>
      <c r="Y62" s="554"/>
      <c r="Z62" s="554"/>
      <c r="AA62" s="554"/>
      <c r="AB62" s="554"/>
      <c r="AC62" s="554"/>
      <c r="AD62" s="559" t="s">
        <v>26</v>
      </c>
      <c r="AE62" s="560" t="e">
        <f>IF(P62&lt;=IF($B$2="mil",1,0.0254)*1250,"Pass",IF($B$2="mil",1,0.0254)*1250-P62)</f>
        <v>#REF!</v>
      </c>
      <c r="AF62" s="554"/>
      <c r="AG62" s="528" t="e">
        <f ca="1">CheckLength2(IF($B$2="mil",1,0.0254)*1450,P62,Q62,0)</f>
        <v>#NAME?</v>
      </c>
      <c r="AH62" s="528" t="e">
        <f>IF(AND(R62&gt;=IF($B$2="mil",1,0.0254)*500, $R62&lt;=IF($B$2="mil",1,0.0254)*6500),"Pass",IF($B$2="mil",1,0.0254)*6500-$R62)</f>
        <v>#REF!</v>
      </c>
      <c r="AI62" s="529" t="e">
        <f>IF(AND($S62&gt;=IF($B$2="mil",1,0.0254)*500, $S62&lt;=IF($B$2="mil",1,0.0254)*7000),"Pass",IF($B$2="mil",1,0.0254)*7000-$S62)</f>
        <v>#REF!</v>
      </c>
      <c r="AJ62" s="162" t="e">
        <f ca="1">IF(AND(V62="Pass",W62="Pass",AE62="Pass",AG62="Pass",AH62="Pass",AI62="Pass"),"Pass","Fail")</f>
        <v>#REF!</v>
      </c>
    </row>
    <row r="63" spans="14:38">
      <c r="N63" s="185" t="s">
        <v>28</v>
      </c>
      <c r="O63" s="185"/>
      <c r="P63" s="622">
        <v>681.38</v>
      </c>
      <c r="Q63" s="623">
        <v>128.21</v>
      </c>
      <c r="R63" s="534">
        <f>SUM($E27:$G27,$M27,$P51,P63,$Q63)</f>
        <v>5044.66</v>
      </c>
      <c r="S63" s="534" t="e">
        <f>$R63+IF($B$2="mil",1,0.0254)*$C27</f>
        <v>#REF!</v>
      </c>
      <c r="T63" s="524" t="e">
        <f>$U$60 + IF($B$2="mil",1,0.0254)*DDR2Specs!$E$6</f>
        <v>#REF!</v>
      </c>
      <c r="U63" s="586" t="e">
        <f>$T$60 + IF($B$2="mil",1,0.0254)*DDR2Specs!$F$6</f>
        <v>#REF!</v>
      </c>
      <c r="V63" s="546" t="e">
        <f>IF($S63&lt;$T63,$T63-$S63,"Pass")</f>
        <v>#REF!</v>
      </c>
      <c r="W63" s="547" t="e">
        <f>IF($S63&gt;$U63,$S63-$U63,"Pass")</f>
        <v>#REF!</v>
      </c>
      <c r="X63" s="554"/>
      <c r="Y63" s="554"/>
      <c r="Z63" s="554"/>
      <c r="AA63" s="554"/>
      <c r="AB63" s="554"/>
      <c r="AC63" s="554"/>
      <c r="AD63" s="559" t="s">
        <v>28</v>
      </c>
      <c r="AE63" s="560" t="e">
        <f>IF(P63&lt;=IF($B$2="mil",1,0.0254)*1250,"Pass",IF($B$2="mil",1,0.0254)*1250-P63)</f>
        <v>#REF!</v>
      </c>
      <c r="AF63" s="554"/>
      <c r="AG63" s="528" t="e">
        <f ca="1">CheckLength2(IF($B$2="mil",1,0.0254)*1450,P63,Q63,0)</f>
        <v>#NAME?</v>
      </c>
      <c r="AH63" s="528" t="e">
        <f>IF(AND(R63&gt;=IF($B$2="mil",1,0.0254)*500, $R63&lt;=IF($B$2="mil",1,0.0254)*6500),"Pass",IF($B$2="mil",1,0.0254)*6500-$R63)</f>
        <v>#REF!</v>
      </c>
      <c r="AI63" s="529" t="e">
        <f>IF(AND($S63&gt;=IF($B$2="mil",1,0.0254)*500, $S63&lt;=IF($B$2="mil",1,0.0254)*7000),"Pass",IF($B$2="mil",1,0.0254)*7000-$S63)</f>
        <v>#REF!</v>
      </c>
      <c r="AJ63" s="162" t="e">
        <f ca="1">IF(AND(V63="Pass",W63="Pass",AE63="Pass",AG63="Pass",AH63="Pass",AI63="Pass"),"Pass","Fail")</f>
        <v>#REF!</v>
      </c>
    </row>
    <row r="64" spans="14:38">
      <c r="N64" s="185" t="s">
        <v>30</v>
      </c>
      <c r="O64" s="185"/>
      <c r="P64" s="622">
        <v>674.07</v>
      </c>
      <c r="Q64" s="623">
        <v>53.24</v>
      </c>
      <c r="R64" s="534">
        <f>SUM($E28:$G28,$M28,$P52,P64,$Q64)</f>
        <v>4833.8599999999997</v>
      </c>
      <c r="S64" s="534" t="e">
        <f>$R64+IF($B$2="mil",1,0.0254)*$C28</f>
        <v>#REF!</v>
      </c>
      <c r="T64" s="524" t="e">
        <f>$U$60 + IF($B$2="mil",1,0.0254)*DDR2Specs!$E$6</f>
        <v>#REF!</v>
      </c>
      <c r="U64" s="586" t="e">
        <f>$T$60 + IF($B$2="mil",1,0.0254)*DDR2Specs!$F$6</f>
        <v>#REF!</v>
      </c>
      <c r="V64" s="546" t="e">
        <f>IF($S64&lt;$T64,$T64-$S64,"Pass")</f>
        <v>#REF!</v>
      </c>
      <c r="W64" s="547" t="e">
        <f>IF($S64&gt;$U64,$S64-$U64,"Pass")</f>
        <v>#REF!</v>
      </c>
      <c r="X64" s="554"/>
      <c r="Y64" s="554"/>
      <c r="Z64" s="554"/>
      <c r="AA64" s="554"/>
      <c r="AB64" s="554"/>
      <c r="AC64" s="554"/>
      <c r="AD64" s="559" t="s">
        <v>30</v>
      </c>
      <c r="AE64" s="560" t="e">
        <f>IF(P64&lt;=IF($B$2="mil",1,0.0254)*1250,"Pass",IF($B$2="mil",1,0.0254)*1250-P64)</f>
        <v>#REF!</v>
      </c>
      <c r="AF64" s="554"/>
      <c r="AG64" s="528" t="e">
        <f ca="1">CheckLength2(IF($B$2="mil",1,0.0254)*1450,P64,Q64,0)</f>
        <v>#NAME?</v>
      </c>
      <c r="AH64" s="528" t="e">
        <f>IF(AND(R64&gt;=IF($B$2="mil",1,0.0254)*500, $R64&lt;=IF($B$2="mil",1,0.0254)*6500),"Pass",IF($B$2="mil",1,0.0254)*6500-$R64)</f>
        <v>#REF!</v>
      </c>
      <c r="AI64" s="529" t="e">
        <f>IF(AND($S64&gt;=IF($B$2="mil",1,0.0254)*500, $S64&lt;=IF($B$2="mil",1,0.0254)*7000),"Pass",IF($B$2="mil",1,0.0254)*7000-$S64)</f>
        <v>#REF!</v>
      </c>
      <c r="AJ64" s="162" t="e">
        <f ca="1">IF(AND(V64="Pass",W64="Pass",AE64="Pass",AG64="Pass",AH64="Pass",AI64="Pass"),"Pass","Fail")</f>
        <v>#REF!</v>
      </c>
    </row>
    <row r="65" spans="18:35">
      <c r="R65" s="554"/>
      <c r="S65" s="554"/>
      <c r="T65" s="554"/>
      <c r="U65" s="554"/>
      <c r="V65" s="554"/>
      <c r="W65" s="554"/>
      <c r="X65" s="554"/>
      <c r="Y65" s="554"/>
      <c r="Z65" s="554"/>
      <c r="AA65" s="554"/>
      <c r="AB65" s="554"/>
      <c r="AC65" s="554"/>
      <c r="AD65" s="554"/>
      <c r="AE65" s="554"/>
      <c r="AF65" s="554"/>
      <c r="AG65" s="554"/>
      <c r="AH65" s="554"/>
      <c r="AI65" s="554"/>
    </row>
    <row r="66" spans="18:35">
      <c r="R66" s="554"/>
      <c r="S66" s="554"/>
      <c r="T66" s="554"/>
      <c r="U66" s="554"/>
      <c r="V66" s="554"/>
      <c r="W66" s="554"/>
      <c r="X66" s="554"/>
      <c r="Y66" s="554"/>
      <c r="Z66" s="554"/>
      <c r="AA66" s="554"/>
      <c r="AB66" s="554"/>
      <c r="AC66" s="554"/>
      <c r="AD66" s="554"/>
      <c r="AE66" s="554"/>
      <c r="AF66" s="554"/>
      <c r="AG66" s="554"/>
      <c r="AH66" s="554"/>
      <c r="AI66" s="554"/>
    </row>
    <row r="69" spans="18:35" ht="18">
      <c r="AB69" s="420"/>
    </row>
  </sheetData>
  <protectedRanges>
    <protectedRange sqref="P44:Q46 P50:Q52 P62:Q64 P56:Q58" name="DDR2_CONTROL_4L_2_1"/>
    <protectedRange sqref="L10:L11 L7:L8 L13:L14 D10:D11 D13:D14 M28:O29 P44 P28:Q28 M26:Q27 Q32:Q34 Q38:Q40 D7:D8 L20:Q22 D20:D22 D26:D29 L26:L29 E29:K29" name="DDR2Control_1"/>
    <protectedRange sqref="E7:K14" name="DDR2Control_1_1"/>
    <protectedRange sqref="E20:G22 I20:K22" name="DDR2Control_1_2"/>
    <protectedRange sqref="E26:G28 I26:K28" name="DDR2Control_1_3"/>
  </protectedRanges>
  <mergeCells count="2">
    <mergeCell ref="A1:E1"/>
    <mergeCell ref="F1:G1"/>
  </mergeCells>
  <phoneticPr fontId="4" type="noConversion"/>
  <conditionalFormatting sqref="AE62:AE64 AG32:AI34 AE56:AE58 Y26:AE29 AC44:AC46 V7:AA8 AG44:AI46 AF26:AI28 AG56:AI58 AG38:AI40 AG50:AI52 Y20:AI22 V62:W64 V56:W58 V50:W52 V44:W46 AC50:AC52 V38:W40 V32:W34 V26:W28 S7:T8 S10:T11 S13:T14 V10:AA11 AG62:AI64 V20:W22 V13:AA14">
    <cfRule type="cellIs" priority="1" stopIfTrue="1" operator="equal">
      <formula>"Pass"</formula>
    </cfRule>
    <cfRule type="cellIs" dxfId="96" priority="2" stopIfTrue="1" operator="notEqual">
      <formula>"Pass"</formula>
    </cfRule>
  </conditionalFormatting>
  <conditionalFormatting sqref="X20:X22 U13:U14 U7:U8 U10:U11 X26:X29">
    <cfRule type="cellIs" dxfId="95" priority="3" stopIfTrue="1" operator="equal">
      <formula>"Pass"</formula>
    </cfRule>
    <cfRule type="cellIs" dxfId="94" priority="4" stopIfTrue="1" operator="notEqual">
      <formula>"Pass"</formula>
    </cfRule>
  </conditionalFormatting>
  <conditionalFormatting sqref="A1 F1:AA1">
    <cfRule type="expression" dxfId="93" priority="5" stopIfTrue="1">
      <formula>$F$1 = "Fail"</formula>
    </cfRule>
    <cfRule type="expression" dxfId="92" priority="6" stopIfTrue="1">
      <formula>$F$1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22638" r:id="rId4">
          <objectPr defaultSize="0" autoPict="0" r:id="rId5">
            <anchor moveWithCells="1">
              <from>
                <xdr:col>0</xdr:col>
                <xdr:colOff>304800</xdr:colOff>
                <xdr:row>28</xdr:row>
                <xdr:rowOff>333375</xdr:rowOff>
              </from>
              <to>
                <xdr:col>10</xdr:col>
                <xdr:colOff>742950</xdr:colOff>
                <xdr:row>35</xdr:row>
                <xdr:rowOff>133350</xdr:rowOff>
              </to>
            </anchor>
          </objectPr>
        </oleObject>
      </mc:Choice>
      <mc:Fallback>
        <oleObject progId="Visio.Drawing.11" shapeId="22638" r:id="rId4"/>
      </mc:Fallback>
    </mc:AlternateContent>
    <mc:AlternateContent xmlns:mc="http://schemas.openxmlformats.org/markup-compatibility/2006">
      <mc:Choice Requires="x14">
        <oleObject progId="Visio.Drawing.11" shapeId="22639" r:id="rId6">
          <objectPr defaultSize="0" autoPict="0" r:id="rId7">
            <anchor moveWithCells="1">
              <from>
                <xdr:col>0</xdr:col>
                <xdr:colOff>276225</xdr:colOff>
                <xdr:row>37</xdr:row>
                <xdr:rowOff>9525</xdr:rowOff>
              </from>
              <to>
                <xdr:col>12</xdr:col>
                <xdr:colOff>1123950</xdr:colOff>
                <xdr:row>56</xdr:row>
                <xdr:rowOff>76200</xdr:rowOff>
              </to>
            </anchor>
          </objectPr>
        </oleObject>
      </mc:Choice>
      <mc:Fallback>
        <oleObject progId="Visio.Drawing.11" shapeId="22639" r:id="rId6"/>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BW71"/>
  <sheetViews>
    <sheetView topLeftCell="AW1" zoomScale="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hidden="1" customWidth="1"/>
    <col min="9" max="10" width="12.140625" bestFit="1" customWidth="1"/>
    <col min="11" max="11" width="10.85546875" bestFit="1" customWidth="1"/>
    <col min="12" max="13" width="12.28515625" bestFit="1" customWidth="1"/>
    <col min="14" max="14" width="13.5703125" customWidth="1"/>
    <col min="15" max="15" width="15" customWidth="1"/>
    <col min="16" max="16" width="14" customWidth="1"/>
    <col min="17" max="17" width="15.42578125" customWidth="1"/>
    <col min="18" max="18" width="1" customWidth="1"/>
    <col min="19" max="19" width="11.7109375" customWidth="1"/>
    <col min="20" max="20" width="1" customWidth="1"/>
    <col min="21" max="21" width="13.42578125" customWidth="1"/>
    <col min="22" max="22" width="0.85546875" customWidth="1"/>
    <col min="23" max="23" width="12.140625" customWidth="1"/>
    <col min="24" max="24" width="10.85546875" customWidth="1"/>
    <col min="25" max="25" width="1" customWidth="1"/>
    <col min="26" max="26" width="11.5703125" bestFit="1" customWidth="1"/>
    <col min="27" max="27" width="11.140625" customWidth="1"/>
    <col min="28" max="28" width="0.85546875" customWidth="1"/>
    <col min="29" max="30" width="21.28515625" customWidth="1"/>
    <col min="31" max="31" width="12.140625" bestFit="1" customWidth="1"/>
    <col min="32" max="32" width="10.85546875" bestFit="1" customWidth="1"/>
    <col min="33" max="33" width="1" customWidth="1"/>
    <col min="34" max="34" width="11.5703125" bestFit="1" customWidth="1"/>
    <col min="35" max="35" width="11" bestFit="1" customWidth="1"/>
    <col min="36" max="36" width="0.85546875" customWidth="1"/>
    <col min="37" max="38" width="21.28515625" customWidth="1"/>
    <col min="39" max="39" width="12.140625" bestFit="1" customWidth="1"/>
    <col min="40" max="40" width="13.140625" customWidth="1"/>
    <col min="41" max="41" width="1" customWidth="1"/>
    <col min="42" max="42" width="11.5703125" bestFit="1" customWidth="1"/>
    <col min="43" max="43" width="11" bestFit="1" customWidth="1"/>
    <col min="44" max="44" width="0.85546875" customWidth="1"/>
    <col min="45" max="45" width="13.28515625" bestFit="1" customWidth="1"/>
    <col min="46" max="46" width="13.85546875" bestFit="1" customWidth="1"/>
    <col min="47" max="47" width="13.42578125" bestFit="1" customWidth="1"/>
    <col min="48" max="48" width="11" bestFit="1" customWidth="1"/>
    <col min="49" max="49" width="11.7109375" bestFit="1" customWidth="1"/>
    <col min="50" max="50" width="11.7109375" hidden="1" customWidth="1"/>
    <col min="51" max="51" width="12.28515625" bestFit="1" customWidth="1"/>
    <col min="52" max="53" width="11.42578125" bestFit="1" customWidth="1"/>
    <col min="54" max="54" width="17.7109375" customWidth="1"/>
    <col min="55" max="56" width="11.7109375" customWidth="1"/>
    <col min="57" max="57" width="27.5703125" customWidth="1"/>
    <col min="58" max="58" width="16.85546875" customWidth="1"/>
    <col min="59" max="59" width="17" customWidth="1"/>
    <col min="60" max="60" width="15.5703125" hidden="1" customWidth="1"/>
    <col min="61" max="61" width="13.7109375" hidden="1" customWidth="1"/>
    <col min="62" max="62" width="18.28515625" bestFit="1" customWidth="1"/>
    <col min="63" max="63" width="16.7109375" customWidth="1"/>
    <col min="64" max="64" width="1" customWidth="1"/>
    <col min="65" max="65" width="16.85546875" customWidth="1"/>
    <col min="66" max="66" width="16.28515625" customWidth="1"/>
  </cols>
  <sheetData>
    <row r="1" spans="1:66" s="3" customFormat="1" ht="26.25">
      <c r="A1" s="1322" t="s">
        <v>89</v>
      </c>
      <c r="B1" s="1324"/>
      <c r="C1" s="1324"/>
      <c r="D1" s="1324"/>
      <c r="E1" s="116" t="e">
        <f ca="1">IF(AND(BN7="Pass"),"Pass","Fail")</f>
        <v>#REF!</v>
      </c>
      <c r="F1" s="49"/>
      <c r="BL1" s="61"/>
    </row>
    <row r="2" spans="1:66" ht="18">
      <c r="A2" s="96" t="s">
        <v>10</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row>
    <row r="3" spans="1:66" s="50" customFormat="1" ht="87.75" customHeight="1">
      <c r="A3" s="361" t="s">
        <v>457</v>
      </c>
      <c r="B3" s="101" t="s">
        <v>474</v>
      </c>
      <c r="C3" s="364" t="s">
        <v>475</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"Stripline to SDRAM L7-1 ["&amp;$B$2&amp;"]"</f>
        <v>#REF!</v>
      </c>
      <c r="O3" s="124" t="e">
        <f>"Stripline to SDRAM L7-2 ["&amp;$B$2&amp;"]"</f>
        <v>#REF!</v>
      </c>
      <c r="P3" s="124" t="e">
        <f>"Breakin to SDRAM L8-1 ["&amp;$B$2&amp;"]"</f>
        <v>#REF!</v>
      </c>
      <c r="Q3" s="124" t="e">
        <f>"Breakin to SDRAM L8-2 ["&amp;$B$2&amp;"]"</f>
        <v>#REF!</v>
      </c>
      <c r="R3" s="124"/>
      <c r="S3" s="595" t="e">
        <f>"Total MB Length to SODIMM (L0+L1+L2+S1)  ["&amp;$B$2&amp;"]"</f>
        <v>#REF!</v>
      </c>
      <c r="T3" s="7"/>
      <c r="U3" s="7" t="e">
        <f>"Total Pad-to-SODIMM Connector Length (P0+L0+L1+L2+S1)  ["&amp;$B$2&amp;"]"</f>
        <v>#REF!</v>
      </c>
      <c r="V3" s="7"/>
      <c r="W3" s="7" t="e">
        <f>"Target Min Length to SODIMM["&amp;$B$2&amp;"]"</f>
        <v>#REF!</v>
      </c>
      <c r="X3" s="7" t="e">
        <f>"Target Max Length to SODIMM ["&amp;$B$2&amp;"]"</f>
        <v>#REF!</v>
      </c>
      <c r="Y3" s="7"/>
      <c r="Z3" s="7" t="e">
        <f>"Length to SODIMM Routed Too Short  ["&amp;$B$2&amp;"]"</f>
        <v>#REF!</v>
      </c>
      <c r="AA3" s="7" t="e">
        <f>"Length to SODIMM Routed Too Long  ["&amp;$B$2&amp;"]"</f>
        <v>#REF!</v>
      </c>
      <c r="AB3" s="7"/>
      <c r="AC3" s="595" t="e">
        <f>"Total MB Length to SDRAM (L0+L1+L2+L3+L4+Rs+L5+L6+L7-1+L8-1)  ["&amp;$B$2&amp;"]"</f>
        <v>#REF!</v>
      </c>
      <c r="AD3" s="7" t="e">
        <f>"Total Pad-to-SDRAM Pin Length (P0+L0+L1+L2+L3+L4+Rs+L5+L6+L7-1+L8-1)  ["&amp;$B$2&amp;"]"</f>
        <v>#REF!</v>
      </c>
      <c r="AE3" s="7" t="e">
        <f>"Target Min Length to SDRAM (U1-U4)["&amp;$B$2&amp;"]"</f>
        <v>#REF!</v>
      </c>
      <c r="AF3" s="7" t="e">
        <f>"Target Max Length to SDRAM (U1-U4) ["&amp;$B$2&amp;"]"</f>
        <v>#REF!</v>
      </c>
      <c r="AG3" s="7"/>
      <c r="AH3" s="7" t="e">
        <f>"Length to SDRAM (U1-U4) Routed Too Short  ["&amp;$B$2&amp;"]"</f>
        <v>#REF!</v>
      </c>
      <c r="AI3" s="7" t="e">
        <f>"Length to SDRAM (U1-U4) Routed Too Long  ["&amp;$B$2&amp;"]"</f>
        <v>#REF!</v>
      </c>
      <c r="AJ3" s="7"/>
      <c r="AK3" s="595" t="e">
        <f>"Total MB Length to SDRAM (L0+L1+L2+L3+L4+Rs+L5+L6+L7-2+L8-2)  ["&amp;$B$2&amp;"]"</f>
        <v>#REF!</v>
      </c>
      <c r="AL3" s="7" t="e">
        <f>"Total Pad-to-SDRAM Pin Length (P0+L0+L1+L2+L3+L4+Rs+L5+L6+L7-2+L8-2)  ["&amp;$B$2&amp;"]"</f>
        <v>#REF!</v>
      </c>
      <c r="AM3" s="7" t="e">
        <f>"Target Min Length to SDRAM (U5-U8)["&amp;$B$2&amp;"]"</f>
        <v>#REF!</v>
      </c>
      <c r="AN3" s="7" t="e">
        <f>"Target Max Length to SDRAM (U5-U8) ["&amp;$B$2&amp;"]"</f>
        <v>#REF!</v>
      </c>
      <c r="AO3" s="7"/>
      <c r="AP3" s="7" t="e">
        <f>"Length to SDRAM (U5-U8) Routed Too Short  ["&amp;$B$2&amp;"]"</f>
        <v>#REF!</v>
      </c>
      <c r="AQ3" s="7" t="e">
        <f>"Length to SDRAM (U5-U8) Routed Too Long  ["&amp;$B$2&amp;"]"</f>
        <v>#REF!</v>
      </c>
      <c r="AR3" s="7"/>
      <c r="AS3" s="7" t="e">
        <f>"DQS-DQS# SODIMM Length Test(&lt;="&amp;IF($B$2="mil",1,0.0254)*5&amp;$B$2&amp;")"</f>
        <v>#REF!</v>
      </c>
      <c r="AT3" s="7" t="e">
        <f>"DQS-DQS# SDRAM (U1-U4) Length Test(&lt;="&amp;IF($B$2="mil",1,0.0254)*5&amp;$B$2&amp;")"</f>
        <v>#REF!</v>
      </c>
      <c r="AU3" s="7" t="e">
        <f>"DQS-DQS# SDRAM (U5-U8) Length Test(&lt;="&amp;IF($B$2="mil",1,0.0254)*10&amp;$B$2&amp;")"</f>
        <v>#REF!</v>
      </c>
      <c r="AV3" s="7" t="e">
        <f>"L0 Length Test (&lt;="&amp;IF($B$2="mil",1,0.0254)*50&amp;$B$2&amp;")"</f>
        <v>#REF!</v>
      </c>
      <c r="AW3" s="7" t="e">
        <f>"L1 Length Test (&lt;="&amp;IF($B$2="mil",1,0.0254)*500&amp;$B$2&amp;")"</f>
        <v>#REF!</v>
      </c>
      <c r="AX3" s="7" t="e">
        <f>"S1 Length test (&lt;="&amp;IF($B$2="mil",1,0.0254)*0&amp;$B$2&amp;")"</f>
        <v>#REF!</v>
      </c>
      <c r="AY3" s="7" t="e">
        <f>"L3 Length Test (&lt;="&amp;IF($B$2="mil",1,0.0254)*750&amp;$B$2&amp;" or L3 + L4 &lt;= "&amp;IF($B$2="mil",1,0.0254)*875&amp;$B$2&amp;")"</f>
        <v>#REF!</v>
      </c>
      <c r="AZ3" s="7" t="e">
        <f>"L4 Length Test (&lt;="&amp;IF($B$2="mil",1,0.0254)*125&amp;$B$2&amp;")"</f>
        <v>#REF!</v>
      </c>
      <c r="BA3" s="7" t="e">
        <f>"L5 Length Test (&lt;="&amp;IF($B$2="mil",1,0.0254)*125&amp;$B$2&amp;")"</f>
        <v>#REF!</v>
      </c>
      <c r="BB3" s="7" t="e">
        <f>"L6 Length Test (&lt;="&amp;IF($B$2="mil",1,0.0254)*1200&amp;$B$2&amp;" or L5+L6&lt;="&amp;IF($B$2="mil",1,0.0254)*1275&amp;$B$2&amp;")"</f>
        <v>#REF!</v>
      </c>
      <c r="BC3" s="7" t="e">
        <f>"L7-1 Length Test (&lt;="&amp;IF($B$2="mil",1,0.0254)*150&amp;$B$2&amp;")"</f>
        <v>#REF!</v>
      </c>
      <c r="BD3" s="7" t="e">
        <f>"L7-2 Length Test (&lt;="&amp;IF($B$2="mil",1,0.0254)*150&amp;$B$2&amp;")"</f>
        <v>#REF!</v>
      </c>
      <c r="BE3" s="7" t="e">
        <f>"L7 Matching Test (Maximum L7 - Minimum L7 &lt;="&amp;IF($B$2="mil",1,0.0254)*50&amp;IF($B$2="mil","mil","mm")&amp;")"</f>
        <v>#REF!</v>
      </c>
      <c r="BF3" s="7" t="e">
        <f>"L8-1 Length Test (&lt;="&amp;IF($B$2="mil",1,0.0254)*150&amp;$B$2&amp;") or (L7-1+L8-1 &lt;= "&amp;IF($B$2="mil",1,0.0254)*200&amp;$B$2&amp;")"</f>
        <v>#REF!</v>
      </c>
      <c r="BG3" s="7" t="e">
        <f>"L8-2 Length Test (&lt;="&amp;IF($B$2="mil",1,0.0254)*150&amp;$B$2&amp;") or (L7-2+L8-2 &lt;= "&amp;IF($B$2="mil",1,0.0254)*200&amp;$B$2&amp;")"</f>
        <v>#REF!</v>
      </c>
      <c r="BH3" s="7" t="e">
        <f>"Total MB Length to SODIMM (L0+L1+L2+S1) Test "&amp;IF($B$2="mil","(500-4000mil)","(12.7-114.3mm)")</f>
        <v>#REF!</v>
      </c>
      <c r="BI3" s="7" t="e">
        <f>"Total Length to SODIMM (P0+L0+L1+L2+S1) Test (&lt;="&amp; IF($B$2="mil","4750mil","127mm")&amp;")"</f>
        <v>#REF!</v>
      </c>
      <c r="BJ3" s="7" t="e">
        <f>"Total MB Length to SDRAM (L0+L1+L2+L3+L4+Rs+L5+L6+L7+L8) Test "&amp;IF($B$2="mil","(500-5500mil)","(12.7-114.3mm)")</f>
        <v>#REF!</v>
      </c>
      <c r="BK3" s="7" t="e">
        <f>"Total Length to SDRAM (P0+L0+L1+L2+L3+L4+Rs+L5+L6+L7+L8) Test (&lt;="&amp; IF($B$2="mil","6000mil","127mm")&amp;")"</f>
        <v>#REF!</v>
      </c>
      <c r="BL3" s="7"/>
    </row>
    <row r="4" spans="1:66" s="3" customFormat="1">
      <c r="A4" s="109" t="s">
        <v>249</v>
      </c>
      <c r="B4" s="366"/>
      <c r="C4" s="105"/>
      <c r="D4" s="10"/>
      <c r="E4" s="10"/>
      <c r="F4" s="10"/>
      <c r="G4" s="10"/>
      <c r="H4" s="10"/>
      <c r="I4" s="10"/>
      <c r="J4" s="10"/>
      <c r="K4" s="10"/>
      <c r="L4" s="10"/>
      <c r="M4" s="10"/>
      <c r="N4" s="10"/>
      <c r="O4" s="10"/>
      <c r="P4" s="10"/>
      <c r="Q4" s="10"/>
      <c r="R4" s="10"/>
      <c r="S4" s="9"/>
      <c r="T4" s="10"/>
      <c r="U4" s="51"/>
      <c r="V4" s="10"/>
      <c r="W4" s="10"/>
      <c r="X4" s="10"/>
      <c r="Y4" s="10"/>
      <c r="Z4" s="10"/>
      <c r="AA4" s="10"/>
      <c r="AB4" s="10"/>
      <c r="AC4" s="9"/>
      <c r="AD4" s="51"/>
      <c r="AE4" s="10"/>
      <c r="AF4" s="15"/>
      <c r="AG4" s="10"/>
      <c r="AH4" s="15"/>
      <c r="AI4" s="15"/>
      <c r="AJ4" s="10"/>
      <c r="AK4" s="9"/>
      <c r="AL4" s="51"/>
      <c r="AM4" s="10"/>
      <c r="AN4" s="15"/>
      <c r="AO4" s="10"/>
      <c r="AP4" s="15"/>
      <c r="AQ4" s="15"/>
      <c r="AR4" s="10"/>
      <c r="AS4" s="15"/>
      <c r="AT4" s="15"/>
      <c r="AU4" s="15"/>
      <c r="AV4" s="15"/>
      <c r="AW4" s="15"/>
      <c r="AX4" s="15"/>
      <c r="AY4" s="10"/>
      <c r="AZ4" s="10"/>
      <c r="BA4" s="10"/>
      <c r="BB4" s="10"/>
      <c r="BC4" s="10"/>
      <c r="BD4" s="10"/>
      <c r="BE4" s="10"/>
      <c r="BF4" s="10"/>
      <c r="BG4" s="10"/>
      <c r="BH4" s="10"/>
      <c r="BI4" s="10"/>
      <c r="BJ4" s="10"/>
      <c r="BK4" s="10"/>
      <c r="BL4" s="12"/>
    </row>
    <row r="5" spans="1:66" s="3" customFormat="1">
      <c r="A5" s="362" t="s">
        <v>24</v>
      </c>
      <c r="B5" s="125"/>
      <c r="C5" s="365"/>
      <c r="D5" s="53"/>
      <c r="E5" s="52"/>
      <c r="F5" s="52"/>
      <c r="G5" s="52"/>
      <c r="H5" s="52"/>
      <c r="I5" s="52"/>
      <c r="J5" s="52"/>
      <c r="K5" s="52"/>
      <c r="L5" s="52"/>
      <c r="M5" s="52"/>
      <c r="N5" s="52"/>
      <c r="O5" s="52"/>
      <c r="P5" s="52"/>
      <c r="Q5" s="52"/>
      <c r="R5" s="52"/>
      <c r="S5" s="81"/>
      <c r="T5" s="53"/>
      <c r="U5" s="65"/>
      <c r="V5" s="540" t="s">
        <v>234</v>
      </c>
      <c r="W5" s="168" t="e">
        <f>MIN('DDR2 Clocks - 4L'!$O$22:$O$25)</f>
        <v>#REF!</v>
      </c>
      <c r="X5" s="541" t="e">
        <f>MAX('DDR2 Clocks - 4L'!$O$22:$O$25)</f>
        <v>#REF!</v>
      </c>
      <c r="Y5" s="53"/>
      <c r="Z5" s="65"/>
      <c r="AA5" s="65"/>
      <c r="AB5" s="540"/>
      <c r="AC5" s="81"/>
      <c r="AD5" s="540" t="s">
        <v>224</v>
      </c>
      <c r="AE5" s="542" t="e">
        <f>MIN('DDR2 Clocks - 4L'!$O$5:$O$6)</f>
        <v>#REF!</v>
      </c>
      <c r="AF5" s="541" t="e">
        <f>MAX('DDR2 Clocks - 4L'!$O$5:$O$6)</f>
        <v>#REF!</v>
      </c>
      <c r="AG5" s="65"/>
      <c r="AH5" s="65"/>
      <c r="AI5" s="65"/>
      <c r="AJ5" s="540"/>
      <c r="AK5" s="81"/>
      <c r="AL5" s="540" t="s">
        <v>284</v>
      </c>
      <c r="AM5" s="542" t="e">
        <f>MIN('DDR2 Clocks - 4L'!$O$7:$O$8)</f>
        <v>#REF!</v>
      </c>
      <c r="AN5" s="541" t="e">
        <f>MAX('DDR2 Clocks - 4L'!$O$7:$O$8)</f>
        <v>#REF!</v>
      </c>
      <c r="AO5" s="65"/>
      <c r="AP5" s="65"/>
      <c r="AQ5" s="65"/>
      <c r="AR5" s="540"/>
      <c r="AS5" s="65"/>
      <c r="AT5" s="65"/>
      <c r="AU5" s="65"/>
      <c r="AV5" s="65"/>
      <c r="AW5" s="52"/>
      <c r="AX5" s="52"/>
      <c r="AY5" s="52"/>
      <c r="AZ5" s="52"/>
      <c r="BA5" s="52"/>
      <c r="BB5" s="52"/>
      <c r="BC5" s="52"/>
      <c r="BD5" s="52"/>
      <c r="BE5" s="52"/>
      <c r="BF5" s="52"/>
      <c r="BG5" s="52"/>
      <c r="BH5" s="52"/>
      <c r="BI5" s="52"/>
      <c r="BJ5" s="52"/>
      <c r="BK5" s="52"/>
      <c r="BL5" s="58"/>
    </row>
    <row r="6" spans="1:66" s="3" customFormat="1">
      <c r="A6" s="109" t="s">
        <v>250</v>
      </c>
      <c r="B6" s="367"/>
      <c r="C6" s="119"/>
      <c r="D6" s="62"/>
      <c r="E6" s="54"/>
      <c r="F6" s="54"/>
      <c r="G6" s="54"/>
      <c r="H6" s="54"/>
      <c r="I6" s="54"/>
      <c r="J6" s="54"/>
      <c r="K6" s="54"/>
      <c r="L6" s="54"/>
      <c r="M6" s="54"/>
      <c r="N6" s="54"/>
      <c r="O6" s="54"/>
      <c r="P6" s="54"/>
      <c r="Q6" s="54"/>
      <c r="R6" s="54"/>
      <c r="S6" s="54"/>
      <c r="T6" s="54"/>
      <c r="U6" s="54"/>
      <c r="V6" s="54"/>
      <c r="W6" s="54"/>
      <c r="X6" s="66"/>
      <c r="Y6" s="54"/>
      <c r="Z6" s="66"/>
      <c r="AA6" s="66"/>
      <c r="AB6" s="66"/>
      <c r="AC6" s="54"/>
      <c r="AD6" s="54"/>
      <c r="AE6" s="66"/>
      <c r="AF6" s="67"/>
      <c r="AG6" s="66"/>
      <c r="AH6" s="54"/>
      <c r="AI6" s="54"/>
      <c r="AJ6" s="66"/>
      <c r="AK6" s="54"/>
      <c r="AL6" s="54"/>
      <c r="AM6" s="66"/>
      <c r="AN6" s="67"/>
      <c r="AO6" s="66"/>
      <c r="AP6" s="54"/>
      <c r="AQ6" s="54"/>
      <c r="AR6" s="66"/>
      <c r="AS6" s="54"/>
      <c r="AT6" s="54"/>
      <c r="AU6" s="54"/>
      <c r="AV6" s="54"/>
      <c r="AW6" s="66"/>
      <c r="AX6" s="66"/>
      <c r="AY6" s="66"/>
      <c r="AZ6" s="66"/>
      <c r="BA6" s="66"/>
      <c r="BB6" s="66"/>
      <c r="BC6" s="66"/>
      <c r="BD6" s="66"/>
      <c r="BE6" s="66"/>
      <c r="BF6" s="66"/>
      <c r="BG6" s="66"/>
      <c r="BH6" s="66"/>
      <c r="BI6" s="66"/>
      <c r="BJ6" s="66"/>
      <c r="BK6" s="66"/>
      <c r="BL6" s="68"/>
    </row>
    <row r="7" spans="1:66" s="3" customFormat="1">
      <c r="A7" s="652" t="s">
        <v>90</v>
      </c>
      <c r="B7" s="646" t="s">
        <v>460</v>
      </c>
      <c r="C7" s="635">
        <v>373.89763779527561</v>
      </c>
      <c r="D7" s="18"/>
      <c r="E7" s="277">
        <v>22.63</v>
      </c>
      <c r="F7" s="621">
        <v>0</v>
      </c>
      <c r="G7" s="622">
        <v>2000</v>
      </c>
      <c r="H7" s="305">
        <v>0</v>
      </c>
      <c r="I7" s="277">
        <v>700</v>
      </c>
      <c r="J7" s="305">
        <v>100</v>
      </c>
      <c r="K7" s="277">
        <v>40</v>
      </c>
      <c r="L7" s="305">
        <v>85</v>
      </c>
      <c r="M7" s="305">
        <v>890</v>
      </c>
      <c r="N7" s="305">
        <v>0</v>
      </c>
      <c r="O7" s="305">
        <v>0</v>
      </c>
      <c r="P7" s="305">
        <v>91.72</v>
      </c>
      <c r="Q7" s="305">
        <v>86.82</v>
      </c>
      <c r="R7" s="69"/>
      <c r="S7" s="489">
        <f xml:space="preserve"> E7+F7+G7+H7</f>
        <v>2022.63</v>
      </c>
      <c r="T7" s="597"/>
      <c r="U7" s="489" t="e">
        <f>S7+IF($B$2="mil",1,0.0254)*C7</f>
        <v>#REF!</v>
      </c>
      <c r="V7" s="597"/>
      <c r="W7" s="489" t="e">
        <f>MAX(W$5:X$5)+IF($B$2="mil",1,0.0254)*DDR2Specs!$B$2</f>
        <v>#REF!</v>
      </c>
      <c r="X7" s="489" t="e">
        <f>MIN(W$5:X$5)+IF($B$2="mil",1,0.0254)*DDR2Specs!$C$2</f>
        <v>#REF!</v>
      </c>
      <c r="Y7" s="597"/>
      <c r="Z7" s="598" t="e">
        <f>IF($U7&lt;$W7,$W7-$U7,"Pass")</f>
        <v>#REF!</v>
      </c>
      <c r="AA7" s="495" t="e">
        <f>IF($U7&gt;$X7,$U7-$X7,"Pass")</f>
        <v>#REF!</v>
      </c>
      <c r="AB7" s="21"/>
      <c r="AC7" s="489">
        <f>SUM(E7:G7,I7:N7,P7)</f>
        <v>3929.35</v>
      </c>
      <c r="AD7" s="489" t="e">
        <f>AC7+IF($B$2="mil",1,0.0254)*$C7</f>
        <v>#REF!</v>
      </c>
      <c r="AE7" s="489" t="e">
        <f>MAX(AE$5:AF$5)+IF($B$2="mil",1,0.0254)*DDR2Specs!$E$2</f>
        <v>#REF!</v>
      </c>
      <c r="AF7" s="489" t="e">
        <f>MIN(AE$5:AF$5)+IF($B$2="mil",1,0.0254)*DDR2Specs!$F$2</f>
        <v>#REF!</v>
      </c>
      <c r="AG7" s="21"/>
      <c r="AH7" s="598" t="e">
        <f>IF($AD7&lt;$AE7,$AE7-$AD7,"Pass")</f>
        <v>#REF!</v>
      </c>
      <c r="AI7" s="495" t="e">
        <f>IF($AD7&gt;$AF7,$AD7-$AF7,"Pass")</f>
        <v>#REF!</v>
      </c>
      <c r="AJ7" s="21"/>
      <c r="AK7" s="489">
        <f>SUM(E7:G7,I7:M7,O7,Q7)</f>
        <v>3924.4500000000003</v>
      </c>
      <c r="AL7" s="489" t="e">
        <f>AK7+IF($B$2="mil",1,0.0254)*$C7</f>
        <v>#REF!</v>
      </c>
      <c r="AM7" s="489" t="e">
        <f>MAX(AM$5:AN$5)+IF($B$2="mil",1,0.0254)*DDR2Specs!$E$2</f>
        <v>#REF!</v>
      </c>
      <c r="AN7" s="489" t="e">
        <f>MIN(AM$5:AN$5)+IF($B$2="mil",1,0.0254)*DDR2Specs!$F$2</f>
        <v>#REF!</v>
      </c>
      <c r="AO7" s="21"/>
      <c r="AP7" s="598" t="e">
        <f>IF($AL7&lt;$AM7,$AM7-$AL7,"Pass")</f>
        <v>#REF!</v>
      </c>
      <c r="AQ7" s="495" t="e">
        <f>IF($AL7&gt;$AN7,$AL7-$AN7,"Pass")</f>
        <v>#REF!</v>
      </c>
      <c r="AR7" s="21"/>
      <c r="AS7" s="495" t="e">
        <f>IF((ABS($U7-$U8)&lt;=IF($B$2="mil",1,0.0254)*5),"Pass",ABS($U7-$U8))</f>
        <v>#REF!</v>
      </c>
      <c r="AT7" s="495" t="e">
        <f>IF((ABS($AD7-$AD8)&lt;=IF($B$2="mil",1,0.0254)*5),"Pass",ABS($AD7-$AD8))</f>
        <v>#REF!</v>
      </c>
      <c r="AU7" s="495" t="e">
        <f>IF((ABS($AL7-$AL8)&lt;=IF($B$2="mil",1,0.0254)*10),"Pass",ABS($AL7-$AL8))</f>
        <v>#REF!</v>
      </c>
      <c r="AV7" s="495" t="e">
        <f>IF($E7&lt;=IF($B$2="mil",1,0.0254)*50,"Pass",IF($B$2="mil",1,0.0254)*50-$E7)</f>
        <v>#REF!</v>
      </c>
      <c r="AW7" s="495" t="e">
        <f>IF($F7&lt;=IF($B$2="mil",1,0.0254)*500,"Pass",IF($B$2="mil",1,0.0254)*500-$F7)</f>
        <v>#REF!</v>
      </c>
      <c r="AX7" s="495" t="e">
        <f>IF($H7&lt;=IF($B$2="mil",1,0.0254)*0,"Pass",IF($B$2="mil",1,0.0254)*0-$H7)</f>
        <v>#REF!</v>
      </c>
      <c r="AY7" s="495" t="e">
        <f ca="1">CheckLength(IF($B$2="mil",1,0.0254)*750, IF($B$2="mil",1,0.0254)*125-J7, 0, I7,J7,0)</f>
        <v>#NAME?</v>
      </c>
      <c r="AZ7" s="495" t="e">
        <f>IF($J7&lt;=IF($B$2="mil",1,0.0254)*125,"Pass",IF($B$2="mil",1,0.0254)*125-$J7)</f>
        <v>#REF!</v>
      </c>
      <c r="BA7" s="495" t="e">
        <f>IF($L7&lt;=IF($B$2="mil",1,0.0254)*125,"Pass",IF($B$2="mil",1,0.0254)*125-$L7)</f>
        <v>#REF!</v>
      </c>
      <c r="BB7" s="495" t="e">
        <f>IF(($L7+$M7)&lt;=IF($B$2="mil",1,0.0254)*1275,"Pass",IF($B$2="mil",1,0.0254)*1275-($L7+M7))</f>
        <v>#REF!</v>
      </c>
      <c r="BC7" s="495" t="e">
        <f>IF($N7&lt;=IF($B$2="mil",1,0.0254)*150,"Pass",IF($B$2="mil",1,0.0254)*150-$N7)</f>
        <v>#REF!</v>
      </c>
      <c r="BD7" s="495" t="e">
        <f>IF($O7&lt;=IF($B$2="mil",1,0.0254)*150,"Pass",IF($B$2="mil",1,0.0254)*150-$O7)</f>
        <v>#REF!</v>
      </c>
      <c r="BE7" s="493" t="e">
        <f>IF(MAX(N7:O7)-MIN(N7:O7)&lt;=IF($B$2="mil",1,0.0254)*50,"Pass",MAX(N7:O7)-MIN(N7:O7)-IF($B$2="mil",1,0.0254)*50)</f>
        <v>#REF!</v>
      </c>
      <c r="BF7" s="495" t="e">
        <f ca="1">CheckLength2(IF($B$2="mil",1,0.0254)*200,$N7,P7,0)</f>
        <v>#NAME?</v>
      </c>
      <c r="BG7" s="495" t="e">
        <f ca="1">CheckLength2(IF($B$2="mil",1,0.0254)*200,$O7,Q7,0)</f>
        <v>#NAME?</v>
      </c>
      <c r="BH7" s="495" t="e">
        <f>IF(AND($S7&gt;=IF($B$2="mil",1,0.0254)*500, $S7&lt;=IF($B$2="mil",1,0.0254)*4000),"Pass",IF($B$2="mil",1,0.0254)*4000-$S7)</f>
        <v>#REF!</v>
      </c>
      <c r="BI7" s="495" t="e">
        <f>IF(AND($U7&gt;=IF($B$2="mil",1,0.0254)*500, $U7&lt;=IF($B$2="mil",1,0.0254)*4750),"Pass",IF($B$2="mil",1,0.0254)*4750-$U7)</f>
        <v>#REF!</v>
      </c>
      <c r="BJ7" s="495" t="e">
        <f>IF(AND($AC7&gt;=IF($B$2="mil",1,0.0254)*500, $AC7&lt;=IF($B$2="mil",1,0.0254)*5500),"Pass",IF($B$2="mil",1,0.0254)*5500-$AC7)</f>
        <v>#REF!</v>
      </c>
      <c r="BK7" s="495" t="e">
        <f>IF(AND($AD7&gt;=IF($B$2="mil",1,0.0254)*500, $AD7&lt;=IF($B$2="mil",1,0.0254)*6000),"Pass",IF($B$2="mil",1,0.0254)*6000-$AD7)</f>
        <v>#REF!</v>
      </c>
      <c r="BL7" s="21"/>
      <c r="BM7" s="3" t="e">
        <f ca="1">IF(AND(AV7="Pass",BI7="Pass",AX7="Pass",AW7="Pass",BH7="Pass",Z7="Pass",AA7="Pass",BG7="Pass",BB7="Pass",BC7="Pass",BD7="Pass",BE7="Pass",BF7="Pass",BA7="Pass",AZ7="Pass",AY7="Pass",AP7="Pass",AQ7="Pass",AS7="Pass",AT7="Pass",AU7="Pass",BJ7="Pass",BK7="Pass",AH7="Pass",AI7="Pass"),"Pass","Fail")</f>
        <v>#REF!</v>
      </c>
      <c r="BN7" s="3" t="e">
        <f ca="1">IF(AND(BM7="Pass",BM8="Pass",BM12="Pass",BM13="Pass",BM17="Pass",BM18="Pass",BM22="Pass",BM23="Pass",BM27="Pass",BM28="Pass",BM32="Pass",BM33="Pass",BM37="Pass",BM38="Pass",BM42="Pass",BM43="Pass"),"Pass","Fail")</f>
        <v>#REF!</v>
      </c>
    </row>
    <row r="8" spans="1:66" s="3" customFormat="1">
      <c r="A8" s="652" t="s">
        <v>91</v>
      </c>
      <c r="B8" s="646" t="s">
        <v>467</v>
      </c>
      <c r="C8" s="635">
        <v>373.93700787401571</v>
      </c>
      <c r="D8" s="18"/>
      <c r="E8" s="277">
        <v>22.63</v>
      </c>
      <c r="F8" s="621">
        <v>0</v>
      </c>
      <c r="G8" s="622">
        <v>2000</v>
      </c>
      <c r="H8" s="305">
        <v>0</v>
      </c>
      <c r="I8" s="277">
        <v>700</v>
      </c>
      <c r="J8" s="305">
        <v>85.78</v>
      </c>
      <c r="K8" s="277">
        <v>40</v>
      </c>
      <c r="L8" s="305">
        <v>85.78</v>
      </c>
      <c r="M8" s="305">
        <v>880</v>
      </c>
      <c r="N8" s="305">
        <v>0</v>
      </c>
      <c r="O8" s="305">
        <v>0</v>
      </c>
      <c r="P8" s="305">
        <v>113.98</v>
      </c>
      <c r="Q8" s="305">
        <v>109.97</v>
      </c>
      <c r="R8" s="69"/>
      <c r="S8" s="489">
        <f xml:space="preserve"> E8+F8+G8+H8</f>
        <v>2022.63</v>
      </c>
      <c r="T8" s="597"/>
      <c r="U8" s="489" t="e">
        <f>S8+IF($B$2="mil",1,0.0254)*C8</f>
        <v>#REF!</v>
      </c>
      <c r="V8" s="597"/>
      <c r="W8" s="489" t="e">
        <f>MAX(W$5:X$5)+IF($B$2="mil",1,0.0254)*DDR2Specs!$B$2</f>
        <v>#REF!</v>
      </c>
      <c r="X8" s="489" t="e">
        <f>MIN(W$5:X$5)+IF($B$2="mil",1,0.0254)*DDR2Specs!$C$2</f>
        <v>#REF!</v>
      </c>
      <c r="Y8" s="597"/>
      <c r="Z8" s="598" t="e">
        <f>IF($U8&lt;$W8,$W8-$U8,"Pass")</f>
        <v>#REF!</v>
      </c>
      <c r="AA8" s="495" t="e">
        <f>IF($U8&gt;$X8,$U8-$X8,"Pass")</f>
        <v>#REF!</v>
      </c>
      <c r="AB8" s="21"/>
      <c r="AC8" s="489">
        <f>SUM(E8:G8,I8:N8,P8)</f>
        <v>3928.1700000000005</v>
      </c>
      <c r="AD8" s="489" t="e">
        <f>AC8+IF($B$2="mil",1,0.0254)*$C8</f>
        <v>#REF!</v>
      </c>
      <c r="AE8" s="489" t="e">
        <f>MAX(AE$5:AF$5)+IF($B$2="mil",1,0.0254)*DDR2Specs!$E$2</f>
        <v>#REF!</v>
      </c>
      <c r="AF8" s="489" t="e">
        <f>MIN(AE$5:AF$5)+IF($B$2="mil",1,0.0254)*DDR2Specs!$F$2</f>
        <v>#REF!</v>
      </c>
      <c r="AG8" s="21"/>
      <c r="AH8" s="598" t="e">
        <f>IF($AD8&lt;$AE8,$AE8-$AD8,"Pass")</f>
        <v>#REF!</v>
      </c>
      <c r="AI8" s="495" t="e">
        <f>IF($AD8&gt;$AF8,$AD8-$AF8,"Pass")</f>
        <v>#REF!</v>
      </c>
      <c r="AJ8" s="21"/>
      <c r="AK8" s="489">
        <f>SUM(E8:G8,I8:M8,O8,Q8)</f>
        <v>3924.1600000000003</v>
      </c>
      <c r="AL8" s="489" t="e">
        <f>AK8+IF($B$2="mil",1,0.0254)*$C8</f>
        <v>#REF!</v>
      </c>
      <c r="AM8" s="489" t="e">
        <f>MAX(AM$5:AN$5)+IF($B$2="mil",1,0.0254)*DDR2Specs!$E$2</f>
        <v>#REF!</v>
      </c>
      <c r="AN8" s="489" t="e">
        <f>MIN(AM$5:AN$5)+IF($B$2="mil",1,0.0254)*DDR2Specs!$F$2</f>
        <v>#REF!</v>
      </c>
      <c r="AO8" s="21"/>
      <c r="AP8" s="598" t="e">
        <f>IF($AL8&lt;$AM8,$AM8-$AL8,"Pass")</f>
        <v>#REF!</v>
      </c>
      <c r="AQ8" s="495" t="e">
        <f>IF($AL8&gt;$AN8,$AL8-$AN8,"Pass")</f>
        <v>#REF!</v>
      </c>
      <c r="AR8" s="21"/>
      <c r="AS8" s="495" t="e">
        <f>IF((ABS($U8-$U7)&lt;=IF($B$2="mil",1,0.0254)*5),"Pass",ABS($U8-$U7))</f>
        <v>#REF!</v>
      </c>
      <c r="AT8" s="495" t="e">
        <f>IF((ABS($AD8-$AD7)&lt;=IF($B$2="mil",1,0.0254)*5),"Pass",ABS($AD8-$AD7))</f>
        <v>#REF!</v>
      </c>
      <c r="AU8" s="495" t="e">
        <f>IF((ABS($AL8-$AL7)&lt;=IF($B$2="mil",1,0.0254)*10),"Pass",ABS($AL8-$AL7))</f>
        <v>#REF!</v>
      </c>
      <c r="AV8" s="495" t="e">
        <f>IF($E8&lt;=IF($B$2="mil",1,0.0254)*50,"Pass",IF($B$2="mil",1,0.0254)*50-$E8)</f>
        <v>#REF!</v>
      </c>
      <c r="AW8" s="495" t="e">
        <f>IF($F8&lt;=IF($B$2="mil",1,0.0254)*500,"Pass",IF($B$2="mil",1,0.0254)*500-$F8)</f>
        <v>#REF!</v>
      </c>
      <c r="AX8" s="495" t="e">
        <f>IF($H8&lt;=IF($B$2="mil",1,0.0254)*0,"Pass",IF($B$2="mil",1,0.0254)*0-$H8)</f>
        <v>#REF!</v>
      </c>
      <c r="AY8" s="495" t="e">
        <f ca="1">CheckLength(IF($B$2="mil",1,0.0254)*750, IF($B$2="mil",1,0.0254)*125-J8, 0, I8,J8,0)</f>
        <v>#NAME?</v>
      </c>
      <c r="AZ8" s="495" t="e">
        <f>IF($J8&lt;=IF($B$2="mil",1,0.0254)*125,"Pass",IF($B$2="mil",1,0.0254)*125-$J8)</f>
        <v>#REF!</v>
      </c>
      <c r="BA8" s="495" t="e">
        <f>IF($L8&lt;=IF($B$2="mil",1,0.0254)*125,"Pass",IF($B$2="mil",1,0.0254)*125-$L8)</f>
        <v>#REF!</v>
      </c>
      <c r="BB8" s="495" t="e">
        <f>IF(($L8+$M8)&lt;=IF($B$2="mil",1,0.0254)*1275,"Pass",IF($B$2="mil",1,0.0254)*1275-($L8+M8))</f>
        <v>#REF!</v>
      </c>
      <c r="BC8" s="495" t="e">
        <f>IF($N8&lt;=IF($B$2="mil",1,0.0254)*150,"Pass",IF($B$2="mil",1,0.0254)*150-$N8)</f>
        <v>#REF!</v>
      </c>
      <c r="BD8" s="495" t="e">
        <f>IF($O8&lt;=IF($B$2="mil",1,0.0254)*150,"Pass",IF($B$2="mil",1,0.0254)*150-$O8)</f>
        <v>#REF!</v>
      </c>
      <c r="BE8" s="493" t="e">
        <f>IF(MAX(N8:O8)-MIN(N8:O8)&lt;=IF($B$2="mil",1,0.0254)*50,"Pass",MAX(N8:O8)-MIN(N8:O8)-IF($B$2="mil",1,0.0254)*50)</f>
        <v>#REF!</v>
      </c>
      <c r="BF8" s="495" t="e">
        <f ca="1">CheckLength2(IF($B$2="mil",1,0.0254)*200,$N8,P8,0)</f>
        <v>#NAME?</v>
      </c>
      <c r="BG8" s="495" t="e">
        <f ca="1">CheckLength2(IF($B$2="mil",1,0.0254)*200,$O8,Q8,0)</f>
        <v>#NAME?</v>
      </c>
      <c r="BH8" s="495" t="e">
        <f>IF(AND($S8&gt;=IF($B$2="mil",1,0.0254)*500, $S8&lt;=IF($B$2="mil",1,0.0254)*4000),"Pass",IF($B$2="mil",1,0.0254)*4000-$S8)</f>
        <v>#REF!</v>
      </c>
      <c r="BI8" s="495" t="e">
        <f>IF(AND($U8&gt;=IF($B$2="mil",1,0.0254)*500, $U8&lt;=IF($B$2="mil",1,0.0254)*4750),"Pass",IF($B$2="mil",1,0.0254)*4750-$U8)</f>
        <v>#REF!</v>
      </c>
      <c r="BJ8" s="495" t="e">
        <f>IF(AND($AC8&gt;=IF($B$2="mil",1,0.0254)*500, $AC8&lt;=IF($B$2="mil",1,0.0254)*5500),"Pass",IF($B$2="mil",1,0.0254)*5500-$AC8)</f>
        <v>#REF!</v>
      </c>
      <c r="BK8" s="495" t="e">
        <f>IF(AND($AD8&gt;=IF($B$2="mil",1,0.0254)*500, $AD8&lt;=IF($B$2="mil",1,0.0254)*6000),"Pass",IF($B$2="mil",1,0.0254)*6000-$AD8)</f>
        <v>#REF!</v>
      </c>
      <c r="BL8" s="21"/>
      <c r="BM8" s="3" t="e">
        <f ca="1">IF(AND(AV8="Pass",BI8="Pass",AX8="Pass",AW8="Pass",BH8="Pass",Z8="Pass",AA8="Pass",BG8="Pass",BB8="Pass",BC8="Pass",BD8="Pass",BE8="Pass",BF8="Pass",BA8="Pass",AZ8="Pass",AY8="Pass",AP8="Pass",AQ8="Pass",AS8="Pass",AT8="Pass",AU8="Pass",BJ8="Pass",BK8="Pass",AH8="Pass",AI8="Pass"),"Pass","Fail")</f>
        <v>#REF!</v>
      </c>
    </row>
    <row r="9" spans="1:66" s="3" customFormat="1">
      <c r="A9" s="8" t="s">
        <v>249</v>
      </c>
      <c r="B9" s="631"/>
      <c r="C9" s="632"/>
      <c r="D9" s="10"/>
      <c r="E9" s="288"/>
      <c r="F9" s="288"/>
      <c r="G9" s="288"/>
      <c r="H9" s="288"/>
      <c r="I9" s="288"/>
      <c r="J9" s="292"/>
      <c r="K9" s="10"/>
      <c r="L9" s="292"/>
      <c r="M9" s="292"/>
      <c r="N9" s="292"/>
      <c r="O9" s="292"/>
      <c r="P9" s="292"/>
      <c r="Q9" s="292"/>
      <c r="R9" s="10"/>
      <c r="S9" s="9"/>
      <c r="T9" s="10"/>
      <c r="U9" s="51"/>
      <c r="V9" s="10"/>
      <c r="W9" s="10"/>
      <c r="X9" s="10"/>
      <c r="Y9" s="10"/>
      <c r="Z9" s="10"/>
      <c r="AA9" s="10"/>
      <c r="AB9" s="10"/>
      <c r="AC9" s="9"/>
      <c r="AD9" s="51"/>
      <c r="AE9" s="10"/>
      <c r="AF9" s="15"/>
      <c r="AG9" s="10"/>
      <c r="AH9" s="15"/>
      <c r="AI9" s="15"/>
      <c r="AJ9" s="10"/>
      <c r="AK9" s="9"/>
      <c r="AL9" s="51"/>
      <c r="AM9" s="10"/>
      <c r="AN9" s="15"/>
      <c r="AO9" s="10"/>
      <c r="AP9" s="15"/>
      <c r="AQ9" s="15"/>
      <c r="AR9" s="10"/>
      <c r="AS9" s="15"/>
      <c r="AT9" s="15"/>
      <c r="AU9" s="15"/>
      <c r="AV9" s="15"/>
      <c r="AW9" s="15"/>
      <c r="AX9" s="15"/>
      <c r="AY9" s="10"/>
      <c r="AZ9" s="10"/>
      <c r="BA9" s="10"/>
      <c r="BB9" s="10"/>
      <c r="BC9" s="10"/>
      <c r="BD9" s="10"/>
      <c r="BE9" s="10"/>
      <c r="BF9" s="10"/>
      <c r="BG9" s="10"/>
      <c r="BH9" s="10"/>
      <c r="BI9" s="10"/>
      <c r="BJ9" s="10"/>
      <c r="BK9" s="10"/>
      <c r="BL9" s="12"/>
    </row>
    <row r="10" spans="1:66" s="3" customFormat="1">
      <c r="A10" s="653" t="s">
        <v>24</v>
      </c>
      <c r="B10" s="654"/>
      <c r="C10" s="648"/>
      <c r="D10" s="53"/>
      <c r="E10" s="289"/>
      <c r="F10" s="289"/>
      <c r="G10" s="289"/>
      <c r="H10" s="289"/>
      <c r="I10" s="289"/>
      <c r="J10" s="293"/>
      <c r="K10" s="52"/>
      <c r="L10" s="293"/>
      <c r="M10" s="293"/>
      <c r="N10" s="293"/>
      <c r="O10" s="293"/>
      <c r="P10" s="293"/>
      <c r="Q10" s="293"/>
      <c r="R10" s="52"/>
      <c r="S10" s="81"/>
      <c r="T10" s="53"/>
      <c r="U10" s="65"/>
      <c r="V10" s="540"/>
      <c r="W10" s="168"/>
      <c r="X10" s="541"/>
      <c r="Y10" s="53"/>
      <c r="Z10" s="65"/>
      <c r="AA10" s="65"/>
      <c r="AB10" s="540"/>
      <c r="AC10" s="81"/>
      <c r="AD10" s="540" t="s">
        <v>224</v>
      </c>
      <c r="AE10" s="542" t="e">
        <f>MIN('DDR2 Clocks - 4L'!$O$5:$O$6)</f>
        <v>#REF!</v>
      </c>
      <c r="AF10" s="541" t="e">
        <f>MAX('DDR2 Clocks - 4L'!$O$5:$O$6)</f>
        <v>#REF!</v>
      </c>
      <c r="AG10" s="65"/>
      <c r="AH10" s="65"/>
      <c r="AI10" s="65"/>
      <c r="AJ10" s="540"/>
      <c r="AK10" s="81"/>
      <c r="AL10" s="540" t="s">
        <v>284</v>
      </c>
      <c r="AM10" s="542" t="e">
        <f>MIN('DDR2 Clocks - 4L'!$O$7:$O$8)</f>
        <v>#REF!</v>
      </c>
      <c r="AN10" s="541" t="e">
        <f>MAX('DDR2 Clocks - 4L'!$O$7:$O$8)</f>
        <v>#REF!</v>
      </c>
      <c r="AO10" s="65"/>
      <c r="AP10" s="65"/>
      <c r="AQ10" s="65"/>
      <c r="AR10" s="540"/>
      <c r="AS10" s="65"/>
      <c r="AT10" s="65"/>
      <c r="AU10" s="65"/>
      <c r="AV10" s="65"/>
      <c r="AW10" s="52"/>
      <c r="AX10" s="52"/>
      <c r="AY10" s="52"/>
      <c r="AZ10" s="52"/>
      <c r="BA10" s="52"/>
      <c r="BB10" s="52"/>
      <c r="BC10" s="52"/>
      <c r="BD10" s="52"/>
      <c r="BE10" s="52"/>
      <c r="BF10" s="52"/>
      <c r="BG10" s="52"/>
      <c r="BH10" s="52"/>
      <c r="BI10" s="52"/>
      <c r="BJ10" s="52"/>
      <c r="BK10" s="52"/>
      <c r="BL10" s="58"/>
    </row>
    <row r="11" spans="1:66" s="3" customFormat="1">
      <c r="A11" s="8" t="s">
        <v>250</v>
      </c>
      <c r="B11" s="655"/>
      <c r="C11" s="649"/>
      <c r="D11" s="62"/>
      <c r="E11" s="290"/>
      <c r="F11" s="290"/>
      <c r="G11" s="290"/>
      <c r="H11" s="290"/>
      <c r="I11" s="290"/>
      <c r="J11" s="294"/>
      <c r="K11" s="54"/>
      <c r="L11" s="294"/>
      <c r="M11" s="294"/>
      <c r="N11" s="294"/>
      <c r="O11" s="294"/>
      <c r="P11" s="294"/>
      <c r="Q11" s="294"/>
      <c r="R11" s="54"/>
      <c r="S11" s="54"/>
      <c r="T11" s="54"/>
      <c r="U11" s="54"/>
      <c r="V11" s="54"/>
      <c r="W11" s="54"/>
      <c r="X11" s="66"/>
      <c r="Y11" s="54"/>
      <c r="Z11" s="66"/>
      <c r="AA11" s="66"/>
      <c r="AB11" s="66"/>
      <c r="AC11" s="54"/>
      <c r="AD11" s="54"/>
      <c r="AE11" s="66"/>
      <c r="AF11" s="67"/>
      <c r="AG11" s="66"/>
      <c r="AH11" s="54"/>
      <c r="AI11" s="54"/>
      <c r="AJ11" s="66"/>
      <c r="AK11" s="54"/>
      <c r="AL11" s="54"/>
      <c r="AM11" s="66"/>
      <c r="AN11" s="67"/>
      <c r="AO11" s="66"/>
      <c r="AP11" s="54"/>
      <c r="AQ11" s="54"/>
      <c r="AR11" s="66"/>
      <c r="AS11" s="54"/>
      <c r="AT11" s="54"/>
      <c r="AU11" s="54"/>
      <c r="AV11" s="54"/>
      <c r="AW11" s="66"/>
      <c r="AX11" s="66"/>
      <c r="AY11" s="66"/>
      <c r="AZ11" s="66"/>
      <c r="BA11" s="66"/>
      <c r="BB11" s="66"/>
      <c r="BC11" s="66"/>
      <c r="BD11" s="66"/>
      <c r="BE11" s="66"/>
      <c r="BF11" s="66"/>
      <c r="BG11" s="66"/>
      <c r="BH11" s="66"/>
      <c r="BI11" s="66"/>
      <c r="BJ11" s="66"/>
      <c r="BK11" s="66"/>
      <c r="BL11" s="68"/>
    </row>
    <row r="12" spans="1:66" s="3" customFormat="1">
      <c r="A12" s="652" t="s">
        <v>92</v>
      </c>
      <c r="B12" s="646" t="s">
        <v>461</v>
      </c>
      <c r="C12" s="635">
        <v>768.42519685039372</v>
      </c>
      <c r="D12" s="18"/>
      <c r="E12" s="621">
        <v>22.63</v>
      </c>
      <c r="F12" s="621">
        <v>0</v>
      </c>
      <c r="G12" s="622">
        <v>1503.71</v>
      </c>
      <c r="H12" s="622">
        <v>0</v>
      </c>
      <c r="I12" s="622">
        <v>794.79</v>
      </c>
      <c r="J12" s="622">
        <v>44.57</v>
      </c>
      <c r="K12" s="621">
        <v>40</v>
      </c>
      <c r="L12" s="622">
        <v>43.4</v>
      </c>
      <c r="M12" s="622">
        <v>924.3</v>
      </c>
      <c r="N12" s="305">
        <v>0</v>
      </c>
      <c r="O12" s="305">
        <v>0</v>
      </c>
      <c r="P12" s="622">
        <v>101.96</v>
      </c>
      <c r="Q12" s="622">
        <v>102.52</v>
      </c>
      <c r="R12" s="69"/>
      <c r="S12" s="489">
        <f xml:space="preserve"> E12+F12+G12+H12</f>
        <v>1526.3400000000001</v>
      </c>
      <c r="T12" s="597"/>
      <c r="U12" s="489" t="e">
        <f>S12+IF($B$2="mil",1,0.0254)*C12</f>
        <v>#REF!</v>
      </c>
      <c r="V12" s="597"/>
      <c r="W12" s="489" t="e">
        <f>MAX(W$5:X$5)+IF($B$2="mil",1,0.0254)*DDR2Specs!$B$2</f>
        <v>#REF!</v>
      </c>
      <c r="X12" s="489" t="e">
        <f>MIN(W$5:X$5)+IF($B$2="mil",1,0.0254)*DDR2Specs!$C$2</f>
        <v>#REF!</v>
      </c>
      <c r="Y12" s="597"/>
      <c r="Z12" s="598" t="e">
        <f>IF($U12&lt;$W12,$W12-$U12,"Pass")</f>
        <v>#REF!</v>
      </c>
      <c r="AA12" s="495" t="e">
        <f>IF($U12&gt;$X12,$U12-$X12,"Pass")</f>
        <v>#REF!</v>
      </c>
      <c r="AB12" s="21"/>
      <c r="AC12" s="489">
        <f>SUM(E12:G12,I12:N12,P12)</f>
        <v>3475.3600000000006</v>
      </c>
      <c r="AD12" s="489" t="e">
        <f>AC12+IF($B$2="mil",1,0.0254)*$C12</f>
        <v>#REF!</v>
      </c>
      <c r="AE12" s="489" t="e">
        <f>MAX(AE$10:AF$10)+IF($B$2="mil",1,0.0254)*DDR2Specs!$E$2</f>
        <v>#REF!</v>
      </c>
      <c r="AF12" s="489" t="e">
        <f>MIN(AE$10:AF$10)+IF($B$2="mil",1,0.0254)*DDR2Specs!$F$2</f>
        <v>#REF!</v>
      </c>
      <c r="AG12" s="21"/>
      <c r="AH12" s="598" t="e">
        <f>IF($AD12&lt;$AE12,$AE12-$AD12,"Pass")</f>
        <v>#REF!</v>
      </c>
      <c r="AI12" s="495" t="e">
        <f>IF($AD12&gt;$AF12,$AD12-$AF12,"Pass")</f>
        <v>#REF!</v>
      </c>
      <c r="AJ12" s="21"/>
      <c r="AK12" s="489">
        <f>SUM(E12:G12,I12:M12,O12,Q12)</f>
        <v>3475.9200000000005</v>
      </c>
      <c r="AL12" s="489" t="e">
        <f>AK12+IF($B$2="mil",1,0.0254)*$C12</f>
        <v>#REF!</v>
      </c>
      <c r="AM12" s="489" t="e">
        <f>MAX(AM$10:AN$10)+IF($B$2="mil",1,0.0254)*DDR2Specs!$E$2</f>
        <v>#REF!</v>
      </c>
      <c r="AN12" s="489" t="e">
        <f>MIN(AM$10:AN$10)+IF($B$2="mil",1,0.0254)*DDR2Specs!$F$2</f>
        <v>#REF!</v>
      </c>
      <c r="AO12" s="21"/>
      <c r="AP12" s="598" t="e">
        <f>IF($AL12&lt;$AM12,$AM12-$AL12,"Pass")</f>
        <v>#REF!</v>
      </c>
      <c r="AQ12" s="495" t="e">
        <f>IF($AL12&gt;$AN12,$AL12-$AN12,"Pass")</f>
        <v>#REF!</v>
      </c>
      <c r="AR12" s="21"/>
      <c r="AS12" s="495" t="e">
        <f>IF((ABS($U12-$U13)&lt;=IF($B$2="mil",1,0.0254)*5),"Pass",ABS($U12-$U13))</f>
        <v>#REF!</v>
      </c>
      <c r="AT12" s="495" t="e">
        <f>IF((ABS($AD12-$AD13)&lt;=IF($B$2="mil",1,0.0254)*5),"Pass",ABS($AD12-$AD13))</f>
        <v>#REF!</v>
      </c>
      <c r="AU12" s="495" t="e">
        <f>IF((ABS($AL12-$AL13)&lt;=IF($B$2="mil",1,0.0254)*10),"Pass",ABS($AL12-$AL13))</f>
        <v>#REF!</v>
      </c>
      <c r="AV12" s="495" t="e">
        <f>IF($E12&lt;=IF($B$2="mil",1,0.0254)*50,"Pass",IF($B$2="mil",1,0.0254)*50-$E12)</f>
        <v>#REF!</v>
      </c>
      <c r="AW12" s="495" t="e">
        <f>IF($F12&lt;=IF($B$2="mil",1,0.0254)*500,"Pass",IF($B$2="mil",1,0.0254)*500-$F12)</f>
        <v>#REF!</v>
      </c>
      <c r="AX12" s="495" t="e">
        <f>IF($H12&lt;=IF($B$2="mil",1,0.0254)*0,"Pass",IF($B$2="mil",1,0.0254)*0-$H12)</f>
        <v>#REF!</v>
      </c>
      <c r="AY12" s="495" t="e">
        <f ca="1">CheckLength(IF($B$2="mil",1,0.0254)*750, IF($B$2="mil",1,0.0254)*125-J12, 0, I12,J12,0)</f>
        <v>#NAME?</v>
      </c>
      <c r="AZ12" s="495" t="e">
        <f>IF($J12&lt;=IF($B$2="mil",1,0.0254)*125,"Pass",IF($B$2="mil",1,0.0254)*125-$J12)</f>
        <v>#REF!</v>
      </c>
      <c r="BA12" s="495" t="e">
        <f>IF($L12&lt;=IF($B$2="mil",1,0.0254)*125,"Pass",IF($B$2="mil",1,0.0254)*125-$L12)</f>
        <v>#REF!</v>
      </c>
      <c r="BB12" s="495" t="e">
        <f>IF(($L12+$M12)&lt;=IF($B$2="mil",1,0.0254)*1275,"Pass",IF($B$2="mil",1,0.0254)*1275-($L12+M12))</f>
        <v>#REF!</v>
      </c>
      <c r="BC12" s="495" t="e">
        <f>IF($N12&lt;=IF($B$2="mil",1,0.0254)*150,"Pass",IF($B$2="mil",1,0.0254)*150-$N12)</f>
        <v>#REF!</v>
      </c>
      <c r="BD12" s="495" t="e">
        <f>IF($O12&lt;=IF($B$2="mil",1,0.0254)*150,"Pass",IF($B$2="mil",1,0.0254)*150-$O12)</f>
        <v>#REF!</v>
      </c>
      <c r="BE12" s="493" t="e">
        <f>IF(MAX(N12:O12)-MIN(N12:O12)&lt;=IF($B$2="mil",1,0.0254)*50,"Pass",MAX(N12:O12)-MIN(N12:O12)-IF($B$2="mil",1,0.0254)*50)</f>
        <v>#REF!</v>
      </c>
      <c r="BF12" s="495" t="e">
        <f ca="1">CheckLength2(IF($B$2="mil",1,0.0254)*200,$N12,P12,0)</f>
        <v>#NAME?</v>
      </c>
      <c r="BG12" s="495" t="e">
        <f ca="1">CheckLength2(IF($B$2="mil",1,0.0254)*200,$O12,Q12,0)</f>
        <v>#NAME?</v>
      </c>
      <c r="BH12" s="495" t="e">
        <f>IF(AND($S12&gt;=IF($B$2="mil",1,0.0254)*500, $S12&lt;=IF($B$2="mil",1,0.0254)*4000),"Pass",IF($B$2="mil",1,0.0254)*4000-$S12)</f>
        <v>#REF!</v>
      </c>
      <c r="BI12" s="495" t="e">
        <f>IF(AND($U12&gt;=IF($B$2="mil",1,0.0254)*500, $U12&lt;=IF($B$2="mil",1,0.0254)*4750),"Pass",IF($B$2="mil",1,0.0254)*4750-$U12)</f>
        <v>#REF!</v>
      </c>
      <c r="BJ12" s="495" t="e">
        <f>IF(AND($AC12&gt;=IF($B$2="mil",1,0.0254)*500, $AC12&lt;=IF($B$2="mil",1,0.0254)*5500),"Pass",IF($B$2="mil",1,0.0254)*5500-$AC12)</f>
        <v>#REF!</v>
      </c>
      <c r="BK12" s="495" t="e">
        <f>IF(AND($AD12&gt;=IF($B$2="mil",1,0.0254)*500, $AD12&lt;=IF($B$2="mil",1,0.0254)*6000),"Pass",IF($B$2="mil",1,0.0254)*6000-$AD12)</f>
        <v>#REF!</v>
      </c>
      <c r="BL12" s="21"/>
      <c r="BM12" s="3" t="e">
        <f ca="1">IF(AND(AV12="Pass",BI12="Pass",AX12="Pass",AW12="Pass",BH12="Pass",Z12="Pass",AA12="Pass",BG12="Pass",BB12="Pass",BC12="Pass",BD12="Pass",BE12="Pass",BF12="Pass",BA12="Pass",AZ12="Pass",AY12="Pass",AP12="Pass",AQ12="Pass",AS12="Pass",AT12="Pass",AU12="Pass",BJ12="Pass",BK12="Pass",AH12="Pass",AI12="Pass"),"Pass","Fail")</f>
        <v>#REF!</v>
      </c>
    </row>
    <row r="13" spans="1:66" s="3" customFormat="1">
      <c r="A13" s="652" t="s">
        <v>93</v>
      </c>
      <c r="B13" s="646" t="s">
        <v>311</v>
      </c>
      <c r="C13" s="635">
        <v>768.46456692913387</v>
      </c>
      <c r="D13" s="18"/>
      <c r="E13" s="621">
        <v>22.63</v>
      </c>
      <c r="F13" s="621">
        <v>0</v>
      </c>
      <c r="G13" s="622">
        <v>1502.26</v>
      </c>
      <c r="H13" s="622">
        <v>0</v>
      </c>
      <c r="I13" s="622">
        <v>788.93</v>
      </c>
      <c r="J13" s="622">
        <v>85.78</v>
      </c>
      <c r="K13" s="621">
        <v>40</v>
      </c>
      <c r="L13" s="622">
        <v>44.57</v>
      </c>
      <c r="M13" s="622">
        <v>882.34</v>
      </c>
      <c r="N13" s="305">
        <v>0</v>
      </c>
      <c r="O13" s="305">
        <v>0</v>
      </c>
      <c r="P13" s="622">
        <v>109.41</v>
      </c>
      <c r="Q13" s="622">
        <v>109.35</v>
      </c>
      <c r="R13" s="69"/>
      <c r="S13" s="489">
        <f xml:space="preserve"> E13+F13+G13+H13</f>
        <v>1524.89</v>
      </c>
      <c r="T13" s="597"/>
      <c r="U13" s="489" t="e">
        <f>S13+IF($B$2="mil",1,0.0254)*C13</f>
        <v>#REF!</v>
      </c>
      <c r="V13" s="597"/>
      <c r="W13" s="489" t="e">
        <f>MAX(W$5:X$5)+IF($B$2="mil",1,0.0254)*DDR2Specs!$B$2</f>
        <v>#REF!</v>
      </c>
      <c r="X13" s="489" t="e">
        <f>MIN(W$5:X$5)+IF($B$2="mil",1,0.0254)*DDR2Specs!$C$2</f>
        <v>#REF!</v>
      </c>
      <c r="Y13" s="597"/>
      <c r="Z13" s="598" t="e">
        <f>IF($U13&lt;$W13,$W13-$U13,"Pass")</f>
        <v>#REF!</v>
      </c>
      <c r="AA13" s="495" t="e">
        <f>IF($U13&gt;$X13,$U13-$X13,"Pass")</f>
        <v>#REF!</v>
      </c>
      <c r="AB13" s="21"/>
      <c r="AC13" s="489">
        <f>SUM(E13:G13,I13:N13,P13)</f>
        <v>3475.9200000000005</v>
      </c>
      <c r="AD13" s="489" t="e">
        <f>AC13+IF($B$2="mil",1,0.0254)*$C13</f>
        <v>#REF!</v>
      </c>
      <c r="AE13" s="489" t="e">
        <f>MAX(AE$10:AF$10)+IF($B$2="mil",1,0.0254)*DDR2Specs!$E$2</f>
        <v>#REF!</v>
      </c>
      <c r="AF13" s="489" t="e">
        <f>MIN(AE$10:AF$10)+IF($B$2="mil",1,0.0254)*DDR2Specs!$F$2</f>
        <v>#REF!</v>
      </c>
      <c r="AG13" s="21"/>
      <c r="AH13" s="598" t="e">
        <f>IF($AD13&lt;$AE13,$AE13-$AD13,"Pass")</f>
        <v>#REF!</v>
      </c>
      <c r="AI13" s="495" t="e">
        <f>IF($AD13&gt;$AF13,$AD13-$AF13,"Pass")</f>
        <v>#REF!</v>
      </c>
      <c r="AJ13" s="21"/>
      <c r="AK13" s="489">
        <f>SUM(E13:G13,I13:M13,O13,Q13)</f>
        <v>3475.8600000000006</v>
      </c>
      <c r="AL13" s="489" t="e">
        <f>AK13+IF($B$2="mil",1,0.0254)*$C13</f>
        <v>#REF!</v>
      </c>
      <c r="AM13" s="489" t="e">
        <f>MAX(AM$10:AN$10)+IF($B$2="mil",1,0.0254)*DDR2Specs!$E$2</f>
        <v>#REF!</v>
      </c>
      <c r="AN13" s="489" t="e">
        <f>MIN(AM$10:AN$10)+IF($B$2="mil",1,0.0254)*DDR2Specs!$F$2</f>
        <v>#REF!</v>
      </c>
      <c r="AO13" s="21"/>
      <c r="AP13" s="598" t="e">
        <f>IF($AL13&lt;$AM13,$AM13-$AL13,"Pass")</f>
        <v>#REF!</v>
      </c>
      <c r="AQ13" s="495" t="e">
        <f>IF($AL13&gt;$AN13,$AL13-$AN13,"Pass")</f>
        <v>#REF!</v>
      </c>
      <c r="AR13" s="21"/>
      <c r="AS13" s="495" t="e">
        <f>IF((ABS($U13-$U12)&lt;=IF($B$2="mil",1,0.0254)*5),"Pass",ABS($U13-$U12))</f>
        <v>#REF!</v>
      </c>
      <c r="AT13" s="495" t="e">
        <f>IF((ABS($AD13-$AD12)&lt;=IF($B$2="mil",1,0.0254)*5),"Pass",ABS($AD13-$AD12))</f>
        <v>#REF!</v>
      </c>
      <c r="AU13" s="495" t="e">
        <f>IF((ABS($AL13-$AL12)&lt;=IF($B$2="mil",1,0.0254)*10),"Pass",ABS($AL13-$AL12))</f>
        <v>#REF!</v>
      </c>
      <c r="AV13" s="495" t="e">
        <f>IF($E13&lt;=IF($B$2="mil",1,0.0254)*50,"Pass",IF($B$2="mil",1,0.0254)*50-$E13)</f>
        <v>#REF!</v>
      </c>
      <c r="AW13" s="495" t="e">
        <f>IF($F13&lt;=IF($B$2="mil",1,0.0254)*500,"Pass",IF($B$2="mil",1,0.0254)*500-$F13)</f>
        <v>#REF!</v>
      </c>
      <c r="AX13" s="495" t="e">
        <f>IF($H13&lt;=IF($B$2="mil",1,0.0254)*0,"Pass",IF($B$2="mil",1,0.0254)*0-$H13)</f>
        <v>#REF!</v>
      </c>
      <c r="AY13" s="495" t="e">
        <f ca="1">CheckLength(IF($B$2="mil",1,0.0254)*750, IF($B$2="mil",1,0.0254)*125-J13, 0, I13,J13,0)</f>
        <v>#NAME?</v>
      </c>
      <c r="AZ13" s="495" t="e">
        <f>IF($J13&lt;=IF($B$2="mil",1,0.0254)*125,"Pass",IF($B$2="mil",1,0.0254)*125-$J13)</f>
        <v>#REF!</v>
      </c>
      <c r="BA13" s="495" t="e">
        <f>IF($L13&lt;=IF($B$2="mil",1,0.0254)*125,"Pass",IF($B$2="mil",1,0.0254)*125-$L13)</f>
        <v>#REF!</v>
      </c>
      <c r="BB13" s="495" t="e">
        <f>IF(($L13+$M13)&lt;=IF($B$2="mil",1,0.0254)*1275,"Pass",IF($B$2="mil",1,0.0254)*1275-($L13+M13))</f>
        <v>#REF!</v>
      </c>
      <c r="BC13" s="495" t="e">
        <f>IF($N13&lt;=IF($B$2="mil",1,0.0254)*150,"Pass",IF($B$2="mil",1,0.0254)*150-$N13)</f>
        <v>#REF!</v>
      </c>
      <c r="BD13" s="495" t="e">
        <f>IF($O13&lt;=IF($B$2="mil",1,0.0254)*150,"Pass",IF($B$2="mil",1,0.0254)*150-$O13)</f>
        <v>#REF!</v>
      </c>
      <c r="BE13" s="493" t="e">
        <f>IF(MAX(N13:O13)-MIN(N13:O13)&lt;=IF($B$2="mil",1,0.0254)*50,"Pass",MAX(N13:O13)-MIN(N13:O13)-IF($B$2="mil",1,0.0254)*50)</f>
        <v>#REF!</v>
      </c>
      <c r="BF13" s="495" t="e">
        <f ca="1">CheckLength2(IF($B$2="mil",1,0.0254)*200,$N13,P13,0)</f>
        <v>#NAME?</v>
      </c>
      <c r="BG13" s="495" t="e">
        <f ca="1">CheckLength2(IF($B$2="mil",1,0.0254)*200,$O13,Q13,0)</f>
        <v>#NAME?</v>
      </c>
      <c r="BH13" s="495" t="e">
        <f>IF(AND($S13&gt;=IF($B$2="mil",1,0.0254)*500, $S13&lt;=IF($B$2="mil",1,0.0254)*4000),"Pass",IF($B$2="mil",1,0.0254)*4000-$S13)</f>
        <v>#REF!</v>
      </c>
      <c r="BI13" s="495" t="e">
        <f>IF(AND($U13&gt;=IF($B$2="mil",1,0.0254)*500, $U13&lt;=IF($B$2="mil",1,0.0254)*4750),"Pass",IF($B$2="mil",1,0.0254)*4750-$U13)</f>
        <v>#REF!</v>
      </c>
      <c r="BJ13" s="495" t="e">
        <f>IF(AND($AC13&gt;=IF($B$2="mil",1,0.0254)*500, $AC13&lt;=IF($B$2="mil",1,0.0254)*5500),"Pass",IF($B$2="mil",1,0.0254)*5500-$AC13)</f>
        <v>#REF!</v>
      </c>
      <c r="BK13" s="495" t="e">
        <f>IF(AND($AD13&gt;=IF($B$2="mil",1,0.0254)*500, $AD13&lt;=IF($B$2="mil",1,0.0254)*6000),"Pass",IF($B$2="mil",1,0.0254)*6000-$AD13)</f>
        <v>#REF!</v>
      </c>
      <c r="BL13" s="21"/>
      <c r="BM13" s="3" t="e">
        <f ca="1">IF(AND(AV13="Pass",BI13="Pass",AX13="Pass",AW13="Pass",BH13="Pass",Z13="Pass",AA13="Pass",BG13="Pass",BB13="Pass",BC13="Pass",BD13="Pass",BE13="Pass",BF13="Pass",BA13="Pass",AZ13="Pass",AY13="Pass",AP13="Pass",AQ13="Pass",AS13="Pass",AT13="Pass",AU13="Pass",BJ13="Pass",BK13="Pass",AH13="Pass",AI13="Pass"),"Pass","Fail")</f>
        <v>#REF!</v>
      </c>
    </row>
    <row r="14" spans="1:66" s="3" customFormat="1">
      <c r="A14" s="8" t="s">
        <v>249</v>
      </c>
      <c r="B14" s="631"/>
      <c r="C14" s="632"/>
      <c r="D14" s="10"/>
      <c r="E14" s="288"/>
      <c r="F14" s="288"/>
      <c r="G14" s="288"/>
      <c r="H14" s="288"/>
      <c r="I14" s="288"/>
      <c r="J14" s="292"/>
      <c r="K14" s="10"/>
      <c r="L14" s="292"/>
      <c r="M14" s="292"/>
      <c r="N14" s="292"/>
      <c r="O14" s="292"/>
      <c r="P14" s="292"/>
      <c r="Q14" s="292"/>
      <c r="R14" s="10"/>
      <c r="S14" s="9"/>
      <c r="T14" s="10"/>
      <c r="U14" s="51"/>
      <c r="V14" s="10"/>
      <c r="W14" s="10"/>
      <c r="X14" s="10"/>
      <c r="Y14" s="10"/>
      <c r="Z14" s="10"/>
      <c r="AA14" s="10"/>
      <c r="AB14" s="10"/>
      <c r="AC14" s="9"/>
      <c r="AD14" s="51"/>
      <c r="AE14" s="10"/>
      <c r="AF14" s="15"/>
      <c r="AG14" s="10"/>
      <c r="AH14" s="15"/>
      <c r="AI14" s="15"/>
      <c r="AJ14" s="10"/>
      <c r="AK14" s="9"/>
      <c r="AL14" s="51"/>
      <c r="AM14" s="10"/>
      <c r="AN14" s="15"/>
      <c r="AO14" s="10"/>
      <c r="AP14" s="15"/>
      <c r="AQ14" s="15"/>
      <c r="AR14" s="10"/>
      <c r="AS14" s="15"/>
      <c r="AT14" s="15"/>
      <c r="AU14" s="15"/>
      <c r="AV14" s="15"/>
      <c r="AW14" s="15"/>
      <c r="AX14" s="15"/>
      <c r="AY14" s="10"/>
      <c r="AZ14" s="10"/>
      <c r="BA14" s="10"/>
      <c r="BB14" s="10"/>
      <c r="BC14" s="10"/>
      <c r="BD14" s="10"/>
      <c r="BE14" s="10"/>
      <c r="BF14" s="10"/>
      <c r="BG14" s="10"/>
      <c r="BH14" s="10"/>
      <c r="BI14" s="10"/>
      <c r="BJ14" s="10"/>
      <c r="BK14" s="10"/>
      <c r="BL14" s="12"/>
    </row>
    <row r="15" spans="1:66" s="3" customFormat="1">
      <c r="A15" s="653" t="s">
        <v>24</v>
      </c>
      <c r="B15" s="654"/>
      <c r="C15" s="648"/>
      <c r="D15" s="53"/>
      <c r="E15" s="289"/>
      <c r="F15" s="289"/>
      <c r="G15" s="289"/>
      <c r="H15" s="289"/>
      <c r="I15" s="289"/>
      <c r="J15" s="293"/>
      <c r="K15" s="52"/>
      <c r="L15" s="293"/>
      <c r="M15" s="293"/>
      <c r="N15" s="293"/>
      <c r="O15" s="293"/>
      <c r="P15" s="293"/>
      <c r="Q15" s="293"/>
      <c r="R15" s="52"/>
      <c r="S15" s="81"/>
      <c r="T15" s="53"/>
      <c r="U15" s="65"/>
      <c r="V15" s="540"/>
      <c r="W15" s="168"/>
      <c r="X15" s="541"/>
      <c r="Y15" s="53"/>
      <c r="Z15" s="65"/>
      <c r="AA15" s="65"/>
      <c r="AB15" s="540"/>
      <c r="AC15" s="81"/>
      <c r="AD15" s="540" t="s">
        <v>227</v>
      </c>
      <c r="AE15" s="542" t="e">
        <f>MIN('DDR2 Clocks - 4L'!$O$9:$O$10)</f>
        <v>#REF!</v>
      </c>
      <c r="AF15" s="541" t="e">
        <f>MAX('DDR2 Clocks - 4L'!$O$9:$O$10)</f>
        <v>#REF!</v>
      </c>
      <c r="AG15" s="65"/>
      <c r="AH15" s="65"/>
      <c r="AI15" s="65"/>
      <c r="AJ15" s="540"/>
      <c r="AK15" s="81"/>
      <c r="AL15" s="540" t="s">
        <v>285</v>
      </c>
      <c r="AM15" s="542" t="e">
        <f>MIN('DDR2 Clocks - 4L'!$O$11:$O$12)</f>
        <v>#REF!</v>
      </c>
      <c r="AN15" s="541" t="e">
        <f>MAX('DDR2 Clocks - 4L'!$O$11:$O$12)</f>
        <v>#REF!</v>
      </c>
      <c r="AO15" s="65"/>
      <c r="AP15" s="65"/>
      <c r="AQ15" s="65"/>
      <c r="AR15" s="540"/>
      <c r="AS15" s="65"/>
      <c r="AT15" s="65"/>
      <c r="AU15" s="65"/>
      <c r="AV15" s="65"/>
      <c r="AW15" s="52"/>
      <c r="AX15" s="52"/>
      <c r="AY15" s="52"/>
      <c r="AZ15" s="52"/>
      <c r="BA15" s="52"/>
      <c r="BB15" s="52"/>
      <c r="BC15" s="52"/>
      <c r="BD15" s="52"/>
      <c r="BE15" s="52"/>
      <c r="BF15" s="52"/>
      <c r="BG15" s="52"/>
      <c r="BH15" s="52"/>
      <c r="BI15" s="52"/>
      <c r="BJ15" s="52"/>
      <c r="BK15" s="52"/>
      <c r="BL15" s="58"/>
    </row>
    <row r="16" spans="1:66" s="3" customFormat="1">
      <c r="A16" s="8" t="s">
        <v>250</v>
      </c>
      <c r="B16" s="655"/>
      <c r="C16" s="649"/>
      <c r="D16" s="62"/>
      <c r="E16" s="290"/>
      <c r="F16" s="290"/>
      <c r="G16" s="290"/>
      <c r="H16" s="290"/>
      <c r="I16" s="290"/>
      <c r="J16" s="294"/>
      <c r="K16" s="54"/>
      <c r="L16" s="294"/>
      <c r="M16" s="294"/>
      <c r="N16" s="294"/>
      <c r="O16" s="294"/>
      <c r="P16" s="294"/>
      <c r="Q16" s="294"/>
      <c r="R16" s="54"/>
      <c r="S16" s="54"/>
      <c r="T16" s="54"/>
      <c r="U16" s="54"/>
      <c r="V16" s="54"/>
      <c r="W16" s="54"/>
      <c r="X16" s="66"/>
      <c r="Y16" s="54"/>
      <c r="Z16" s="66"/>
      <c r="AA16" s="66"/>
      <c r="AB16" s="66"/>
      <c r="AC16" s="54"/>
      <c r="AD16" s="54"/>
      <c r="AE16" s="66"/>
      <c r="AF16" s="67"/>
      <c r="AG16" s="66"/>
      <c r="AH16" s="54"/>
      <c r="AI16" s="54"/>
      <c r="AJ16" s="66"/>
      <c r="AK16" s="54"/>
      <c r="AL16" s="54"/>
      <c r="AM16" s="66"/>
      <c r="AN16" s="67"/>
      <c r="AO16" s="66"/>
      <c r="AP16" s="54"/>
      <c r="AQ16" s="54"/>
      <c r="AR16" s="66"/>
      <c r="AS16" s="54"/>
      <c r="AT16" s="54"/>
      <c r="AU16" s="54"/>
      <c r="AV16" s="54"/>
      <c r="AW16" s="66"/>
      <c r="AX16" s="66"/>
      <c r="AY16" s="66"/>
      <c r="AZ16" s="66"/>
      <c r="BA16" s="66"/>
      <c r="BB16" s="66"/>
      <c r="BC16" s="66"/>
      <c r="BD16" s="66"/>
      <c r="BE16" s="66"/>
      <c r="BF16" s="66"/>
      <c r="BG16" s="66"/>
      <c r="BH16" s="66"/>
      <c r="BI16" s="66"/>
      <c r="BJ16" s="66"/>
      <c r="BK16" s="66"/>
      <c r="BL16" s="68"/>
    </row>
    <row r="17" spans="1:65" s="3" customFormat="1">
      <c r="A17" s="652" t="s">
        <v>94</v>
      </c>
      <c r="B17" s="656" t="s">
        <v>314</v>
      </c>
      <c r="C17" s="635">
        <v>606.61417322834643</v>
      </c>
      <c r="D17" s="18"/>
      <c r="E17" s="621">
        <v>22.63</v>
      </c>
      <c r="F17" s="277">
        <v>0</v>
      </c>
      <c r="G17" s="622">
        <v>1734.55</v>
      </c>
      <c r="H17" s="622">
        <v>0</v>
      </c>
      <c r="I17" s="622">
        <v>829.42</v>
      </c>
      <c r="J17" s="622">
        <v>44.57</v>
      </c>
      <c r="K17" s="621">
        <v>40</v>
      </c>
      <c r="L17" s="622">
        <v>90.75</v>
      </c>
      <c r="M17" s="622">
        <v>1050.32</v>
      </c>
      <c r="N17" s="305">
        <v>0</v>
      </c>
      <c r="O17" s="305">
        <v>0</v>
      </c>
      <c r="P17" s="622">
        <v>132.37</v>
      </c>
      <c r="Q17" s="622">
        <v>127.3</v>
      </c>
      <c r="R17" s="69"/>
      <c r="S17" s="489">
        <f xml:space="preserve"> E17+F17+G17+H17</f>
        <v>1757.18</v>
      </c>
      <c r="T17" s="597"/>
      <c r="U17" s="489" t="e">
        <f>S17+IF($B$2="mil",1,0.0254)*C17</f>
        <v>#REF!</v>
      </c>
      <c r="V17" s="597"/>
      <c r="W17" s="489" t="e">
        <f>MAX(W$5:X$5)+IF($B$2="mil",1,0.0254)*DDR2Specs!$B$2</f>
        <v>#REF!</v>
      </c>
      <c r="X17" s="489" t="e">
        <f>MIN(W$5:X$5)+IF($B$2="mil",1,0.0254)*DDR2Specs!$C$2</f>
        <v>#REF!</v>
      </c>
      <c r="Y17" s="597"/>
      <c r="Z17" s="598" t="e">
        <f>IF($U17&lt;$W17,$W17-$U17,"Pass")</f>
        <v>#REF!</v>
      </c>
      <c r="AA17" s="495" t="e">
        <f>IF($U17&gt;$X17,$U17-$X17,"Pass")</f>
        <v>#REF!</v>
      </c>
      <c r="AB17" s="21"/>
      <c r="AC17" s="489">
        <f>SUM(E17:G17,I17:N17,P17)</f>
        <v>3944.6099999999997</v>
      </c>
      <c r="AD17" s="489" t="e">
        <f>AC17+IF($B$2="mil",1,0.0254)*$C17</f>
        <v>#REF!</v>
      </c>
      <c r="AE17" s="489" t="e">
        <f>MAX(AE$15:AF$15)+IF($B$2="mil",1,0.0254)*DDR2Specs!$E$2</f>
        <v>#REF!</v>
      </c>
      <c r="AF17" s="489" t="e">
        <f>MIN(AE$15:AF$15)+IF($B$2="mil",1,0.0254)*DDR2Specs!$F$2</f>
        <v>#REF!</v>
      </c>
      <c r="AG17" s="21"/>
      <c r="AH17" s="598" t="e">
        <f>IF($AD17&lt;$AE17,$AE17-$AD17,"Pass")</f>
        <v>#REF!</v>
      </c>
      <c r="AI17" s="495" t="e">
        <f>IF($AD17&gt;$AF17,$AD17-$AF17,"Pass")</f>
        <v>#REF!</v>
      </c>
      <c r="AJ17" s="21"/>
      <c r="AK17" s="489">
        <f>SUM(E17:G17,I17:M17,O17,Q17)</f>
        <v>3939.54</v>
      </c>
      <c r="AL17" s="489" t="e">
        <f>AK17+IF($B$2="mil",1,0.0254)*$C17</f>
        <v>#REF!</v>
      </c>
      <c r="AM17" s="489" t="e">
        <f>MAX(AM$15:AN$15)+IF($B$2="mil",1,0.0254)*DDR2Specs!$E$2</f>
        <v>#REF!</v>
      </c>
      <c r="AN17" s="489" t="e">
        <f>MIN(AM$15:AN$15)+IF($B$2="mil",1,0.0254)*DDR2Specs!$F$2</f>
        <v>#REF!</v>
      </c>
      <c r="AO17" s="21"/>
      <c r="AP17" s="598" t="e">
        <f>IF($AL17&lt;$AM17,$AM17-$AL17,"Pass")</f>
        <v>#REF!</v>
      </c>
      <c r="AQ17" s="495" t="e">
        <f>IF($AL17&gt;$AN17,$AL17-$AN17,"Pass")</f>
        <v>#REF!</v>
      </c>
      <c r="AR17" s="21"/>
      <c r="AS17" s="495" t="e">
        <f>IF((ABS($U17-$U18)&lt;=IF($B$2="mil",1,0.0254)*5),"Pass",ABS($U17-$U18))</f>
        <v>#REF!</v>
      </c>
      <c r="AT17" s="495" t="e">
        <f>IF((ABS($AD17-$AD18)&lt;=IF($B$2="mil",1,0.0254)*5),"Pass",ABS($AD17-$AD18))</f>
        <v>#REF!</v>
      </c>
      <c r="AU17" s="495" t="e">
        <f>IF((ABS($AL17-$AL18)&lt;=IF($B$2="mil",1,0.0254)*10),"Pass",ABS($AL17-$AL18))</f>
        <v>#REF!</v>
      </c>
      <c r="AV17" s="495" t="e">
        <f>IF($E17&lt;=IF($B$2="mil",1,0.0254)*50,"Pass",IF($B$2="mil",1,0.0254)*50-$E17)</f>
        <v>#REF!</v>
      </c>
      <c r="AW17" s="495" t="e">
        <f>IF($F17&lt;=IF($B$2="mil",1,0.0254)*500,"Pass",IF($B$2="mil",1,0.0254)*500-$F17)</f>
        <v>#REF!</v>
      </c>
      <c r="AX17" s="495" t="e">
        <f>IF($H17&lt;=IF($B$2="mil",1,0.0254)*0,"Pass",IF($B$2="mil",1,0.0254)*0-$H17)</f>
        <v>#REF!</v>
      </c>
      <c r="AY17" s="495" t="e">
        <f ca="1">CheckLength(IF($B$2="mil",1,0.0254)*750, IF($B$2="mil",1,0.0254)*125-J17, 0, I17,J17,0)</f>
        <v>#NAME?</v>
      </c>
      <c r="AZ17" s="495" t="e">
        <f>IF($J17&lt;=IF($B$2="mil",1,0.0254)*125,"Pass",IF($B$2="mil",1,0.0254)*125-$J17)</f>
        <v>#REF!</v>
      </c>
      <c r="BA17" s="495" t="e">
        <f>IF($L17&lt;=IF($B$2="mil",1,0.0254)*125,"Pass",IF($B$2="mil",1,0.0254)*125-$L17)</f>
        <v>#REF!</v>
      </c>
      <c r="BB17" s="495" t="e">
        <f>IF(($L17+$M17)&lt;=IF($B$2="mil",1,0.0254)*1275,"Pass",IF($B$2="mil",1,0.0254)*1275-($L17+M17))</f>
        <v>#REF!</v>
      </c>
      <c r="BC17" s="495" t="e">
        <f>IF($N17&lt;=IF($B$2="mil",1,0.0254)*150,"Pass",IF($B$2="mil",1,0.0254)*150-$N17)</f>
        <v>#REF!</v>
      </c>
      <c r="BD17" s="495" t="e">
        <f>IF($O17&lt;=IF($B$2="mil",1,0.0254)*150,"Pass",IF($B$2="mil",1,0.0254)*150-$O17)</f>
        <v>#REF!</v>
      </c>
      <c r="BE17" s="493" t="e">
        <f>IF(MAX(N17:O17)-MIN(N17:O17)&lt;=IF($B$2="mil",1,0.0254)*50,"Pass",MAX(N17:O17)-MIN(N17:O17)-IF($B$2="mil",1,0.0254)*50)</f>
        <v>#REF!</v>
      </c>
      <c r="BF17" s="495" t="e">
        <f ca="1">CheckLength2(IF($B$2="mil",1,0.0254)*200,$N17,P17,0)</f>
        <v>#NAME?</v>
      </c>
      <c r="BG17" s="495" t="e">
        <f ca="1">CheckLength2(IF($B$2="mil",1,0.0254)*200,$O17,Q17,0)</f>
        <v>#NAME?</v>
      </c>
      <c r="BH17" s="495" t="e">
        <f>IF(AND($S17&gt;=IF($B$2="mil",1,0.0254)*500, $S17&lt;=IF($B$2="mil",1,0.0254)*4000),"Pass",IF($B$2="mil",1,0.0254)*4000-$S17)</f>
        <v>#REF!</v>
      </c>
      <c r="BI17" s="495" t="e">
        <f>IF(AND($U17&gt;=IF($B$2="mil",1,0.0254)*500, $U17&lt;=IF($B$2="mil",1,0.0254)*4750),"Pass",IF($B$2="mil",1,0.0254)*4750-$U17)</f>
        <v>#REF!</v>
      </c>
      <c r="BJ17" s="495" t="e">
        <f>IF(AND($AC17&gt;=IF($B$2="mil",1,0.0254)*500, $AC17&lt;=IF($B$2="mil",1,0.0254)*5500),"Pass",IF($B$2="mil",1,0.0254)*5500-$AC17)</f>
        <v>#REF!</v>
      </c>
      <c r="BK17" s="495" t="e">
        <f>IF(AND($AD17&gt;=IF($B$2="mil",1,0.0254)*500, $AD17&lt;=IF($B$2="mil",1,0.0254)*6000),"Pass",IF($B$2="mil",1,0.0254)*6000-$AD17)</f>
        <v>#REF!</v>
      </c>
      <c r="BL17" s="21"/>
      <c r="BM17" s="3" t="e">
        <f ca="1">IF(AND(AV17="Pass",BI17="Pass",AX17="Pass",AW17="Pass",BH17="Pass",Z17="Pass",AA17="Pass",BG17="Pass",BB17="Pass",BC17="Pass",BD17="Pass",BE17="Pass",BF17="Pass",BA17="Pass",AZ17="Pass",AY17="Pass",AP17="Pass",AQ17="Pass",AS17="Pass",AT17="Pass",AU17="Pass",BJ17="Pass",BK17="Pass",AH17="Pass",AI17="Pass"),"Pass","Fail")</f>
        <v>#REF!</v>
      </c>
    </row>
    <row r="18" spans="1:65" s="3" customFormat="1">
      <c r="A18" s="652" t="s">
        <v>95</v>
      </c>
      <c r="B18" s="646" t="s">
        <v>468</v>
      </c>
      <c r="C18" s="635">
        <v>606.61417322834643</v>
      </c>
      <c r="D18" s="18"/>
      <c r="E18" s="621">
        <v>22.63</v>
      </c>
      <c r="F18" s="277">
        <v>0</v>
      </c>
      <c r="G18" s="622">
        <v>1735.91</v>
      </c>
      <c r="H18" s="622">
        <v>0</v>
      </c>
      <c r="I18" s="622">
        <v>827.77</v>
      </c>
      <c r="J18" s="622">
        <v>45.74</v>
      </c>
      <c r="K18" s="621">
        <v>40</v>
      </c>
      <c r="L18" s="622">
        <v>90.75</v>
      </c>
      <c r="M18" s="622">
        <v>1046</v>
      </c>
      <c r="N18" s="305">
        <v>0</v>
      </c>
      <c r="O18" s="305">
        <v>0</v>
      </c>
      <c r="P18" s="622">
        <v>137.94</v>
      </c>
      <c r="Q18" s="622">
        <v>131.16</v>
      </c>
      <c r="R18" s="69"/>
      <c r="S18" s="489">
        <f xml:space="preserve"> E18+F18+G18+H18</f>
        <v>1758.5400000000002</v>
      </c>
      <c r="T18" s="597"/>
      <c r="U18" s="489" t="e">
        <f>S18+IF($B$2="mil",1,0.0254)*C18</f>
        <v>#REF!</v>
      </c>
      <c r="V18" s="597"/>
      <c r="W18" s="489" t="e">
        <f>MAX(W$5:X$5)+IF($B$2="mil",1,0.0254)*DDR2Specs!$B$2</f>
        <v>#REF!</v>
      </c>
      <c r="X18" s="489" t="e">
        <f>MIN(W$5:X$5)+IF($B$2="mil",1,0.0254)*DDR2Specs!$C$2</f>
        <v>#REF!</v>
      </c>
      <c r="Y18" s="597"/>
      <c r="Z18" s="598" t="e">
        <f>IF($U18&lt;$W18,$W18-$U18,"Pass")</f>
        <v>#REF!</v>
      </c>
      <c r="AA18" s="495" t="e">
        <f>IF($U18&gt;$X18,$U18-$X18,"Pass")</f>
        <v>#REF!</v>
      </c>
      <c r="AB18" s="21"/>
      <c r="AC18" s="489">
        <f>SUM(E18:G18,I18:N18,P18)</f>
        <v>3946.7400000000002</v>
      </c>
      <c r="AD18" s="489" t="e">
        <f>AC18+IF($B$2="mil",1,0.0254)*$C18</f>
        <v>#REF!</v>
      </c>
      <c r="AE18" s="489" t="e">
        <f>MAX(AE$15:AF$15)+IF($B$2="mil",1,0.0254)*DDR2Specs!$E$2</f>
        <v>#REF!</v>
      </c>
      <c r="AF18" s="489" t="e">
        <f>MIN(AE$15:AF$15)+IF($B$2="mil",1,0.0254)*DDR2Specs!$F$2</f>
        <v>#REF!</v>
      </c>
      <c r="AG18" s="21"/>
      <c r="AH18" s="598" t="e">
        <f>IF($AD18&lt;$AE18,$AE18-$AD18,"Pass")</f>
        <v>#REF!</v>
      </c>
      <c r="AI18" s="495" t="e">
        <f>IF($AD18&gt;$AF18,$AD18-$AF18,"Pass")</f>
        <v>#REF!</v>
      </c>
      <c r="AJ18" s="21"/>
      <c r="AK18" s="489">
        <f>SUM(E18:G18,I18:M18,O18,Q18)</f>
        <v>3939.96</v>
      </c>
      <c r="AL18" s="489" t="e">
        <f>AK18+IF($B$2="mil",1,0.0254)*$C18</f>
        <v>#REF!</v>
      </c>
      <c r="AM18" s="489" t="e">
        <f>MAX(AM$15:AN$15)+IF($B$2="mil",1,0.0254)*DDR2Specs!$E$2</f>
        <v>#REF!</v>
      </c>
      <c r="AN18" s="489" t="e">
        <f>MIN(AM$15:AN$15)+IF($B$2="mil",1,0.0254)*DDR2Specs!$F$2</f>
        <v>#REF!</v>
      </c>
      <c r="AO18" s="21"/>
      <c r="AP18" s="598" t="e">
        <f>IF($AL18&lt;$AM18,$AM18-$AL18,"Pass")</f>
        <v>#REF!</v>
      </c>
      <c r="AQ18" s="495" t="e">
        <f>IF($AL18&gt;$AN18,$AL18-$AN18,"Pass")</f>
        <v>#REF!</v>
      </c>
      <c r="AR18" s="21"/>
      <c r="AS18" s="495" t="e">
        <f>IF((ABS($U18-$U17)&lt;=IF($B$2="mil",1,0.0254)*5),"Pass",ABS($U18-$U17))</f>
        <v>#REF!</v>
      </c>
      <c r="AT18" s="495" t="e">
        <f>IF((ABS($AD18-$AD17)&lt;=IF($B$2="mil",1,0.0254)*5),"Pass",ABS($AD18-$AD17))</f>
        <v>#REF!</v>
      </c>
      <c r="AU18" s="495" t="e">
        <f>IF((ABS($AL18-$AL17)&lt;=IF($B$2="mil",1,0.0254)*10),"Pass",ABS($AL18-$AL17))</f>
        <v>#REF!</v>
      </c>
      <c r="AV18" s="495" t="e">
        <f>IF($E18&lt;=IF($B$2="mil",1,0.0254)*50,"Pass",IF($B$2="mil",1,0.0254)*50-$E18)</f>
        <v>#REF!</v>
      </c>
      <c r="AW18" s="495" t="e">
        <f>IF($F18&lt;=IF($B$2="mil",1,0.0254)*500,"Pass",IF($B$2="mil",1,0.0254)*500-$F18)</f>
        <v>#REF!</v>
      </c>
      <c r="AX18" s="495" t="e">
        <f>IF($H18&lt;=IF($B$2="mil",1,0.0254)*0,"Pass",IF($B$2="mil",1,0.0254)*0-$H18)</f>
        <v>#REF!</v>
      </c>
      <c r="AY18" s="495" t="e">
        <f ca="1">CheckLength(IF($B$2="mil",1,0.0254)*750, IF($B$2="mil",1,0.0254)*125-J18, 0, I18,J18,0)</f>
        <v>#NAME?</v>
      </c>
      <c r="AZ18" s="495" t="e">
        <f>IF($J18&lt;=IF($B$2="mil",1,0.0254)*125,"Pass",IF($B$2="mil",1,0.0254)*125-$J18)</f>
        <v>#REF!</v>
      </c>
      <c r="BA18" s="495" t="e">
        <f>IF($L18&lt;=IF($B$2="mil",1,0.0254)*125,"Pass",IF($B$2="mil",1,0.0254)*125-$L18)</f>
        <v>#REF!</v>
      </c>
      <c r="BB18" s="495" t="e">
        <f>IF(($L18+$M18)&lt;=IF($B$2="mil",1,0.0254)*1275,"Pass",IF($B$2="mil",1,0.0254)*1275-($L18+M18))</f>
        <v>#REF!</v>
      </c>
      <c r="BC18" s="495" t="e">
        <f>IF($N18&lt;=IF($B$2="mil",1,0.0254)*150,"Pass",IF($B$2="mil",1,0.0254)*150-$N18)</f>
        <v>#REF!</v>
      </c>
      <c r="BD18" s="495" t="e">
        <f>IF($O18&lt;=IF($B$2="mil",1,0.0254)*150,"Pass",IF($B$2="mil",1,0.0254)*150-$O18)</f>
        <v>#REF!</v>
      </c>
      <c r="BE18" s="493" t="e">
        <f>IF(MAX(N18:O18)-MIN(N18:O18)&lt;=IF($B$2="mil",1,0.0254)*50,"Pass",MAX(N18:O18)-MIN(N18:O18)-IF($B$2="mil",1,0.0254)*50)</f>
        <v>#REF!</v>
      </c>
      <c r="BF18" s="495" t="e">
        <f ca="1">CheckLength2(IF($B$2="mil",1,0.0254)*200,$N18,P18,0)</f>
        <v>#NAME?</v>
      </c>
      <c r="BG18" s="495" t="e">
        <f ca="1">CheckLength2(IF($B$2="mil",1,0.0254)*200,$O18,Q18,0)</f>
        <v>#NAME?</v>
      </c>
      <c r="BH18" s="495" t="e">
        <f>IF(AND($S18&gt;=IF($B$2="mil",1,0.0254)*500, $S18&lt;=IF($B$2="mil",1,0.0254)*4000),"Pass",IF($B$2="mil",1,0.0254)*4000-$S18)</f>
        <v>#REF!</v>
      </c>
      <c r="BI18" s="495" t="e">
        <f>IF(AND($U18&gt;=IF($B$2="mil",1,0.0254)*500, $U18&lt;=IF($B$2="mil",1,0.0254)*4750),"Pass",IF($B$2="mil",1,0.0254)*4750-$U18)</f>
        <v>#REF!</v>
      </c>
      <c r="BJ18" s="495" t="e">
        <f>IF(AND($AC18&gt;=IF($B$2="mil",1,0.0254)*500, $AC18&lt;=IF($B$2="mil",1,0.0254)*5500),"Pass",IF($B$2="mil",1,0.0254)*5500-$AC18)</f>
        <v>#REF!</v>
      </c>
      <c r="BK18" s="495" t="e">
        <f>IF(AND($AD18&gt;=IF($B$2="mil",1,0.0254)*500, $AD18&lt;=IF($B$2="mil",1,0.0254)*6000),"Pass",IF($B$2="mil",1,0.0254)*6000-$AD18)</f>
        <v>#REF!</v>
      </c>
      <c r="BL18" s="21"/>
      <c r="BM18" s="3" t="e">
        <f ca="1">IF(AND(AV18="Pass",BI18="Pass",AX18="Pass",AW18="Pass",BH18="Pass",Z18="Pass",AA18="Pass",BG18="Pass",BB18="Pass",BC18="Pass",BD18="Pass",BE18="Pass",BF18="Pass",BA18="Pass",AZ18="Pass",AY18="Pass",AP18="Pass",AQ18="Pass",AS18="Pass",AT18="Pass",AU18="Pass",BJ18="Pass",BK18="Pass",AH18="Pass",AI18="Pass"),"Pass","Fail")</f>
        <v>#REF!</v>
      </c>
    </row>
    <row r="19" spans="1:65" s="3" customFormat="1">
      <c r="A19" s="8" t="s">
        <v>249</v>
      </c>
      <c r="B19" s="631"/>
      <c r="C19" s="632"/>
      <c r="D19" s="10"/>
      <c r="E19" s="288"/>
      <c r="F19" s="288"/>
      <c r="G19" s="288"/>
      <c r="H19" s="288"/>
      <c r="I19" s="288"/>
      <c r="J19" s="292"/>
      <c r="K19" s="10"/>
      <c r="L19" s="292"/>
      <c r="M19" s="292"/>
      <c r="N19" s="292"/>
      <c r="O19" s="292"/>
      <c r="P19" s="292"/>
      <c r="Q19" s="292"/>
      <c r="R19" s="10"/>
      <c r="S19" s="9"/>
      <c r="T19" s="10"/>
      <c r="U19" s="51"/>
      <c r="V19" s="10"/>
      <c r="W19" s="10"/>
      <c r="X19" s="10"/>
      <c r="Y19" s="10"/>
      <c r="Z19" s="10"/>
      <c r="AA19" s="10"/>
      <c r="AB19" s="10"/>
      <c r="AC19" s="9"/>
      <c r="AD19" s="51"/>
      <c r="AE19" s="10"/>
      <c r="AF19" s="15"/>
      <c r="AG19" s="10"/>
      <c r="AH19" s="15"/>
      <c r="AI19" s="15"/>
      <c r="AJ19" s="10"/>
      <c r="AK19" s="9"/>
      <c r="AL19" s="51"/>
      <c r="AM19" s="10"/>
      <c r="AN19" s="15"/>
      <c r="AO19" s="10"/>
      <c r="AP19" s="15"/>
      <c r="AQ19" s="15"/>
      <c r="AR19" s="10"/>
      <c r="AS19" s="15"/>
      <c r="AT19" s="15"/>
      <c r="AU19" s="15"/>
      <c r="AV19" s="15"/>
      <c r="AW19" s="15"/>
      <c r="AX19" s="15"/>
      <c r="AY19" s="10"/>
      <c r="AZ19" s="10"/>
      <c r="BA19" s="10"/>
      <c r="BB19" s="10"/>
      <c r="BC19" s="10"/>
      <c r="BD19" s="10"/>
      <c r="BE19" s="10"/>
      <c r="BF19" s="10"/>
      <c r="BG19" s="10"/>
      <c r="BH19" s="10"/>
      <c r="BI19" s="10"/>
      <c r="BJ19" s="10"/>
      <c r="BK19" s="10"/>
      <c r="BL19" s="12"/>
    </row>
    <row r="20" spans="1:65" s="3" customFormat="1">
      <c r="A20" s="653" t="s">
        <v>24</v>
      </c>
      <c r="B20" s="654"/>
      <c r="C20" s="648"/>
      <c r="D20" s="53"/>
      <c r="E20" s="289"/>
      <c r="F20" s="289"/>
      <c r="G20" s="289"/>
      <c r="H20" s="289"/>
      <c r="I20" s="289"/>
      <c r="J20" s="293"/>
      <c r="K20" s="52"/>
      <c r="L20" s="293"/>
      <c r="M20" s="293"/>
      <c r="N20" s="293"/>
      <c r="O20" s="293"/>
      <c r="P20" s="293"/>
      <c r="Q20" s="293"/>
      <c r="R20" s="52"/>
      <c r="S20" s="81"/>
      <c r="T20" s="53"/>
      <c r="U20" s="65"/>
      <c r="V20" s="540"/>
      <c r="W20" s="168"/>
      <c r="X20" s="541"/>
      <c r="Y20" s="53"/>
      <c r="Z20" s="65"/>
      <c r="AA20" s="65"/>
      <c r="AB20" s="540"/>
      <c r="AC20" s="81"/>
      <c r="AD20" s="540" t="s">
        <v>227</v>
      </c>
      <c r="AE20" s="542" t="e">
        <f>MIN('DDR2 Clocks - 4L'!$O$9:$O$10)</f>
        <v>#REF!</v>
      </c>
      <c r="AF20" s="541" t="e">
        <f>MAX('DDR2 Clocks - 4L'!$O$9:$O$10)</f>
        <v>#REF!</v>
      </c>
      <c r="AG20" s="65"/>
      <c r="AH20" s="65"/>
      <c r="AI20" s="65"/>
      <c r="AJ20" s="540"/>
      <c r="AK20" s="81"/>
      <c r="AL20" s="540" t="s">
        <v>285</v>
      </c>
      <c r="AM20" s="542" t="e">
        <f>MIN('DDR2 Clocks - 4L'!$O$11:$O$12)</f>
        <v>#REF!</v>
      </c>
      <c r="AN20" s="541" t="e">
        <f>MAX('DDR2 Clocks - 4L'!$O$11:$O$12)</f>
        <v>#REF!</v>
      </c>
      <c r="AO20" s="65"/>
      <c r="AP20" s="65"/>
      <c r="AQ20" s="65"/>
      <c r="AR20" s="540"/>
      <c r="AS20" s="65"/>
      <c r="AT20" s="65"/>
      <c r="AU20" s="65"/>
      <c r="AV20" s="65"/>
      <c r="AW20" s="52"/>
      <c r="AX20" s="52"/>
      <c r="AY20" s="52"/>
      <c r="AZ20" s="52"/>
      <c r="BA20" s="52"/>
      <c r="BB20" s="52"/>
      <c r="BC20" s="52"/>
      <c r="BD20" s="52"/>
      <c r="BE20" s="52"/>
      <c r="BF20" s="52"/>
      <c r="BG20" s="52"/>
      <c r="BH20" s="52"/>
      <c r="BI20" s="52"/>
      <c r="BJ20" s="52"/>
      <c r="BK20" s="52"/>
      <c r="BL20" s="58"/>
    </row>
    <row r="21" spans="1:65" s="3" customFormat="1">
      <c r="A21" s="8" t="s">
        <v>250</v>
      </c>
      <c r="B21" s="655"/>
      <c r="C21" s="649"/>
      <c r="D21" s="62"/>
      <c r="E21" s="290"/>
      <c r="F21" s="290"/>
      <c r="G21" s="290"/>
      <c r="H21" s="290"/>
      <c r="I21" s="290"/>
      <c r="J21" s="294"/>
      <c r="K21" s="54"/>
      <c r="L21" s="294"/>
      <c r="M21" s="294"/>
      <c r="N21" s="294"/>
      <c r="O21" s="294"/>
      <c r="P21" s="294"/>
      <c r="Q21" s="294"/>
      <c r="R21" s="54"/>
      <c r="S21" s="54"/>
      <c r="T21" s="54"/>
      <c r="U21" s="54"/>
      <c r="V21" s="54"/>
      <c r="W21" s="54"/>
      <c r="X21" s="66"/>
      <c r="Y21" s="54"/>
      <c r="Z21" s="66"/>
      <c r="AA21" s="66"/>
      <c r="AB21" s="66"/>
      <c r="AC21" s="54"/>
      <c r="AD21" s="54"/>
      <c r="AE21" s="66"/>
      <c r="AF21" s="67"/>
      <c r="AG21" s="66"/>
      <c r="AH21" s="54"/>
      <c r="AI21" s="54"/>
      <c r="AJ21" s="66"/>
      <c r="AK21" s="54"/>
      <c r="AL21" s="54"/>
      <c r="AM21" s="66"/>
      <c r="AN21" s="67"/>
      <c r="AO21" s="66"/>
      <c r="AP21" s="54"/>
      <c r="AQ21" s="54"/>
      <c r="AR21" s="66"/>
      <c r="AS21" s="54"/>
      <c r="AT21" s="54"/>
      <c r="AU21" s="54"/>
      <c r="AV21" s="54"/>
      <c r="AW21" s="66"/>
      <c r="AX21" s="66"/>
      <c r="AY21" s="66"/>
      <c r="AZ21" s="66"/>
      <c r="BA21" s="66"/>
      <c r="BB21" s="66"/>
      <c r="BC21" s="66"/>
      <c r="BD21" s="66"/>
      <c r="BE21" s="66"/>
      <c r="BF21" s="66"/>
      <c r="BG21" s="66"/>
      <c r="BH21" s="66"/>
      <c r="BI21" s="66"/>
      <c r="BJ21" s="66"/>
      <c r="BK21" s="66"/>
      <c r="BL21" s="68"/>
    </row>
    <row r="22" spans="1:65" s="3" customFormat="1">
      <c r="A22" s="652" t="s">
        <v>96</v>
      </c>
      <c r="B22" s="656" t="s">
        <v>462</v>
      </c>
      <c r="C22" s="635">
        <v>765.98425196850394</v>
      </c>
      <c r="D22" s="18"/>
      <c r="E22" s="621">
        <v>22.63</v>
      </c>
      <c r="F22" s="621">
        <v>0</v>
      </c>
      <c r="G22" s="622">
        <v>1458.18</v>
      </c>
      <c r="H22" s="622">
        <v>0</v>
      </c>
      <c r="I22" s="622">
        <v>727.96</v>
      </c>
      <c r="J22" s="622">
        <v>85.78</v>
      </c>
      <c r="K22" s="621">
        <v>40</v>
      </c>
      <c r="L22" s="622">
        <v>44.57</v>
      </c>
      <c r="M22" s="622">
        <v>925.63</v>
      </c>
      <c r="N22" s="305">
        <v>0</v>
      </c>
      <c r="O22" s="305">
        <v>0</v>
      </c>
      <c r="P22" s="622">
        <v>106.1</v>
      </c>
      <c r="Q22" s="622">
        <v>103.95</v>
      </c>
      <c r="R22" s="69"/>
      <c r="S22" s="489">
        <f xml:space="preserve"> E22+F22+G22+H22</f>
        <v>1480.8100000000002</v>
      </c>
      <c r="T22" s="597"/>
      <c r="U22" s="489" t="e">
        <f>S22+IF($B$2="mil",1,0.0254)*C22</f>
        <v>#REF!</v>
      </c>
      <c r="V22" s="597"/>
      <c r="W22" s="489" t="e">
        <f>MAX(W$5:X$5)+IF($B$2="mil",1,0.0254)*DDR2Specs!$B$2</f>
        <v>#REF!</v>
      </c>
      <c r="X22" s="489" t="e">
        <f>MIN(W$5:X$5)+IF($B$2="mil",1,0.0254)*DDR2Specs!$C$2</f>
        <v>#REF!</v>
      </c>
      <c r="Y22" s="597"/>
      <c r="Z22" s="598" t="e">
        <f>IF($U22&lt;$W22,$W22-$U22,"Pass")</f>
        <v>#REF!</v>
      </c>
      <c r="AA22" s="495" t="e">
        <f>IF($U22&gt;$X22,$U22-$X22,"Pass")</f>
        <v>#REF!</v>
      </c>
      <c r="AB22" s="21"/>
      <c r="AC22" s="489">
        <f>SUM(E22:G22,I22:N22,P22)</f>
        <v>3410.8500000000008</v>
      </c>
      <c r="AD22" s="489" t="e">
        <f>AC22+IF($B$2="mil",1,0.0254)*$C22</f>
        <v>#REF!</v>
      </c>
      <c r="AE22" s="489" t="e">
        <f>MAX(AE$20:AF$20)+IF($B$2="mil",1,0.0254)*DDR2Specs!$E$2</f>
        <v>#REF!</v>
      </c>
      <c r="AF22" s="489" t="e">
        <f>MIN(AE$20:AF$20)+IF($B$2="mil",1,0.0254)*DDR2Specs!$F$2</f>
        <v>#REF!</v>
      </c>
      <c r="AG22" s="21"/>
      <c r="AH22" s="598" t="e">
        <f>IF($AD22&lt;$AE22,$AE22-$AD22,"Pass")</f>
        <v>#REF!</v>
      </c>
      <c r="AI22" s="495" t="e">
        <f>IF($AD22&gt;$AF22,$AD22-$AF22,"Pass")</f>
        <v>#REF!</v>
      </c>
      <c r="AJ22" s="21"/>
      <c r="AK22" s="489">
        <f>SUM(E22:G22,I22:M22,O22,Q22)</f>
        <v>3408.7000000000007</v>
      </c>
      <c r="AL22" s="489" t="e">
        <f>AK22+IF($B$2="mil",1,0.0254)*$C22</f>
        <v>#REF!</v>
      </c>
      <c r="AM22" s="489" t="e">
        <f>MAX(AM$20:AN$20)+IF($B$2="mil",1,0.0254)*DDR2Specs!$E$2</f>
        <v>#REF!</v>
      </c>
      <c r="AN22" s="489" t="e">
        <f>MIN(AM$20:AN$20)+IF($B$2="mil",1,0.0254)*DDR2Specs!$F$2</f>
        <v>#REF!</v>
      </c>
      <c r="AO22" s="21"/>
      <c r="AP22" s="598" t="e">
        <f>IF($AL22&lt;$AM22,$AM22-$AL22,"Pass")</f>
        <v>#REF!</v>
      </c>
      <c r="AQ22" s="495" t="e">
        <f>IF($AL22&gt;$AN22,$AL22-$AN22,"Pass")</f>
        <v>#REF!</v>
      </c>
      <c r="AR22" s="21"/>
      <c r="AS22" s="495" t="e">
        <f>IF((ABS($U22-$U23)&lt;=IF($B$2="mil",1,0.0254)*5),"Pass",ABS($U22-$U23))</f>
        <v>#REF!</v>
      </c>
      <c r="AT22" s="495" t="e">
        <f>IF((ABS($AD22-$AD23)&lt;=IF($B$2="mil",1,0.0254)*5),"Pass",ABS($AD22-$AD23))</f>
        <v>#REF!</v>
      </c>
      <c r="AU22" s="495" t="e">
        <f>IF((ABS($AL22-$AL23)&lt;=IF($B$2="mil",1,0.0254)*10),"Pass",ABS($AL22-$AL23))</f>
        <v>#REF!</v>
      </c>
      <c r="AV22" s="495" t="e">
        <f>IF($E22&lt;=IF($B$2="mil",1,0.0254)*50,"Pass",IF($B$2="mil",1,0.0254)*50-$E22)</f>
        <v>#REF!</v>
      </c>
      <c r="AW22" s="495" t="e">
        <f>IF($F22&lt;=IF($B$2="mil",1,0.0254)*500,"Pass",IF($B$2="mil",1,0.0254)*500-$F22)</f>
        <v>#REF!</v>
      </c>
      <c r="AX22" s="495" t="e">
        <f>IF($H22&lt;=IF($B$2="mil",1,0.0254)*0,"Pass",IF($B$2="mil",1,0.0254)*0-$H22)</f>
        <v>#REF!</v>
      </c>
      <c r="AY22" s="495" t="e">
        <f ca="1">CheckLength(IF($B$2="mil",1,0.0254)*750, IF($B$2="mil",1,0.0254)*125-J22, 0, I22,J22,0)</f>
        <v>#NAME?</v>
      </c>
      <c r="AZ22" s="495" t="e">
        <f>IF($J22&lt;=IF($B$2="mil",1,0.0254)*125,"Pass",IF($B$2="mil",1,0.0254)*125-$J22)</f>
        <v>#REF!</v>
      </c>
      <c r="BA22" s="495" t="e">
        <f>IF($L22&lt;=IF($B$2="mil",1,0.0254)*125,"Pass",IF($B$2="mil",1,0.0254)*125-$L22)</f>
        <v>#REF!</v>
      </c>
      <c r="BB22" s="495" t="e">
        <f>IF(($L22+$M22)&lt;=IF($B$2="mil",1,0.0254)*1275,"Pass",IF($B$2="mil",1,0.0254)*1275-($L22+M22))</f>
        <v>#REF!</v>
      </c>
      <c r="BC22" s="495" t="e">
        <f>IF($N22&lt;=IF($B$2="mil",1,0.0254)*150,"Pass",IF($B$2="mil",1,0.0254)*150-$N22)</f>
        <v>#REF!</v>
      </c>
      <c r="BD22" s="495" t="e">
        <f>IF($O22&lt;=IF($B$2="mil",1,0.0254)*150,"Pass",IF($B$2="mil",1,0.0254)*150-$O22)</f>
        <v>#REF!</v>
      </c>
      <c r="BE22" s="493" t="e">
        <f>IF(MAX(N22:O22)-MIN(N22:O22)&lt;=IF($B$2="mil",1,0.0254)*50,"Pass",MAX(N22:O22)-MIN(N22:O22)-IF($B$2="mil",1,0.0254)*50)</f>
        <v>#REF!</v>
      </c>
      <c r="BF22" s="495" t="e">
        <f ca="1">CheckLength2(IF($B$2="mil",1,0.0254)*200,$N22,P22,0)</f>
        <v>#NAME?</v>
      </c>
      <c r="BG22" s="495" t="e">
        <f ca="1">CheckLength2(IF($B$2="mil",1,0.0254)*200,$O22,Q22,0)</f>
        <v>#NAME?</v>
      </c>
      <c r="BH22" s="495" t="e">
        <f>IF(AND($S22&gt;=IF($B$2="mil",1,0.0254)*500, $S22&lt;=IF($B$2="mil",1,0.0254)*4000),"Pass",IF($B$2="mil",1,0.0254)*4000-$S22)</f>
        <v>#REF!</v>
      </c>
      <c r="BI22" s="495" t="e">
        <f>IF(AND($U22&gt;=IF($B$2="mil",1,0.0254)*500, $U22&lt;=IF($B$2="mil",1,0.0254)*4750),"Pass",IF($B$2="mil",1,0.0254)*4750-$U22)</f>
        <v>#REF!</v>
      </c>
      <c r="BJ22" s="495" t="e">
        <f>IF(AND($AC22&gt;=IF($B$2="mil",1,0.0254)*500, $AC22&lt;=IF($B$2="mil",1,0.0254)*5500),"Pass",IF($B$2="mil",1,0.0254)*5500-$AC22)</f>
        <v>#REF!</v>
      </c>
      <c r="BK22" s="495" t="e">
        <f>IF(AND($AD22&gt;=IF($B$2="mil",1,0.0254)*500, $AD22&lt;=IF($B$2="mil",1,0.0254)*6000),"Pass",IF($B$2="mil",1,0.0254)*6000-$AD22)</f>
        <v>#REF!</v>
      </c>
      <c r="BL22" s="21"/>
      <c r="BM22" s="3" t="e">
        <f ca="1">IF(AND(AV22="Pass",BI22="Pass",AX22="Pass",AW22="Pass",BH22="Pass",Z22="Pass",AA22="Pass",BG22="Pass",BB22="Pass",BC22="Pass",BD22="Pass",BE22="Pass",BF22="Pass",BA22="Pass",AZ22="Pass",AY22="Pass",AP22="Pass",AQ22="Pass",AS22="Pass",AT22="Pass",AU22="Pass",BJ22="Pass",BK22="Pass",AH22="Pass",AI22="Pass"),"Pass","Fail")</f>
        <v>#REF!</v>
      </c>
    </row>
    <row r="23" spans="1:65" s="3" customFormat="1">
      <c r="A23" s="652" t="s">
        <v>97</v>
      </c>
      <c r="B23" s="646" t="s">
        <v>469</v>
      </c>
      <c r="C23" s="635">
        <v>765.98425196850394</v>
      </c>
      <c r="D23" s="18"/>
      <c r="E23" s="621">
        <v>22.63</v>
      </c>
      <c r="F23" s="621">
        <v>0</v>
      </c>
      <c r="G23" s="622">
        <v>1454.23</v>
      </c>
      <c r="H23" s="622">
        <v>0</v>
      </c>
      <c r="I23" s="622">
        <v>743.27</v>
      </c>
      <c r="J23" s="622">
        <v>44.57</v>
      </c>
      <c r="K23" s="621">
        <v>40</v>
      </c>
      <c r="L23" s="622">
        <v>85.78</v>
      </c>
      <c r="M23" s="622">
        <v>904.6</v>
      </c>
      <c r="N23" s="305">
        <v>0</v>
      </c>
      <c r="O23" s="305">
        <v>0</v>
      </c>
      <c r="P23" s="622">
        <v>113.96</v>
      </c>
      <c r="Q23" s="622">
        <v>112.04</v>
      </c>
      <c r="R23" s="69"/>
      <c r="S23" s="489">
        <f xml:space="preserve"> E23+F23+G23+H23</f>
        <v>1476.8600000000001</v>
      </c>
      <c r="T23" s="597"/>
      <c r="U23" s="489" t="e">
        <f>S23+IF($B$2="mil",1,0.0254)*C23</f>
        <v>#REF!</v>
      </c>
      <c r="V23" s="597"/>
      <c r="W23" s="489" t="e">
        <f>MAX(W$5:X$5)+IF($B$2="mil",1,0.0254)*DDR2Specs!$B$2</f>
        <v>#REF!</v>
      </c>
      <c r="X23" s="489" t="e">
        <f>MIN(W$5:X$5)+IF($B$2="mil",1,0.0254)*DDR2Specs!$C$2</f>
        <v>#REF!</v>
      </c>
      <c r="Y23" s="597"/>
      <c r="Z23" s="598" t="e">
        <f>IF($U23&lt;$W23,$W23-$U23,"Pass")</f>
        <v>#REF!</v>
      </c>
      <c r="AA23" s="495" t="e">
        <f>IF($U23&gt;$X23,$U23-$X23,"Pass")</f>
        <v>#REF!</v>
      </c>
      <c r="AB23" s="21"/>
      <c r="AC23" s="489">
        <f>SUM(E23:G23,I23:N23,P23)</f>
        <v>3409.0400000000004</v>
      </c>
      <c r="AD23" s="489" t="e">
        <f>AC23+IF($B$2="mil",1,0.0254)*$C23</f>
        <v>#REF!</v>
      </c>
      <c r="AE23" s="489" t="e">
        <f>MAX(AE$20:AF$20)+IF($B$2="mil",1,0.0254)*DDR2Specs!$E$2</f>
        <v>#REF!</v>
      </c>
      <c r="AF23" s="489" t="e">
        <f>MIN(AE$20:AF$20)+IF($B$2="mil",1,0.0254)*DDR2Specs!$F$2</f>
        <v>#REF!</v>
      </c>
      <c r="AG23" s="21"/>
      <c r="AH23" s="598" t="e">
        <f>IF($AD23&lt;$AE23,$AE23-$AD23,"Pass")</f>
        <v>#REF!</v>
      </c>
      <c r="AI23" s="495" t="e">
        <f>IF($AD23&gt;$AF23,$AD23-$AF23,"Pass")</f>
        <v>#REF!</v>
      </c>
      <c r="AJ23" s="21"/>
      <c r="AK23" s="489">
        <f>SUM(E23:G23,I23:M23,O23,Q23)</f>
        <v>3407.1200000000003</v>
      </c>
      <c r="AL23" s="489" t="e">
        <f>AK23+IF($B$2="mil",1,0.0254)*$C23</f>
        <v>#REF!</v>
      </c>
      <c r="AM23" s="489" t="e">
        <f>MAX(AM$20:AN$20)+IF($B$2="mil",1,0.0254)*DDR2Specs!$E$2</f>
        <v>#REF!</v>
      </c>
      <c r="AN23" s="489" t="e">
        <f>MIN(AM$20:AN$20)+IF($B$2="mil",1,0.0254)*DDR2Specs!$F$2</f>
        <v>#REF!</v>
      </c>
      <c r="AO23" s="21"/>
      <c r="AP23" s="598" t="e">
        <f>IF($AL23&lt;$AM23,$AM23-$AL23,"Pass")</f>
        <v>#REF!</v>
      </c>
      <c r="AQ23" s="495" t="e">
        <f>IF($AL23&gt;$AN23,$AL23-$AN23,"Pass")</f>
        <v>#REF!</v>
      </c>
      <c r="AR23" s="21"/>
      <c r="AS23" s="495" t="e">
        <f>IF((ABS($U23-$U22)&lt;=IF($B$2="mil",1,0.0254)*5),"Pass",ABS($U23-$U22))</f>
        <v>#REF!</v>
      </c>
      <c r="AT23" s="495" t="e">
        <f>IF((ABS($AD23-$AD22)&lt;=IF($B$2="mil",1,0.0254)*5),"Pass",ABS($AD23-$AD22))</f>
        <v>#REF!</v>
      </c>
      <c r="AU23" s="495" t="e">
        <f>IF((ABS($AL23-$AL22)&lt;=IF($B$2="mil",1,0.0254)*10),"Pass",ABS($AL23-$AL22))</f>
        <v>#REF!</v>
      </c>
      <c r="AV23" s="495" t="e">
        <f>IF($E23&lt;=IF($B$2="mil",1,0.0254)*50,"Pass",IF($B$2="mil",1,0.0254)*50-$E23)</f>
        <v>#REF!</v>
      </c>
      <c r="AW23" s="495" t="e">
        <f>IF($F23&lt;=IF($B$2="mil",1,0.0254)*500,"Pass",IF($B$2="mil",1,0.0254)*500-$F23)</f>
        <v>#REF!</v>
      </c>
      <c r="AX23" s="495" t="e">
        <f>IF($H23&lt;=IF($B$2="mil",1,0.0254)*0,"Pass",IF($B$2="mil",1,0.0254)*0-$H23)</f>
        <v>#REF!</v>
      </c>
      <c r="AY23" s="495" t="e">
        <f ca="1">CheckLength(IF($B$2="mil",1,0.0254)*750, IF($B$2="mil",1,0.0254)*125-J23, 0, I23,J23,0)</f>
        <v>#NAME?</v>
      </c>
      <c r="AZ23" s="495" t="e">
        <f>IF($J23&lt;=IF($B$2="mil",1,0.0254)*125,"Pass",IF($B$2="mil",1,0.0254)*125-$J23)</f>
        <v>#REF!</v>
      </c>
      <c r="BA23" s="495" t="e">
        <f>IF($L23&lt;=IF($B$2="mil",1,0.0254)*125,"Pass",IF($B$2="mil",1,0.0254)*125-$L23)</f>
        <v>#REF!</v>
      </c>
      <c r="BB23" s="495" t="e">
        <f>IF(($L23+$M23)&lt;=IF($B$2="mil",1,0.0254)*1275,"Pass",IF($B$2="mil",1,0.0254)*1275-($L23+M23))</f>
        <v>#REF!</v>
      </c>
      <c r="BC23" s="495" t="e">
        <f>IF($N23&lt;=IF($B$2="mil",1,0.0254)*150,"Pass",IF($B$2="mil",1,0.0254)*150-$N23)</f>
        <v>#REF!</v>
      </c>
      <c r="BD23" s="495" t="e">
        <f>IF($O23&lt;=IF($B$2="mil",1,0.0254)*150,"Pass",IF($B$2="mil",1,0.0254)*150-$O23)</f>
        <v>#REF!</v>
      </c>
      <c r="BE23" s="493" t="e">
        <f>IF(MAX(N23:O23)-MIN(N23:O23)&lt;=IF($B$2="mil",1,0.0254)*50,"Pass",MAX(N23:O23)-MIN(N23:O23)-IF($B$2="mil",1,0.0254)*50)</f>
        <v>#REF!</v>
      </c>
      <c r="BF23" s="495" t="e">
        <f ca="1">CheckLength2(IF($B$2="mil",1,0.0254)*200,$N23,P23,0)</f>
        <v>#NAME?</v>
      </c>
      <c r="BG23" s="495" t="e">
        <f ca="1">CheckLength2(IF($B$2="mil",1,0.0254)*200,$O23,Q23,0)</f>
        <v>#NAME?</v>
      </c>
      <c r="BH23" s="495" t="e">
        <f>IF(AND($S23&gt;=IF($B$2="mil",1,0.0254)*500, $S23&lt;=IF($B$2="mil",1,0.0254)*4000),"Pass",IF($B$2="mil",1,0.0254)*4000-$S23)</f>
        <v>#REF!</v>
      </c>
      <c r="BI23" s="495" t="e">
        <f>IF(AND($U23&gt;=IF($B$2="mil",1,0.0254)*500, $U23&lt;=IF($B$2="mil",1,0.0254)*4750),"Pass",IF($B$2="mil",1,0.0254)*4750-$U23)</f>
        <v>#REF!</v>
      </c>
      <c r="BJ23" s="495" t="e">
        <f>IF(AND($AC23&gt;=IF($B$2="mil",1,0.0254)*500, $AC23&lt;=IF($B$2="mil",1,0.0254)*5500),"Pass",IF($B$2="mil",1,0.0254)*5500-$AC23)</f>
        <v>#REF!</v>
      </c>
      <c r="BK23" s="495" t="e">
        <f>IF(AND($AD23&gt;=IF($B$2="mil",1,0.0254)*500, $AD23&lt;=IF($B$2="mil",1,0.0254)*6000),"Pass",IF($B$2="mil",1,0.0254)*6000-$AD23)</f>
        <v>#REF!</v>
      </c>
      <c r="BL23" s="21"/>
      <c r="BM23" s="3" t="e">
        <f ca="1">IF(AND(AV23="Pass",BI23="Pass",AX23="Pass",AW23="Pass",BH23="Pass",Z23="Pass",AA23="Pass",BG23="Pass",BB23="Pass",BC23="Pass",BD23="Pass",BE23="Pass",BF23="Pass",BA23="Pass",AZ23="Pass",AY23="Pass",AP23="Pass",AQ23="Pass",AS23="Pass",AT23="Pass",AU23="Pass",BJ23="Pass",BK23="Pass",AH23="Pass",AI23="Pass"),"Pass","Fail")</f>
        <v>#REF!</v>
      </c>
    </row>
    <row r="24" spans="1:65" s="3" customFormat="1">
      <c r="A24" s="8" t="s">
        <v>249</v>
      </c>
      <c r="B24" s="631"/>
      <c r="C24" s="632"/>
      <c r="D24" s="10"/>
      <c r="E24" s="288"/>
      <c r="F24" s="288"/>
      <c r="G24" s="288"/>
      <c r="H24" s="288"/>
      <c r="I24" s="288"/>
      <c r="J24" s="292"/>
      <c r="K24" s="10"/>
      <c r="L24" s="292"/>
      <c r="M24" s="292"/>
      <c r="N24" s="292"/>
      <c r="O24" s="292"/>
      <c r="P24" s="292"/>
      <c r="Q24" s="292"/>
      <c r="R24" s="10"/>
      <c r="S24" s="9"/>
      <c r="T24" s="10"/>
      <c r="U24" s="51"/>
      <c r="V24" s="10"/>
      <c r="W24" s="10"/>
      <c r="X24" s="10"/>
      <c r="Y24" s="10"/>
      <c r="Z24" s="10"/>
      <c r="AA24" s="10"/>
      <c r="AB24" s="10"/>
      <c r="AC24" s="9"/>
      <c r="AD24" s="51"/>
      <c r="AE24" s="10"/>
      <c r="AF24" s="15"/>
      <c r="AG24" s="10"/>
      <c r="AH24" s="15"/>
      <c r="AI24" s="15"/>
      <c r="AJ24" s="10"/>
      <c r="AK24" s="9"/>
      <c r="AL24" s="51"/>
      <c r="AM24" s="10"/>
      <c r="AN24" s="15"/>
      <c r="AO24" s="10"/>
      <c r="AP24" s="15"/>
      <c r="AQ24" s="15"/>
      <c r="AR24" s="10"/>
      <c r="AS24" s="15"/>
      <c r="AT24" s="15"/>
      <c r="AU24" s="15"/>
      <c r="AV24" s="15"/>
      <c r="AW24" s="15"/>
      <c r="AX24" s="15"/>
      <c r="AY24" s="10"/>
      <c r="AZ24" s="10"/>
      <c r="BA24" s="10"/>
      <c r="BB24" s="10"/>
      <c r="BC24" s="10"/>
      <c r="BD24" s="10"/>
      <c r="BE24" s="10"/>
      <c r="BF24" s="10"/>
      <c r="BG24" s="10"/>
      <c r="BH24" s="10"/>
      <c r="BI24" s="10"/>
      <c r="BJ24" s="10"/>
      <c r="BK24" s="10"/>
      <c r="BL24" s="12"/>
    </row>
    <row r="25" spans="1:65" s="3" customFormat="1">
      <c r="A25" s="653" t="s">
        <v>24</v>
      </c>
      <c r="B25" s="654"/>
      <c r="C25" s="648"/>
      <c r="D25" s="53"/>
      <c r="E25" s="289"/>
      <c r="F25" s="289"/>
      <c r="G25" s="289"/>
      <c r="H25" s="289"/>
      <c r="I25" s="289"/>
      <c r="J25" s="293"/>
      <c r="K25" s="52"/>
      <c r="L25" s="293"/>
      <c r="M25" s="293"/>
      <c r="N25" s="293"/>
      <c r="O25" s="293"/>
      <c r="P25" s="293"/>
      <c r="Q25" s="293"/>
      <c r="R25" s="52"/>
      <c r="S25" s="81"/>
      <c r="T25" s="53"/>
      <c r="U25" s="65"/>
      <c r="V25" s="540"/>
      <c r="W25" s="168"/>
      <c r="X25" s="541"/>
      <c r="Y25" s="53"/>
      <c r="Z25" s="65"/>
      <c r="AA25" s="65"/>
      <c r="AB25" s="540"/>
      <c r="AC25" s="81"/>
      <c r="AD25" s="540" t="s">
        <v>226</v>
      </c>
      <c r="AE25" s="542" t="e">
        <f>MIN('DDR2 Clocks - 4L'!$O$13:$O$14)</f>
        <v>#REF!</v>
      </c>
      <c r="AF25" s="541" t="e">
        <f>MAX('DDR2 Clocks - 4L'!$O$13:$O$14)</f>
        <v>#REF!</v>
      </c>
      <c r="AG25" s="65"/>
      <c r="AH25" s="65"/>
      <c r="AI25" s="65"/>
      <c r="AJ25" s="540"/>
      <c r="AK25" s="81"/>
      <c r="AL25" s="540" t="s">
        <v>286</v>
      </c>
      <c r="AM25" s="542" t="e">
        <f>MIN('DDR2 Clocks - 4L'!$O$15:$O$16)</f>
        <v>#REF!</v>
      </c>
      <c r="AN25" s="541" t="e">
        <f>MAX('DDR2 Clocks - 4L'!$O$15:$O$16)</f>
        <v>#REF!</v>
      </c>
      <c r="AO25" s="65"/>
      <c r="AP25" s="65"/>
      <c r="AQ25" s="65"/>
      <c r="AR25" s="540"/>
      <c r="AS25" s="65"/>
      <c r="AT25" s="65"/>
      <c r="AU25" s="65"/>
      <c r="AV25" s="65"/>
      <c r="AW25" s="52"/>
      <c r="AX25" s="52"/>
      <c r="AY25" s="52"/>
      <c r="AZ25" s="52"/>
      <c r="BA25" s="52"/>
      <c r="BB25" s="52"/>
      <c r="BC25" s="52"/>
      <c r="BD25" s="52"/>
      <c r="BE25" s="52"/>
      <c r="BF25" s="52"/>
      <c r="BG25" s="52"/>
      <c r="BH25" s="52"/>
      <c r="BI25" s="52"/>
      <c r="BJ25" s="52"/>
      <c r="BK25" s="52"/>
      <c r="BL25" s="58"/>
    </row>
    <row r="26" spans="1:65" s="3" customFormat="1">
      <c r="A26" s="8" t="s">
        <v>250</v>
      </c>
      <c r="B26" s="655"/>
      <c r="C26" s="649"/>
      <c r="D26" s="62"/>
      <c r="E26" s="290"/>
      <c r="F26" s="290"/>
      <c r="G26" s="290"/>
      <c r="H26" s="290"/>
      <c r="I26" s="290"/>
      <c r="J26" s="294"/>
      <c r="K26" s="54"/>
      <c r="L26" s="294"/>
      <c r="M26" s="294"/>
      <c r="N26" s="294"/>
      <c r="O26" s="294"/>
      <c r="P26" s="294"/>
      <c r="Q26" s="294"/>
      <c r="R26" s="54"/>
      <c r="S26" s="54"/>
      <c r="T26" s="54"/>
      <c r="U26" s="54"/>
      <c r="V26" s="54"/>
      <c r="W26" s="54"/>
      <c r="X26" s="66"/>
      <c r="Y26" s="54"/>
      <c r="Z26" s="66"/>
      <c r="AA26" s="66"/>
      <c r="AB26" s="66"/>
      <c r="AC26" s="54"/>
      <c r="AD26" s="54"/>
      <c r="AE26" s="66"/>
      <c r="AF26" s="67"/>
      <c r="AG26" s="66"/>
      <c r="AH26" s="54"/>
      <c r="AI26" s="54"/>
      <c r="AJ26" s="66"/>
      <c r="AK26" s="54"/>
      <c r="AL26" s="54"/>
      <c r="AM26" s="66"/>
      <c r="AN26" s="67"/>
      <c r="AO26" s="66"/>
      <c r="AP26" s="54"/>
      <c r="AQ26" s="54"/>
      <c r="AR26" s="66"/>
      <c r="AS26" s="54"/>
      <c r="AT26" s="54"/>
      <c r="AU26" s="54"/>
      <c r="AV26" s="54"/>
      <c r="AW26" s="66"/>
      <c r="AX26" s="66"/>
      <c r="AY26" s="66"/>
      <c r="AZ26" s="66"/>
      <c r="BA26" s="66"/>
      <c r="BB26" s="66"/>
      <c r="BC26" s="66"/>
      <c r="BD26" s="66"/>
      <c r="BE26" s="66"/>
      <c r="BF26" s="66"/>
      <c r="BG26" s="66"/>
      <c r="BH26" s="66"/>
      <c r="BI26" s="66"/>
      <c r="BJ26" s="66"/>
      <c r="BK26" s="66"/>
      <c r="BL26" s="68"/>
    </row>
    <row r="27" spans="1:65" s="3" customFormat="1">
      <c r="A27" s="652" t="s">
        <v>98</v>
      </c>
      <c r="B27" s="646" t="s">
        <v>463</v>
      </c>
      <c r="C27" s="635">
        <v>838.58267716535443</v>
      </c>
      <c r="D27" s="18"/>
      <c r="E27" s="621">
        <v>22.63</v>
      </c>
      <c r="F27" s="277">
        <v>0</v>
      </c>
      <c r="G27" s="622">
        <v>1424.06</v>
      </c>
      <c r="H27" s="622">
        <v>0</v>
      </c>
      <c r="I27" s="622">
        <v>760.59</v>
      </c>
      <c r="J27" s="622">
        <v>86.47</v>
      </c>
      <c r="K27" s="621">
        <v>40</v>
      </c>
      <c r="L27" s="622">
        <v>86.47</v>
      </c>
      <c r="M27" s="622">
        <v>1121.94</v>
      </c>
      <c r="N27" s="305">
        <v>0</v>
      </c>
      <c r="O27" s="305">
        <v>0</v>
      </c>
      <c r="P27" s="622">
        <v>120.32</v>
      </c>
      <c r="Q27" s="622">
        <v>114.96</v>
      </c>
      <c r="R27" s="69"/>
      <c r="S27" s="489">
        <f xml:space="preserve"> E27+F27+G27+H27</f>
        <v>1446.69</v>
      </c>
      <c r="T27" s="597"/>
      <c r="U27" s="489" t="e">
        <f>S27+IF($B$2="mil",1,0.0254)*C27</f>
        <v>#REF!</v>
      </c>
      <c r="V27" s="597"/>
      <c r="W27" s="489" t="e">
        <f>MAX(W$5:X$5)+IF($B$2="mil",1,0.0254)*DDR2Specs!$B$2</f>
        <v>#REF!</v>
      </c>
      <c r="X27" s="489" t="e">
        <f>MIN(W$5:X$5)+IF($B$2="mil",1,0.0254)*DDR2Specs!$C$2</f>
        <v>#REF!</v>
      </c>
      <c r="Y27" s="597"/>
      <c r="Z27" s="598" t="e">
        <f>IF($U27&lt;$W27,$W27-$U27,"Pass")</f>
        <v>#REF!</v>
      </c>
      <c r="AA27" s="495" t="e">
        <f>IF($U27&gt;$X27,$U27-$X27,"Pass")</f>
        <v>#REF!</v>
      </c>
      <c r="AB27" s="21"/>
      <c r="AC27" s="489">
        <f>SUM(E27:G27,I27:N27,P27)</f>
        <v>3662.48</v>
      </c>
      <c r="AD27" s="489" t="e">
        <f>AC27+IF($B$2="mil",1,0.0254)*$C27</f>
        <v>#REF!</v>
      </c>
      <c r="AE27" s="489" t="e">
        <f>MAX(AE$25:AF$25)+IF($B$2="mil",1,0.0254)*DDR2Specs!$E$2</f>
        <v>#REF!</v>
      </c>
      <c r="AF27" s="489" t="e">
        <f>MIN(AE$25:AF$25)+IF($B$2="mil",1,0.0254)*DDR2Specs!$F$2</f>
        <v>#REF!</v>
      </c>
      <c r="AG27" s="21"/>
      <c r="AH27" s="598" t="e">
        <f>IF($AD27&lt;$AE27,$AE27-$AD27,"Pass")</f>
        <v>#REF!</v>
      </c>
      <c r="AI27" s="495" t="e">
        <f>IF($AD27&gt;$AF27,$AD27-$AF27,"Pass")</f>
        <v>#REF!</v>
      </c>
      <c r="AJ27" s="21"/>
      <c r="AK27" s="489">
        <f>SUM(E27:G27,I27:M27,O27,Q27)</f>
        <v>3657.12</v>
      </c>
      <c r="AL27" s="489" t="e">
        <f>AK27+IF($B$2="mil",1,0.0254)*$C27</f>
        <v>#REF!</v>
      </c>
      <c r="AM27" s="489" t="e">
        <f>MAX(AM$25:AN$25)+IF($B$2="mil",1,0.0254)*DDR2Specs!$E$2</f>
        <v>#REF!</v>
      </c>
      <c r="AN27" s="489" t="e">
        <f>MIN(AM$25:AN$25)+IF($B$2="mil",1,0.0254)*DDR2Specs!$F$2</f>
        <v>#REF!</v>
      </c>
      <c r="AO27" s="21"/>
      <c r="AP27" s="598" t="e">
        <f>IF($AL27&lt;$AM27,$AM27-$AL27,"Pass")</f>
        <v>#REF!</v>
      </c>
      <c r="AQ27" s="495" t="e">
        <f>IF($AL27&gt;$AN27,$AL27-$AN27,"Pass")</f>
        <v>#REF!</v>
      </c>
      <c r="AR27" s="21"/>
      <c r="AS27" s="495" t="e">
        <f>IF((ABS($U27-$U28)&lt;=IF($B$2="mil",1,0.0254)*5),"Pass",ABS($U27-$U28))</f>
        <v>#REF!</v>
      </c>
      <c r="AT27" s="495" t="e">
        <f>IF((ABS($AD27-$AD28)&lt;=IF($B$2="mil",1,0.0254)*5),"Pass",ABS($AD27-$AD28))</f>
        <v>#REF!</v>
      </c>
      <c r="AU27" s="495" t="e">
        <f>IF((ABS($AL27-$AL28)&lt;=IF($B$2="mil",1,0.0254)*10),"Pass",ABS($AL27-$AL28))</f>
        <v>#REF!</v>
      </c>
      <c r="AV27" s="495" t="e">
        <f>IF($E27&lt;=IF($B$2="mil",1,0.0254)*50,"Pass",IF($B$2="mil",1,0.0254)*50-$E27)</f>
        <v>#REF!</v>
      </c>
      <c r="AW27" s="495" t="e">
        <f>IF($F27&lt;=IF($B$2="mil",1,0.0254)*500,"Pass",IF($B$2="mil",1,0.0254)*500-$F27)</f>
        <v>#REF!</v>
      </c>
      <c r="AX27" s="495" t="e">
        <f>IF($H27&lt;=IF($B$2="mil",1,0.0254)*0,"Pass",IF($B$2="mil",1,0.0254)*0-$H27)</f>
        <v>#REF!</v>
      </c>
      <c r="AY27" s="495" t="e">
        <f ca="1">CheckLength(IF($B$2="mil",1,0.0254)*750, IF($B$2="mil",1,0.0254)*125-J27, 0, I27,J27,0)</f>
        <v>#NAME?</v>
      </c>
      <c r="AZ27" s="495" t="e">
        <f>IF($J27&lt;=IF($B$2="mil",1,0.0254)*125,"Pass",IF($B$2="mil",1,0.0254)*125-$J27)</f>
        <v>#REF!</v>
      </c>
      <c r="BA27" s="495" t="e">
        <f>IF($L27&lt;=IF($B$2="mil",1,0.0254)*125,"Pass",IF($B$2="mil",1,0.0254)*125-$L27)</f>
        <v>#REF!</v>
      </c>
      <c r="BB27" s="495" t="e">
        <f>IF(($L27+$M27)&lt;=IF($B$2="mil",1,0.0254)*1275,"Pass",IF($B$2="mil",1,0.0254)*1275-($L27+M27))</f>
        <v>#REF!</v>
      </c>
      <c r="BC27" s="495" t="e">
        <f>IF($N27&lt;=IF($B$2="mil",1,0.0254)*150,"Pass",IF($B$2="mil",1,0.0254)*150-$N27)</f>
        <v>#REF!</v>
      </c>
      <c r="BD27" s="495" t="e">
        <f>IF($O27&lt;=IF($B$2="mil",1,0.0254)*150,"Pass",IF($B$2="mil",1,0.0254)*150-$O27)</f>
        <v>#REF!</v>
      </c>
      <c r="BE27" s="493" t="e">
        <f>IF(MAX(N27:O27)-MIN(N27:O27)&lt;=IF($B$2="mil",1,0.0254)*50,"Pass",MAX(N27:O27)-MIN(N27:O27)-IF($B$2="mil",1,0.0254)*50)</f>
        <v>#REF!</v>
      </c>
      <c r="BF27" s="495" t="e">
        <f ca="1">CheckLength2(IF($B$2="mil",1,0.0254)*200,$N27,P27,0)</f>
        <v>#NAME?</v>
      </c>
      <c r="BG27" s="495" t="e">
        <f ca="1">CheckLength2(IF($B$2="mil",1,0.0254)*200,$O27,Q27,0)</f>
        <v>#NAME?</v>
      </c>
      <c r="BH27" s="495" t="e">
        <f>IF(AND($S27&gt;=IF($B$2="mil",1,0.0254)*500, $S27&lt;=IF($B$2="mil",1,0.0254)*4000),"Pass",IF($B$2="mil",1,0.0254)*4000-$S27)</f>
        <v>#REF!</v>
      </c>
      <c r="BI27" s="495" t="e">
        <f>IF(AND($U27&gt;=IF($B$2="mil",1,0.0254)*500, $U27&lt;=IF($B$2="mil",1,0.0254)*4750),"Pass",IF($B$2="mil",1,0.0254)*4750-$U27)</f>
        <v>#REF!</v>
      </c>
      <c r="BJ27" s="495" t="e">
        <f>IF(AND($AC27&gt;=IF($B$2="mil",1,0.0254)*500, $AC27&lt;=IF($B$2="mil",1,0.0254)*5500),"Pass",IF($B$2="mil",1,0.0254)*5500-$AC27)</f>
        <v>#REF!</v>
      </c>
      <c r="BK27" s="495" t="e">
        <f>IF(AND($AD27&gt;=IF($B$2="mil",1,0.0254)*500, $AD27&lt;=IF($B$2="mil",1,0.0254)*6000),"Pass",IF($B$2="mil",1,0.0254)*6000-$AD27)</f>
        <v>#REF!</v>
      </c>
      <c r="BL27" s="21"/>
      <c r="BM27" s="3" t="e">
        <f ca="1">IF(AND(AV27="Pass",BI27="Pass",AX27="Pass",AW27="Pass",BH27="Pass",Z27="Pass",AA27="Pass",BG27="Pass",BB27="Pass",BC27="Pass",BD27="Pass",BE27="Pass",BF27="Pass",BA27="Pass",AZ27="Pass",AY27="Pass",AP27="Pass",AQ27="Pass",AS27="Pass",AT27="Pass",AU27="Pass",BJ27="Pass",BK27="Pass",AH27="Pass",AI27="Pass"),"Pass","Fail")</f>
        <v>#REF!</v>
      </c>
    </row>
    <row r="28" spans="1:65" s="3" customFormat="1">
      <c r="A28" s="652" t="s">
        <v>99</v>
      </c>
      <c r="B28" s="646" t="s">
        <v>470</v>
      </c>
      <c r="C28" s="635">
        <v>838.58267716535443</v>
      </c>
      <c r="D28" s="18"/>
      <c r="E28" s="621">
        <v>22.63</v>
      </c>
      <c r="F28" s="277">
        <v>0</v>
      </c>
      <c r="G28" s="622">
        <v>1424</v>
      </c>
      <c r="H28" s="622">
        <v>0</v>
      </c>
      <c r="I28" s="622">
        <v>758.25</v>
      </c>
      <c r="J28" s="622">
        <v>85.78</v>
      </c>
      <c r="K28" s="621">
        <v>40</v>
      </c>
      <c r="L28" s="622">
        <v>85.78</v>
      </c>
      <c r="M28" s="622">
        <v>1119.94</v>
      </c>
      <c r="N28" s="305">
        <v>0</v>
      </c>
      <c r="O28" s="305">
        <v>0</v>
      </c>
      <c r="P28" s="622">
        <v>129.34</v>
      </c>
      <c r="Q28" s="622">
        <v>129.84</v>
      </c>
      <c r="R28" s="69"/>
      <c r="S28" s="489">
        <f xml:space="preserve"> E28+F28+G28+H28</f>
        <v>1446.63</v>
      </c>
      <c r="T28" s="597"/>
      <c r="U28" s="489" t="e">
        <f>S28+IF($B$2="mil",1,0.0254)*C28</f>
        <v>#REF!</v>
      </c>
      <c r="V28" s="597"/>
      <c r="W28" s="489" t="e">
        <f>MAX(W$5:X$5)+IF($B$2="mil",1,0.0254)*DDR2Specs!$B$2</f>
        <v>#REF!</v>
      </c>
      <c r="X28" s="489" t="e">
        <f>MIN(W$5:X$5)+IF($B$2="mil",1,0.0254)*DDR2Specs!$C$2</f>
        <v>#REF!</v>
      </c>
      <c r="Y28" s="597"/>
      <c r="Z28" s="598" t="e">
        <f>IF($U28&lt;$W28,$W28-$U28,"Pass")</f>
        <v>#REF!</v>
      </c>
      <c r="AA28" s="495" t="e">
        <f>IF($U28&gt;$X28,$U28-$X28,"Pass")</f>
        <v>#REF!</v>
      </c>
      <c r="AB28" s="21"/>
      <c r="AC28" s="489">
        <f>SUM(E28:G28,I28:N28,P28)</f>
        <v>3665.7200000000007</v>
      </c>
      <c r="AD28" s="489" t="e">
        <f>AC28+IF($B$2="mil",1,0.0254)*$C28</f>
        <v>#REF!</v>
      </c>
      <c r="AE28" s="489" t="e">
        <f>MAX(AE$25:AF$25)+IF($B$2="mil",1,0.0254)*DDR2Specs!$E$2</f>
        <v>#REF!</v>
      </c>
      <c r="AF28" s="489" t="e">
        <f>MIN(AE$25:AF$25)+IF($B$2="mil",1,0.0254)*DDR2Specs!$F$2</f>
        <v>#REF!</v>
      </c>
      <c r="AG28" s="21"/>
      <c r="AH28" s="598" t="e">
        <f>IF($AD28&lt;$AE28,$AE28-$AD28,"Pass")</f>
        <v>#REF!</v>
      </c>
      <c r="AI28" s="495" t="e">
        <f>IF($AD28&gt;$AF28,$AD28-$AF28,"Pass")</f>
        <v>#REF!</v>
      </c>
      <c r="AJ28" s="21"/>
      <c r="AK28" s="489">
        <f>SUM(E28:G28,I28:M28,O28,Q28)</f>
        <v>3666.2200000000007</v>
      </c>
      <c r="AL28" s="489" t="e">
        <f>AK28+IF($B$2="mil",1,0.0254)*$C28</f>
        <v>#REF!</v>
      </c>
      <c r="AM28" s="489" t="e">
        <f>MAX(AM$25:AN$25)+IF($B$2="mil",1,0.0254)*DDR2Specs!$E$2</f>
        <v>#REF!</v>
      </c>
      <c r="AN28" s="489" t="e">
        <f>MIN(AM$25:AN$25)+IF($B$2="mil",1,0.0254)*DDR2Specs!$F$2</f>
        <v>#REF!</v>
      </c>
      <c r="AO28" s="21"/>
      <c r="AP28" s="598" t="e">
        <f>IF($AL28&lt;$AM28,$AM28-$AL28,"Pass")</f>
        <v>#REF!</v>
      </c>
      <c r="AQ28" s="495" t="e">
        <f>IF($AL28&gt;$AN28,$AL28-$AN28,"Pass")</f>
        <v>#REF!</v>
      </c>
      <c r="AR28" s="21"/>
      <c r="AS28" s="495" t="e">
        <f>IF((ABS($U28-$U27)&lt;=IF($B$2="mil",1,0.0254)*5),"Pass",ABS($U28-$U27))</f>
        <v>#REF!</v>
      </c>
      <c r="AT28" s="495" t="e">
        <f>IF((ABS($AD28-$AD27)&lt;=IF($B$2="mil",1,0.0254)*5),"Pass",ABS($AD28-$AD27))</f>
        <v>#REF!</v>
      </c>
      <c r="AU28" s="495" t="e">
        <f>IF((ABS($AL28-$AL27)&lt;=IF($B$2="mil",1,0.0254)*10),"Pass",ABS($AL28-$AL27))</f>
        <v>#REF!</v>
      </c>
      <c r="AV28" s="495" t="e">
        <f>IF($E28&lt;=IF($B$2="mil",1,0.0254)*50,"Pass",IF($B$2="mil",1,0.0254)*50-$E28)</f>
        <v>#REF!</v>
      </c>
      <c r="AW28" s="495" t="e">
        <f>IF($F28&lt;=IF($B$2="mil",1,0.0254)*500,"Pass",IF($B$2="mil",1,0.0254)*500-$F28)</f>
        <v>#REF!</v>
      </c>
      <c r="AX28" s="495" t="e">
        <f>IF($H28&lt;=IF($B$2="mil",1,0.0254)*0,"Pass",IF($B$2="mil",1,0.0254)*0-$H28)</f>
        <v>#REF!</v>
      </c>
      <c r="AY28" s="495" t="e">
        <f ca="1">CheckLength(IF($B$2="mil",1,0.0254)*750, IF($B$2="mil",1,0.0254)*125-J28, 0, I28,J28,0)</f>
        <v>#NAME?</v>
      </c>
      <c r="AZ28" s="495" t="e">
        <f>IF($J28&lt;=IF($B$2="mil",1,0.0254)*125,"Pass",IF($B$2="mil",1,0.0254)*125-$J28)</f>
        <v>#REF!</v>
      </c>
      <c r="BA28" s="495" t="e">
        <f>IF($L28&lt;=IF($B$2="mil",1,0.0254)*125,"Pass",IF($B$2="mil",1,0.0254)*125-$L28)</f>
        <v>#REF!</v>
      </c>
      <c r="BB28" s="495" t="e">
        <f>IF(($L28+$M28)&lt;=IF($B$2="mil",1,0.0254)*1275,"Pass",IF($B$2="mil",1,0.0254)*1275-($L28+M28))</f>
        <v>#REF!</v>
      </c>
      <c r="BC28" s="495" t="e">
        <f>IF($N28&lt;=IF($B$2="mil",1,0.0254)*150,"Pass",IF($B$2="mil",1,0.0254)*150-$N28)</f>
        <v>#REF!</v>
      </c>
      <c r="BD28" s="495" t="e">
        <f>IF($O28&lt;=IF($B$2="mil",1,0.0254)*150,"Pass",IF($B$2="mil",1,0.0254)*150-$O28)</f>
        <v>#REF!</v>
      </c>
      <c r="BE28" s="493" t="e">
        <f>IF(MAX(N28:O28)-MIN(N28:O28)&lt;=IF($B$2="mil",1,0.0254)*50,"Pass",MAX(N28:O28)-MIN(N28:O28)-IF($B$2="mil",1,0.0254)*50)</f>
        <v>#REF!</v>
      </c>
      <c r="BF28" s="495" t="e">
        <f ca="1">CheckLength2(IF($B$2="mil",1,0.0254)*200,$N28,P28,0)</f>
        <v>#NAME?</v>
      </c>
      <c r="BG28" s="495" t="e">
        <f ca="1">CheckLength2(IF($B$2="mil",1,0.0254)*200,$O28,Q28,0)</f>
        <v>#NAME?</v>
      </c>
      <c r="BH28" s="495" t="e">
        <f>IF(AND($S28&gt;=IF($B$2="mil",1,0.0254)*500, $S28&lt;=IF($B$2="mil",1,0.0254)*4000),"Pass",IF($B$2="mil",1,0.0254)*4000-$S28)</f>
        <v>#REF!</v>
      </c>
      <c r="BI28" s="495" t="e">
        <f>IF(AND($U28&gt;=IF($B$2="mil",1,0.0254)*500, $U28&lt;=IF($B$2="mil",1,0.0254)*4750),"Pass",IF($B$2="mil",1,0.0254)*4750-$U28)</f>
        <v>#REF!</v>
      </c>
      <c r="BJ28" s="495" t="e">
        <f>IF(AND($AC28&gt;=IF($B$2="mil",1,0.0254)*500, $AC28&lt;=IF($B$2="mil",1,0.0254)*5500),"Pass",IF($B$2="mil",1,0.0254)*5500-$AC28)</f>
        <v>#REF!</v>
      </c>
      <c r="BK28" s="495" t="e">
        <f>IF(AND($AD28&gt;=IF($B$2="mil",1,0.0254)*500, $AD28&lt;=IF($B$2="mil",1,0.0254)*6000),"Pass",IF($B$2="mil",1,0.0254)*6000-$AD28)</f>
        <v>#REF!</v>
      </c>
      <c r="BL28" s="21"/>
      <c r="BM28" s="3" t="e">
        <f ca="1">IF(AND(AV28="Pass",BI28="Pass",AX28="Pass",AW28="Pass",BH28="Pass",Z28="Pass",AA28="Pass",BG28="Pass",BB28="Pass",BC28="Pass",BD28="Pass",BE28="Pass",BF28="Pass",BA28="Pass",AZ28="Pass",AY28="Pass",AP28="Pass",AQ28="Pass",AS28="Pass",AT28="Pass",AU28="Pass",BJ28="Pass",BK28="Pass",AH28="Pass",AI28="Pass"),"Pass","Fail")</f>
        <v>#REF!</v>
      </c>
    </row>
    <row r="29" spans="1:65" s="3" customFormat="1">
      <c r="A29" s="8" t="s">
        <v>249</v>
      </c>
      <c r="B29" s="631"/>
      <c r="C29" s="632"/>
      <c r="D29" s="10"/>
      <c r="E29" s="288"/>
      <c r="F29" s="288"/>
      <c r="G29" s="288"/>
      <c r="H29" s="288"/>
      <c r="I29" s="288"/>
      <c r="J29" s="292"/>
      <c r="K29" s="10"/>
      <c r="L29" s="292"/>
      <c r="M29" s="292"/>
      <c r="N29" s="292"/>
      <c r="O29" s="292"/>
      <c r="P29" s="292"/>
      <c r="Q29" s="292"/>
      <c r="R29" s="10"/>
      <c r="S29" s="9"/>
      <c r="T29" s="10"/>
      <c r="U29" s="51"/>
      <c r="V29" s="10"/>
      <c r="W29" s="10"/>
      <c r="X29" s="10"/>
      <c r="Y29" s="10"/>
      <c r="Z29" s="10"/>
      <c r="AA29" s="10"/>
      <c r="AB29" s="10"/>
      <c r="AC29" s="9"/>
      <c r="AD29" s="51"/>
      <c r="AE29" s="10"/>
      <c r="AF29" s="15"/>
      <c r="AG29" s="10"/>
      <c r="AH29" s="15"/>
      <c r="AI29" s="15"/>
      <c r="AJ29" s="10"/>
      <c r="AK29" s="9"/>
      <c r="AL29" s="51"/>
      <c r="AM29" s="10"/>
      <c r="AN29" s="15"/>
      <c r="AO29" s="10"/>
      <c r="AP29" s="15"/>
      <c r="AQ29" s="15"/>
      <c r="AR29" s="10"/>
      <c r="AS29" s="15"/>
      <c r="AT29" s="15"/>
      <c r="AU29" s="15"/>
      <c r="AV29" s="15"/>
      <c r="AW29" s="15"/>
      <c r="AX29" s="15"/>
      <c r="AY29" s="10"/>
      <c r="AZ29" s="10"/>
      <c r="BA29" s="10"/>
      <c r="BB29" s="10"/>
      <c r="BC29" s="10"/>
      <c r="BD29" s="10"/>
      <c r="BE29" s="10"/>
      <c r="BF29" s="10"/>
      <c r="BG29" s="10"/>
      <c r="BH29" s="10"/>
      <c r="BI29" s="10"/>
      <c r="BJ29" s="10"/>
      <c r="BK29" s="10"/>
      <c r="BL29" s="12"/>
    </row>
    <row r="30" spans="1:65" s="3" customFormat="1">
      <c r="A30" s="653" t="s">
        <v>24</v>
      </c>
      <c r="B30" s="654"/>
      <c r="C30" s="648"/>
      <c r="D30" s="53"/>
      <c r="E30" s="289"/>
      <c r="F30" s="289"/>
      <c r="G30" s="289"/>
      <c r="H30" s="289"/>
      <c r="I30" s="289"/>
      <c r="J30" s="293"/>
      <c r="K30" s="52"/>
      <c r="L30" s="293"/>
      <c r="M30" s="293"/>
      <c r="N30" s="293"/>
      <c r="O30" s="293"/>
      <c r="P30" s="293"/>
      <c r="Q30" s="293"/>
      <c r="R30" s="52"/>
      <c r="S30" s="81"/>
      <c r="T30" s="53"/>
      <c r="U30" s="65"/>
      <c r="V30" s="540"/>
      <c r="W30" s="168"/>
      <c r="X30" s="541"/>
      <c r="Y30" s="53"/>
      <c r="Z30" s="65"/>
      <c r="AA30" s="65"/>
      <c r="AB30" s="540"/>
      <c r="AC30" s="81"/>
      <c r="AD30" s="540" t="s">
        <v>226</v>
      </c>
      <c r="AE30" s="542" t="e">
        <f>MIN('DDR2 Clocks - 4L'!$O$13:$O$14)</f>
        <v>#REF!</v>
      </c>
      <c r="AF30" s="541" t="e">
        <f>MAX('DDR2 Clocks - 4L'!$O$13:$O$14)</f>
        <v>#REF!</v>
      </c>
      <c r="AG30" s="65"/>
      <c r="AH30" s="65"/>
      <c r="AI30" s="65"/>
      <c r="AJ30" s="540"/>
      <c r="AK30" s="81"/>
      <c r="AL30" s="540" t="s">
        <v>286</v>
      </c>
      <c r="AM30" s="542" t="e">
        <f>MIN('DDR2 Clocks - 4L'!$O$15:$O$16)</f>
        <v>#REF!</v>
      </c>
      <c r="AN30" s="541" t="e">
        <f>MAX('DDR2 Clocks - 4L'!$O$15:$O$16)</f>
        <v>#REF!</v>
      </c>
      <c r="AO30" s="65"/>
      <c r="AP30" s="65"/>
      <c r="AQ30" s="65"/>
      <c r="AR30" s="540"/>
      <c r="AS30" s="65"/>
      <c r="AT30" s="65"/>
      <c r="AU30" s="65"/>
      <c r="AV30" s="65"/>
      <c r="AW30" s="52"/>
      <c r="AX30" s="52"/>
      <c r="AY30" s="52"/>
      <c r="AZ30" s="52"/>
      <c r="BA30" s="52"/>
      <c r="BB30" s="52"/>
      <c r="BC30" s="52"/>
      <c r="BD30" s="52"/>
      <c r="BE30" s="52"/>
      <c r="BF30" s="52"/>
      <c r="BG30" s="52"/>
      <c r="BH30" s="52"/>
      <c r="BI30" s="52"/>
      <c r="BJ30" s="52"/>
      <c r="BK30" s="52"/>
      <c r="BL30" s="58"/>
    </row>
    <row r="31" spans="1:65" s="3" customFormat="1">
      <c r="A31" s="8" t="s">
        <v>250</v>
      </c>
      <c r="B31" s="655"/>
      <c r="C31" s="649"/>
      <c r="D31" s="62"/>
      <c r="E31" s="290"/>
      <c r="F31" s="290"/>
      <c r="G31" s="290"/>
      <c r="H31" s="290"/>
      <c r="I31" s="290"/>
      <c r="J31" s="294"/>
      <c r="K31" s="54"/>
      <c r="L31" s="294"/>
      <c r="M31" s="294"/>
      <c r="N31" s="294"/>
      <c r="O31" s="294"/>
      <c r="P31" s="294"/>
      <c r="Q31" s="294"/>
      <c r="R31" s="54"/>
      <c r="S31" s="54"/>
      <c r="T31" s="54"/>
      <c r="U31" s="54"/>
      <c r="V31" s="54"/>
      <c r="W31" s="54"/>
      <c r="X31" s="66"/>
      <c r="Y31" s="54"/>
      <c r="Z31" s="66"/>
      <c r="AA31" s="66"/>
      <c r="AB31" s="66"/>
      <c r="AC31" s="54"/>
      <c r="AD31" s="54"/>
      <c r="AE31" s="66"/>
      <c r="AF31" s="67"/>
      <c r="AG31" s="66"/>
      <c r="AH31" s="54"/>
      <c r="AI31" s="54"/>
      <c r="AJ31" s="66"/>
      <c r="AK31" s="54"/>
      <c r="AL31" s="54"/>
      <c r="AM31" s="66"/>
      <c r="AN31" s="67"/>
      <c r="AO31" s="66"/>
      <c r="AP31" s="54"/>
      <c r="AQ31" s="54"/>
      <c r="AR31" s="66"/>
      <c r="AS31" s="54"/>
      <c r="AT31" s="54"/>
      <c r="AU31" s="54"/>
      <c r="AV31" s="54"/>
      <c r="AW31" s="66"/>
      <c r="AX31" s="66"/>
      <c r="AY31" s="66"/>
      <c r="AZ31" s="66"/>
      <c r="BA31" s="66"/>
      <c r="BB31" s="66"/>
      <c r="BC31" s="66"/>
      <c r="BD31" s="66"/>
      <c r="BE31" s="66"/>
      <c r="BF31" s="66"/>
      <c r="BG31" s="66"/>
      <c r="BH31" s="66"/>
      <c r="BI31" s="66"/>
      <c r="BJ31" s="66"/>
      <c r="BK31" s="66"/>
      <c r="BL31" s="68"/>
    </row>
    <row r="32" spans="1:65" s="3" customFormat="1">
      <c r="A32" s="652" t="s">
        <v>100</v>
      </c>
      <c r="B32" s="646" t="s">
        <v>464</v>
      </c>
      <c r="C32" s="635">
        <v>583.81889763779532</v>
      </c>
      <c r="D32" s="18"/>
      <c r="E32" s="621">
        <v>22.63</v>
      </c>
      <c r="F32" s="621">
        <v>0</v>
      </c>
      <c r="G32" s="622">
        <v>1820.69</v>
      </c>
      <c r="H32" s="622">
        <v>0</v>
      </c>
      <c r="I32" s="622">
        <v>801.32</v>
      </c>
      <c r="J32" s="622">
        <v>31.64</v>
      </c>
      <c r="K32" s="621">
        <v>40</v>
      </c>
      <c r="L32" s="622">
        <v>42.23</v>
      </c>
      <c r="M32" s="622">
        <v>1166.42</v>
      </c>
      <c r="N32" s="305">
        <v>0</v>
      </c>
      <c r="O32" s="305">
        <v>0</v>
      </c>
      <c r="P32" s="622">
        <v>111.16</v>
      </c>
      <c r="Q32" s="622">
        <v>111.91</v>
      </c>
      <c r="R32" s="69"/>
      <c r="S32" s="489">
        <f xml:space="preserve"> E32+F32+G32+H32</f>
        <v>1843.3200000000002</v>
      </c>
      <c r="T32" s="597"/>
      <c r="U32" s="489" t="e">
        <f>S32+IF($B$2="mil",1,0.0254)*C32</f>
        <v>#REF!</v>
      </c>
      <c r="V32" s="597"/>
      <c r="W32" s="489" t="e">
        <f>MAX(W$5:X$5)+IF($B$2="mil",1,0.0254)*DDR2Specs!$B$2</f>
        <v>#REF!</v>
      </c>
      <c r="X32" s="489" t="e">
        <f>MIN(W$5:X$5)+IF($B$2="mil",1,0.0254)*DDR2Specs!$C$2</f>
        <v>#REF!</v>
      </c>
      <c r="Y32" s="597"/>
      <c r="Z32" s="598" t="e">
        <f>IF($U32&lt;$W32,$W32-$U32,"Pass")</f>
        <v>#REF!</v>
      </c>
      <c r="AA32" s="495" t="e">
        <f>IF($U32&gt;$X32,$U32-$X32,"Pass")</f>
        <v>#REF!</v>
      </c>
      <c r="AB32" s="21"/>
      <c r="AC32" s="489">
        <f>SUM(E32:G32,I32:N32,P32)</f>
        <v>4036.09</v>
      </c>
      <c r="AD32" s="489" t="e">
        <f>AC32+IF($B$2="mil",1,0.0254)*$C32</f>
        <v>#REF!</v>
      </c>
      <c r="AE32" s="489" t="e">
        <f>MAX(AE$30:AF$30)+IF($B$2="mil",1,0.0254)*DDR2Specs!$E$2</f>
        <v>#REF!</v>
      </c>
      <c r="AF32" s="489" t="e">
        <f>MIN(AE$30:AF$30)+IF($B$2="mil",1,0.0254)*DDR2Specs!$F$2</f>
        <v>#REF!</v>
      </c>
      <c r="AG32" s="21"/>
      <c r="AH32" s="598" t="e">
        <f>IF($AD32&lt;$AE32,$AE32-$AD32,"Pass")</f>
        <v>#REF!</v>
      </c>
      <c r="AI32" s="495" t="e">
        <f>IF($AD32&gt;$AF32,$AD32-$AF32,"Pass")</f>
        <v>#REF!</v>
      </c>
      <c r="AJ32" s="21"/>
      <c r="AK32" s="489">
        <f>SUM(E32:G32,I32:M32,O32,Q32)</f>
        <v>4036.84</v>
      </c>
      <c r="AL32" s="489" t="e">
        <f>AK32+IF($B$2="mil",1,0.0254)*$C32</f>
        <v>#REF!</v>
      </c>
      <c r="AM32" s="489" t="e">
        <f>MAX(AM$30:AN$30)+IF($B$2="mil",1,0.0254)*DDR2Specs!$E$2</f>
        <v>#REF!</v>
      </c>
      <c r="AN32" s="489" t="e">
        <f>MIN(AM$30:AN$30)+IF($B$2="mil",1,0.0254)*DDR2Specs!$F$2</f>
        <v>#REF!</v>
      </c>
      <c r="AO32" s="21"/>
      <c r="AP32" s="598" t="e">
        <f>IF($AL32&lt;$AM32,$AM32-$AL32,"Pass")</f>
        <v>#REF!</v>
      </c>
      <c r="AQ32" s="495" t="e">
        <f>IF($AL32&gt;$AN32,$AL32-$AN32,"Pass")</f>
        <v>#REF!</v>
      </c>
      <c r="AR32" s="21"/>
      <c r="AS32" s="495" t="e">
        <f>IF((ABS($U32-$U33)&lt;=IF($B$2="mil",1,0.0254)*5),"Pass",ABS($U32-$U33))</f>
        <v>#REF!</v>
      </c>
      <c r="AT32" s="495" t="e">
        <f>IF((ABS($AD32-$AD33)&lt;=IF($B$2="mil",1,0.0254)*5),"Pass",ABS($AD32-$AD33))</f>
        <v>#REF!</v>
      </c>
      <c r="AU32" s="495" t="e">
        <f>IF((ABS($AD32-$AD33)&lt;=IF($B$2="mil",1,0.0254)*10),"Pass",ABS($AD32-$AD33))</f>
        <v>#REF!</v>
      </c>
      <c r="AV32" s="495" t="e">
        <f>IF($E32&lt;=IF($B$2="mil",1,0.0254)*50,"Pass",IF($B$2="mil",1,0.0254)*50-$E32)</f>
        <v>#REF!</v>
      </c>
      <c r="AW32" s="495" t="e">
        <f>IF($F32&lt;=IF($B$2="mil",1,0.0254)*500,"Pass",IF($B$2="mil",1,0.0254)*500-$F32)</f>
        <v>#REF!</v>
      </c>
      <c r="AX32" s="495" t="e">
        <f>IF($H32&lt;=IF($B$2="mil",1,0.0254)*0,"Pass",IF($B$2="mil",1,0.0254)*0-$H32)</f>
        <v>#REF!</v>
      </c>
      <c r="AY32" s="495" t="e">
        <f ca="1">CheckLength(IF($B$2="mil",1,0.0254)*750, IF($B$2="mil",1,0.0254)*125-J32, 0, I32,J32,0)</f>
        <v>#NAME?</v>
      </c>
      <c r="AZ32" s="495" t="e">
        <f>IF($J32&lt;=IF($B$2="mil",1,0.0254)*125,"Pass",IF($B$2="mil",1,0.0254)*125-$J32)</f>
        <v>#REF!</v>
      </c>
      <c r="BA32" s="495" t="e">
        <f>IF($L32&lt;=IF($B$2="mil",1,0.0254)*125,"Pass",IF($B$2="mil",1,0.0254)*125-$L32)</f>
        <v>#REF!</v>
      </c>
      <c r="BB32" s="495" t="e">
        <f>IF(($L32+$M32)&lt;=IF($B$2="mil",1,0.0254)*1275,"Pass",IF($B$2="mil",1,0.0254)*1275-($L32+M32))</f>
        <v>#REF!</v>
      </c>
      <c r="BC32" s="495" t="e">
        <f>IF($N32&lt;=IF($B$2="mil",1,0.0254)*150,"Pass",IF($B$2="mil",1,0.0254)*150-$N32)</f>
        <v>#REF!</v>
      </c>
      <c r="BD32" s="495" t="e">
        <f>IF($O32&lt;=IF($B$2="mil",1,0.0254)*150,"Pass",IF($B$2="mil",1,0.0254)*150-$O32)</f>
        <v>#REF!</v>
      </c>
      <c r="BE32" s="493" t="e">
        <f>IF(MAX(N32:O32)-MIN(N32:O32)&lt;=IF($B$2="mil",1,0.0254)*50,"Pass",MAX(N32:O32)-MIN(N32:O32)-IF($B$2="mil",1,0.0254)*50)</f>
        <v>#REF!</v>
      </c>
      <c r="BF32" s="495" t="e">
        <f ca="1">CheckLength2(IF($B$2="mil",1,0.0254)*200,$N32,P32,0)</f>
        <v>#NAME?</v>
      </c>
      <c r="BG32" s="495" t="e">
        <f ca="1">CheckLength2(IF($B$2="mil",1,0.0254)*200,$O32,Q32,0)</f>
        <v>#NAME?</v>
      </c>
      <c r="BH32" s="495" t="e">
        <f>IF(AND($S32&gt;=IF($B$2="mil",1,0.0254)*500, $S32&lt;=IF($B$2="mil",1,0.0254)*4000),"Pass",IF($B$2="mil",1,0.0254)*4000-$S32)</f>
        <v>#REF!</v>
      </c>
      <c r="BI32" s="495" t="e">
        <f>IF(AND($U32&gt;=IF($B$2="mil",1,0.0254)*500, $U32&lt;=IF($B$2="mil",1,0.0254)*4750),"Pass",IF($B$2="mil",1,0.0254)*4750-$U32)</f>
        <v>#REF!</v>
      </c>
      <c r="BJ32" s="495" t="e">
        <f>IF(AND($AC32&gt;=IF($B$2="mil",1,0.0254)*500, $AC32&lt;=IF($B$2="mil",1,0.0254)*5500),"Pass",IF($B$2="mil",1,0.0254)*5500-$AC32)</f>
        <v>#REF!</v>
      </c>
      <c r="BK32" s="495" t="e">
        <f>IF(AND($AD32&gt;=IF($B$2="mil",1,0.0254)*500, $AD32&lt;=IF($B$2="mil",1,0.0254)*6000),"Pass",IF($B$2="mil",1,0.0254)*6000-$AD32)</f>
        <v>#REF!</v>
      </c>
      <c r="BL32" s="21"/>
      <c r="BM32" s="3" t="e">
        <f ca="1">IF(AND(AV32="Pass",BI32="Pass",AX32="Pass",AW32="Pass",BH32="Pass",Z32="Pass",AA32="Pass",BG32="Pass",BB32="Pass",BC32="Pass",BD32="Pass",BE32="Pass",BF32="Pass",BA32="Pass",AZ32="Pass",AY32="Pass",AP32="Pass",AQ32="Pass",AS32="Pass",AT32="Pass",AU32="Pass",BJ32="Pass",BK32="Pass",AH32="Pass",AI32="Pass"),"Pass","Fail")</f>
        <v>#REF!</v>
      </c>
    </row>
    <row r="33" spans="1:75" s="3" customFormat="1">
      <c r="A33" s="652" t="s">
        <v>101</v>
      </c>
      <c r="B33" s="646" t="s">
        <v>471</v>
      </c>
      <c r="C33" s="635">
        <v>583.81889763779532</v>
      </c>
      <c r="D33" s="18"/>
      <c r="E33" s="621">
        <v>22.63</v>
      </c>
      <c r="F33" s="621">
        <v>0</v>
      </c>
      <c r="G33" s="622">
        <v>1819.08</v>
      </c>
      <c r="H33" s="622">
        <v>0</v>
      </c>
      <c r="I33" s="622">
        <v>791.47</v>
      </c>
      <c r="J33" s="622">
        <v>81.64</v>
      </c>
      <c r="K33" s="621">
        <v>40</v>
      </c>
      <c r="L33" s="622">
        <v>44.57</v>
      </c>
      <c r="M33" s="622">
        <v>1119.74</v>
      </c>
      <c r="N33" s="305">
        <v>0</v>
      </c>
      <c r="O33" s="305">
        <v>0</v>
      </c>
      <c r="P33" s="622">
        <v>116.12</v>
      </c>
      <c r="Q33" s="622">
        <v>113.62</v>
      </c>
      <c r="R33" s="69"/>
      <c r="S33" s="489">
        <f xml:space="preserve"> E33+F33+G33+H33</f>
        <v>1841.71</v>
      </c>
      <c r="T33" s="597"/>
      <c r="U33" s="489" t="e">
        <f>S33+IF($B$2="mil",1,0.0254)*C33</f>
        <v>#REF!</v>
      </c>
      <c r="V33" s="597"/>
      <c r="W33" s="489" t="e">
        <f>MAX(W$5:X$5)+IF($B$2="mil",1,0.0254)*DDR2Specs!$B$2</f>
        <v>#REF!</v>
      </c>
      <c r="X33" s="489" t="e">
        <f>MIN(W$5:X$5)+IF($B$2="mil",1,0.0254)*DDR2Specs!$C$2</f>
        <v>#REF!</v>
      </c>
      <c r="Y33" s="597"/>
      <c r="Z33" s="598" t="e">
        <f>IF($U33&lt;$W33,$W33-$U33,"Pass")</f>
        <v>#REF!</v>
      </c>
      <c r="AA33" s="495" t="e">
        <f>IF($U33&gt;$X33,$U33-$X33,"Pass")</f>
        <v>#REF!</v>
      </c>
      <c r="AB33" s="21"/>
      <c r="AC33" s="489">
        <f>SUM(E33:G33,I33:N33,P33)</f>
        <v>4035.25</v>
      </c>
      <c r="AD33" s="489" t="e">
        <f>AC33+IF($B$2="mil",1,0.0254)*$C33</f>
        <v>#REF!</v>
      </c>
      <c r="AE33" s="489" t="e">
        <f>MAX(AE$30:AF$30)+IF($B$2="mil",1,0.0254)*DDR2Specs!$E$2</f>
        <v>#REF!</v>
      </c>
      <c r="AF33" s="489" t="e">
        <f>MIN(AE$30:AF$30)+IF($B$2="mil",1,0.0254)*DDR2Specs!$F$2</f>
        <v>#REF!</v>
      </c>
      <c r="AG33" s="21"/>
      <c r="AH33" s="598" t="e">
        <f>IF($AD33&lt;$AE33,$AE33-$AD33,"Pass")</f>
        <v>#REF!</v>
      </c>
      <c r="AI33" s="495" t="e">
        <f>IF($AD33&gt;$AF33,$AD33-$AF33,"Pass")</f>
        <v>#REF!</v>
      </c>
      <c r="AJ33" s="21"/>
      <c r="AK33" s="489">
        <f>SUM(E33:G33,I33:M33,O33,Q33)</f>
        <v>4032.75</v>
      </c>
      <c r="AL33" s="489" t="e">
        <f>AK33+IF($B$2="mil",1,0.0254)*$C33</f>
        <v>#REF!</v>
      </c>
      <c r="AM33" s="489" t="e">
        <f>MAX(AM$30:AN$30)+IF($B$2="mil",1,0.0254)*DDR2Specs!$E$2</f>
        <v>#REF!</v>
      </c>
      <c r="AN33" s="489" t="e">
        <f>MIN(AM$30:AN$30)+IF($B$2="mil",1,0.0254)*DDR2Specs!$F$2</f>
        <v>#REF!</v>
      </c>
      <c r="AO33" s="21"/>
      <c r="AP33" s="598" t="e">
        <f>IF($AL33&lt;$AM33,$AM33-$AL33,"Pass")</f>
        <v>#REF!</v>
      </c>
      <c r="AQ33" s="495" t="e">
        <f>IF($AL33&gt;$AN33,$AL33-$AN33,"Pass")</f>
        <v>#REF!</v>
      </c>
      <c r="AR33" s="21"/>
      <c r="AS33" s="495" t="e">
        <f>IF((ABS($U33-$U32)&lt;=IF($B$2="mil",1,0.0254)*5),"Pass",ABS($U33-$U32))</f>
        <v>#REF!</v>
      </c>
      <c r="AT33" s="495" t="e">
        <f>IF((ABS($AD33-$AD32)&lt;=IF($B$2="mil",1,0.0254)*5),"Pass",ABS($AD33-$AD32))</f>
        <v>#REF!</v>
      </c>
      <c r="AU33" s="495" t="e">
        <f>IF((ABS($AD33-$AD32)&lt;=IF($B$2="mil",1,0.0254)*10),"Pass",ABS($AD33-$AD32))</f>
        <v>#REF!</v>
      </c>
      <c r="AV33" s="495" t="e">
        <f>IF($E33&lt;=IF($B$2="mil",1,0.0254)*50,"Pass",IF($B$2="mil",1,0.0254)*50-$E33)</f>
        <v>#REF!</v>
      </c>
      <c r="AW33" s="495" t="e">
        <f>IF($F33&lt;=IF($B$2="mil",1,0.0254)*500,"Pass",IF($B$2="mil",1,0.0254)*500-$F33)</f>
        <v>#REF!</v>
      </c>
      <c r="AX33" s="495" t="e">
        <f>IF($H33&lt;=IF($B$2="mil",1,0.0254)*0,"Pass",IF($B$2="mil",1,0.0254)*0-$H33)</f>
        <v>#REF!</v>
      </c>
      <c r="AY33" s="495" t="e">
        <f ca="1">CheckLength(IF($B$2="mil",1,0.0254)*750, IF($B$2="mil",1,0.0254)*125-J33, 0, I33,J33,0)</f>
        <v>#NAME?</v>
      </c>
      <c r="AZ33" s="495" t="e">
        <f>IF($J33&lt;=IF($B$2="mil",1,0.0254)*125,"Pass",IF($B$2="mil",1,0.0254)*125-$J33)</f>
        <v>#REF!</v>
      </c>
      <c r="BA33" s="495" t="e">
        <f>IF($L33&lt;=IF($B$2="mil",1,0.0254)*125,"Pass",IF($B$2="mil",1,0.0254)*125-$L33)</f>
        <v>#REF!</v>
      </c>
      <c r="BB33" s="495" t="e">
        <f>IF(($L33+$M33)&lt;=IF($B$2="mil",1,0.0254)*1275,"Pass",IF($B$2="mil",1,0.0254)*1275-($L33+M33))</f>
        <v>#REF!</v>
      </c>
      <c r="BC33" s="495" t="e">
        <f>IF($N33&lt;=IF($B$2="mil",1,0.0254)*150,"Pass",IF($B$2="mil",1,0.0254)*150-$N33)</f>
        <v>#REF!</v>
      </c>
      <c r="BD33" s="495" t="e">
        <f>IF($O33&lt;=IF($B$2="mil",1,0.0254)*150,"Pass",IF($B$2="mil",1,0.0254)*150-$O33)</f>
        <v>#REF!</v>
      </c>
      <c r="BE33" s="493" t="e">
        <f>IF(MAX(N33:O33)-MIN(N33:O33)&lt;=IF($B$2="mil",1,0.0254)*50,"Pass",MAX(N33:O33)-MIN(N33:O33)-IF($B$2="mil",1,0.0254)*50)</f>
        <v>#REF!</v>
      </c>
      <c r="BF33" s="495" t="e">
        <f ca="1">CheckLength2(IF($B$2="mil",1,0.0254)*200,$N33,P33,0)</f>
        <v>#NAME?</v>
      </c>
      <c r="BG33" s="495" t="e">
        <f ca="1">CheckLength2(IF($B$2="mil",1,0.0254)*200,$O33,Q33,0)</f>
        <v>#NAME?</v>
      </c>
      <c r="BH33" s="495" t="e">
        <f>IF(AND($S33&gt;=IF($B$2="mil",1,0.0254)*500, $S33&lt;=IF($B$2="mil",1,0.0254)*4000),"Pass",IF($B$2="mil",1,0.0254)*4000-$S33)</f>
        <v>#REF!</v>
      </c>
      <c r="BI33" s="495" t="e">
        <f>IF(AND($U33&gt;=IF($B$2="mil",1,0.0254)*500, $U33&lt;=IF($B$2="mil",1,0.0254)*4750),"Pass",IF($B$2="mil",1,0.0254)*4750-$U33)</f>
        <v>#REF!</v>
      </c>
      <c r="BJ33" s="495" t="e">
        <f>IF(AND($AC33&gt;=IF($B$2="mil",1,0.0254)*500, $AC33&lt;=IF($B$2="mil",1,0.0254)*5500),"Pass",IF($B$2="mil",1,0.0254)*5500-$AC33)</f>
        <v>#REF!</v>
      </c>
      <c r="BK33" s="495" t="e">
        <f>IF(AND($AD33&gt;=IF($B$2="mil",1,0.0254)*500, $AD33&lt;=IF($B$2="mil",1,0.0254)*6000),"Pass",IF($B$2="mil",1,0.0254)*6000-$AD33)</f>
        <v>#REF!</v>
      </c>
      <c r="BL33" s="21"/>
      <c r="BM33" s="3" t="e">
        <f ca="1">IF(AND(AV33="Pass",BI33="Pass",AX33="Pass",AW33="Pass",BH33="Pass",Z33="Pass",AA33="Pass",BG33="Pass",BB33="Pass",BC33="Pass",BD33="Pass",BE33="Pass",BF33="Pass",BA33="Pass",AZ33="Pass",AY33="Pass",AP33="Pass",AQ33="Pass",AS33="Pass",AT33="Pass",AU33="Pass",BJ33="Pass",BK33="Pass",AH33="Pass",AI33="Pass"),"Pass","Fail")</f>
        <v>#REF!</v>
      </c>
    </row>
    <row r="34" spans="1:75" s="3" customFormat="1">
      <c r="A34" s="8" t="s">
        <v>249</v>
      </c>
      <c r="B34" s="631"/>
      <c r="C34" s="632"/>
      <c r="D34" s="10"/>
      <c r="E34" s="288"/>
      <c r="F34" s="288"/>
      <c r="G34" s="288"/>
      <c r="H34" s="288"/>
      <c r="I34" s="288"/>
      <c r="J34" s="292"/>
      <c r="K34" s="10"/>
      <c r="L34" s="292"/>
      <c r="M34" s="292"/>
      <c r="N34" s="292"/>
      <c r="O34" s="292"/>
      <c r="P34" s="292"/>
      <c r="Q34" s="292"/>
      <c r="R34" s="10"/>
      <c r="S34" s="9"/>
      <c r="T34" s="10"/>
      <c r="U34" s="51"/>
      <c r="V34" s="10"/>
      <c r="W34" s="10"/>
      <c r="X34" s="10"/>
      <c r="Y34" s="10"/>
      <c r="Z34" s="10"/>
      <c r="AA34" s="10"/>
      <c r="AB34" s="10"/>
      <c r="AC34" s="9"/>
      <c r="AD34" s="51"/>
      <c r="AE34" s="10"/>
      <c r="AF34" s="15"/>
      <c r="AG34" s="10"/>
      <c r="AH34" s="15"/>
      <c r="AI34" s="15"/>
      <c r="AJ34" s="10"/>
      <c r="AK34" s="9"/>
      <c r="AL34" s="51"/>
      <c r="AM34" s="10"/>
      <c r="AN34" s="15"/>
      <c r="AO34" s="10"/>
      <c r="AP34" s="15"/>
      <c r="AQ34" s="15"/>
      <c r="AR34" s="10"/>
      <c r="AS34" s="15"/>
      <c r="AT34" s="15"/>
      <c r="AU34" s="15"/>
      <c r="AV34" s="15"/>
      <c r="AW34" s="15"/>
      <c r="AX34" s="15"/>
      <c r="AY34" s="10"/>
      <c r="AZ34" s="10"/>
      <c r="BA34" s="10"/>
      <c r="BB34" s="10"/>
      <c r="BC34" s="10"/>
      <c r="BD34" s="10"/>
      <c r="BE34" s="10"/>
      <c r="BF34" s="10"/>
      <c r="BG34" s="10"/>
      <c r="BH34" s="10"/>
      <c r="BI34" s="10"/>
      <c r="BJ34" s="10"/>
      <c r="BK34" s="10"/>
      <c r="BL34" s="12"/>
    </row>
    <row r="35" spans="1:75" s="3" customFormat="1">
      <c r="A35" s="653" t="s">
        <v>24</v>
      </c>
      <c r="B35" s="654"/>
      <c r="C35" s="648"/>
      <c r="D35" s="53"/>
      <c r="E35" s="289"/>
      <c r="F35" s="289"/>
      <c r="G35" s="289"/>
      <c r="H35" s="289"/>
      <c r="I35" s="289"/>
      <c r="J35" s="293"/>
      <c r="K35" s="52"/>
      <c r="L35" s="293"/>
      <c r="M35" s="293"/>
      <c r="N35" s="293"/>
      <c r="O35" s="293"/>
      <c r="P35" s="293"/>
      <c r="Q35" s="293"/>
      <c r="R35" s="52"/>
      <c r="S35" s="81"/>
      <c r="T35" s="53"/>
      <c r="U35" s="65"/>
      <c r="V35" s="540"/>
      <c r="W35" s="168"/>
      <c r="X35" s="541"/>
      <c r="Y35" s="53"/>
      <c r="Z35" s="65"/>
      <c r="AA35" s="65"/>
      <c r="AB35" s="540"/>
      <c r="AC35" s="81"/>
      <c r="AD35" s="540" t="s">
        <v>225</v>
      </c>
      <c r="AE35" s="542" t="e">
        <f>MIN('DDR2 Clocks - 4L'!$O$17:$O$18)</f>
        <v>#REF!</v>
      </c>
      <c r="AF35" s="541" t="e">
        <f>MAX('DDR2 Clocks - 4L'!$O$17:$O$18)</f>
        <v>#REF!</v>
      </c>
      <c r="AG35" s="65"/>
      <c r="AH35" s="65"/>
      <c r="AI35" s="65"/>
      <c r="AJ35" s="540"/>
      <c r="AK35" s="81"/>
      <c r="AL35" s="540" t="s">
        <v>287</v>
      </c>
      <c r="AM35" s="542" t="e">
        <f>MIN('DDR2 Clocks - 4L'!$O$19:$O$20)</f>
        <v>#REF!</v>
      </c>
      <c r="AN35" s="541" t="e">
        <f>MAX('DDR2 Clocks - 4L'!$O$19:$O$20)</f>
        <v>#REF!</v>
      </c>
      <c r="AO35" s="65"/>
      <c r="AP35" s="65"/>
      <c r="AQ35" s="65"/>
      <c r="AR35" s="540"/>
      <c r="AS35" s="65"/>
      <c r="AT35" s="65"/>
      <c r="AU35" s="65"/>
      <c r="AV35" s="65"/>
      <c r="AW35" s="52"/>
      <c r="AX35" s="52"/>
      <c r="AY35" s="52"/>
      <c r="AZ35" s="52"/>
      <c r="BA35" s="52"/>
      <c r="BB35" s="52"/>
      <c r="BC35" s="52"/>
      <c r="BD35" s="52"/>
      <c r="BE35" s="52"/>
      <c r="BF35" s="52"/>
      <c r="BG35" s="52"/>
      <c r="BH35" s="52"/>
      <c r="BI35" s="52"/>
      <c r="BJ35" s="52"/>
      <c r="BK35" s="52"/>
      <c r="BL35" s="58"/>
    </row>
    <row r="36" spans="1:75" s="3" customFormat="1">
      <c r="A36" s="8" t="s">
        <v>250</v>
      </c>
      <c r="B36" s="657"/>
      <c r="C36" s="649"/>
      <c r="D36" s="62"/>
      <c r="E36" s="290"/>
      <c r="F36" s="290"/>
      <c r="G36" s="290"/>
      <c r="H36" s="290"/>
      <c r="I36" s="290"/>
      <c r="J36" s="294"/>
      <c r="K36" s="54"/>
      <c r="L36" s="294"/>
      <c r="M36" s="294"/>
      <c r="N36" s="294"/>
      <c r="O36" s="294"/>
      <c r="P36" s="294"/>
      <c r="Q36" s="294"/>
      <c r="R36" s="54"/>
      <c r="S36" s="54"/>
      <c r="T36" s="54"/>
      <c r="U36" s="54"/>
      <c r="V36" s="54"/>
      <c r="W36" s="54"/>
      <c r="X36" s="66"/>
      <c r="Y36" s="54"/>
      <c r="Z36" s="66"/>
      <c r="AA36" s="66"/>
      <c r="AB36" s="66"/>
      <c r="AC36" s="54"/>
      <c r="AD36" s="54"/>
      <c r="AE36" s="66"/>
      <c r="AF36" s="67"/>
      <c r="AG36" s="66"/>
      <c r="AH36" s="54"/>
      <c r="AI36" s="54"/>
      <c r="AJ36" s="66"/>
      <c r="AK36" s="54"/>
      <c r="AL36" s="54"/>
      <c r="AM36" s="66"/>
      <c r="AN36" s="67"/>
      <c r="AO36" s="66"/>
      <c r="AP36" s="54"/>
      <c r="AQ36" s="54"/>
      <c r="AR36" s="66"/>
      <c r="AS36" s="54"/>
      <c r="AT36" s="54"/>
      <c r="AU36" s="54"/>
      <c r="AV36" s="54"/>
      <c r="AW36" s="66"/>
      <c r="AX36" s="66"/>
      <c r="AY36" s="66"/>
      <c r="AZ36" s="66"/>
      <c r="BA36" s="66"/>
      <c r="BB36" s="66"/>
      <c r="BC36" s="66"/>
      <c r="BD36" s="66"/>
      <c r="BE36" s="66"/>
      <c r="BF36" s="66"/>
      <c r="BG36" s="66"/>
      <c r="BH36" s="66"/>
      <c r="BI36" s="66"/>
      <c r="BJ36" s="66"/>
      <c r="BK36" s="66"/>
      <c r="BL36" s="68"/>
    </row>
    <row r="37" spans="1:75" s="3" customFormat="1">
      <c r="A37" s="652" t="s">
        <v>102</v>
      </c>
      <c r="B37" s="646" t="s">
        <v>465</v>
      </c>
      <c r="C37" s="635">
        <v>762.24409448818903</v>
      </c>
      <c r="D37" s="18"/>
      <c r="E37" s="621">
        <v>22.63</v>
      </c>
      <c r="F37" s="277">
        <v>0</v>
      </c>
      <c r="G37" s="622">
        <v>1600.88</v>
      </c>
      <c r="H37" s="622">
        <v>0</v>
      </c>
      <c r="I37" s="622">
        <v>804.85</v>
      </c>
      <c r="J37" s="622">
        <v>44.57</v>
      </c>
      <c r="K37" s="621">
        <v>40</v>
      </c>
      <c r="L37" s="622">
        <v>90.75</v>
      </c>
      <c r="M37" s="622">
        <v>1100.57</v>
      </c>
      <c r="N37" s="305">
        <v>0</v>
      </c>
      <c r="O37" s="305">
        <v>0</v>
      </c>
      <c r="P37" s="622">
        <v>95.38</v>
      </c>
      <c r="Q37" s="622">
        <v>94.21</v>
      </c>
      <c r="R37" s="69"/>
      <c r="S37" s="489">
        <f xml:space="preserve"> E37+F37+G37+H37</f>
        <v>1623.5100000000002</v>
      </c>
      <c r="T37" s="597"/>
      <c r="U37" s="489" t="e">
        <f>S37+IF($B$2="mil",1,0.0254)*C37</f>
        <v>#REF!</v>
      </c>
      <c r="V37" s="597"/>
      <c r="W37" s="489" t="e">
        <f>MAX(W$5:X$5)+IF($B$2="mil",1,0.0254)*DDR2Specs!$B$2</f>
        <v>#REF!</v>
      </c>
      <c r="X37" s="489" t="e">
        <f>MIN(W$5:X$5)+IF($B$2="mil",1,0.0254)*DDR2Specs!$C$2</f>
        <v>#REF!</v>
      </c>
      <c r="Y37" s="597"/>
      <c r="Z37" s="598" t="e">
        <f>IF($U37&lt;$W37,$W37-$U37,"Pass")</f>
        <v>#REF!</v>
      </c>
      <c r="AA37" s="495" t="e">
        <f>IF($U37&gt;$X37,$U37-$X37,"Pass")</f>
        <v>#REF!</v>
      </c>
      <c r="AB37" s="21"/>
      <c r="AC37" s="489">
        <f>SUM(E37:G37,I37:N37,P37)</f>
        <v>3799.63</v>
      </c>
      <c r="AD37" s="489" t="e">
        <f>AC37+IF($B$2="mil",1,0.0254)*$C37</f>
        <v>#REF!</v>
      </c>
      <c r="AE37" s="489" t="e">
        <f>MAX(AE$35:AF$35)+IF($B$2="mil",1,0.0254)*DDR2Specs!$E$2</f>
        <v>#REF!</v>
      </c>
      <c r="AF37" s="489" t="e">
        <f>MIN(AE$35:AF$35)+IF($B$2="mil",1,0.0254)*DDR2Specs!$F$2</f>
        <v>#REF!</v>
      </c>
      <c r="AG37" s="21"/>
      <c r="AH37" s="598" t="e">
        <f>IF($AD37&lt;$AE37,$AE37-$AD37,"Pass")</f>
        <v>#REF!</v>
      </c>
      <c r="AI37" s="495" t="e">
        <f>IF($AD37&gt;$AF37,$AD37-$AF37,"Pass")</f>
        <v>#REF!</v>
      </c>
      <c r="AJ37" s="21"/>
      <c r="AK37" s="489">
        <f>SUM(E37:G37,I37:M37,O37,Q37)</f>
        <v>3798.46</v>
      </c>
      <c r="AL37" s="489" t="e">
        <f>AK37+IF($B$2="mil",1,0.0254)*$C37</f>
        <v>#REF!</v>
      </c>
      <c r="AM37" s="489" t="e">
        <f>MAX(AM$35:AN$35)+IF($B$2="mil",1,0.0254)*DDR2Specs!$E$2</f>
        <v>#REF!</v>
      </c>
      <c r="AN37" s="489" t="e">
        <f>MIN(AM$35:AN$35)+IF($B$2="mil",1,0.0254)*DDR2Specs!$F$2</f>
        <v>#REF!</v>
      </c>
      <c r="AO37" s="21"/>
      <c r="AP37" s="598" t="e">
        <f>IF($AL37&lt;$AM37,$AM37-$AL37,"Pass")</f>
        <v>#REF!</v>
      </c>
      <c r="AQ37" s="495" t="e">
        <f>IF($AL37&gt;$AN37,$AL37-$AN37,"Pass")</f>
        <v>#REF!</v>
      </c>
      <c r="AR37" s="21"/>
      <c r="AS37" s="495" t="e">
        <f>IF((ABS($U37-$U38)&lt;=IF($B$2="mil",1,0.0254)*5),"Pass",ABS($U37-$U38))</f>
        <v>#REF!</v>
      </c>
      <c r="AT37" s="495" t="e">
        <f>IF((ABS($AD37-$AD38)&lt;=IF($B$2="mil",1,0.0254)*5),"Pass",ABS($AD37-$AD38))</f>
        <v>#REF!</v>
      </c>
      <c r="AU37" s="495" t="e">
        <f>IF((ABS($AL37-$AL38)&lt;=IF($B$2="mil",1,0.0254)*10),"Pass",ABS($AL37-$AL38))</f>
        <v>#REF!</v>
      </c>
      <c r="AV37" s="495" t="e">
        <f>IF($E37&lt;=IF($B$2="mil",1,0.0254)*50,"Pass",IF($B$2="mil",1,0.0254)*50-$E37)</f>
        <v>#REF!</v>
      </c>
      <c r="AW37" s="495" t="e">
        <f>IF($F37&lt;=IF($B$2="mil",1,0.0254)*500,"Pass",IF($B$2="mil",1,0.0254)*500-$F37)</f>
        <v>#REF!</v>
      </c>
      <c r="AX37" s="495" t="e">
        <f>IF($H37&lt;=IF($B$2="mil",1,0.0254)*0,"Pass",IF($B$2="mil",1,0.0254)*0-$H37)</f>
        <v>#REF!</v>
      </c>
      <c r="AY37" s="495" t="e">
        <f ca="1">CheckLength(IF($B$2="mil",1,0.0254)*750, IF($B$2="mil",1,0.0254)*125-J37, 0, I37,J37,0)</f>
        <v>#NAME?</v>
      </c>
      <c r="AZ37" s="495" t="e">
        <f>IF($J37&lt;=IF($B$2="mil",1,0.0254)*125,"Pass",IF($B$2="mil",1,0.0254)*125-$J37)</f>
        <v>#REF!</v>
      </c>
      <c r="BA37" s="495" t="e">
        <f>IF($L37&lt;=IF($B$2="mil",1,0.0254)*125,"Pass",IF($B$2="mil",1,0.0254)*125-$L37)</f>
        <v>#REF!</v>
      </c>
      <c r="BB37" s="495" t="e">
        <f>IF(($L37+$M37)&lt;=IF($B$2="mil",1,0.0254)*1275,"Pass",IF($B$2="mil",1,0.0254)*1275-($L37+M37))</f>
        <v>#REF!</v>
      </c>
      <c r="BC37" s="495" t="e">
        <f>IF($N37&lt;=IF($B$2="mil",1,0.0254)*150,"Pass",IF($B$2="mil",1,0.0254)*150-$N37)</f>
        <v>#REF!</v>
      </c>
      <c r="BD37" s="495" t="e">
        <f>IF($O37&lt;=IF($B$2="mil",1,0.0254)*150,"Pass",IF($B$2="mil",1,0.0254)*150-$O37)</f>
        <v>#REF!</v>
      </c>
      <c r="BE37" s="493" t="e">
        <f>IF(MAX(N37:O37)-MIN(N37:O37)&lt;=IF($B$2="mil",1,0.0254)*50,"Pass",MAX(N37:O37)-MIN(N37:O37)-IF($B$2="mil",1,0.0254)*50)</f>
        <v>#REF!</v>
      </c>
      <c r="BF37" s="495" t="e">
        <f ca="1">CheckLength2(IF($B$2="mil",1,0.0254)*200,$N37,P37,0)</f>
        <v>#NAME?</v>
      </c>
      <c r="BG37" s="495" t="e">
        <f ca="1">CheckLength2(IF($B$2="mil",1,0.0254)*200,$O37,Q37,0)</f>
        <v>#NAME?</v>
      </c>
      <c r="BH37" s="495" t="e">
        <f>IF(AND($S37&gt;=IF($B$2="mil",1,0.0254)*500, $S37&lt;=IF($B$2="mil",1,0.0254)*4000),"Pass",IF($B$2="mil",1,0.0254)*4000-$S37)</f>
        <v>#REF!</v>
      </c>
      <c r="BI37" s="495" t="e">
        <f>IF(AND($U37&gt;=IF($B$2="mil",1,0.0254)*500, $U37&lt;=IF($B$2="mil",1,0.0254)*4750),"Pass",IF($B$2="mil",1,0.0254)*4750-$U37)</f>
        <v>#REF!</v>
      </c>
      <c r="BJ37" s="495" t="e">
        <f>IF(AND($AC37&gt;=IF($B$2="mil",1,0.0254)*500, $AC37&lt;=IF($B$2="mil",1,0.0254)*5500),"Pass",IF($B$2="mil",1,0.0254)*5500-$AC37)</f>
        <v>#REF!</v>
      </c>
      <c r="BK37" s="495" t="e">
        <f>IF(AND($AD37&gt;=IF($B$2="mil",1,0.0254)*500, $AD37&lt;=IF($B$2="mil",1,0.0254)*6000),"Pass",IF($B$2="mil",1,0.0254)*6000-$AD37)</f>
        <v>#REF!</v>
      </c>
      <c r="BL37" s="21"/>
      <c r="BM37" s="3" t="e">
        <f ca="1">IF(AND(AV37="Pass",BI37="Pass",AX37="Pass",AW37="Pass",BH37="Pass",Z37="Pass",AA37="Pass",BG37="Pass",BB37="Pass",BC37="Pass",BD37="Pass",BE37="Pass",BF37="Pass",BA37="Pass",AZ37="Pass",AY37="Pass",AP37="Pass",AQ37="Pass",AS37="Pass",AT37="Pass",AU37="Pass",BJ37="Pass",BK37="Pass",AH37="Pass",AI37="Pass"),"Pass","Fail")</f>
        <v>#REF!</v>
      </c>
    </row>
    <row r="38" spans="1:75" s="3" customFormat="1">
      <c r="A38" s="652" t="s">
        <v>103</v>
      </c>
      <c r="B38" s="646" t="s">
        <v>472</v>
      </c>
      <c r="C38" s="635">
        <v>762.24409448818903</v>
      </c>
      <c r="D38" s="18"/>
      <c r="E38" s="621">
        <v>22.63</v>
      </c>
      <c r="F38" s="277">
        <v>0</v>
      </c>
      <c r="G38" s="622">
        <v>1602.58</v>
      </c>
      <c r="H38" s="622">
        <v>0</v>
      </c>
      <c r="I38" s="622">
        <v>804.93</v>
      </c>
      <c r="J38" s="622">
        <v>43.4</v>
      </c>
      <c r="K38" s="621">
        <v>40</v>
      </c>
      <c r="L38" s="622">
        <v>92.41</v>
      </c>
      <c r="M38" s="622">
        <v>1080.57</v>
      </c>
      <c r="N38" s="305">
        <v>0</v>
      </c>
      <c r="O38" s="305">
        <v>0</v>
      </c>
      <c r="P38" s="622">
        <v>114.95</v>
      </c>
      <c r="Q38" s="622">
        <v>114.36</v>
      </c>
      <c r="R38" s="69"/>
      <c r="S38" s="489">
        <f xml:space="preserve"> E38+F38+G38+H38</f>
        <v>1625.21</v>
      </c>
      <c r="T38" s="597"/>
      <c r="U38" s="489" t="e">
        <f>S38+IF($B$2="mil",1,0.0254)*C38</f>
        <v>#REF!</v>
      </c>
      <c r="V38" s="597"/>
      <c r="W38" s="489" t="e">
        <f>MAX(W$5:X$5)+IF($B$2="mil",1,0.0254)*DDR2Specs!$B$2</f>
        <v>#REF!</v>
      </c>
      <c r="X38" s="489" t="e">
        <f>MIN(W$5:X$5)+IF($B$2="mil",1,0.0254)*DDR2Specs!$C$2</f>
        <v>#REF!</v>
      </c>
      <c r="Y38" s="597"/>
      <c r="Z38" s="598" t="e">
        <f>IF($U38&lt;$W38,$W38-$U38,"Pass")</f>
        <v>#REF!</v>
      </c>
      <c r="AA38" s="495" t="e">
        <f>IF($U38&gt;$X38,$U38-$X38,"Pass")</f>
        <v>#REF!</v>
      </c>
      <c r="AB38" s="21"/>
      <c r="AC38" s="489">
        <f>SUM(E38:G38,I38:N38,P38)</f>
        <v>3801.4699999999993</v>
      </c>
      <c r="AD38" s="489" t="e">
        <f>AC38+IF($B$2="mil",1,0.0254)*$C38</f>
        <v>#REF!</v>
      </c>
      <c r="AE38" s="489" t="e">
        <f>MAX(AE$35:AF$35)+IF($B$2="mil",1,0.0254)*DDR2Specs!$E$2</f>
        <v>#REF!</v>
      </c>
      <c r="AF38" s="489" t="e">
        <f>MIN(AE$35:AF$35)+IF($B$2="mil",1,0.0254)*DDR2Specs!$F$2</f>
        <v>#REF!</v>
      </c>
      <c r="AG38" s="21"/>
      <c r="AH38" s="598" t="e">
        <f>IF($AD38&lt;$AE38,$AE38-$AD38,"Pass")</f>
        <v>#REF!</v>
      </c>
      <c r="AI38" s="495" t="e">
        <f>IF($AD38&gt;$AF38,$AD38-$AF38,"Pass")</f>
        <v>#REF!</v>
      </c>
      <c r="AJ38" s="21"/>
      <c r="AK38" s="489">
        <f>SUM(E38:G38,I38:M38,O38,Q38)</f>
        <v>3800.8799999999997</v>
      </c>
      <c r="AL38" s="489" t="e">
        <f>AK38+IF($B$2="mil",1,0.0254)*$C38</f>
        <v>#REF!</v>
      </c>
      <c r="AM38" s="489" t="e">
        <f>MAX(AM$35:AN$35)+IF($B$2="mil",1,0.0254)*DDR2Specs!$E$2</f>
        <v>#REF!</v>
      </c>
      <c r="AN38" s="489" t="e">
        <f>MIN(AM$35:AN$35)+IF($B$2="mil",1,0.0254)*DDR2Specs!$F$2</f>
        <v>#REF!</v>
      </c>
      <c r="AO38" s="21"/>
      <c r="AP38" s="598" t="e">
        <f>IF($AL38&lt;$AM38,$AM38-$AL38,"Pass")</f>
        <v>#REF!</v>
      </c>
      <c r="AQ38" s="495" t="e">
        <f>IF($AL38&gt;$AN38,$AL38-$AN38,"Pass")</f>
        <v>#REF!</v>
      </c>
      <c r="AR38" s="21"/>
      <c r="AS38" s="495" t="e">
        <f>IF((ABS($U38-$U37)&lt;=IF($B$2="mil",1,0.0254)*5),"Pass",ABS($U38-$U37))</f>
        <v>#REF!</v>
      </c>
      <c r="AT38" s="495" t="e">
        <f>IF((ABS($AD38-$AD37)&lt;=IF($B$2="mil",1,0.0254)*5),"Pass",ABS($AD38-$AD37))</f>
        <v>#REF!</v>
      </c>
      <c r="AU38" s="495" t="e">
        <f>IF((ABS($AL38-$AL37)&lt;=IF($B$2="mil",1,0.0254)*10),"Pass",ABS($AL38-$AL37))</f>
        <v>#REF!</v>
      </c>
      <c r="AV38" s="495" t="e">
        <f>IF($E38&lt;=IF($B$2="mil",1,0.0254)*50,"Pass",IF($B$2="mil",1,0.0254)*50-$E38)</f>
        <v>#REF!</v>
      </c>
      <c r="AW38" s="495" t="e">
        <f>IF($F38&lt;=IF($B$2="mil",1,0.0254)*500,"Pass",IF($B$2="mil",1,0.0254)*500-$F38)</f>
        <v>#REF!</v>
      </c>
      <c r="AX38" s="495" t="e">
        <f>IF($H38&lt;=IF($B$2="mil",1,0.0254)*0,"Pass",IF($B$2="mil",1,0.0254)*0-$H38)</f>
        <v>#REF!</v>
      </c>
      <c r="AY38" s="495" t="e">
        <f ca="1">CheckLength(IF($B$2="mil",1,0.0254)*750, IF($B$2="mil",1,0.0254)*125-J38, 0, I38,J38,0)</f>
        <v>#NAME?</v>
      </c>
      <c r="AZ38" s="495" t="e">
        <f>IF($J38&lt;=IF($B$2="mil",1,0.0254)*125,"Pass",IF($B$2="mil",1,0.0254)*125-$J38)</f>
        <v>#REF!</v>
      </c>
      <c r="BA38" s="495" t="e">
        <f>IF($L38&lt;=IF($B$2="mil",1,0.0254)*125,"Pass",IF($B$2="mil",1,0.0254)*125-$L38)</f>
        <v>#REF!</v>
      </c>
      <c r="BB38" s="495" t="e">
        <f>IF(($L38+$M38)&lt;=IF($B$2="mil",1,0.0254)*1275,"Pass",IF($B$2="mil",1,0.0254)*1275-($L38+M38))</f>
        <v>#REF!</v>
      </c>
      <c r="BC38" s="495" t="e">
        <f>IF($N38&lt;=IF($B$2="mil",1,0.0254)*150,"Pass",IF($B$2="mil",1,0.0254)*150-$N38)</f>
        <v>#REF!</v>
      </c>
      <c r="BD38" s="495" t="e">
        <f>IF($O38&lt;=IF($B$2="mil",1,0.0254)*150,"Pass",IF($B$2="mil",1,0.0254)*150-$O38)</f>
        <v>#REF!</v>
      </c>
      <c r="BE38" s="493" t="e">
        <f>IF(MAX(N38:O38)-MIN(N38:O38)&lt;=IF($B$2="mil",1,0.0254)*50,"Pass",MAX(N38:O38)-MIN(N38:O38)-IF($B$2="mil",1,0.0254)*50)</f>
        <v>#REF!</v>
      </c>
      <c r="BF38" s="495" t="e">
        <f ca="1">CheckLength2(IF($B$2="mil",1,0.0254)*200,$N38,P38,0)</f>
        <v>#NAME?</v>
      </c>
      <c r="BG38" s="495" t="e">
        <f ca="1">CheckLength2(IF($B$2="mil",1,0.0254)*200,$O38,Q38,0)</f>
        <v>#NAME?</v>
      </c>
      <c r="BH38" s="495" t="e">
        <f>IF(AND($S38&gt;=IF($B$2="mil",1,0.0254)*500, $S38&lt;=IF($B$2="mil",1,0.0254)*4000),"Pass",IF($B$2="mil",1,0.0254)*4000-$S38)</f>
        <v>#REF!</v>
      </c>
      <c r="BI38" s="495" t="e">
        <f>IF(AND($U38&gt;=IF($B$2="mil",1,0.0254)*500, $U38&lt;=IF($B$2="mil",1,0.0254)*4750),"Pass",IF($B$2="mil",1,0.0254)*4750-$U38)</f>
        <v>#REF!</v>
      </c>
      <c r="BJ38" s="495" t="e">
        <f>IF(AND($AC38&gt;=IF($B$2="mil",1,0.0254)*500, $AC38&lt;=IF($B$2="mil",1,0.0254)*5500),"Pass",IF($B$2="mil",1,0.0254)*5500-$AC38)</f>
        <v>#REF!</v>
      </c>
      <c r="BK38" s="495" t="e">
        <f>IF(AND($AD38&gt;=IF($B$2="mil",1,0.0254)*500, $AD38&lt;=IF($B$2="mil",1,0.0254)*6000),"Pass",IF($B$2="mil",1,0.0254)*6000-$AD38)</f>
        <v>#REF!</v>
      </c>
      <c r="BL38" s="21"/>
      <c r="BM38" s="3" t="e">
        <f ca="1">IF(AND(AV38="Pass",BI38="Pass",AX38="Pass",AW38="Pass",BH38="Pass",Z38="Pass",AA38="Pass",BG38="Pass",BB38="Pass",BC38="Pass",BD38="Pass",BE38="Pass",BF38="Pass",BA38="Pass",AZ38="Pass",AY38="Pass",AP38="Pass",AQ38="Pass",AS38="Pass",AT38="Pass",AU38="Pass",BJ38="Pass",BK38="Pass",AH38="Pass",AI38="Pass"),"Pass","Fail")</f>
        <v>#REF!</v>
      </c>
    </row>
    <row r="39" spans="1:75" s="3" customFormat="1">
      <c r="A39" s="8" t="s">
        <v>249</v>
      </c>
      <c r="B39" s="631"/>
      <c r="C39" s="632"/>
      <c r="D39" s="10"/>
      <c r="E39" s="288"/>
      <c r="F39" s="288"/>
      <c r="G39" s="288"/>
      <c r="H39" s="288"/>
      <c r="I39" s="288"/>
      <c r="J39" s="292"/>
      <c r="K39" s="10"/>
      <c r="L39" s="292"/>
      <c r="M39" s="292"/>
      <c r="N39" s="292"/>
      <c r="O39" s="292"/>
      <c r="P39" s="292"/>
      <c r="Q39" s="292"/>
      <c r="R39" s="10"/>
      <c r="S39" s="9"/>
      <c r="T39" s="10"/>
      <c r="U39" s="51"/>
      <c r="V39" s="10"/>
      <c r="W39" s="10"/>
      <c r="X39" s="10"/>
      <c r="Y39" s="10"/>
      <c r="Z39" s="10"/>
      <c r="AA39" s="10"/>
      <c r="AB39" s="10"/>
      <c r="AC39" s="9"/>
      <c r="AD39" s="51"/>
      <c r="AE39" s="10"/>
      <c r="AF39" s="15"/>
      <c r="AG39" s="10"/>
      <c r="AH39" s="15"/>
      <c r="AI39" s="15"/>
      <c r="AJ39" s="10"/>
      <c r="AK39" s="9"/>
      <c r="AL39" s="51"/>
      <c r="AM39" s="10"/>
      <c r="AN39" s="15"/>
      <c r="AO39" s="10"/>
      <c r="AP39" s="15"/>
      <c r="AQ39" s="15"/>
      <c r="AR39" s="10"/>
      <c r="AS39" s="15"/>
      <c r="AT39" s="15"/>
      <c r="AU39" s="15"/>
      <c r="AV39" s="15"/>
      <c r="AW39" s="15"/>
      <c r="AX39" s="15"/>
      <c r="AY39" s="10"/>
      <c r="AZ39" s="10"/>
      <c r="BA39" s="10"/>
      <c r="BB39" s="10"/>
      <c r="BC39" s="10"/>
      <c r="BD39" s="10"/>
      <c r="BE39" s="10"/>
      <c r="BF39" s="10"/>
      <c r="BG39" s="10"/>
      <c r="BH39" s="10"/>
      <c r="BI39" s="10"/>
      <c r="BJ39" s="10"/>
      <c r="BK39" s="10"/>
      <c r="BL39" s="12"/>
    </row>
    <row r="40" spans="1:75" s="3" customFormat="1">
      <c r="A40" s="653" t="s">
        <v>24</v>
      </c>
      <c r="B40" s="654"/>
      <c r="C40" s="648"/>
      <c r="D40" s="53"/>
      <c r="E40" s="289"/>
      <c r="F40" s="289"/>
      <c r="G40" s="289"/>
      <c r="H40" s="289"/>
      <c r="I40" s="289"/>
      <c r="J40" s="293"/>
      <c r="K40" s="52"/>
      <c r="L40" s="293"/>
      <c r="M40" s="293"/>
      <c r="N40" s="293"/>
      <c r="O40" s="293"/>
      <c r="P40" s="293"/>
      <c r="Q40" s="293"/>
      <c r="R40" s="52"/>
      <c r="S40" s="81"/>
      <c r="T40" s="53"/>
      <c r="U40" s="65"/>
      <c r="V40" s="540"/>
      <c r="W40" s="168"/>
      <c r="X40" s="541"/>
      <c r="Y40" s="53"/>
      <c r="Z40" s="65"/>
      <c r="AA40" s="65"/>
      <c r="AB40" s="540"/>
      <c r="AC40" s="81"/>
      <c r="AD40" s="540" t="s">
        <v>225</v>
      </c>
      <c r="AE40" s="542" t="e">
        <f>MIN('DDR2 Clocks - 4L'!$O$17:$O$18)</f>
        <v>#REF!</v>
      </c>
      <c r="AF40" s="541" t="e">
        <f>MAX('DDR2 Clocks - 4L'!$O$17:$O$18)</f>
        <v>#REF!</v>
      </c>
      <c r="AG40" s="65"/>
      <c r="AH40" s="65"/>
      <c r="AI40" s="65"/>
      <c r="AJ40" s="540"/>
      <c r="AK40" s="81"/>
      <c r="AL40" s="540" t="s">
        <v>287</v>
      </c>
      <c r="AM40" s="542" t="e">
        <f>MIN('DDR2 Clocks - 4L'!$O$19:$O$20)</f>
        <v>#REF!</v>
      </c>
      <c r="AN40" s="541" t="e">
        <f>MAX('DDR2 Clocks - 4L'!$O$19:$O$20)</f>
        <v>#REF!</v>
      </c>
      <c r="AO40" s="65"/>
      <c r="AP40" s="65"/>
      <c r="AQ40" s="65"/>
      <c r="AR40" s="540"/>
      <c r="AS40" s="65"/>
      <c r="AT40" s="65"/>
      <c r="AU40" s="65"/>
      <c r="AV40" s="65"/>
      <c r="AW40" s="52"/>
      <c r="AX40" s="52"/>
      <c r="AY40" s="52"/>
      <c r="AZ40" s="52"/>
      <c r="BA40" s="52"/>
      <c r="BB40" s="52"/>
      <c r="BC40" s="52"/>
      <c r="BD40" s="52"/>
      <c r="BE40" s="52"/>
      <c r="BF40" s="52"/>
      <c r="BG40" s="52"/>
      <c r="BH40" s="52"/>
      <c r="BI40" s="52"/>
      <c r="BJ40" s="52"/>
      <c r="BK40" s="52"/>
      <c r="BL40" s="58"/>
    </row>
    <row r="41" spans="1:75" s="3" customFormat="1">
      <c r="A41" s="8" t="s">
        <v>250</v>
      </c>
      <c r="B41" s="655"/>
      <c r="C41" s="649"/>
      <c r="D41" s="62"/>
      <c r="E41" s="290"/>
      <c r="F41" s="290"/>
      <c r="G41" s="290"/>
      <c r="H41" s="290"/>
      <c r="I41" s="290"/>
      <c r="J41" s="294"/>
      <c r="K41" s="54"/>
      <c r="L41" s="294"/>
      <c r="M41" s="294"/>
      <c r="N41" s="294"/>
      <c r="O41" s="294"/>
      <c r="P41" s="294"/>
      <c r="Q41" s="294"/>
      <c r="R41" s="54"/>
      <c r="S41" s="54"/>
      <c r="T41" s="54"/>
      <c r="U41" s="54"/>
      <c r="V41" s="54"/>
      <c r="W41" s="54"/>
      <c r="X41" s="66"/>
      <c r="Y41" s="54"/>
      <c r="Z41" s="66"/>
      <c r="AA41" s="66"/>
      <c r="AB41" s="66"/>
      <c r="AC41" s="54"/>
      <c r="AD41" s="54"/>
      <c r="AE41" s="66"/>
      <c r="AF41" s="67"/>
      <c r="AG41" s="66"/>
      <c r="AH41" s="54"/>
      <c r="AI41" s="54"/>
      <c r="AJ41" s="66"/>
      <c r="AK41" s="54"/>
      <c r="AL41" s="54"/>
      <c r="AM41" s="66"/>
      <c r="AN41" s="67"/>
      <c r="AO41" s="66"/>
      <c r="AP41" s="54"/>
      <c r="AQ41" s="54"/>
      <c r="AR41" s="66"/>
      <c r="AS41" s="54"/>
      <c r="AT41" s="54"/>
      <c r="AU41" s="54"/>
      <c r="AV41" s="54"/>
      <c r="AW41" s="66"/>
      <c r="AX41" s="66"/>
      <c r="AY41" s="66"/>
      <c r="AZ41" s="66"/>
      <c r="BA41" s="66"/>
      <c r="BB41" s="66"/>
      <c r="BC41" s="66"/>
      <c r="BD41" s="66"/>
      <c r="BE41" s="66"/>
      <c r="BF41" s="66"/>
      <c r="BG41" s="66"/>
      <c r="BH41" s="66"/>
      <c r="BI41" s="66"/>
      <c r="BJ41" s="66"/>
      <c r="BK41" s="66"/>
      <c r="BL41" s="68"/>
    </row>
    <row r="42" spans="1:75" s="3" customFormat="1">
      <c r="A42" s="652" t="s">
        <v>105</v>
      </c>
      <c r="B42" s="646" t="s">
        <v>466</v>
      </c>
      <c r="C42" s="635">
        <v>624.48818897637796</v>
      </c>
      <c r="D42" s="18"/>
      <c r="E42" s="621">
        <v>22.63</v>
      </c>
      <c r="F42" s="277">
        <v>0</v>
      </c>
      <c r="G42" s="622">
        <v>2220.54</v>
      </c>
      <c r="H42" s="622">
        <v>0</v>
      </c>
      <c r="I42" s="622">
        <v>769.05</v>
      </c>
      <c r="J42" s="622">
        <v>82.47</v>
      </c>
      <c r="K42" s="621">
        <v>40</v>
      </c>
      <c r="L42" s="622">
        <v>86.47</v>
      </c>
      <c r="M42" s="622">
        <v>1114.06</v>
      </c>
      <c r="N42" s="305">
        <v>0</v>
      </c>
      <c r="O42" s="305">
        <v>0</v>
      </c>
      <c r="P42" s="622">
        <v>63.73</v>
      </c>
      <c r="Q42" s="622">
        <v>62.23</v>
      </c>
      <c r="R42" s="69"/>
      <c r="S42" s="489">
        <f xml:space="preserve"> E42+F42+G42+H42</f>
        <v>2243.17</v>
      </c>
      <c r="T42" s="597"/>
      <c r="U42" s="489" t="e">
        <f>S42+IF($B$2="mil",1,0.0254)*C42</f>
        <v>#REF!</v>
      </c>
      <c r="V42" s="597"/>
      <c r="W42" s="489" t="e">
        <f>MAX(W$5:X$5)+IF($B$2="mil",1,0.0254)*DDR2Specs!$B$2</f>
        <v>#REF!</v>
      </c>
      <c r="X42" s="489" t="e">
        <f>MIN(W$5:X$5)+IF($B$2="mil",1,0.0254)*DDR2Specs!$C$2</f>
        <v>#REF!</v>
      </c>
      <c r="Y42" s="597"/>
      <c r="Z42" s="598" t="e">
        <f>IF($U42&lt;$W42,$W42-$U42,"Pass")</f>
        <v>#REF!</v>
      </c>
      <c r="AA42" s="495" t="e">
        <f>IF($U42&gt;$X42,$U42-$X42,"Pass")</f>
        <v>#REF!</v>
      </c>
      <c r="AB42" s="21"/>
      <c r="AC42" s="489">
        <f>SUM(E42:G42,I42:N42,P42)</f>
        <v>4398.9499999999989</v>
      </c>
      <c r="AD42" s="489" t="e">
        <f>AC42+IF($B$2="mil",1,0.0254)*$C42</f>
        <v>#REF!</v>
      </c>
      <c r="AE42" s="489" t="e">
        <f>MAX(AE$40:AF$40)+IF($B$2="mil",1,0.0254)*DDR2Specs!$E$2</f>
        <v>#REF!</v>
      </c>
      <c r="AF42" s="489" t="e">
        <f>MIN(AE$40:AF$40)+IF($B$2="mil",1,0.0254)*DDR2Specs!$F$2</f>
        <v>#REF!</v>
      </c>
      <c r="AG42" s="21"/>
      <c r="AH42" s="598" t="e">
        <f>IF($AD42&lt;$AE42,$AE42-$AD42,"Pass")</f>
        <v>#REF!</v>
      </c>
      <c r="AI42" s="495" t="e">
        <f>IF($AD42&gt;$AF42,$AD42-$AF42,"Pass")</f>
        <v>#REF!</v>
      </c>
      <c r="AJ42" s="21"/>
      <c r="AK42" s="489">
        <f>SUM(E42:G42,I42:M42,O42,Q42)</f>
        <v>4397.4499999999989</v>
      </c>
      <c r="AL42" s="489" t="e">
        <f>AK42+IF($B$2="mil",1,0.0254)*$C42</f>
        <v>#REF!</v>
      </c>
      <c r="AM42" s="489" t="e">
        <f>MAX(AM$40:AN$40)+IF($B$2="mil",1,0.0254)*DDR2Specs!$E$2</f>
        <v>#REF!</v>
      </c>
      <c r="AN42" s="489" t="e">
        <f>MIN(AM$40:AN$40)+IF($B$2="mil",1,0.0254)*DDR2Specs!$F$2</f>
        <v>#REF!</v>
      </c>
      <c r="AO42" s="21"/>
      <c r="AP42" s="598" t="e">
        <f>IF($AL42&lt;$AM42,$AM42-$AL42,"Pass")</f>
        <v>#REF!</v>
      </c>
      <c r="AQ42" s="495" t="e">
        <f>IF($AL42&gt;$AN42,$AL42-$AN42,"Pass")</f>
        <v>#REF!</v>
      </c>
      <c r="AR42" s="21"/>
      <c r="AS42" s="495" t="e">
        <f>IF((ABS($U42-$U43)&lt;=IF($B$2="mil",1,0.0254)*5),"Pass",ABS($U42-$U43))</f>
        <v>#REF!</v>
      </c>
      <c r="AT42" s="495" t="e">
        <f>IF((ABS($AD42-$AD43)&lt;=IF($B$2="mil",1,0.0254)*5),"Pass",ABS($AD42-$AD43))</f>
        <v>#REF!</v>
      </c>
      <c r="AU42" s="495" t="e">
        <f>IF((ABS($AL42-$AL43)&lt;=IF($B$2="mil",1,0.0254)*10),"Pass",ABS($AL42-$AL43))</f>
        <v>#REF!</v>
      </c>
      <c r="AV42" s="495" t="e">
        <f>IF($E42&lt;=IF($B$2="mil",1,0.0254)*50,"Pass",IF($B$2="mil",1,0.0254)*50-$E42)</f>
        <v>#REF!</v>
      </c>
      <c r="AW42" s="495" t="e">
        <f>IF($F42&lt;=IF($B$2="mil",1,0.0254)*500,"Pass",IF($B$2="mil",1,0.0254)*500-$F42)</f>
        <v>#REF!</v>
      </c>
      <c r="AX42" s="495" t="e">
        <f>IF($H42&lt;=IF($B$2="mil",1,0.0254)*0,"Pass",IF($B$2="mil",1,0.0254)*0-$H42)</f>
        <v>#REF!</v>
      </c>
      <c r="AY42" s="495" t="e">
        <f ca="1">CheckLength(IF($B$2="mil",1,0.0254)*750, IF($B$2="mil",1,0.0254)*125-J42, 0, I42,J42,0)</f>
        <v>#NAME?</v>
      </c>
      <c r="AZ42" s="495" t="e">
        <f>IF($J42&lt;=IF($B$2="mil",1,0.0254)*125,"Pass",IF($B$2="mil",1,0.0254)*125-$J42)</f>
        <v>#REF!</v>
      </c>
      <c r="BA42" s="495" t="e">
        <f>IF($L42&lt;=IF($B$2="mil",1,0.0254)*125,"Pass",IF($B$2="mil",1,0.0254)*125-$L42)</f>
        <v>#REF!</v>
      </c>
      <c r="BB42" s="495" t="e">
        <f>IF(($L42+$M42)&lt;=IF($B$2="mil",1,0.0254)*1275,"Pass",IF($B$2="mil",1,0.0254)*1275-($L42+M42))</f>
        <v>#REF!</v>
      </c>
      <c r="BC42" s="495" t="e">
        <f>IF($N42&lt;=IF($B$2="mil",1,0.0254)*150,"Pass",IF($B$2="mil",1,0.0254)*150-$N42)</f>
        <v>#REF!</v>
      </c>
      <c r="BD42" s="495" t="e">
        <f>IF($O42&lt;=IF($B$2="mil",1,0.0254)*150,"Pass",IF($B$2="mil",1,0.0254)*150-$O42)</f>
        <v>#REF!</v>
      </c>
      <c r="BE42" s="493" t="e">
        <f>IF(MAX(N42:O42)-MIN(N42:O42)&lt;=IF($B$2="mil",1,0.0254)*50,"Pass",MAX(N42:O42)-MIN(N42:O42)-IF($B$2="mil",1,0.0254)*50)</f>
        <v>#REF!</v>
      </c>
      <c r="BF42" s="495" t="e">
        <f ca="1">CheckLength2(IF($B$2="mil",1,0.0254)*200,$N42,P42,0)</f>
        <v>#NAME?</v>
      </c>
      <c r="BG42" s="495" t="e">
        <f ca="1">CheckLength2(IF($B$2="mil",1,0.0254)*200,$O42,Q42,0)</f>
        <v>#NAME?</v>
      </c>
      <c r="BH42" s="495" t="e">
        <f>IF(AND($S42&gt;=IF($B$2="mil",1,0.0254)*500, $S42&lt;=IF($B$2="mil",1,0.0254)*4000),"Pass",IF($B$2="mil",1,0.0254)*4000-$S42)</f>
        <v>#REF!</v>
      </c>
      <c r="BI42" s="495" t="e">
        <f>IF(AND($U42&gt;=IF($B$2="mil",1,0.0254)*500, $U42&lt;=IF($B$2="mil",1,0.0254)*4750),"Pass",IF($B$2="mil",1,0.0254)*4750-$U42)</f>
        <v>#REF!</v>
      </c>
      <c r="BJ42" s="495" t="e">
        <f>IF(AND($AC42&gt;=IF($B$2="mil",1,0.0254)*500, $AC42&lt;=IF($B$2="mil",1,0.0254)*5500),"Pass",IF($B$2="mil",1,0.0254)*5500-$AC42)</f>
        <v>#REF!</v>
      </c>
      <c r="BK42" s="495" t="e">
        <f>IF(AND($AD42&gt;=IF($B$2="mil",1,0.0254)*500, $AD42&lt;=IF($B$2="mil",1,0.0254)*6000),"Pass",IF($B$2="mil",1,0.0254)*6000-$AD42)</f>
        <v>#REF!</v>
      </c>
      <c r="BL42" s="21"/>
      <c r="BM42" s="3" t="e">
        <f ca="1">IF(AND(AV42="Pass",BI42="Pass",AX42="Pass",AW42="Pass",BH42="Pass",Z42="Pass",AA42="Pass",BG42="Pass",BB42="Pass",BC42="Pass",BD42="Pass",BE42="Pass",BF42="Pass",BA42="Pass",AZ42="Pass",AY42="Pass",AP42="Pass",AQ42="Pass",AS42="Pass",AT42="Pass",AU42="Pass",BJ42="Pass",BK42="Pass",AH42="Pass",AI42="Pass"),"Pass","Fail")</f>
        <v>#REF!</v>
      </c>
    </row>
    <row r="43" spans="1:75" s="3" customFormat="1">
      <c r="A43" s="652" t="s">
        <v>106</v>
      </c>
      <c r="B43" s="646" t="s">
        <v>473</v>
      </c>
      <c r="C43" s="635">
        <v>624.48818897637796</v>
      </c>
      <c r="D43" s="18"/>
      <c r="E43" s="621">
        <v>22.63</v>
      </c>
      <c r="F43" s="277">
        <v>0</v>
      </c>
      <c r="G43" s="622">
        <v>2216.65</v>
      </c>
      <c r="H43" s="622">
        <v>0</v>
      </c>
      <c r="I43" s="622">
        <v>779.39</v>
      </c>
      <c r="J43" s="622">
        <v>85.78</v>
      </c>
      <c r="K43" s="621">
        <v>40</v>
      </c>
      <c r="L43" s="622">
        <v>85.78</v>
      </c>
      <c r="M43" s="622">
        <v>1057.99</v>
      </c>
      <c r="N43" s="305">
        <v>0</v>
      </c>
      <c r="O43" s="305">
        <v>0</v>
      </c>
      <c r="P43" s="622">
        <v>109.41</v>
      </c>
      <c r="Q43" s="622">
        <v>107.91</v>
      </c>
      <c r="R43" s="69"/>
      <c r="S43" s="489">
        <f xml:space="preserve"> E43+F43+G43+H43</f>
        <v>2239.2800000000002</v>
      </c>
      <c r="T43" s="597"/>
      <c r="U43" s="489" t="e">
        <f>S43+IF($B$2="mil",1,0.0254)*C43</f>
        <v>#REF!</v>
      </c>
      <c r="V43" s="597"/>
      <c r="W43" s="489" t="e">
        <f>MAX(W$5:X$5)+IF($B$2="mil",1,0.0254)*DDR2Specs!$B$2</f>
        <v>#REF!</v>
      </c>
      <c r="X43" s="489" t="e">
        <f>MIN(W$5:X$5)+IF($B$2="mil",1,0.0254)*DDR2Specs!$C$2</f>
        <v>#REF!</v>
      </c>
      <c r="Y43" s="597"/>
      <c r="Z43" s="598" t="e">
        <f>IF($U43&lt;$W43,$W43-$U43,"Pass")</f>
        <v>#REF!</v>
      </c>
      <c r="AA43" s="495" t="e">
        <f>IF($U43&gt;$X43,$U43-$X43,"Pass")</f>
        <v>#REF!</v>
      </c>
      <c r="AB43" s="21"/>
      <c r="AC43" s="489">
        <f>SUM(E43:G43,I43:N43,P43)</f>
        <v>4397.63</v>
      </c>
      <c r="AD43" s="489" t="e">
        <f>AC43+IF($B$2="mil",1,0.0254)*$C43</f>
        <v>#REF!</v>
      </c>
      <c r="AE43" s="489" t="e">
        <f>MAX(AE$40:AF$40)+IF($B$2="mil",1,0.0254)*DDR2Specs!$E$2</f>
        <v>#REF!</v>
      </c>
      <c r="AF43" s="489" t="e">
        <f>MIN(AE$40:AF$40)+IF($B$2="mil",1,0.0254)*DDR2Specs!$F$2</f>
        <v>#REF!</v>
      </c>
      <c r="AG43" s="21"/>
      <c r="AH43" s="598" t="e">
        <f>IF($AD43&lt;$AE43,$AE43-$AD43,"Pass")</f>
        <v>#REF!</v>
      </c>
      <c r="AI43" s="495" t="e">
        <f>IF($AD43&gt;$AF43,$AD43-$AF43,"Pass")</f>
        <v>#REF!</v>
      </c>
      <c r="AJ43" s="21"/>
      <c r="AK43" s="489">
        <f>SUM(E43:G43,I43:M43,O43,Q43)</f>
        <v>4396.13</v>
      </c>
      <c r="AL43" s="489" t="e">
        <f>AK43+IF($B$2="mil",1,0.0254)*$C43</f>
        <v>#REF!</v>
      </c>
      <c r="AM43" s="489" t="e">
        <f>MAX(AM$40:AN$40)+IF($B$2="mil",1,0.0254)*DDR2Specs!$E$2</f>
        <v>#REF!</v>
      </c>
      <c r="AN43" s="489" t="e">
        <f>MIN(AM$40:AN$40)+IF($B$2="mil",1,0.0254)*DDR2Specs!$F$2</f>
        <v>#REF!</v>
      </c>
      <c r="AO43" s="21"/>
      <c r="AP43" s="598" t="e">
        <f>IF($AL43&lt;$AM43,$AM43-$AL43,"Pass")</f>
        <v>#REF!</v>
      </c>
      <c r="AQ43" s="495" t="e">
        <f>IF($AL43&gt;$AN43,$AL43-$AN43,"Pass")</f>
        <v>#REF!</v>
      </c>
      <c r="AR43" s="21"/>
      <c r="AS43" s="495" t="e">
        <f>IF((ABS($U43-$U42)&lt;=IF($B$2="mil",1,0.0254)*5),"Pass",ABS($U43-$U42))</f>
        <v>#REF!</v>
      </c>
      <c r="AT43" s="495" t="e">
        <f>IF((ABS($AD43-$AD42)&lt;=IF($B$2="mil",1,0.0254)*5),"Pass",ABS($AD43-$AD42))</f>
        <v>#REF!</v>
      </c>
      <c r="AU43" s="495" t="e">
        <f>IF((ABS($AL43-$AL42)&lt;=IF($B$2="mil",1,0.0254)*10),"Pass",ABS($AL43-$AL42))</f>
        <v>#REF!</v>
      </c>
      <c r="AV43" s="495" t="e">
        <f>IF($E43&lt;=IF($B$2="mil",1,0.0254)*50,"Pass",IF($B$2="mil",1,0.0254)*50-$E43)</f>
        <v>#REF!</v>
      </c>
      <c r="AW43" s="495" t="e">
        <f>IF($F43&lt;=IF($B$2="mil",1,0.0254)*500,"Pass",IF($B$2="mil",1,0.0254)*500-$F43)</f>
        <v>#REF!</v>
      </c>
      <c r="AX43" s="495" t="e">
        <f>IF($H43&lt;=IF($B$2="mil",1,0.0254)*0,"Pass",IF($B$2="mil",1,0.0254)*0-$H43)</f>
        <v>#REF!</v>
      </c>
      <c r="AY43" s="495" t="e">
        <f ca="1">CheckLength(IF($B$2="mil",1,0.0254)*750, IF($B$2="mil",1,0.0254)*125-J43, 0, I43,J43,0)</f>
        <v>#NAME?</v>
      </c>
      <c r="AZ43" s="495" t="e">
        <f>IF($J43&lt;=IF($B$2="mil",1,0.0254)*125,"Pass",IF($B$2="mil",1,0.0254)*125-$J43)</f>
        <v>#REF!</v>
      </c>
      <c r="BA43" s="495" t="e">
        <f>IF($L43&lt;=IF($B$2="mil",1,0.0254)*125,"Pass",IF($B$2="mil",1,0.0254)*125-$L43)</f>
        <v>#REF!</v>
      </c>
      <c r="BB43" s="495" t="e">
        <f>IF(($L43+$M43)&lt;=IF($B$2="mil",1,0.0254)*1275,"Pass",IF($B$2="mil",1,0.0254)*1275-($L43+M43))</f>
        <v>#REF!</v>
      </c>
      <c r="BC43" s="495" t="e">
        <f>IF($N43&lt;=IF($B$2="mil",1,0.0254)*150,"Pass",IF($B$2="mil",1,0.0254)*150-$N43)</f>
        <v>#REF!</v>
      </c>
      <c r="BD43" s="495" t="e">
        <f>IF($O43&lt;=IF($B$2="mil",1,0.0254)*150,"Pass",IF($B$2="mil",1,0.0254)*150-$O43)</f>
        <v>#REF!</v>
      </c>
      <c r="BE43" s="493" t="e">
        <f>IF(MAX(N43:O43)-MIN(N43:O43)&lt;=IF($B$2="mil",1,0.0254)*50,"Pass",MAX(N43:O43)-MIN(N43:O43)-IF($B$2="mil",1,0.0254)*50)</f>
        <v>#REF!</v>
      </c>
      <c r="BF43" s="495" t="e">
        <f ca="1">CheckLength2(IF($B$2="mil",1,0.0254)*200,$N43,P43,0)</f>
        <v>#NAME?</v>
      </c>
      <c r="BG43" s="495" t="e">
        <f ca="1">CheckLength2(IF($B$2="mil",1,0.0254)*200,$O43,Q43,0)</f>
        <v>#NAME?</v>
      </c>
      <c r="BH43" s="495" t="e">
        <f>IF(AND($S43&gt;=IF($B$2="mil",1,0.0254)*500, $S43&lt;=IF($B$2="mil",1,0.0254)*4000),"Pass",IF($B$2="mil",1,0.0254)*4000-$S43)</f>
        <v>#REF!</v>
      </c>
      <c r="BI43" s="495" t="e">
        <f>IF(AND($U43&gt;=IF($B$2="mil",1,0.0254)*500, $U43&lt;=IF($B$2="mil",1,0.0254)*4750),"Pass",IF($B$2="mil",1,0.0254)*4750-$U43)</f>
        <v>#REF!</v>
      </c>
      <c r="BJ43" s="495" t="e">
        <f>IF(AND($AC43&gt;=IF($B$2="mil",1,0.0254)*500, $AC43&lt;=IF($B$2="mil",1,0.0254)*5500),"Pass",IF($B$2="mil",1,0.0254)*5500-$AC43)</f>
        <v>#REF!</v>
      </c>
      <c r="BK43" s="495" t="e">
        <f>IF(AND($AD43&gt;=IF($B$2="mil",1,0.0254)*500, $AD43&lt;=IF($B$2="mil",1,0.0254)*6000),"Pass",IF($B$2="mil",1,0.0254)*6000-$AD43)</f>
        <v>#REF!</v>
      </c>
      <c r="BL43" s="21"/>
      <c r="BM43" s="3" t="e">
        <f ca="1">IF(AND(AV43="Pass",BI43="Pass",AX43="Pass",AW43="Pass",BH43="Pass",Z43="Pass",AA43="Pass",BG43="Pass",BB43="Pass",BC43="Pass",BD43="Pass",BE43="Pass",BF43="Pass",BA43="Pass",AZ43="Pass",AY43="Pass",AP43="Pass",AQ43="Pass",AS43="Pass",AT43="Pass",AU43="Pass",BJ43="Pass",BK43="Pass",AH43="Pass",AI43="Pass"),"Pass","Fail")</f>
        <v>#REF!</v>
      </c>
    </row>
    <row r="44" spans="1:75"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478"/>
      <c r="BM44" s="3"/>
    </row>
    <row r="45" spans="1:75" s="3" customFormat="1" ht="25.5">
      <c r="A45" s="48" t="s">
        <v>9</v>
      </c>
      <c r="B45" s="24"/>
      <c r="C45" s="26"/>
      <c r="D45" s="26"/>
      <c r="E45" s="24"/>
      <c r="F45" s="24"/>
      <c r="G45" s="26"/>
      <c r="H45" s="24"/>
      <c r="I45" s="24"/>
      <c r="J45" s="24"/>
      <c r="K45" s="24"/>
      <c r="L45" s="24"/>
      <c r="M45" s="24"/>
      <c r="N45" s="24"/>
      <c r="O45" s="24"/>
      <c r="P45" s="24"/>
      <c r="Q45" s="24"/>
      <c r="R45" s="24"/>
      <c r="S45" s="24"/>
      <c r="T45" s="24"/>
      <c r="U45" s="24"/>
      <c r="V45" s="24"/>
      <c r="W45" s="24"/>
      <c r="X45" s="24"/>
      <c r="Y45" s="24"/>
      <c r="Z45" s="24"/>
      <c r="AA45" s="24"/>
      <c r="AB45" s="24"/>
      <c r="AC45" s="24"/>
      <c r="AD45" s="24"/>
      <c r="AE45" s="26"/>
      <c r="AF45" s="26"/>
      <c r="AG45" s="24"/>
      <c r="AH45" s="26"/>
      <c r="AI45" s="26"/>
      <c r="AJ45" s="24"/>
      <c r="AK45" s="24"/>
      <c r="AL45" s="24"/>
      <c r="AM45" s="26"/>
      <c r="AN45" s="26"/>
      <c r="AO45" s="24"/>
      <c r="AP45" s="26"/>
      <c r="AQ45" s="26"/>
      <c r="AR45" s="24"/>
      <c r="AS45" s="26"/>
      <c r="AT45" s="26"/>
      <c r="AU45" s="26"/>
      <c r="AV45" s="26"/>
      <c r="AW45" s="72"/>
      <c r="AX45" s="72"/>
      <c r="AY45" s="72"/>
      <c r="AZ45" s="72"/>
      <c r="BA45" s="72"/>
      <c r="BB45" s="72"/>
      <c r="BC45" s="72"/>
      <c r="BD45" s="72"/>
      <c r="BE45" s="72"/>
      <c r="BF45" s="72"/>
      <c r="BG45" s="72"/>
      <c r="BH45" s="72"/>
      <c r="BI45" s="72"/>
      <c r="BJ45" s="72"/>
      <c r="BK45" s="72"/>
      <c r="BL45" s="24"/>
      <c r="BM45" s="24"/>
      <c r="BN45" s="24"/>
      <c r="BP45" s="55"/>
      <c r="BQ45" s="55"/>
      <c r="BR45" s="55"/>
      <c r="BS45" s="55"/>
      <c r="BT45" s="55"/>
      <c r="BU45" s="55"/>
      <c r="BW45" s="73"/>
    </row>
    <row r="46" spans="1:75" s="3" customFormat="1">
      <c r="A46" s="24"/>
      <c r="B46" s="26"/>
      <c r="C46" s="26"/>
      <c r="D46" s="26"/>
      <c r="E46" s="24"/>
      <c r="F46" s="24"/>
      <c r="G46" s="26"/>
      <c r="H46" s="24"/>
      <c r="I46" s="24"/>
      <c r="J46" s="24"/>
      <c r="K46" s="24"/>
      <c r="L46" s="24"/>
      <c r="M46" s="24"/>
      <c r="N46" s="24"/>
      <c r="O46" s="24"/>
      <c r="P46" s="24"/>
      <c r="Q46" s="24"/>
      <c r="R46" s="24"/>
      <c r="S46" s="24"/>
      <c r="T46" s="24"/>
      <c r="U46" s="24"/>
      <c r="V46" s="24"/>
      <c r="W46" s="24"/>
      <c r="X46" s="24"/>
      <c r="Y46" s="24"/>
      <c r="Z46" s="24"/>
      <c r="AA46" s="24"/>
      <c r="AB46" s="24"/>
      <c r="AC46" s="24"/>
      <c r="AD46" s="24"/>
      <c r="AE46" s="26"/>
      <c r="AF46" s="26"/>
      <c r="AG46" s="24"/>
      <c r="AH46" s="26"/>
      <c r="AI46" s="26"/>
      <c r="AJ46" s="24"/>
      <c r="AK46" s="24"/>
      <c r="AL46" s="24"/>
      <c r="AM46" s="26"/>
      <c r="AN46" s="26"/>
      <c r="AO46" s="24"/>
      <c r="AP46" s="26"/>
      <c r="AQ46" s="26"/>
      <c r="AR46" s="24"/>
      <c r="AS46" s="26"/>
      <c r="AT46" s="26"/>
      <c r="AU46" s="26"/>
      <c r="AV46" s="26"/>
      <c r="AW46" s="72"/>
      <c r="AX46" s="72"/>
      <c r="AY46" s="72"/>
      <c r="AZ46" s="72"/>
      <c r="BA46" s="72"/>
      <c r="BB46" s="72"/>
      <c r="BC46" s="72"/>
      <c r="BD46" s="72"/>
      <c r="BE46" s="72"/>
      <c r="BF46" s="72"/>
      <c r="BG46" s="72"/>
      <c r="BH46" s="72"/>
      <c r="BI46" s="72"/>
      <c r="BJ46" s="72"/>
      <c r="BK46" s="72"/>
      <c r="BL46" s="24"/>
      <c r="BM46" s="24"/>
      <c r="BN46" s="24"/>
    </row>
    <row r="47" spans="1:75" s="3" customFormat="1">
      <c r="A47" s="6"/>
      <c r="B47" s="75"/>
      <c r="C47" s="5"/>
      <c r="D47" s="5"/>
      <c r="E47" s="77"/>
      <c r="F47" s="6"/>
      <c r="G47" s="5"/>
      <c r="H47" s="6"/>
      <c r="I47" s="6"/>
      <c r="J47" s="6"/>
      <c r="K47" s="6"/>
      <c r="L47" s="6"/>
      <c r="M47" s="6"/>
      <c r="N47" s="6"/>
      <c r="O47" s="6"/>
      <c r="P47" s="6"/>
      <c r="Q47" s="6"/>
      <c r="R47" s="6"/>
      <c r="S47" s="6"/>
      <c r="T47" s="6"/>
      <c r="U47" s="6"/>
      <c r="V47" s="6"/>
      <c r="W47" s="6"/>
      <c r="X47" s="6"/>
      <c r="Y47" s="6"/>
      <c r="Z47" s="6"/>
      <c r="AA47" s="6"/>
      <c r="AB47" s="6"/>
      <c r="AC47" s="6"/>
      <c r="AD47" s="6"/>
      <c r="AE47" s="5"/>
      <c r="AF47" s="5"/>
      <c r="AG47" s="6"/>
      <c r="AH47" s="5"/>
      <c r="AI47" s="5"/>
      <c r="AJ47" s="6"/>
      <c r="AK47" s="6"/>
      <c r="AL47" s="6"/>
      <c r="AM47" s="5"/>
      <c r="AN47" s="5"/>
      <c r="AO47" s="6"/>
      <c r="AP47" s="5"/>
      <c r="AQ47" s="5"/>
      <c r="AR47" s="6"/>
      <c r="AS47" s="5"/>
      <c r="AT47" s="5"/>
      <c r="AU47" s="5"/>
      <c r="AV47" s="5"/>
      <c r="AW47" s="78"/>
      <c r="AX47" s="5"/>
      <c r="AY47" s="5"/>
      <c r="AZ47" s="5"/>
      <c r="BA47" s="5"/>
      <c r="BB47" s="5"/>
      <c r="BC47" s="5"/>
      <c r="BD47" s="5"/>
      <c r="BE47" s="5"/>
      <c r="BF47" s="5"/>
      <c r="BG47" s="5"/>
      <c r="BH47" s="5"/>
      <c r="BI47" s="5"/>
      <c r="BJ47" s="5"/>
      <c r="BK47" s="74"/>
      <c r="BL47" s="6"/>
      <c r="BO47" s="78"/>
    </row>
    <row r="48" spans="1:75" s="3" customFormat="1">
      <c r="A48" s="6"/>
      <c r="B48" s="75"/>
      <c r="C48" s="5"/>
      <c r="D48" s="5"/>
      <c r="E48" s="6"/>
      <c r="F48" s="6"/>
      <c r="G48" s="5"/>
      <c r="H48" s="29" t="s">
        <v>21</v>
      </c>
      <c r="S48" s="6"/>
      <c r="T48" s="6"/>
      <c r="U48" s="6"/>
      <c r="V48" s="6"/>
      <c r="W48" s="6"/>
      <c r="X48" s="6"/>
      <c r="Y48" s="6"/>
      <c r="Z48" s="6"/>
      <c r="AA48" s="6"/>
      <c r="AB48" s="6"/>
      <c r="AC48" s="6"/>
      <c r="AD48" s="6"/>
      <c r="AE48" s="5"/>
      <c r="AF48" s="5"/>
      <c r="AG48" s="6"/>
      <c r="AH48" s="5"/>
      <c r="AI48" s="5"/>
      <c r="AJ48" s="6"/>
      <c r="AK48" s="6"/>
      <c r="AL48" s="6"/>
      <c r="AM48" s="5"/>
      <c r="AN48" s="5"/>
      <c r="AO48" s="6"/>
      <c r="AP48" s="5"/>
      <c r="AQ48" s="5"/>
      <c r="AR48" s="6"/>
      <c r="AS48" s="5"/>
      <c r="AT48" s="5"/>
      <c r="AU48" s="5"/>
      <c r="AV48" s="5"/>
      <c r="AW48" s="5"/>
      <c r="AX48" s="5"/>
      <c r="AY48" s="5"/>
      <c r="AZ48" s="5"/>
      <c r="BA48" s="5"/>
      <c r="BB48" s="5"/>
      <c r="BC48" s="5"/>
      <c r="BD48" s="5"/>
      <c r="BE48" s="5"/>
      <c r="BF48" s="5"/>
      <c r="BG48" s="5"/>
      <c r="BH48" s="5"/>
      <c r="BI48" s="5"/>
      <c r="BJ48" s="5"/>
      <c r="BK48" s="5"/>
      <c r="BL48" s="6"/>
      <c r="BM48" s="6"/>
      <c r="BN48" s="6"/>
    </row>
    <row r="49" spans="1:66" s="3" customFormat="1">
      <c r="A49" s="6"/>
      <c r="B49" s="75"/>
      <c r="C49" s="5"/>
      <c r="D49" s="5"/>
      <c r="E49" s="6"/>
      <c r="F49" s="6"/>
      <c r="G49" s="5"/>
      <c r="H49" s="6"/>
      <c r="I49" s="6"/>
      <c r="J49" s="6"/>
      <c r="K49" s="6"/>
      <c r="L49" s="6"/>
      <c r="M49" s="6"/>
      <c r="N49" s="6"/>
      <c r="O49" s="6"/>
      <c r="P49" s="6"/>
      <c r="Q49" s="6"/>
      <c r="R49" s="6"/>
      <c r="S49" s="6"/>
      <c r="T49" s="6"/>
      <c r="U49" s="6"/>
      <c r="V49" s="6"/>
      <c r="W49" s="6"/>
      <c r="X49" s="6"/>
      <c r="Y49" s="6"/>
      <c r="Z49" s="6"/>
      <c r="AA49" s="6"/>
      <c r="AB49" s="6"/>
      <c r="AC49" s="6"/>
      <c r="AD49" s="6"/>
      <c r="AE49" s="5"/>
      <c r="AF49" s="5" t="s">
        <v>107</v>
      </c>
      <c r="AG49" s="6"/>
      <c r="AH49" s="5"/>
      <c r="AI49" s="5"/>
      <c r="AJ49" s="6"/>
      <c r="AK49" s="6"/>
      <c r="AL49" s="6"/>
      <c r="AM49" s="5"/>
      <c r="AN49" s="5" t="s">
        <v>107</v>
      </c>
      <c r="AO49" s="6"/>
      <c r="AP49" s="5"/>
      <c r="AQ49" s="5"/>
      <c r="AR49" s="6"/>
      <c r="AS49" s="5"/>
      <c r="AT49" s="5"/>
      <c r="AU49" s="5"/>
      <c r="AV49" s="5"/>
      <c r="AW49" s="5"/>
      <c r="AX49" s="5"/>
      <c r="AY49" s="5"/>
      <c r="AZ49" s="5"/>
      <c r="BA49" s="5"/>
      <c r="BB49" s="5"/>
      <c r="BC49" s="5"/>
      <c r="BD49" s="5"/>
      <c r="BE49" s="5"/>
      <c r="BF49" s="5"/>
      <c r="BG49" s="5"/>
      <c r="BH49" s="5"/>
      <c r="BI49" s="5"/>
      <c r="BJ49" s="5"/>
      <c r="BK49" s="5"/>
      <c r="BL49" s="6"/>
      <c r="BM49" s="6"/>
      <c r="BN49" s="6"/>
    </row>
    <row r="50" spans="1:66" s="3" customFormat="1">
      <c r="A50" s="6"/>
      <c r="B50" s="75"/>
      <c r="C50" s="5"/>
      <c r="D50" s="5"/>
      <c r="E50" s="6"/>
      <c r="F50" s="6"/>
      <c r="G50" s="5"/>
      <c r="H50" s="6"/>
      <c r="I50" s="6"/>
      <c r="J50" s="6"/>
      <c r="K50" s="6"/>
      <c r="L50" s="6"/>
      <c r="M50" s="6"/>
      <c r="N50" s="6"/>
      <c r="O50" s="6"/>
      <c r="P50" s="6"/>
      <c r="Q50" s="6"/>
      <c r="R50" s="6"/>
      <c r="S50" s="6"/>
      <c r="T50" s="6"/>
      <c r="U50" s="6"/>
      <c r="V50" s="75"/>
      <c r="W50" s="75"/>
      <c r="X50" s="75"/>
      <c r="Y50" s="75"/>
      <c r="Z50" s="75"/>
      <c r="AA50" s="75"/>
      <c r="AB50" s="75"/>
      <c r="AC50" s="6"/>
      <c r="AD50" s="6"/>
      <c r="AE50" s="4"/>
      <c r="AF50" s="4"/>
      <c r="AG50" s="75"/>
      <c r="AH50" s="4"/>
      <c r="AI50" s="4"/>
      <c r="AJ50" s="75"/>
      <c r="AK50" s="6"/>
      <c r="AL50" s="6"/>
      <c r="AM50" s="4"/>
      <c r="AN50" s="4"/>
      <c r="AO50" s="75"/>
      <c r="AP50" s="4"/>
      <c r="AQ50" s="4"/>
      <c r="AR50" s="75"/>
      <c r="AS50" s="4"/>
      <c r="AT50" s="4"/>
      <c r="AU50" s="4"/>
      <c r="AV50" s="4"/>
      <c r="AW50" s="5"/>
      <c r="AX50" s="5"/>
      <c r="AY50" s="5"/>
      <c r="AZ50" s="5"/>
      <c r="BA50" s="5"/>
      <c r="BB50" s="5"/>
      <c r="BC50" s="5"/>
      <c r="BD50" s="5"/>
      <c r="BE50" s="5"/>
      <c r="BF50" s="5"/>
      <c r="BG50" s="5"/>
      <c r="BH50" s="5"/>
      <c r="BI50" s="5"/>
      <c r="BJ50" s="5"/>
      <c r="BK50" s="5"/>
      <c r="BL50" s="6"/>
      <c r="BM50" s="6"/>
      <c r="BN50" s="6"/>
    </row>
    <row r="51" spans="1:66" s="3" customFormat="1">
      <c r="A51" s="6"/>
      <c r="B51" s="75"/>
      <c r="C51" s="5"/>
      <c r="D51" s="5"/>
      <c r="E51" s="6"/>
      <c r="F51" s="6"/>
      <c r="G51" s="5"/>
      <c r="H51" s="6"/>
      <c r="I51" s="6"/>
      <c r="J51" s="6"/>
      <c r="K51" s="6"/>
      <c r="L51" s="6"/>
      <c r="M51" s="6"/>
      <c r="N51" s="6"/>
      <c r="O51" s="6"/>
      <c r="P51" s="6"/>
      <c r="Q51" s="6"/>
      <c r="R51" s="6"/>
      <c r="S51" s="6"/>
      <c r="T51" s="6"/>
      <c r="U51" s="6"/>
      <c r="V51" s="75"/>
      <c r="W51" s="75"/>
      <c r="X51" s="75"/>
      <c r="Y51" s="75"/>
      <c r="Z51" s="75"/>
      <c r="AA51" s="75"/>
      <c r="AB51" s="75"/>
      <c r="AC51" s="6"/>
      <c r="AD51" s="6"/>
      <c r="AE51" s="4"/>
      <c r="AF51" s="4"/>
      <c r="AG51" s="75"/>
      <c r="AH51" s="4"/>
      <c r="AI51" s="4"/>
      <c r="AJ51" s="75"/>
      <c r="AK51" s="6"/>
      <c r="AL51" s="6"/>
      <c r="AM51" s="4"/>
      <c r="AN51" s="4"/>
      <c r="AO51" s="75"/>
      <c r="AP51" s="4"/>
      <c r="AQ51" s="4"/>
      <c r="AR51" s="75"/>
      <c r="AS51" s="4"/>
      <c r="AT51" s="4"/>
      <c r="AU51" s="4"/>
      <c r="AV51" s="4"/>
      <c r="AW51" s="5"/>
      <c r="AX51" s="5"/>
      <c r="AY51" s="5"/>
      <c r="AZ51" s="5"/>
      <c r="BA51" s="5"/>
      <c r="BB51" s="5"/>
      <c r="BC51" s="5"/>
      <c r="BD51" s="5"/>
      <c r="BE51" s="5"/>
      <c r="BF51" s="5"/>
      <c r="BG51" s="5"/>
      <c r="BH51" s="5"/>
      <c r="BI51" s="5"/>
      <c r="BJ51" s="5"/>
      <c r="BK51" s="5"/>
      <c r="BL51" s="6"/>
      <c r="BM51" s="6"/>
      <c r="BN51" s="6"/>
    </row>
    <row r="52" spans="1:66" s="3" customFormat="1">
      <c r="A52" s="6"/>
      <c r="B52" s="75"/>
      <c r="C52" s="5"/>
      <c r="D52" s="5"/>
      <c r="E52" s="6"/>
      <c r="F52" s="6"/>
      <c r="G52" s="5"/>
      <c r="H52" s="6"/>
      <c r="I52" s="6"/>
      <c r="J52" s="6"/>
      <c r="K52" s="6"/>
      <c r="L52" s="6"/>
      <c r="M52" s="6"/>
      <c r="N52" s="6"/>
      <c r="O52" s="6"/>
      <c r="P52" s="6"/>
      <c r="Q52" s="6"/>
      <c r="R52" s="6"/>
      <c r="S52" s="6"/>
      <c r="T52" s="6"/>
      <c r="U52" s="6"/>
      <c r="V52" s="75"/>
      <c r="W52" s="75"/>
      <c r="X52" s="75"/>
      <c r="Y52" s="75"/>
      <c r="Z52" s="75"/>
      <c r="AA52" s="75"/>
      <c r="AB52" s="75"/>
      <c r="AC52" s="6"/>
      <c r="AD52" s="6"/>
      <c r="AE52" s="4"/>
      <c r="AF52" s="4"/>
      <c r="AG52" s="75"/>
      <c r="AH52" s="4"/>
      <c r="AI52" s="4"/>
      <c r="AJ52" s="75"/>
      <c r="AK52" s="6"/>
      <c r="AL52" s="6"/>
      <c r="AM52" s="4"/>
      <c r="AN52" s="4"/>
      <c r="AO52" s="75"/>
      <c r="AP52" s="4"/>
      <c r="AQ52" s="4"/>
      <c r="AR52" s="75"/>
      <c r="AS52" s="4"/>
      <c r="AT52" s="4"/>
      <c r="AU52" s="4"/>
      <c r="AV52" s="4"/>
      <c r="AW52" s="5"/>
      <c r="AX52" s="5"/>
      <c r="AY52" s="5"/>
      <c r="AZ52" s="5"/>
      <c r="BA52" s="5"/>
      <c r="BB52" s="5"/>
      <c r="BC52" s="5"/>
      <c r="BD52" s="5"/>
      <c r="BE52" s="5"/>
      <c r="BF52" s="5"/>
      <c r="BG52" s="5"/>
      <c r="BH52" s="5"/>
      <c r="BI52" s="5"/>
      <c r="BJ52" s="5"/>
      <c r="BK52" s="5"/>
      <c r="BL52" s="6"/>
      <c r="BM52" s="6"/>
      <c r="BN52" s="6"/>
    </row>
    <row r="53" spans="1:66" s="3" customFormat="1">
      <c r="A53" s="6"/>
      <c r="B53" s="75"/>
      <c r="C53" s="5"/>
      <c r="D53" s="5"/>
      <c r="E53" s="6"/>
      <c r="F53" s="6"/>
      <c r="G53" s="5"/>
      <c r="H53" s="6"/>
      <c r="K53" s="6"/>
      <c r="L53" s="6"/>
      <c r="M53" s="6"/>
      <c r="N53" s="6"/>
      <c r="O53" s="6"/>
      <c r="P53" s="6"/>
      <c r="Q53" s="6"/>
      <c r="R53" s="6"/>
      <c r="S53" s="6"/>
      <c r="T53" s="6"/>
      <c r="U53" s="6"/>
      <c r="V53" s="75"/>
      <c r="W53" s="75"/>
      <c r="X53" s="75"/>
      <c r="Y53" s="75"/>
      <c r="Z53" s="75"/>
      <c r="AA53" s="75"/>
      <c r="AB53" s="75"/>
      <c r="AC53" s="6"/>
      <c r="AD53" s="6"/>
      <c r="AE53" s="4"/>
      <c r="AF53" s="4"/>
      <c r="AG53" s="75"/>
      <c r="AH53" s="4"/>
      <c r="AI53" s="4"/>
      <c r="AJ53" s="75"/>
      <c r="AK53" s="6"/>
      <c r="AL53" s="6"/>
      <c r="AM53" s="4"/>
      <c r="AN53" s="4"/>
      <c r="AO53" s="75"/>
      <c r="AP53" s="4"/>
      <c r="AQ53" s="4"/>
      <c r="AR53" s="75"/>
      <c r="AS53" s="4"/>
      <c r="AT53" s="4"/>
      <c r="AU53" s="4"/>
      <c r="AV53" s="4"/>
      <c r="AW53" s="5"/>
      <c r="AX53" s="5"/>
      <c r="AY53" s="5"/>
      <c r="AZ53" s="5"/>
      <c r="BA53" s="5"/>
      <c r="BB53" s="5"/>
      <c r="BC53" s="5"/>
      <c r="BD53" s="5"/>
      <c r="BE53" s="5"/>
      <c r="BF53" s="5"/>
      <c r="BG53" s="5"/>
      <c r="BH53" s="5"/>
      <c r="BI53" s="5"/>
      <c r="BJ53" s="5"/>
      <c r="BK53" s="5"/>
      <c r="BL53" s="6"/>
      <c r="BM53" s="6"/>
      <c r="BN53" s="6"/>
    </row>
    <row r="54" spans="1:66" s="3" customFormat="1">
      <c r="A54" s="6"/>
      <c r="B54" s="75"/>
      <c r="C54" s="5"/>
      <c r="D54" s="5"/>
      <c r="E54" s="6"/>
      <c r="F54" s="6"/>
      <c r="G54" s="5"/>
      <c r="H54" s="6"/>
      <c r="K54" s="6"/>
      <c r="L54" s="6"/>
      <c r="M54" s="6"/>
      <c r="N54" s="6"/>
      <c r="O54" s="6"/>
      <c r="P54" s="6"/>
      <c r="Q54" s="6"/>
      <c r="R54" s="6"/>
      <c r="S54" s="6"/>
      <c r="T54" s="6"/>
      <c r="U54" s="6"/>
      <c r="V54" s="75"/>
      <c r="W54" s="55"/>
      <c r="X54" s="75"/>
      <c r="Y54" s="75"/>
      <c r="Z54" s="75"/>
      <c r="AA54" s="75"/>
      <c r="AB54" s="75"/>
      <c r="AC54" s="6"/>
      <c r="AD54" s="6"/>
      <c r="AE54" s="4"/>
      <c r="AF54" s="4"/>
      <c r="AG54" s="75"/>
      <c r="AH54" s="4"/>
      <c r="AI54" s="4"/>
      <c r="AJ54" s="75"/>
      <c r="AK54" s="6"/>
      <c r="AL54" s="6"/>
      <c r="AM54" s="4"/>
      <c r="AN54" s="4"/>
      <c r="AO54" s="75"/>
      <c r="AP54" s="4"/>
      <c r="AQ54" s="4"/>
      <c r="AR54" s="75"/>
      <c r="AS54" s="4"/>
      <c r="AT54" s="4"/>
      <c r="AU54" s="4"/>
      <c r="AV54" s="4"/>
      <c r="AW54" s="5"/>
      <c r="AX54" s="5"/>
      <c r="AY54" s="5"/>
      <c r="AZ54" s="5"/>
      <c r="BA54" s="5"/>
      <c r="BB54" s="5"/>
      <c r="BC54" s="5"/>
      <c r="BD54" s="5"/>
      <c r="BE54" s="5"/>
      <c r="BF54" s="5"/>
      <c r="BG54" s="5"/>
      <c r="BH54" s="5"/>
      <c r="BI54" s="5"/>
      <c r="BJ54" s="5"/>
      <c r="BK54" s="5"/>
      <c r="BL54" s="6"/>
      <c r="BM54" s="6"/>
      <c r="BN54" s="6"/>
    </row>
    <row r="55" spans="1:66" s="3" customFormat="1">
      <c r="A55" s="6"/>
      <c r="B55" s="75"/>
      <c r="C55" s="5"/>
      <c r="D55" s="5"/>
      <c r="E55" s="6"/>
      <c r="F55" s="6"/>
      <c r="G55" s="5"/>
      <c r="H55" s="6"/>
      <c r="K55" s="6"/>
      <c r="L55" s="6"/>
      <c r="M55" s="6"/>
      <c r="N55" s="6"/>
      <c r="O55" s="6"/>
      <c r="P55" s="6"/>
      <c r="Q55" s="6"/>
      <c r="R55" s="6"/>
      <c r="S55" s="6"/>
      <c r="T55" s="6"/>
      <c r="U55" s="6"/>
      <c r="V55" s="75"/>
      <c r="W55" s="75"/>
      <c r="X55" s="75"/>
      <c r="Y55" s="75"/>
      <c r="Z55" s="75"/>
      <c r="AA55" s="75"/>
      <c r="AB55" s="75"/>
      <c r="AC55" s="6"/>
      <c r="AD55" s="6"/>
      <c r="AE55" s="4"/>
      <c r="AF55" s="4"/>
      <c r="AG55" s="75"/>
      <c r="AH55" s="4"/>
      <c r="AI55" s="4"/>
      <c r="AJ55" s="75"/>
      <c r="AK55" s="6"/>
      <c r="AL55" s="6"/>
      <c r="AM55" s="4"/>
      <c r="AN55" s="4"/>
      <c r="AO55" s="75"/>
      <c r="AP55" s="4"/>
      <c r="AQ55" s="4"/>
      <c r="AR55" s="75"/>
      <c r="AS55" s="4"/>
      <c r="AT55" s="4"/>
      <c r="AU55" s="4"/>
      <c r="AV55" s="4"/>
      <c r="AW55" s="5"/>
      <c r="AX55" s="5"/>
      <c r="AY55" s="5"/>
      <c r="AZ55" s="5"/>
      <c r="BA55" s="5"/>
      <c r="BB55" s="5"/>
      <c r="BC55" s="5"/>
      <c r="BD55" s="5"/>
      <c r="BE55" s="5"/>
      <c r="BF55" s="5"/>
      <c r="BG55" s="5"/>
      <c r="BH55" s="5"/>
      <c r="BI55" s="5"/>
      <c r="BJ55" s="5"/>
      <c r="BK55" s="5"/>
      <c r="BL55" s="6"/>
      <c r="BM55" s="6"/>
      <c r="BN55" s="6"/>
    </row>
    <row r="56" spans="1:66" s="3" customFormat="1">
      <c r="A56" s="6"/>
      <c r="B56" s="75"/>
      <c r="C56" s="5"/>
      <c r="D56" s="5"/>
      <c r="E56" s="6"/>
      <c r="F56" s="6"/>
      <c r="G56" s="5"/>
      <c r="H56" s="6"/>
      <c r="I56" s="6"/>
      <c r="J56" s="6"/>
      <c r="K56" s="6"/>
      <c r="L56" s="6"/>
      <c r="M56" s="6"/>
      <c r="N56" s="6"/>
      <c r="O56" s="6"/>
      <c r="P56" s="6"/>
      <c r="Q56" s="6"/>
      <c r="R56" s="6"/>
      <c r="S56" s="6"/>
      <c r="T56" s="6"/>
      <c r="U56" s="6"/>
      <c r="V56" s="75"/>
      <c r="W56" s="75"/>
      <c r="X56" s="75"/>
      <c r="Y56" s="75"/>
      <c r="Z56" s="75"/>
      <c r="AA56" s="75"/>
      <c r="AB56" s="75"/>
      <c r="AC56" s="6"/>
      <c r="AD56" s="6"/>
      <c r="AE56" s="4"/>
      <c r="AF56" s="4"/>
      <c r="AG56" s="75"/>
      <c r="AH56" s="4"/>
      <c r="AI56" s="4"/>
      <c r="AJ56" s="75"/>
      <c r="AK56" s="6"/>
      <c r="AL56" s="6"/>
      <c r="AM56" s="4"/>
      <c r="AN56" s="4"/>
      <c r="AO56" s="75"/>
      <c r="AP56" s="4"/>
      <c r="AQ56" s="4"/>
      <c r="AR56" s="75"/>
      <c r="AS56" s="4"/>
      <c r="AT56" s="4"/>
      <c r="AU56" s="4"/>
      <c r="AV56" s="4"/>
      <c r="AW56" s="5"/>
      <c r="AX56" s="5"/>
      <c r="AY56" s="5"/>
      <c r="AZ56" s="5"/>
      <c r="BA56" s="5"/>
      <c r="BB56" s="5"/>
      <c r="BC56" s="5"/>
      <c r="BD56" s="5"/>
      <c r="BE56" s="5"/>
      <c r="BF56" s="5"/>
      <c r="BG56" s="5"/>
      <c r="BH56" s="5"/>
      <c r="BI56" s="5"/>
      <c r="BJ56" s="5"/>
      <c r="BK56" s="5"/>
      <c r="BL56" s="6"/>
      <c r="BM56" s="6"/>
      <c r="BN56" s="6"/>
    </row>
    <row r="57" spans="1:66" s="3" customFormat="1">
      <c r="A57" s="6"/>
      <c r="B57" s="75"/>
      <c r="C57" s="5"/>
      <c r="D57" s="5"/>
      <c r="E57" s="6"/>
      <c r="F57" s="6"/>
      <c r="G57" s="5"/>
      <c r="H57" s="6"/>
      <c r="I57" s="6"/>
      <c r="J57" s="6"/>
      <c r="K57" s="6"/>
      <c r="L57" s="6"/>
      <c r="M57" s="6"/>
      <c r="N57" s="6"/>
      <c r="O57" s="6"/>
      <c r="P57" s="6"/>
      <c r="Q57" s="6"/>
      <c r="R57" s="6"/>
      <c r="S57" s="6"/>
      <c r="T57" s="6"/>
      <c r="U57" s="6"/>
      <c r="V57" s="75"/>
      <c r="W57" s="75"/>
      <c r="X57" s="75"/>
      <c r="Y57" s="75"/>
      <c r="Z57" s="75"/>
      <c r="AA57" s="75"/>
      <c r="AB57" s="75"/>
      <c r="AC57" s="6"/>
      <c r="AD57" s="6"/>
      <c r="AE57" s="4"/>
      <c r="AF57" s="4"/>
      <c r="AG57" s="75"/>
      <c r="AH57" s="4"/>
      <c r="AI57" s="4"/>
      <c r="AJ57" s="75"/>
      <c r="AK57" s="6"/>
      <c r="AL57" s="6"/>
      <c r="AM57" s="4"/>
      <c r="AN57" s="4"/>
      <c r="AO57" s="75"/>
      <c r="AP57" s="4"/>
      <c r="AQ57" s="4"/>
      <c r="AR57" s="75"/>
      <c r="AS57" s="4"/>
      <c r="AT57" s="4"/>
      <c r="AU57" s="4"/>
      <c r="AV57" s="4"/>
      <c r="AW57" s="5"/>
      <c r="AX57" s="5"/>
      <c r="AY57" s="5"/>
      <c r="AZ57" s="5"/>
      <c r="BA57" s="5"/>
      <c r="BB57" s="5"/>
      <c r="BC57" s="5"/>
      <c r="BD57" s="5"/>
      <c r="BE57" s="5"/>
      <c r="BF57" s="5"/>
      <c r="BG57" s="5"/>
      <c r="BH57" s="5"/>
      <c r="BI57" s="5"/>
      <c r="BJ57" s="5"/>
      <c r="BK57" s="5"/>
      <c r="BL57" s="6"/>
      <c r="BM57" s="6"/>
      <c r="BN57" s="6"/>
    </row>
    <row r="58" spans="1:66" s="3" customFormat="1">
      <c r="A58" s="6"/>
      <c r="B58" s="75"/>
      <c r="C58" s="5"/>
      <c r="D58" s="5"/>
      <c r="E58" s="6"/>
      <c r="F58" s="6"/>
      <c r="G58" s="5"/>
      <c r="H58" s="6"/>
      <c r="I58" s="6"/>
      <c r="J58" s="6"/>
      <c r="K58" s="6"/>
      <c r="L58" s="6"/>
      <c r="M58" s="6"/>
      <c r="N58" s="6"/>
      <c r="O58" s="6"/>
      <c r="P58" s="6"/>
      <c r="Q58" s="6"/>
      <c r="R58" s="6"/>
      <c r="S58" s="6"/>
      <c r="T58" s="6"/>
      <c r="U58" s="6"/>
      <c r="V58" s="75"/>
      <c r="W58" s="75"/>
      <c r="X58" s="75"/>
      <c r="Y58" s="75"/>
      <c r="Z58" s="75"/>
      <c r="AA58" s="75"/>
      <c r="AB58" s="75"/>
      <c r="AC58" s="6"/>
      <c r="AD58" s="6"/>
      <c r="AE58" s="4"/>
      <c r="AF58" s="4"/>
      <c r="AG58" s="75"/>
      <c r="AH58" s="4"/>
      <c r="AI58" s="4"/>
      <c r="AJ58" s="75"/>
      <c r="AK58" s="6"/>
      <c r="AL58" s="6"/>
      <c r="AM58" s="4"/>
      <c r="AN58" s="4"/>
      <c r="AO58" s="75"/>
      <c r="AP58" s="4"/>
      <c r="AQ58" s="4"/>
      <c r="AR58" s="75"/>
      <c r="AS58" s="4"/>
      <c r="AT58" s="4"/>
      <c r="AU58" s="4"/>
      <c r="AV58" s="4"/>
      <c r="AW58" s="5"/>
      <c r="AX58" s="5"/>
      <c r="AY58" s="5"/>
      <c r="AZ58" s="5"/>
      <c r="BA58" s="5"/>
      <c r="BB58" s="5"/>
      <c r="BC58" s="5"/>
      <c r="BD58" s="5"/>
      <c r="BE58" s="5"/>
      <c r="BF58" s="5"/>
      <c r="BG58" s="5"/>
      <c r="BH58" s="5"/>
      <c r="BI58" s="5"/>
      <c r="BJ58" s="5"/>
      <c r="BK58" s="5"/>
      <c r="BL58" s="6"/>
      <c r="BM58" s="6"/>
      <c r="BN58" s="6"/>
    </row>
    <row r="59" spans="1:66" s="3" customFormat="1">
      <c r="A59" s="6"/>
      <c r="B59" s="75"/>
      <c r="C59" s="5"/>
      <c r="D59" s="5"/>
      <c r="E59" s="6"/>
      <c r="F59" s="6"/>
      <c r="G59" s="5"/>
      <c r="H59" s="6"/>
      <c r="I59" s="6"/>
      <c r="J59" s="6"/>
      <c r="K59" s="6"/>
      <c r="L59" s="6"/>
      <c r="M59" s="6"/>
      <c r="N59" s="6"/>
      <c r="O59" s="6"/>
      <c r="P59" s="6"/>
      <c r="Q59" s="6"/>
      <c r="R59" s="6"/>
      <c r="S59" s="76"/>
      <c r="T59" s="6"/>
      <c r="U59" s="6"/>
      <c r="V59" s="75"/>
      <c r="W59" s="75"/>
      <c r="X59" s="75"/>
      <c r="Y59" s="75"/>
      <c r="Z59" s="75"/>
      <c r="AA59" s="75"/>
      <c r="AB59" s="75"/>
      <c r="AC59" s="76"/>
      <c r="AD59" s="6"/>
      <c r="AE59" s="4"/>
      <c r="AF59" s="4"/>
      <c r="AG59" s="75"/>
      <c r="AH59" s="4"/>
      <c r="AI59" s="4"/>
      <c r="AJ59" s="75"/>
      <c r="AK59" s="76"/>
      <c r="AL59" s="6"/>
      <c r="AM59" s="4"/>
      <c r="AN59" s="4"/>
      <c r="AO59" s="75"/>
      <c r="AP59" s="4"/>
      <c r="AQ59" s="4"/>
      <c r="AR59" s="75"/>
      <c r="AS59" s="4"/>
      <c r="AT59" s="4"/>
      <c r="AU59" s="4"/>
      <c r="AV59" s="4"/>
      <c r="AW59" s="5"/>
      <c r="AX59" s="5"/>
      <c r="AY59" s="5"/>
      <c r="AZ59" s="5"/>
      <c r="BA59" s="5"/>
      <c r="BB59" s="5"/>
      <c r="BC59" s="5"/>
      <c r="BD59" s="5"/>
      <c r="BE59" s="5"/>
      <c r="BF59" s="5"/>
      <c r="BG59" s="5"/>
      <c r="BH59" s="5"/>
      <c r="BI59" s="5"/>
      <c r="BJ59" s="5"/>
      <c r="BK59" s="5"/>
      <c r="BL59" s="6"/>
      <c r="BM59" s="6"/>
      <c r="BN59" s="6"/>
    </row>
    <row r="60" spans="1:66" s="3" customFormat="1">
      <c r="A60" s="6"/>
      <c r="B60" s="75"/>
      <c r="C60" s="5"/>
      <c r="D60" s="5"/>
      <c r="E60" s="6"/>
      <c r="F60" s="6"/>
      <c r="G60" s="5"/>
      <c r="H60" s="6"/>
      <c r="I60" s="6"/>
      <c r="J60" s="6"/>
      <c r="K60" s="6"/>
      <c r="L60" s="6"/>
      <c r="M60" s="6"/>
      <c r="N60" s="6"/>
      <c r="O60" s="6"/>
      <c r="P60" s="6"/>
      <c r="Q60" s="6"/>
      <c r="R60" s="6"/>
      <c r="S60" s="76"/>
      <c r="T60" s="6"/>
      <c r="U60" s="6"/>
      <c r="V60" s="75"/>
      <c r="W60" s="75"/>
      <c r="X60" s="75"/>
      <c r="Y60" s="75"/>
      <c r="Z60" s="75"/>
      <c r="AA60" s="75"/>
      <c r="AB60" s="75"/>
      <c r="AC60" s="76"/>
      <c r="AD60" s="6"/>
      <c r="AE60" s="4"/>
      <c r="AF60" s="4"/>
      <c r="AG60" s="75"/>
      <c r="AH60" s="4"/>
      <c r="AI60" s="4"/>
      <c r="AJ60" s="75"/>
      <c r="AK60" s="76"/>
      <c r="AL60" s="6"/>
      <c r="AM60" s="4"/>
      <c r="AN60" s="4"/>
      <c r="AO60" s="75"/>
      <c r="AP60" s="4"/>
      <c r="AQ60" s="4"/>
      <c r="AR60" s="75"/>
      <c r="AS60" s="4"/>
      <c r="AT60" s="4"/>
      <c r="AU60" s="4"/>
      <c r="AV60" s="4"/>
      <c r="AW60" s="5"/>
      <c r="AX60" s="5"/>
      <c r="AY60" s="5"/>
      <c r="AZ60" s="5"/>
      <c r="BA60" s="5"/>
      <c r="BB60" s="5"/>
      <c r="BC60" s="5"/>
      <c r="BD60" s="5"/>
      <c r="BE60" s="5"/>
      <c r="BF60" s="5"/>
      <c r="BG60" s="5"/>
      <c r="BH60" s="5"/>
      <c r="BI60" s="5"/>
      <c r="BJ60" s="5"/>
      <c r="BK60" s="5"/>
      <c r="BL60" s="6"/>
      <c r="BM60" s="6"/>
      <c r="BN60" s="6"/>
    </row>
    <row r="61" spans="1:66" s="3" customFormat="1">
      <c r="A61" s="6"/>
      <c r="B61" s="75"/>
      <c r="C61" s="5"/>
      <c r="D61" s="5"/>
      <c r="E61" s="6"/>
      <c r="F61" s="6"/>
      <c r="G61" s="5"/>
      <c r="H61" s="6"/>
      <c r="I61" s="6"/>
      <c r="J61" s="6"/>
      <c r="K61" s="6"/>
      <c r="L61" s="6"/>
      <c r="M61" s="6"/>
      <c r="N61" s="6"/>
      <c r="O61" s="6"/>
      <c r="P61" s="6"/>
      <c r="Q61" s="6"/>
      <c r="R61" s="6"/>
      <c r="S61" s="6"/>
      <c r="T61" s="6"/>
      <c r="U61" s="6"/>
      <c r="V61" s="75"/>
      <c r="W61" s="75"/>
      <c r="X61" s="75"/>
      <c r="Y61" s="75"/>
      <c r="Z61" s="75"/>
      <c r="AA61" s="75"/>
      <c r="AB61" s="75"/>
      <c r="AC61" s="6"/>
      <c r="AD61" s="6"/>
      <c r="AE61" s="4"/>
      <c r="AF61" s="4"/>
      <c r="AG61" s="75"/>
      <c r="AH61" s="4"/>
      <c r="AI61" s="4"/>
      <c r="AJ61" s="75"/>
      <c r="AK61" s="6"/>
      <c r="AL61" s="6"/>
      <c r="AM61" s="4"/>
      <c r="AN61" s="4"/>
      <c r="AO61" s="75"/>
      <c r="AP61" s="4"/>
      <c r="AQ61" s="4"/>
      <c r="AR61" s="75"/>
      <c r="AS61" s="4"/>
      <c r="AT61" s="4"/>
      <c r="AU61" s="4"/>
      <c r="AV61" s="4"/>
      <c r="AW61" s="5"/>
      <c r="AX61" s="5"/>
      <c r="AY61" s="5"/>
      <c r="AZ61" s="5"/>
      <c r="BA61" s="5"/>
      <c r="BB61" s="5"/>
      <c r="BC61" s="5"/>
      <c r="BD61" s="5"/>
      <c r="BE61" s="5"/>
      <c r="BF61" s="5"/>
      <c r="BG61" s="5"/>
      <c r="BH61" s="5"/>
      <c r="BI61" s="5"/>
      <c r="BJ61" s="5"/>
      <c r="BK61" s="5"/>
      <c r="BL61" s="6"/>
      <c r="BM61" s="6"/>
      <c r="BN61" s="6"/>
    </row>
    <row r="62" spans="1:66" s="3" customFormat="1">
      <c r="A62" s="6"/>
      <c r="B62" s="75"/>
      <c r="C62" s="5"/>
      <c r="D62" s="5"/>
      <c r="E62" s="6"/>
      <c r="F62" s="6"/>
      <c r="G62" s="5"/>
      <c r="H62" s="6"/>
      <c r="I62" s="6"/>
      <c r="J62" s="6"/>
      <c r="K62" s="6"/>
      <c r="L62" s="6"/>
      <c r="M62" s="6"/>
      <c r="N62" s="6"/>
      <c r="O62" s="6"/>
      <c r="P62" s="6"/>
      <c r="Q62" s="6"/>
      <c r="R62" s="6"/>
      <c r="S62" s="6"/>
      <c r="T62" s="6"/>
      <c r="U62" s="6"/>
      <c r="V62" s="75"/>
      <c r="W62" s="75"/>
      <c r="X62" s="75"/>
      <c r="Y62" s="75"/>
      <c r="Z62" s="75"/>
      <c r="AA62" s="75"/>
      <c r="AB62" s="75"/>
      <c r="AC62" s="6"/>
      <c r="AD62" s="6"/>
      <c r="AE62" s="4"/>
      <c r="AF62" s="4"/>
      <c r="AG62" s="75"/>
      <c r="AH62" s="4"/>
      <c r="AI62" s="4"/>
      <c r="AJ62" s="75"/>
      <c r="AK62" s="6"/>
      <c r="AL62" s="6"/>
      <c r="AM62" s="4"/>
      <c r="AN62" s="4"/>
      <c r="AO62" s="75"/>
      <c r="AP62" s="4"/>
      <c r="AQ62" s="4"/>
      <c r="AR62" s="75"/>
      <c r="AS62" s="4"/>
      <c r="AT62" s="4"/>
      <c r="AU62" s="4"/>
      <c r="AV62" s="4"/>
      <c r="AW62" s="5"/>
      <c r="AX62" s="5"/>
      <c r="AY62" s="5"/>
      <c r="AZ62" s="5"/>
      <c r="BA62" s="5"/>
      <c r="BB62" s="5"/>
      <c r="BC62" s="5"/>
      <c r="BD62" s="5"/>
      <c r="BE62" s="5"/>
      <c r="BF62" s="5"/>
      <c r="BG62" s="5"/>
      <c r="BH62" s="5"/>
      <c r="BI62" s="5"/>
      <c r="BJ62" s="5"/>
      <c r="BK62" s="5"/>
      <c r="BL62" s="6"/>
      <c r="BM62" s="6"/>
      <c r="BN62" s="6"/>
    </row>
    <row r="63" spans="1:66">
      <c r="H63" s="6"/>
      <c r="I63" s="6" t="s">
        <v>525</v>
      </c>
      <c r="J63" s="6"/>
    </row>
    <row r="64" spans="1:66">
      <c r="H64" s="6" t="s">
        <v>289</v>
      </c>
      <c r="I64" s="6" t="s">
        <v>526</v>
      </c>
      <c r="J64" s="6"/>
    </row>
    <row r="65" spans="8:9">
      <c r="H65" s="6" t="s">
        <v>290</v>
      </c>
      <c r="I65" s="6" t="s">
        <v>526</v>
      </c>
    </row>
    <row r="66" spans="8:9">
      <c r="H66" s="6" t="s">
        <v>291</v>
      </c>
      <c r="I66" s="6" t="s">
        <v>527</v>
      </c>
    </row>
    <row r="67" spans="8:9">
      <c r="H67" s="6" t="s">
        <v>392</v>
      </c>
      <c r="I67" s="6" t="s">
        <v>527</v>
      </c>
    </row>
    <row r="68" spans="8:9">
      <c r="H68" s="6" t="s">
        <v>293</v>
      </c>
      <c r="I68" s="6" t="s">
        <v>528</v>
      </c>
    </row>
    <row r="69" spans="8:9">
      <c r="H69" s="6" t="s">
        <v>294</v>
      </c>
      <c r="I69" s="6" t="s">
        <v>528</v>
      </c>
    </row>
    <row r="70" spans="8:9">
      <c r="H70" s="6" t="s">
        <v>295</v>
      </c>
      <c r="I70" s="6" t="s">
        <v>529</v>
      </c>
    </row>
    <row r="71" spans="8:9">
      <c r="H71" s="6" t="s">
        <v>296</v>
      </c>
      <c r="I71" s="6" t="s">
        <v>529</v>
      </c>
    </row>
  </sheetData>
  <protectedRanges>
    <protectedRange sqref="E27:R28 E37:R38 E7:R8 E12:R13 E32:R33 E42:R43 E17:R18 E22:R23" name="DDR2StrobesA"/>
  </protectedRanges>
  <mergeCells count="1">
    <mergeCell ref="A1:D1"/>
  </mergeCells>
  <phoneticPr fontId="25" type="noConversion"/>
  <conditionalFormatting sqref="BF7:BK8 BF12:BK13 BF17:BK18 AS42:BD43 BF27:BK28 BF32:BK33 BF37:BK38 BF22:BK23 AS7:BD8 AS32:BD33 AS27:BD28 AS17:BD18 AS22:BD23 AS12:BD13 AS37:BD38 BF42:BK43">
    <cfRule type="cellIs" dxfId="91" priority="1" stopIfTrue="1" operator="equal">
      <formula>"Pass"</formula>
    </cfRule>
    <cfRule type="cellIs" dxfId="90" priority="2" stopIfTrue="1" operator="notEqual">
      <formula>"Pass"</formula>
    </cfRule>
  </conditionalFormatting>
  <conditionalFormatting sqref="BE7:BE8 BE12:BE13 BE17:BE18 BE22:BE23 BE27:BE28 BE32:BE33 BE37:BE38 BE42:BE43">
    <cfRule type="cellIs" dxfId="89" priority="3" stopIfTrue="1" operator="equal">
      <formula>"Pass"</formula>
    </cfRule>
    <cfRule type="cellIs" dxfId="88" priority="4" stopIfTrue="1" operator="notEqual">
      <formula>"pass"</formula>
    </cfRule>
  </conditionalFormatting>
  <conditionalFormatting sqref="AD27:AD28 AD17:AD18 AL32:AL33 AD7:AD8 AD12:AD13 AD22:AD23 AD32:AD33 AD37:AD38 AL42:AL43 AL17:AL18 AL7:AL8 AD42:AD43 AL12:AL13 AL22:AL23 AL27:AL28 AL37:AL38">
    <cfRule type="cellIs" dxfId="87" priority="5" stopIfTrue="1" operator="greaterThan">
      <formula>6250</formula>
    </cfRule>
    <cfRule type="cellIs" dxfId="86" priority="6" stopIfTrue="1" operator="lessThan">
      <formula>6250</formula>
    </cfRule>
  </conditionalFormatting>
  <conditionalFormatting sqref="Z42:AA43 AH22:AI23 Z32:AA33 Z22:AA23 Z12:AA13 AH12:AI13 AH7:AI8 Z7:AA8 AH17:AI18 AH27:AI28 Z17:AA18 Z27:AA28 AH37:AI38 Z37:AA38 AH42:AI43 AH32:AI33 AP7:AQ8 AP17:AQ18 AP12:AQ13 AP22:AQ23 AP32:AQ33 AP37:AQ38 AP27:AQ28 AP42:AQ43">
    <cfRule type="cellIs" priority="7" stopIfTrue="1" operator="equal">
      <formula>"Pass"</formula>
    </cfRule>
    <cfRule type="cellIs" dxfId="85" priority="8" stopIfTrue="1" operator="notEqual">
      <formula>"Pass"</formula>
    </cfRule>
  </conditionalFormatting>
  <conditionalFormatting sqref="A1:BL1">
    <cfRule type="expression" dxfId="84" priority="9" stopIfTrue="1">
      <formula>$E$1 = "Fail"</formula>
    </cfRule>
    <cfRule type="expression" dxfId="83" priority="10" stopIfTrue="1">
      <formula>$E$1 = "Pass"</formula>
    </cfRule>
  </conditionalFormatting>
  <conditionalFormatting sqref="U32:U33 U22:U23 U12:U13 U7:U8 U17:U18 U27:U28 U37:U38 U42:U43">
    <cfRule type="cellIs" dxfId="82" priority="11" stopIfTrue="1" operator="greaterThan">
      <formula>4750</formula>
    </cfRule>
    <cfRule type="cellIs" dxfId="81" priority="12" stopIfTrue="1" operator="lessThan">
      <formula>4750</formula>
    </cfRule>
  </conditionalFormatting>
  <pageMargins left="0.75" right="0.75" top="1" bottom="1" header="0.5" footer="0.5"/>
  <pageSetup paperSize="9" orientation="landscape" r:id="rId1"/>
  <headerFooter alignWithMargins="0"/>
  <drawing r:id="rId2"/>
  <legacyDrawing r:id="rId3"/>
  <oleObjects>
    <mc:AlternateContent xmlns:mc="http://schemas.openxmlformats.org/markup-compatibility/2006">
      <mc:Choice Requires="x14">
        <oleObject progId="Visio.Drawing.11" shapeId="36865" r:id="rId4">
          <objectPr defaultSize="0" autoPict="0" r:id="rId5">
            <anchor moveWithCells="1">
              <from>
                <xdr:col>4</xdr:col>
                <xdr:colOff>38100</xdr:colOff>
                <xdr:row>45</xdr:row>
                <xdr:rowOff>57150</xdr:rowOff>
              </from>
              <to>
                <xdr:col>15</xdr:col>
                <xdr:colOff>1190625</xdr:colOff>
                <xdr:row>61</xdr:row>
                <xdr:rowOff>200025</xdr:rowOff>
              </to>
            </anchor>
          </objectPr>
        </oleObject>
      </mc:Choice>
      <mc:Fallback>
        <oleObject progId="Visio.Drawing.11" shapeId="36865"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BX457"/>
  <sheetViews>
    <sheetView zoomScale="75" workbookViewId="0">
      <selection activeCell="AS27" sqref="AS27"/>
    </sheetView>
  </sheetViews>
  <sheetFormatPr defaultColWidth="9.140625"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6" width="16.42578125" style="5" customWidth="1"/>
    <col min="17" max="17" width="15.42578125" style="5" customWidth="1"/>
    <col min="18" max="18" width="1.140625" style="6" customWidth="1"/>
    <col min="19" max="19" width="15.5703125" style="5" customWidth="1"/>
    <col min="20" max="20" width="18.140625" style="31" customWidth="1"/>
    <col min="21" max="21" width="11.85546875" style="6" customWidth="1"/>
    <col min="22" max="22" width="12.140625" style="6" customWidth="1"/>
    <col min="23" max="23" width="1" style="6" customWidth="1"/>
    <col min="24" max="24" width="13.7109375" style="5" customWidth="1"/>
    <col min="25" max="25" width="12.5703125" style="5" customWidth="1"/>
    <col min="26" max="26" width="1.140625" style="6" customWidth="1"/>
    <col min="27" max="27" width="27" style="5" customWidth="1"/>
    <col min="28" max="28" width="27" style="31" customWidth="1"/>
    <col min="29" max="29" width="11.140625" style="6" customWidth="1"/>
    <col min="30" max="30" width="13.5703125" style="6" customWidth="1"/>
    <col min="31" max="31" width="1" style="6" customWidth="1"/>
    <col min="32" max="32" width="13.7109375" style="5" customWidth="1"/>
    <col min="33" max="33" width="14.28515625" style="5" customWidth="1"/>
    <col min="34" max="34" width="1.140625" style="6" customWidth="1"/>
    <col min="35" max="35" width="27" style="5" customWidth="1"/>
    <col min="36" max="36" width="27" style="31" customWidth="1"/>
    <col min="37" max="37" width="11.140625" style="6" customWidth="1"/>
    <col min="38" max="38" width="13.5703125" style="6" customWidth="1"/>
    <col min="39" max="39" width="1" style="6" customWidth="1"/>
    <col min="40" max="40" width="13.7109375" style="5" customWidth="1"/>
    <col min="41" max="41" width="14.28515625" style="5" customWidth="1"/>
    <col min="42" max="42" width="1" style="6" customWidth="1"/>
    <col min="43" max="43" width="14.28515625" style="6" customWidth="1"/>
    <col min="44" max="44" width="13.7109375" style="6" customWidth="1"/>
    <col min="45" max="45" width="14.28515625" style="79" hidden="1" customWidth="1"/>
    <col min="46" max="48" width="14.28515625" style="79" customWidth="1"/>
    <col min="49" max="49" width="17.28515625" style="79" customWidth="1"/>
    <col min="50" max="51" width="14.28515625" style="79" customWidth="1"/>
    <col min="52" max="52" width="27.85546875" style="79" customWidth="1"/>
    <col min="53" max="53" width="14" style="79" customWidth="1"/>
    <col min="54" max="54" width="14.42578125" style="79" customWidth="1"/>
    <col min="55" max="55" width="19" style="79" customWidth="1"/>
    <col min="56" max="58" width="19.42578125" style="79" customWidth="1"/>
    <col min="59" max="59" width="0.85546875" style="79" customWidth="1"/>
    <col min="60" max="60" width="17.85546875" style="79" customWidth="1"/>
    <col min="61" max="61" width="21.140625" style="79" customWidth="1"/>
    <col min="62" max="62" width="2.140625" style="6" customWidth="1"/>
    <col min="63" max="63" width="11.42578125" style="79" customWidth="1"/>
    <col min="64" max="64" width="11.28515625" style="79" customWidth="1"/>
    <col min="65" max="65" width="16.28515625" style="79" customWidth="1"/>
    <col min="66" max="66" width="11.42578125" style="79" customWidth="1"/>
    <col min="67" max="67" width="11.28515625" style="79" customWidth="1"/>
    <col min="68" max="68" width="16.28515625" style="79" customWidth="1"/>
    <col min="69" max="69" width="11.85546875" style="6" customWidth="1"/>
    <col min="70" max="70" width="11.28515625" style="79" customWidth="1"/>
    <col min="71" max="71" width="11.42578125" style="79" customWidth="1"/>
    <col min="72" max="72" width="16.28515625" style="79" customWidth="1"/>
    <col min="73" max="73" width="12.85546875" style="6" customWidth="1"/>
    <col min="74" max="74" width="11.28515625" style="79" customWidth="1"/>
    <col min="75" max="75" width="11.42578125" style="79" customWidth="1"/>
    <col min="76" max="76" width="16.28515625" style="79" customWidth="1"/>
    <col min="77" max="16384" width="9.140625" style="3"/>
  </cols>
  <sheetData>
    <row r="1" spans="1:76" ht="26.25">
      <c r="A1" s="1322" t="s">
        <v>108</v>
      </c>
      <c r="B1" s="1324"/>
      <c r="C1" s="1324"/>
      <c r="D1" s="1324"/>
      <c r="E1" s="1323" t="e">
        <f ca="1">IF(AND(BI7="Pass",BI19="Pass",BI31="Pass",BI43="Pass",BI55="Pass",BI67="Pass",BI79="Pass"),"Pass","Fail")</f>
        <v>#REF!</v>
      </c>
      <c r="F1" s="1323"/>
      <c r="G1" s="3"/>
      <c r="H1" s="3"/>
      <c r="I1" s="3"/>
      <c r="J1" s="3"/>
      <c r="K1" s="3"/>
      <c r="L1" s="3"/>
      <c r="M1" s="3"/>
      <c r="N1" s="3"/>
      <c r="O1" s="3"/>
      <c r="P1" s="3"/>
      <c r="Q1" s="3"/>
      <c r="R1" s="3"/>
      <c r="BJ1" s="79"/>
      <c r="BK1" s="3"/>
      <c r="BL1" s="3"/>
      <c r="BM1" s="3"/>
      <c r="BN1" s="3"/>
      <c r="BO1" s="3"/>
      <c r="BP1" s="3"/>
      <c r="BQ1" s="3"/>
      <c r="BR1" s="3"/>
      <c r="BS1" s="3"/>
      <c r="BT1" s="3"/>
      <c r="BU1" s="3"/>
      <c r="BV1" s="3"/>
      <c r="BW1" s="3"/>
      <c r="BX1" s="3"/>
    </row>
    <row r="2" spans="1:76" customFormat="1" ht="18">
      <c r="A2" s="96" t="s">
        <v>10</v>
      </c>
      <c r="B2" s="299" t="e">
        <f>'DDR2 Clocks - 2L'!B2</f>
        <v>#REF!</v>
      </c>
      <c r="C2" s="100"/>
      <c r="D2" s="100"/>
      <c r="E2" s="100"/>
      <c r="F2" s="100"/>
      <c r="G2" s="100"/>
      <c r="H2" s="100"/>
      <c r="I2" s="100"/>
      <c r="J2" s="100"/>
      <c r="K2" s="100"/>
      <c r="L2" s="100"/>
      <c r="M2" s="100"/>
      <c r="N2" s="100"/>
      <c r="O2" s="100"/>
      <c r="P2" s="100"/>
      <c r="Q2" s="100"/>
      <c r="R2" s="1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600"/>
      <c r="AX2" s="600"/>
      <c r="AY2" s="600"/>
      <c r="AZ2" s="600"/>
      <c r="BA2" s="600"/>
      <c r="BB2" s="600"/>
      <c r="BC2" s="600"/>
      <c r="BD2" s="600"/>
      <c r="BE2" s="600"/>
      <c r="BF2" s="600"/>
      <c r="BG2" s="600"/>
      <c r="BH2" s="577"/>
      <c r="BI2" s="577"/>
      <c r="BJ2" s="577"/>
    </row>
    <row r="3" spans="1:76" s="50" customFormat="1" ht="87.75" customHeight="1">
      <c r="A3" s="101" t="s">
        <v>457</v>
      </c>
      <c r="B3" s="101" t="s">
        <v>474</v>
      </c>
      <c r="C3" s="103" t="s">
        <v>475</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L7-1 ["&amp;$B$2&amp;"]"</f>
        <v>#REF!</v>
      </c>
      <c r="O3" s="124" t="e">
        <f>"Breakin to SDRAM L7-2 ["&amp;$B$2&amp;"]"</f>
        <v>#REF!</v>
      </c>
      <c r="P3" s="124" t="e">
        <f>"Breakin to SDRAM L8-1 ["&amp;$B$2&amp;"]"</f>
        <v>#REF!</v>
      </c>
      <c r="Q3" s="124" t="e">
        <f>"Breakin to SDRAM L8-2 ["&amp;$B$2&amp;"]"</f>
        <v>#REF!</v>
      </c>
      <c r="R3" s="124"/>
      <c r="S3" s="595" t="e">
        <f>"Total MB Length to SODIMM (L0+L1+L2+S1)  ["&amp;$B$2&amp;"]"</f>
        <v>#REF!</v>
      </c>
      <c r="T3" s="7" t="e">
        <f>"Total Pad-to-SODIMM Connector Length (P0+L0+L1+L2+S1)  ["&amp;$B$2&amp;"]"</f>
        <v>#REF!</v>
      </c>
      <c r="U3" s="7" t="e">
        <f>"Target Min Length to SODIMM["&amp;$B$2&amp;"]"</f>
        <v>#REF!</v>
      </c>
      <c r="V3" s="7" t="e">
        <f>"Target Max Length to SODIMM ["&amp;$B$2&amp;"]"</f>
        <v>#REF!</v>
      </c>
      <c r="W3" s="7"/>
      <c r="X3" s="7" t="e">
        <f>"Length to SODIMM Routed Too Short  ["&amp;$B$2&amp;"]"</f>
        <v>#REF!</v>
      </c>
      <c r="Y3" s="7" t="e">
        <f>"Length to SODIMM Routed Too Long  ["&amp;$B$2&amp;"]"</f>
        <v>#REF!</v>
      </c>
      <c r="Z3" s="7"/>
      <c r="AA3" s="595" t="e">
        <f>"Total MB Length to SDRAM (L0+L1+L2+L3+L4+Rs+L5+L6+L7-1+L8-1)  ["&amp;$B$2&amp;"]"</f>
        <v>#REF!</v>
      </c>
      <c r="AB3" s="595" t="e">
        <f>"Total MB Length to SDRAM (P0+L0+L1+L2+L3+L4+Rs+L5+L6+L7-1+L8-1)  ["&amp;$B$2&amp;"]"</f>
        <v>#REF!</v>
      </c>
      <c r="AC3" s="7" t="e">
        <f>"Target Min Length to SDRAM (U1-U4)["&amp;$B$2&amp;"]"</f>
        <v>#REF!</v>
      </c>
      <c r="AD3" s="7" t="e">
        <f>"Target Max Length to SDRAM (U1-U4) ["&amp;$B$2&amp;"]"</f>
        <v>#REF!</v>
      </c>
      <c r="AE3" s="7"/>
      <c r="AF3" s="7" t="e">
        <f>"Length to SDRAM (U1-U4) Routed Too Short  ["&amp;$B$2&amp;"]"</f>
        <v>#REF!</v>
      </c>
      <c r="AG3" s="7" t="e">
        <f>"Length to SDRAM (U1-U4) Routed Too Long  ["&amp;$B$2&amp;"]"</f>
        <v>#REF!</v>
      </c>
      <c r="AH3" s="7"/>
      <c r="AI3" s="595" t="e">
        <f>"Total MB Length to SDRAM (L0+L1+L2+L3+L4+Rs+L5+L6+L7-2+L8-2)  ["&amp;$B$2&amp;"]"</f>
        <v>#REF!</v>
      </c>
      <c r="AJ3" s="595" t="e">
        <f>"Total MB Length to SDRAM (P0+L0+L1+L2+L3+L4+Rs+L5+L6+L7-2+L8-2)  ["&amp;$B$2&amp;"]"</f>
        <v>#REF!</v>
      </c>
      <c r="AK3" s="7" t="e">
        <f>"Target Min Length to SDRAM (U5-U8)["&amp;$B$2&amp;"]"</f>
        <v>#REF!</v>
      </c>
      <c r="AL3" s="7" t="e">
        <f>"Target Max Length to SDRAM (U5-U8) ["&amp;$B$2&amp;"]"</f>
        <v>#REF!</v>
      </c>
      <c r="AM3" s="7"/>
      <c r="AN3" s="7" t="e">
        <f>"Length to SDRAM (U5-U8) Routed Too Short  ["&amp;$B$2&amp;"]"</f>
        <v>#REF!</v>
      </c>
      <c r="AO3" s="7" t="e">
        <f>"Length to SDRAM (U5-U8) Routed Too Long ["&amp;$B$2&amp;"]"</f>
        <v>#REF!</v>
      </c>
      <c r="AP3" s="7"/>
      <c r="AQ3" s="7" t="e">
        <f>"L0 Length Test (&lt;="&amp;IF($B$2="mil",1,0.0254)*50&amp;$B$2&amp;")"</f>
        <v>#REF!</v>
      </c>
      <c r="AR3" s="7" t="e">
        <f>"L1 Length Test (&lt;="&amp;IF($B$2="mil",1,0.0254)*500&amp;$B$2&amp;")"</f>
        <v>#REF!</v>
      </c>
      <c r="AS3" s="7" t="e">
        <f>"S1 Length Test (&lt;="&amp;IF($B$2="mil",1,0.0254)*250&amp;$B$2&amp;")"</f>
        <v>#REF!</v>
      </c>
      <c r="AT3" s="7" t="e">
        <f>"L3 Length Test (&lt;="&amp;IF($B$2="mil",1,0.0254)*750&amp;$B$2&amp;" or L3 + L4 &lt;="&amp; IF($B$2="mil",1,0.0254)*875&amp;$B$2&amp;")"</f>
        <v>#REF!</v>
      </c>
      <c r="AU3" s="7" t="e">
        <f>"L4 Length Test (&lt;="&amp;IF($B$2="mil",1,0.0254)*125&amp;$B$2&amp;")"</f>
        <v>#REF!</v>
      </c>
      <c r="AV3" s="7" t="e">
        <f>"L5 Length Test (&lt;="&amp;IF($B$2="mil",1,0.0254)*125&amp;$B$2&amp;")"</f>
        <v>#REF!</v>
      </c>
      <c r="AW3" s="7" t="e">
        <f>"L6 Length Test (&lt;="&amp;IF($B$2="mil",1,0.0254)*1200&amp;$B$2&amp;" or L5+L6&lt;="&amp;IF($B$2="mil",1,0.0254)*1275&amp;$B$2&amp;")"</f>
        <v>#REF!</v>
      </c>
      <c r="AX3" s="7" t="e">
        <f>"L7-1 Length Test (&lt;="&amp;IF($B$2="mil",1,0.0254)*150&amp;$B$2&amp;")"</f>
        <v>#REF!</v>
      </c>
      <c r="AY3" s="7" t="e">
        <f>"L7-2 Length Test (&lt;="&amp;IF($B$2="mil",1,0.0254)*150&amp;$B$2&amp;")"</f>
        <v>#REF!</v>
      </c>
      <c r="AZ3" s="7" t="e">
        <f>"L7 Matching Test (Maximum L7 - Minimum L7 &lt;="&amp;IF($B$2="mil",1,0.0254)*50&amp;IF($B$2="mil","mil","mm")&amp;")"</f>
        <v>#REF!</v>
      </c>
      <c r="BA3" s="7" t="e">
        <f>"L8-1 Length Test (&lt;="&amp;IF($B$2="mil",1,0.0254)*150&amp;$B$2&amp;") or (L7-1+L8-1 &lt;= "&amp;IF($B$2="mil",1,0.0254)*200&amp;$B$2&amp;")"</f>
        <v>#REF!</v>
      </c>
      <c r="BB3" s="7" t="e">
        <f>"L8-2 Length Test (&lt;="&amp;IF($B$2="mil",1,0.0254)*150&amp;$B$2&amp;") or (L7-2+L8-2 &lt;= "&amp;IF($B$2="mil",1,0.0254)*200&amp;$B$2&amp;")"</f>
        <v>#REF!</v>
      </c>
      <c r="BC3" s="7" t="e">
        <f>"Total MB Length to SODIMM (L0+L1+L2+S1) Test "&amp;IF($B$2="mil","(500-4000mil)","(12.7-114.3mm)")</f>
        <v>#REF!</v>
      </c>
      <c r="BD3" s="7" t="e">
        <f>"Total Length to SODIMM (P0+L0+L1+L2+S1) Test (&lt;="&amp; IF($B$2="mil","4500mil","127mm")&amp;")"</f>
        <v>#REF!</v>
      </c>
      <c r="BE3" s="7" t="e">
        <f>"Total MB Length to SDRAM (L0+L1+L2+L3+L4+Rs+L5+L6+L7+L8) Test "&amp;IF($B$2="mil","(500-5500mil)","(12.7-114.3mm)")</f>
        <v>#REF!</v>
      </c>
      <c r="BF3" s="7" t="e">
        <f>"Total Length to SDRAM (P0+L0+L1+L2+L3+L4+Rs+L5+L6+L7+L8) Test (&lt;="&amp; IF($B$2="mil","6000mil","127mm")&amp;")"</f>
        <v>#REF!</v>
      </c>
      <c r="BG3" s="7"/>
      <c r="BH3" s="596"/>
      <c r="BI3" s="596"/>
      <c r="BJ3" s="596"/>
    </row>
    <row r="4" spans="1:76">
      <c r="A4" s="109" t="s">
        <v>197</v>
      </c>
      <c r="B4" s="485"/>
      <c r="C4" s="126"/>
      <c r="D4" s="10"/>
      <c r="E4" s="10"/>
      <c r="F4" s="23"/>
      <c r="G4" s="9"/>
      <c r="H4" s="9"/>
      <c r="I4" s="9"/>
      <c r="J4" s="9"/>
      <c r="K4" s="9"/>
      <c r="L4" s="9"/>
      <c r="M4" s="9"/>
      <c r="N4" s="9"/>
      <c r="O4" s="9"/>
      <c r="P4" s="9"/>
      <c r="Q4" s="10"/>
      <c r="R4" s="10"/>
      <c r="S4" s="9"/>
      <c r="T4" s="10"/>
      <c r="U4" s="51"/>
      <c r="V4" s="10"/>
      <c r="W4" s="10"/>
      <c r="X4" s="15"/>
      <c r="Y4" s="17"/>
      <c r="Z4" s="10"/>
      <c r="AA4" s="9"/>
      <c r="AB4" s="10"/>
      <c r="AC4" s="51"/>
      <c r="AD4" s="10"/>
      <c r="AE4" s="10"/>
      <c r="AF4" s="15"/>
      <c r="AG4" s="17"/>
      <c r="AH4" s="10"/>
      <c r="AI4" s="9"/>
      <c r="AJ4" s="10"/>
      <c r="AK4" s="51"/>
      <c r="AL4" s="10"/>
      <c r="AM4" s="10"/>
      <c r="AN4" s="15"/>
      <c r="AO4" s="17"/>
      <c r="AP4" s="10"/>
      <c r="AQ4" s="17"/>
      <c r="AR4" s="17"/>
      <c r="AS4" s="16"/>
      <c r="AT4" s="16"/>
      <c r="AU4" s="16"/>
      <c r="AV4" s="16"/>
      <c r="AW4" s="16"/>
      <c r="AX4" s="16"/>
      <c r="AY4" s="16"/>
      <c r="AZ4" s="16"/>
      <c r="BA4" s="16"/>
      <c r="BB4" s="16"/>
      <c r="BC4" s="16"/>
      <c r="BD4" s="16"/>
      <c r="BE4" s="16"/>
      <c r="BF4" s="16"/>
      <c r="BG4" s="12"/>
      <c r="BH4" s="554"/>
      <c r="BI4" s="554"/>
      <c r="BJ4" s="554"/>
      <c r="BK4" s="3"/>
      <c r="BL4" s="3"/>
      <c r="BM4" s="3"/>
      <c r="BN4" s="3"/>
      <c r="BO4" s="3"/>
      <c r="BP4" s="3"/>
      <c r="BQ4" s="3"/>
      <c r="BR4" s="3"/>
      <c r="BS4" s="3"/>
      <c r="BT4" s="3"/>
      <c r="BU4" s="3"/>
      <c r="BV4" s="3"/>
      <c r="BW4" s="3"/>
      <c r="BX4" s="3"/>
    </row>
    <row r="5" spans="1:76">
      <c r="A5" s="118" t="str">
        <f>'DDR2 Strobes - 2x16_1R SODIMM'!$A$7</f>
        <v>SA_DQS0</v>
      </c>
      <c r="B5" s="486" t="str">
        <f>'DDR2 Strobes - 2x16_1R SODIMM'!$B$7</f>
        <v>Y25</v>
      </c>
      <c r="C5" s="127"/>
      <c r="D5" s="53"/>
      <c r="E5" s="80"/>
      <c r="F5" s="80"/>
      <c r="G5" s="81"/>
      <c r="H5" s="81"/>
      <c r="I5" s="81"/>
      <c r="J5" s="81"/>
      <c r="K5" s="81"/>
      <c r="L5" s="81"/>
      <c r="M5" s="81"/>
      <c r="N5" s="81"/>
      <c r="O5" s="81"/>
      <c r="P5" s="81"/>
      <c r="Q5" s="81"/>
      <c r="R5" s="81"/>
      <c r="S5" s="81"/>
      <c r="T5" s="58"/>
      <c r="U5" s="58" t="e">
        <f>'DDR2 Strobes - 2x16_1R SODIMM'!$U$7</f>
        <v>#REF!</v>
      </c>
      <c r="V5" s="58"/>
      <c r="W5" s="58"/>
      <c r="X5" s="58"/>
      <c r="Y5" s="601"/>
      <c r="Z5" s="58"/>
      <c r="AA5" s="81"/>
      <c r="AB5" s="58"/>
      <c r="AC5" s="58" t="e">
        <f>'DDR2 Strobes - 2x16_1R SODIMM'!$AD$7</f>
        <v>#REF!</v>
      </c>
      <c r="AD5" s="58"/>
      <c r="AE5" s="58"/>
      <c r="AF5" s="58"/>
      <c r="AG5" s="601"/>
      <c r="AH5" s="58"/>
      <c r="AI5" s="81"/>
      <c r="AJ5" s="58"/>
      <c r="AK5" s="58" t="e">
        <f>'DDR2 Strobes - 2x16_1R SODIMM'!$AL$7</f>
        <v>#REF!</v>
      </c>
      <c r="AL5" s="58"/>
      <c r="AM5" s="58"/>
      <c r="AN5" s="58"/>
      <c r="AO5" s="601"/>
      <c r="AP5" s="58"/>
      <c r="AQ5" s="601"/>
      <c r="AR5" s="601"/>
      <c r="AS5" s="601"/>
      <c r="AT5" s="601"/>
      <c r="AU5" s="601"/>
      <c r="AV5" s="601"/>
      <c r="AW5" s="601"/>
      <c r="AX5" s="601"/>
      <c r="AY5" s="601"/>
      <c r="AZ5" s="601"/>
      <c r="BA5" s="601"/>
      <c r="BB5" s="601"/>
      <c r="BC5" s="601"/>
      <c r="BD5" s="601"/>
      <c r="BE5" s="601"/>
      <c r="BF5" s="601"/>
      <c r="BG5" s="58"/>
      <c r="BH5" s="554"/>
      <c r="BI5" s="554"/>
      <c r="BJ5" s="554"/>
      <c r="BK5" s="3"/>
      <c r="BL5" s="3"/>
      <c r="BM5" s="3"/>
      <c r="BN5" s="3"/>
      <c r="BO5" s="3"/>
      <c r="BP5" s="3"/>
      <c r="BQ5" s="3"/>
      <c r="BR5" s="3"/>
      <c r="BS5" s="3"/>
      <c r="BT5" s="3"/>
      <c r="BU5" s="3"/>
      <c r="BV5" s="3"/>
      <c r="BW5" s="3"/>
      <c r="BX5" s="3"/>
    </row>
    <row r="6" spans="1:76">
      <c r="A6" s="118" t="str">
        <f>'DDR2 Strobes - 2x16_1R SODIMM'!$A$8</f>
        <v>SA_DQS0#</v>
      </c>
      <c r="B6" s="486" t="str">
        <f>'DDR2 Strobes - 2x16_1R SODIMM'!$B$8</f>
        <v>W24</v>
      </c>
      <c r="C6" s="127"/>
      <c r="D6" s="53"/>
      <c r="E6" s="80"/>
      <c r="F6" s="80"/>
      <c r="G6" s="291"/>
      <c r="H6" s="291"/>
      <c r="I6" s="81"/>
      <c r="J6" s="81"/>
      <c r="K6" s="81"/>
      <c r="L6" s="81"/>
      <c r="M6" s="81"/>
      <c r="N6" s="81"/>
      <c r="O6" s="81"/>
      <c r="P6" s="81"/>
      <c r="Q6" s="81"/>
      <c r="R6" s="81"/>
      <c r="S6" s="81"/>
      <c r="T6" s="603"/>
      <c r="U6" s="58" t="e">
        <f>'DDR2 Strobes - 2x16_1R SODIMM'!$U$8</f>
        <v>#REF!</v>
      </c>
      <c r="V6" s="58"/>
      <c r="W6" s="58"/>
      <c r="X6" s="58"/>
      <c r="Y6" s="601"/>
      <c r="Z6" s="58"/>
      <c r="AA6" s="602"/>
      <c r="AB6" s="603"/>
      <c r="AC6" s="58" t="e">
        <f>'DDR2 Strobes - 2x16_1R SODIMM'!$AD$8</f>
        <v>#REF!</v>
      </c>
      <c r="AD6" s="58"/>
      <c r="AE6" s="58"/>
      <c r="AF6" s="58"/>
      <c r="AG6" s="601"/>
      <c r="AH6" s="58"/>
      <c r="AI6" s="602"/>
      <c r="AJ6" s="603"/>
      <c r="AK6" s="58" t="e">
        <f>'DDR2 Strobes - 2x16_1R SODIMM'!$AL$8</f>
        <v>#REF!</v>
      </c>
      <c r="AL6" s="58"/>
      <c r="AM6" s="58"/>
      <c r="AN6" s="58"/>
      <c r="AO6" s="601"/>
      <c r="AP6" s="58"/>
      <c r="AQ6" s="601"/>
      <c r="AR6" s="601"/>
      <c r="AS6" s="604"/>
      <c r="AT6" s="604"/>
      <c r="AU6" s="604"/>
      <c r="AV6" s="604"/>
      <c r="AW6" s="604"/>
      <c r="AX6" s="604"/>
      <c r="AY6" s="604"/>
      <c r="AZ6" s="604"/>
      <c r="BA6" s="604"/>
      <c r="BB6" s="604"/>
      <c r="BC6" s="604"/>
      <c r="BD6" s="604"/>
      <c r="BE6" s="604"/>
      <c r="BF6" s="604"/>
      <c r="BG6" s="58"/>
      <c r="BH6" s="554"/>
      <c r="BI6" s="554"/>
      <c r="BJ6" s="554"/>
      <c r="BK6" s="3"/>
      <c r="BL6" s="3"/>
      <c r="BM6" s="3"/>
      <c r="BN6" s="3"/>
      <c r="BO6" s="3"/>
      <c r="BP6" s="3"/>
      <c r="BQ6" s="3"/>
      <c r="BR6" s="3"/>
      <c r="BS6" s="3"/>
      <c r="BT6" s="3"/>
      <c r="BU6" s="3"/>
      <c r="BV6" s="3"/>
      <c r="BW6" s="3"/>
      <c r="BX6" s="3"/>
    </row>
    <row r="7" spans="1:76">
      <c r="A7" s="633" t="s">
        <v>121</v>
      </c>
      <c r="B7" s="665" t="s">
        <v>513</v>
      </c>
      <c r="C7" s="658">
        <v>385.1968503937008</v>
      </c>
      <c r="D7" s="18"/>
      <c r="E7" s="621">
        <v>22.63</v>
      </c>
      <c r="F7" s="277">
        <v>0</v>
      </c>
      <c r="G7" s="622">
        <v>1740</v>
      </c>
      <c r="H7" s="622">
        <v>50</v>
      </c>
      <c r="I7" s="622">
        <v>750</v>
      </c>
      <c r="J7" s="622">
        <v>50</v>
      </c>
      <c r="K7" s="277">
        <v>40</v>
      </c>
      <c r="L7" s="622">
        <v>75</v>
      </c>
      <c r="M7" s="622">
        <v>959</v>
      </c>
      <c r="N7" s="620">
        <v>50</v>
      </c>
      <c r="O7" s="620">
        <v>50</v>
      </c>
      <c r="P7" s="622">
        <v>22</v>
      </c>
      <c r="Q7" s="622">
        <v>22</v>
      </c>
      <c r="R7" s="69"/>
      <c r="S7" s="489">
        <f xml:space="preserve"> E7+F7+G7+H7</f>
        <v>1812.63</v>
      </c>
      <c r="T7" s="489" t="e">
        <f t="shared" ref="T7:T15" si="0">S7+IF($B$2="mil",1,0.0254)*C7</f>
        <v>#REF!</v>
      </c>
      <c r="U7" s="489" t="e">
        <f>MAX(U$5:U$6)+IF($B$2="mil",1,0.0254)*DDR2Specs!$B$3</f>
        <v>#REF!</v>
      </c>
      <c r="V7" s="489" t="e">
        <f>MIN(U$5:U$6)+IF($B$2="mil",1,0.0254)*DDR2Specs!$C$3</f>
        <v>#REF!</v>
      </c>
      <c r="W7" s="21"/>
      <c r="X7" s="598" t="e">
        <f t="shared" ref="X7:X15" si="1">IF($T7&lt;$U7,$U7-$T7,"Pass")</f>
        <v>#REF!</v>
      </c>
      <c r="Y7" s="495" t="e">
        <f>IF($T7&gt;$V7,$T7-$V7,"Pass")</f>
        <v>#REF!</v>
      </c>
      <c r="Z7" s="21"/>
      <c r="AA7" s="489">
        <f t="shared" ref="AA7:AA15" si="2">SUM(E7:G7,I7:N7,P7)</f>
        <v>3708.63</v>
      </c>
      <c r="AB7" s="489" t="e">
        <f t="shared" ref="AB7:AB15" si="3">AA7+IF($B$2="mil",1,0.0254)*$C7</f>
        <v>#REF!</v>
      </c>
      <c r="AC7" s="489" t="e">
        <f>MAX(AC$5:AC$6)+IF($B$2="mil",1,0.0254)*DDR2Specs!$E$3</f>
        <v>#REF!</v>
      </c>
      <c r="AD7" s="489" t="e">
        <f>MIN(AC$5:AC$6)+IF($B$2="mil",1,0.0254)*DDR2Specs!$F$3</f>
        <v>#REF!</v>
      </c>
      <c r="AE7" s="21"/>
      <c r="AF7" s="598" t="e">
        <f>IF($AB7&lt;$AC7,$AC7-$AB7,"Pass")</f>
        <v>#REF!</v>
      </c>
      <c r="AG7" s="495" t="e">
        <f t="shared" ref="AG7:AG15" si="4">IF($AB7&gt;$AD7,$AB7-$AD7,"Pass")</f>
        <v>#REF!</v>
      </c>
      <c r="AH7" s="21"/>
      <c r="AI7" s="489">
        <f t="shared" ref="AI7:AI15" si="5">SUM(E7:G7,I7:M7,O7,Q7)</f>
        <v>3708.63</v>
      </c>
      <c r="AJ7" s="489" t="e">
        <f t="shared" ref="AJ7:AJ15" si="6">AI7+IF($B$2="mil",1,0.0254)*$C7</f>
        <v>#REF!</v>
      </c>
      <c r="AK7" s="489" t="e">
        <f>MAX(AK$5:AK$6)+IF($B$2="mil",1,0.0254)*DDR2Specs!$E$3</f>
        <v>#REF!</v>
      </c>
      <c r="AL7" s="489" t="e">
        <f>MIN(AK$5:AK$6)+IF($B$2="mil",1,0.0254)*DDR2Specs!$F$3</f>
        <v>#REF!</v>
      </c>
      <c r="AM7" s="21"/>
      <c r="AN7" s="598" t="e">
        <f t="shared" ref="AN7:AN15" si="7">IF($AJ7&lt;$AK7,$AK7-$AJ7,"Pass")</f>
        <v>#REF!</v>
      </c>
      <c r="AO7" s="495" t="e">
        <f t="shared" ref="AO7:AO15" si="8">IF($AJ7&gt;$AL7,$AJ7-$AL7,"Pass")</f>
        <v>#REF!</v>
      </c>
      <c r="AP7" s="21"/>
      <c r="AQ7" s="495" t="e">
        <f t="shared" ref="AQ7:AQ15" si="9">IF($E7&lt;=IF($B$2="mil",1,0.0254)*50,"Pass",IF($B$2="mil",1,0.0254)*50-$E7)</f>
        <v>#REF!</v>
      </c>
      <c r="AR7" s="495" t="e">
        <f t="shared" ref="AR7:AR15" si="10">IF($F7&lt;=IF($B$2="mil",1,0.0254)*500,"Pass",IF($B$2="mil",1,0.0254)*500-$F7)</f>
        <v>#REF!</v>
      </c>
      <c r="AS7" s="495" t="e">
        <f t="shared" ref="AS7:AS15" si="11">IF($H7&lt;=IF($B$2="mil",1,0.0254)*250,"Pass",IF($B$2="mil",1,0.0254)*250-$H7)</f>
        <v>#REF!</v>
      </c>
      <c r="AT7" s="495" t="e">
        <f t="shared" ref="AT7:AT15" ca="1" si="12">CheckLength(IF($B$2="mil",1,0.0254)*750, IF($B$2="mil",1,0.0254)*125-J7, 0, I7,J7,0)</f>
        <v>#NAME?</v>
      </c>
      <c r="AU7" s="495" t="e">
        <f t="shared" ref="AU7:AU15" si="13">IF($J7&lt;=IF($B$2="mil",1,0.0254)*125,"Pass",IF($B$2="mil",1,0.0254)*125-$J7)</f>
        <v>#REF!</v>
      </c>
      <c r="AV7" s="495" t="e">
        <f t="shared" ref="AV7:AV15" si="14">IF($L7&lt;=IF($B$2="mil",1,0.0254)*125,"Pass",IF($B$2="mil",1,0.0254)*125-$L7)</f>
        <v>#REF!</v>
      </c>
      <c r="AW7" s="495" t="e">
        <f t="shared" ref="AW7:AW15" si="15">IF(($L7+$M7)&lt;=IF($B$2="mil",1,0.0254)*1275,"Pass",IF($B$2="mil",1,0.0254)*1275-($L7+H7))</f>
        <v>#REF!</v>
      </c>
      <c r="AX7" s="495" t="e">
        <f t="shared" ref="AX7:AX15" si="16">IF($N7&lt;=IF($B$2="mil",1,0.0254)*150,"Pass",IF($B$2="mil",1,0.0254)*150-$N7)</f>
        <v>#REF!</v>
      </c>
      <c r="AY7" s="495" t="e">
        <f t="shared" ref="AY7:AY15" si="17">IF($O7&lt;=IF($B$2="mil",1,0.0254)*150,"Pass",IF($B$2="mil",1,0.0254)*150-$O7)</f>
        <v>#REF!</v>
      </c>
      <c r="AZ7" s="493" t="e">
        <f t="shared" ref="AZ7:AZ15" si="18">IF(MAX(N7:O7)-MIN(N7:O7)&lt;=IF($B$2="mil",1,0.0254)*50,"Pass",MAX(N7:O7)-MIN(N7:O7)-IF($B$2="mil",1,0.0254)*50)</f>
        <v>#REF!</v>
      </c>
      <c r="BA7" s="495" t="e">
        <f ca="1">CheckLength2(IF($B$2="mil",1,0.0254)*200,$P7,N7,0)</f>
        <v>#NAME?</v>
      </c>
      <c r="BB7" s="495" t="e">
        <f ca="1">CheckLength2(IF($B$2="mil",1,0.0254)*200,$Q7,O7,0)</f>
        <v>#NAME?</v>
      </c>
      <c r="BC7" s="495" t="e">
        <f t="shared" ref="BC7:BC15" si="19">IF(AND($S7&gt;=IF($B$2="mil",1,0.0254)*500, $S7&lt;=IF($B$2="mil",1,0.0254)*4000),"Pass",IF($B$2="mil",1,0.0254)*4000-$S7)</f>
        <v>#REF!</v>
      </c>
      <c r="BD7" s="495" t="e">
        <f>IF(AND($T7&gt;=IF($B$2="mil",1,0.0254)*500, $T7&lt;=IF($B$2="mil",1,0.0254)*4500),"Pass",IF($B$2="mil",1,0.0254)*4500-$T7)</f>
        <v>#REF!</v>
      </c>
      <c r="BE7" s="495" t="e">
        <f t="shared" ref="BE7:BE15" si="20">IF(AND($AA7&gt;=IF($B$2="mil",1,0.0254)*500, $AA7&lt;=IF($B$2="mil",1,0.0254)*5500),"Pass",IF($B$2="mil",1,0.0254)*5500-$AA7)</f>
        <v>#REF!</v>
      </c>
      <c r="BF7" s="495" t="e">
        <f t="shared" ref="BF7:BF15" si="21">IF(AND($AB7&gt;=IF($B$2="mil",1,0.0254)*500, $AB7&lt;=IF($B$2="mil",1,0.0254)*6000),"Pass",IF($B$2="mil",1,0.0254)*6000-$AB7)</f>
        <v>#REF!</v>
      </c>
      <c r="BG7" s="21"/>
      <c r="BH7" s="554" t="e">
        <f t="shared" ref="BH7:BH15" ca="1" si="22">IF(AND(AN7="Pass",AO7="Pass",AQ7="Pass",BD7="Pass",AS7="Pass",AR7="Pass",BC7="Pass",X7="Pass",Y7="Pass",BB7="Pass",AW7="Pass",AX7="Pass",AY7="Pass",AZ7="Pass",BA7="Pass",AV7="Pass",AU7="Pass",AT7="Pass",AF7="Pass",AG7="Pass",BE7="Pass",BF7="Pass"),"Pass","Fail")</f>
        <v>#REF!</v>
      </c>
      <c r="BI7" s="554" t="e">
        <f ca="1">IF(AND(BH7="Pass",BH8="Pass",BH9="Pass",BH10="Pass",BH11="Pass",BH12="Pass",BH13="Pass",BH14="Pass",BH15="Pass"),"Pass","Fail")</f>
        <v>#REF!</v>
      </c>
      <c r="BJ7" s="554"/>
      <c r="BK7" s="3"/>
      <c r="BL7" s="3"/>
      <c r="BM7" s="3"/>
      <c r="BN7" s="3"/>
      <c r="BO7" s="3"/>
      <c r="BP7" s="3"/>
      <c r="BQ7" s="3"/>
      <c r="BR7" s="3"/>
      <c r="BS7" s="3"/>
      <c r="BT7" s="3"/>
      <c r="BU7" s="3"/>
      <c r="BV7" s="3"/>
      <c r="BW7" s="3"/>
      <c r="BX7" s="3"/>
    </row>
    <row r="8" spans="1:76">
      <c r="A8" s="633" t="s">
        <v>122</v>
      </c>
      <c r="B8" s="665" t="s">
        <v>514</v>
      </c>
      <c r="C8" s="658">
        <v>406.77165354330714</v>
      </c>
      <c r="D8" s="18"/>
      <c r="E8" s="621">
        <v>22.63</v>
      </c>
      <c r="F8" s="621">
        <v>0</v>
      </c>
      <c r="G8" s="622">
        <v>1720</v>
      </c>
      <c r="H8" s="622">
        <v>50</v>
      </c>
      <c r="I8" s="622">
        <v>750</v>
      </c>
      <c r="J8" s="622">
        <v>50</v>
      </c>
      <c r="K8" s="277">
        <v>40</v>
      </c>
      <c r="L8" s="622">
        <v>75</v>
      </c>
      <c r="M8" s="622">
        <v>920</v>
      </c>
      <c r="N8" s="620">
        <v>100</v>
      </c>
      <c r="O8" s="620">
        <v>100</v>
      </c>
      <c r="P8" s="622">
        <v>22</v>
      </c>
      <c r="Q8" s="622">
        <v>22</v>
      </c>
      <c r="R8" s="69"/>
      <c r="S8" s="489">
        <f t="shared" ref="S8:S15" si="23" xml:space="preserve"> E8+F8+G8+H8</f>
        <v>1792.63</v>
      </c>
      <c r="T8" s="489" t="e">
        <f t="shared" si="0"/>
        <v>#REF!</v>
      </c>
      <c r="U8" s="489" t="e">
        <f>MAX(U$5:U$6)+IF($B$2="mil",1,0.0254)*DDR2Specs!$B$3</f>
        <v>#REF!</v>
      </c>
      <c r="V8" s="489" t="e">
        <f>MIN(U$5:U$6)+IF($B$2="mil",1,0.0254)*DDR2Specs!$C$3</f>
        <v>#REF!</v>
      </c>
      <c r="W8" s="21"/>
      <c r="X8" s="598" t="e">
        <f t="shared" si="1"/>
        <v>#REF!</v>
      </c>
      <c r="Y8" s="495" t="e">
        <f t="shared" ref="Y8:Y15" si="24">IF($T8&gt;$V8,$T8-$V8,"Pass")</f>
        <v>#REF!</v>
      </c>
      <c r="Z8" s="21"/>
      <c r="AA8" s="489">
        <f t="shared" si="2"/>
        <v>3699.63</v>
      </c>
      <c r="AB8" s="489" t="e">
        <f t="shared" si="3"/>
        <v>#REF!</v>
      </c>
      <c r="AC8" s="489" t="e">
        <f>MAX(AC$5:AC$6)+IF($B$2="mil",1,0.0254)*DDR2Specs!$E$3</f>
        <v>#REF!</v>
      </c>
      <c r="AD8" s="489" t="e">
        <f>MIN(AC$5:AC$6)+IF($B$2="mil",1,0.0254)*DDR2Specs!$F$3</f>
        <v>#REF!</v>
      </c>
      <c r="AE8" s="21"/>
      <c r="AF8" s="598" t="e">
        <f t="shared" ref="AF8:AF15" si="25">IF($AB8&lt;$AC8,$AC8-$AB8,"Pass")</f>
        <v>#REF!</v>
      </c>
      <c r="AG8" s="495" t="e">
        <f t="shared" si="4"/>
        <v>#REF!</v>
      </c>
      <c r="AH8" s="21"/>
      <c r="AI8" s="489">
        <f t="shared" si="5"/>
        <v>3699.63</v>
      </c>
      <c r="AJ8" s="489" t="e">
        <f t="shared" si="6"/>
        <v>#REF!</v>
      </c>
      <c r="AK8" s="489" t="e">
        <f>MAX(AK$5:AK$6)+IF($B$2="mil",1,0.0254)*DDR2Specs!$E$3</f>
        <v>#REF!</v>
      </c>
      <c r="AL8" s="489" t="e">
        <f>MIN(AK$5:AK$6)+IF($B$2="mil",1,0.0254)*DDR2Specs!$F$3</f>
        <v>#REF!</v>
      </c>
      <c r="AM8" s="21"/>
      <c r="AN8" s="598" t="e">
        <f t="shared" si="7"/>
        <v>#REF!</v>
      </c>
      <c r="AO8" s="495" t="e">
        <f t="shared" si="8"/>
        <v>#REF!</v>
      </c>
      <c r="AP8" s="21"/>
      <c r="AQ8" s="495" t="e">
        <f t="shared" si="9"/>
        <v>#REF!</v>
      </c>
      <c r="AR8" s="495" t="e">
        <f t="shared" si="10"/>
        <v>#REF!</v>
      </c>
      <c r="AS8" s="495" t="e">
        <f t="shared" si="11"/>
        <v>#REF!</v>
      </c>
      <c r="AT8" s="495" t="e">
        <f t="shared" ca="1" si="12"/>
        <v>#NAME?</v>
      </c>
      <c r="AU8" s="495" t="e">
        <f t="shared" si="13"/>
        <v>#REF!</v>
      </c>
      <c r="AV8" s="495" t="e">
        <f t="shared" si="14"/>
        <v>#REF!</v>
      </c>
      <c r="AW8" s="495" t="e">
        <f t="shared" si="15"/>
        <v>#REF!</v>
      </c>
      <c r="AX8" s="495" t="e">
        <f t="shared" si="16"/>
        <v>#REF!</v>
      </c>
      <c r="AY8" s="495" t="e">
        <f t="shared" si="17"/>
        <v>#REF!</v>
      </c>
      <c r="AZ8" s="493" t="e">
        <f t="shared" si="18"/>
        <v>#REF!</v>
      </c>
      <c r="BA8" s="495" t="e">
        <f t="shared" ref="BA8:BA15" ca="1" si="26">CheckLength2(IF($B$2="mil",1,0.0254)*200,$P8,N8,0)</f>
        <v>#NAME?</v>
      </c>
      <c r="BB8" s="495" t="e">
        <f t="shared" ref="BB8:BB15" ca="1" si="27">CheckLength2(IF($B$2="mil",1,0.0254)*200,$Q8,O8,0)</f>
        <v>#NAME?</v>
      </c>
      <c r="BC8" s="495" t="e">
        <f t="shared" si="19"/>
        <v>#REF!</v>
      </c>
      <c r="BD8" s="495" t="e">
        <f t="shared" ref="BD8:BD15" si="28">IF(AND($T8&gt;=IF($B$2="mil",1,0.0254)*500, $T8&lt;=IF($B$2="mil",1,0.0254)*4500),"Pass",IF($B$2="mil",1,0.0254)*4500-$T8)</f>
        <v>#REF!</v>
      </c>
      <c r="BE8" s="495" t="e">
        <f t="shared" si="20"/>
        <v>#REF!</v>
      </c>
      <c r="BF8" s="495" t="e">
        <f t="shared" si="21"/>
        <v>#REF!</v>
      </c>
      <c r="BG8" s="21"/>
      <c r="BH8" s="554" t="e">
        <f t="shared" ca="1" si="22"/>
        <v>#REF!</v>
      </c>
      <c r="BI8" s="554"/>
      <c r="BJ8" s="554"/>
      <c r="BK8" s="3"/>
      <c r="BL8" s="3"/>
      <c r="BM8" s="3"/>
      <c r="BN8" s="3"/>
      <c r="BO8" s="3"/>
      <c r="BP8" s="3"/>
      <c r="BQ8" s="3"/>
      <c r="BR8" s="3"/>
      <c r="BS8" s="3"/>
      <c r="BT8" s="3"/>
      <c r="BU8" s="3"/>
      <c r="BV8" s="3"/>
      <c r="BW8" s="3"/>
      <c r="BX8" s="3"/>
    </row>
    <row r="9" spans="1:76">
      <c r="A9" s="633" t="s">
        <v>123</v>
      </c>
      <c r="B9" s="665" t="s">
        <v>515</v>
      </c>
      <c r="C9" s="658">
        <v>432.40157480314963</v>
      </c>
      <c r="D9" s="18"/>
      <c r="E9" s="621">
        <v>22.63</v>
      </c>
      <c r="F9" s="621">
        <v>0</v>
      </c>
      <c r="G9" s="622">
        <v>1740</v>
      </c>
      <c r="H9" s="622">
        <v>10</v>
      </c>
      <c r="I9" s="622">
        <v>750</v>
      </c>
      <c r="J9" s="622">
        <v>50</v>
      </c>
      <c r="K9" s="277">
        <v>40</v>
      </c>
      <c r="L9" s="622">
        <v>75</v>
      </c>
      <c r="M9" s="622">
        <v>872</v>
      </c>
      <c r="N9" s="620">
        <v>90</v>
      </c>
      <c r="O9" s="620">
        <v>90</v>
      </c>
      <c r="P9" s="622">
        <v>22</v>
      </c>
      <c r="Q9" s="622">
        <v>22</v>
      </c>
      <c r="R9" s="69"/>
      <c r="S9" s="489">
        <f t="shared" si="23"/>
        <v>1772.63</v>
      </c>
      <c r="T9" s="489" t="e">
        <f t="shared" si="0"/>
        <v>#REF!</v>
      </c>
      <c r="U9" s="489" t="e">
        <f>MAX(U$5:U$6)+IF($B$2="mil",1,0.0254)*DDR2Specs!$B$3</f>
        <v>#REF!</v>
      </c>
      <c r="V9" s="489" t="e">
        <f>MIN(U$5:U$6)+IF($B$2="mil",1,0.0254)*DDR2Specs!$C$3</f>
        <v>#REF!</v>
      </c>
      <c r="W9" s="21"/>
      <c r="X9" s="598" t="e">
        <f t="shared" si="1"/>
        <v>#REF!</v>
      </c>
      <c r="Y9" s="495" t="e">
        <f t="shared" si="24"/>
        <v>#REF!</v>
      </c>
      <c r="Z9" s="21"/>
      <c r="AA9" s="489">
        <f t="shared" si="2"/>
        <v>3661.63</v>
      </c>
      <c r="AB9" s="489" t="e">
        <f t="shared" si="3"/>
        <v>#REF!</v>
      </c>
      <c r="AC9" s="489" t="e">
        <f>MAX(AC$5:AC$6)+IF($B$2="mil",1,0.0254)*DDR2Specs!$E$3</f>
        <v>#REF!</v>
      </c>
      <c r="AD9" s="489" t="e">
        <f>MIN(AC$5:AC$6)+IF($B$2="mil",1,0.0254)*DDR2Specs!$F$3</f>
        <v>#REF!</v>
      </c>
      <c r="AE9" s="21"/>
      <c r="AF9" s="598" t="e">
        <f t="shared" si="25"/>
        <v>#REF!</v>
      </c>
      <c r="AG9" s="495" t="e">
        <f t="shared" si="4"/>
        <v>#REF!</v>
      </c>
      <c r="AH9" s="21"/>
      <c r="AI9" s="489">
        <f t="shared" si="5"/>
        <v>3661.63</v>
      </c>
      <c r="AJ9" s="489" t="e">
        <f t="shared" si="6"/>
        <v>#REF!</v>
      </c>
      <c r="AK9" s="489" t="e">
        <f>MAX(AK$5:AK$6)+IF($B$2="mil",1,0.0254)*DDR2Specs!$E$3</f>
        <v>#REF!</v>
      </c>
      <c r="AL9" s="489" t="e">
        <f>MIN(AK$5:AK$6)+IF($B$2="mil",1,0.0254)*DDR2Specs!$F$3</f>
        <v>#REF!</v>
      </c>
      <c r="AM9" s="21"/>
      <c r="AN9" s="598" t="e">
        <f t="shared" si="7"/>
        <v>#REF!</v>
      </c>
      <c r="AO9" s="495" t="e">
        <f t="shared" si="8"/>
        <v>#REF!</v>
      </c>
      <c r="AP9" s="21"/>
      <c r="AQ9" s="495" t="e">
        <f t="shared" si="9"/>
        <v>#REF!</v>
      </c>
      <c r="AR9" s="495" t="e">
        <f t="shared" si="10"/>
        <v>#REF!</v>
      </c>
      <c r="AS9" s="495" t="e">
        <f t="shared" si="11"/>
        <v>#REF!</v>
      </c>
      <c r="AT9" s="495" t="e">
        <f t="shared" ca="1" si="12"/>
        <v>#NAME?</v>
      </c>
      <c r="AU9" s="495" t="e">
        <f t="shared" si="13"/>
        <v>#REF!</v>
      </c>
      <c r="AV9" s="495" t="e">
        <f t="shared" si="14"/>
        <v>#REF!</v>
      </c>
      <c r="AW9" s="495" t="e">
        <f t="shared" si="15"/>
        <v>#REF!</v>
      </c>
      <c r="AX9" s="495" t="e">
        <f t="shared" si="16"/>
        <v>#REF!</v>
      </c>
      <c r="AY9" s="495" t="e">
        <f t="shared" si="17"/>
        <v>#REF!</v>
      </c>
      <c r="AZ9" s="493" t="e">
        <f t="shared" si="18"/>
        <v>#REF!</v>
      </c>
      <c r="BA9" s="495" t="e">
        <f t="shared" ca="1" si="26"/>
        <v>#NAME?</v>
      </c>
      <c r="BB9" s="495" t="e">
        <f t="shared" ca="1" si="27"/>
        <v>#NAME?</v>
      </c>
      <c r="BC9" s="495" t="e">
        <f t="shared" si="19"/>
        <v>#REF!</v>
      </c>
      <c r="BD9" s="495" t="e">
        <f t="shared" si="28"/>
        <v>#REF!</v>
      </c>
      <c r="BE9" s="495" t="e">
        <f t="shared" si="20"/>
        <v>#REF!</v>
      </c>
      <c r="BF9" s="495" t="e">
        <f t="shared" si="21"/>
        <v>#REF!</v>
      </c>
      <c r="BG9" s="21"/>
      <c r="BH9" s="554" t="e">
        <f t="shared" ca="1" si="22"/>
        <v>#REF!</v>
      </c>
      <c r="BI9" s="554"/>
      <c r="BJ9" s="554"/>
      <c r="BK9" s="3"/>
      <c r="BL9" s="3"/>
      <c r="BM9" s="3"/>
      <c r="BN9" s="3"/>
      <c r="BO9" s="3"/>
      <c r="BP9" s="3"/>
      <c r="BQ9" s="3"/>
      <c r="BR9" s="3"/>
      <c r="BS9" s="3"/>
      <c r="BT9" s="3"/>
      <c r="BU9" s="3"/>
      <c r="BV9" s="3"/>
      <c r="BW9" s="3"/>
      <c r="BX9" s="3"/>
    </row>
    <row r="10" spans="1:76">
      <c r="A10" s="633" t="s">
        <v>124</v>
      </c>
      <c r="B10" s="665" t="s">
        <v>511</v>
      </c>
      <c r="C10" s="658">
        <v>395.82677165354335</v>
      </c>
      <c r="D10" s="18"/>
      <c r="E10" s="621">
        <v>22.63</v>
      </c>
      <c r="F10" s="621">
        <v>0</v>
      </c>
      <c r="G10" s="622">
        <v>1740</v>
      </c>
      <c r="H10" s="622">
        <v>40</v>
      </c>
      <c r="I10" s="622">
        <v>750</v>
      </c>
      <c r="J10" s="622">
        <v>50</v>
      </c>
      <c r="K10" s="277">
        <v>40</v>
      </c>
      <c r="L10" s="622">
        <v>75</v>
      </c>
      <c r="M10" s="622">
        <v>950</v>
      </c>
      <c r="N10" s="620">
        <v>60</v>
      </c>
      <c r="O10" s="620">
        <v>60</v>
      </c>
      <c r="P10" s="622">
        <v>22</v>
      </c>
      <c r="Q10" s="622">
        <v>22</v>
      </c>
      <c r="R10" s="69"/>
      <c r="S10" s="489">
        <f t="shared" si="23"/>
        <v>1802.63</v>
      </c>
      <c r="T10" s="489" t="e">
        <f t="shared" si="0"/>
        <v>#REF!</v>
      </c>
      <c r="U10" s="489" t="e">
        <f>MAX(U$5:U$6)+IF($B$2="mil",1,0.0254)*DDR2Specs!$B$3</f>
        <v>#REF!</v>
      </c>
      <c r="V10" s="489" t="e">
        <f>MIN(U$5:U$6)+IF($B$2="mil",1,0.0254)*DDR2Specs!$C$3</f>
        <v>#REF!</v>
      </c>
      <c r="W10" s="21"/>
      <c r="X10" s="598" t="e">
        <f t="shared" si="1"/>
        <v>#REF!</v>
      </c>
      <c r="Y10" s="495" t="e">
        <f t="shared" si="24"/>
        <v>#REF!</v>
      </c>
      <c r="Z10" s="21"/>
      <c r="AA10" s="489">
        <f t="shared" si="2"/>
        <v>3709.63</v>
      </c>
      <c r="AB10" s="489" t="e">
        <f t="shared" si="3"/>
        <v>#REF!</v>
      </c>
      <c r="AC10" s="489" t="e">
        <f>MAX(AC$5:AC$6)+IF($B$2="mil",1,0.0254)*DDR2Specs!$E$3</f>
        <v>#REF!</v>
      </c>
      <c r="AD10" s="489" t="e">
        <f>MIN(AC$5:AC$6)+IF($B$2="mil",1,0.0254)*DDR2Specs!$F$3</f>
        <v>#REF!</v>
      </c>
      <c r="AE10" s="21"/>
      <c r="AF10" s="598" t="e">
        <f t="shared" si="25"/>
        <v>#REF!</v>
      </c>
      <c r="AG10" s="495" t="e">
        <f t="shared" si="4"/>
        <v>#REF!</v>
      </c>
      <c r="AH10" s="21"/>
      <c r="AI10" s="489">
        <f t="shared" si="5"/>
        <v>3709.63</v>
      </c>
      <c r="AJ10" s="489" t="e">
        <f t="shared" si="6"/>
        <v>#REF!</v>
      </c>
      <c r="AK10" s="489" t="e">
        <f>MAX(AK$5:AK$6)+IF($B$2="mil",1,0.0254)*DDR2Specs!$E$3</f>
        <v>#REF!</v>
      </c>
      <c r="AL10" s="489" t="e">
        <f>MIN(AK$5:AK$6)+IF($B$2="mil",1,0.0254)*DDR2Specs!$F$3</f>
        <v>#REF!</v>
      </c>
      <c r="AM10" s="21"/>
      <c r="AN10" s="598" t="e">
        <f t="shared" si="7"/>
        <v>#REF!</v>
      </c>
      <c r="AO10" s="495" t="e">
        <f t="shared" si="8"/>
        <v>#REF!</v>
      </c>
      <c r="AP10" s="21"/>
      <c r="AQ10" s="495" t="e">
        <f t="shared" si="9"/>
        <v>#REF!</v>
      </c>
      <c r="AR10" s="495" t="e">
        <f t="shared" si="10"/>
        <v>#REF!</v>
      </c>
      <c r="AS10" s="495" t="e">
        <f t="shared" si="11"/>
        <v>#REF!</v>
      </c>
      <c r="AT10" s="495" t="e">
        <f t="shared" ca="1" si="12"/>
        <v>#NAME?</v>
      </c>
      <c r="AU10" s="495" t="e">
        <f t="shared" si="13"/>
        <v>#REF!</v>
      </c>
      <c r="AV10" s="495" t="e">
        <f t="shared" si="14"/>
        <v>#REF!</v>
      </c>
      <c r="AW10" s="495" t="e">
        <f t="shared" si="15"/>
        <v>#REF!</v>
      </c>
      <c r="AX10" s="495" t="e">
        <f t="shared" si="16"/>
        <v>#REF!</v>
      </c>
      <c r="AY10" s="495" t="e">
        <f t="shared" si="17"/>
        <v>#REF!</v>
      </c>
      <c r="AZ10" s="493" t="e">
        <f t="shared" si="18"/>
        <v>#REF!</v>
      </c>
      <c r="BA10" s="495" t="e">
        <f t="shared" ca="1" si="26"/>
        <v>#NAME?</v>
      </c>
      <c r="BB10" s="495" t="e">
        <f t="shared" ca="1" si="27"/>
        <v>#NAME?</v>
      </c>
      <c r="BC10" s="495" t="e">
        <f t="shared" si="19"/>
        <v>#REF!</v>
      </c>
      <c r="BD10" s="495" t="e">
        <f t="shared" si="28"/>
        <v>#REF!</v>
      </c>
      <c r="BE10" s="495" t="e">
        <f t="shared" si="20"/>
        <v>#REF!</v>
      </c>
      <c r="BF10" s="495" t="e">
        <f t="shared" si="21"/>
        <v>#REF!</v>
      </c>
      <c r="BG10" s="21"/>
      <c r="BH10" s="554" t="e">
        <f t="shared" ca="1" si="22"/>
        <v>#REF!</v>
      </c>
      <c r="BI10" s="554"/>
      <c r="BJ10" s="554"/>
      <c r="BK10" s="3"/>
      <c r="BL10" s="3"/>
      <c r="BM10" s="3"/>
      <c r="BN10" s="3"/>
      <c r="BO10" s="3"/>
      <c r="BP10" s="3"/>
      <c r="BQ10" s="3"/>
      <c r="BR10" s="3"/>
      <c r="BS10" s="3"/>
      <c r="BT10" s="3"/>
      <c r="BU10" s="3"/>
      <c r="BV10" s="3"/>
      <c r="BW10" s="3"/>
      <c r="BX10" s="3"/>
    </row>
    <row r="11" spans="1:76">
      <c r="A11" s="633" t="s">
        <v>125</v>
      </c>
      <c r="B11" s="665" t="s">
        <v>512</v>
      </c>
      <c r="C11" s="658">
        <v>371.81102362204729</v>
      </c>
      <c r="D11" s="18"/>
      <c r="E11" s="621">
        <v>22.63</v>
      </c>
      <c r="F11" s="621">
        <v>0</v>
      </c>
      <c r="G11" s="622">
        <v>1740</v>
      </c>
      <c r="H11" s="622">
        <v>53</v>
      </c>
      <c r="I11" s="622">
        <v>750</v>
      </c>
      <c r="J11" s="622">
        <v>50</v>
      </c>
      <c r="K11" s="277">
        <v>40</v>
      </c>
      <c r="L11" s="622">
        <v>75</v>
      </c>
      <c r="M11" s="622">
        <v>980</v>
      </c>
      <c r="N11" s="620">
        <v>50</v>
      </c>
      <c r="O11" s="620">
        <v>50</v>
      </c>
      <c r="P11" s="622">
        <v>22</v>
      </c>
      <c r="Q11" s="622">
        <v>22</v>
      </c>
      <c r="R11" s="69"/>
      <c r="S11" s="489">
        <f t="shared" si="23"/>
        <v>1815.63</v>
      </c>
      <c r="T11" s="489" t="e">
        <f t="shared" si="0"/>
        <v>#REF!</v>
      </c>
      <c r="U11" s="489" t="e">
        <f>MAX(U$5:U$6)+IF($B$2="mil",1,0.0254)*DDR2Specs!$B$3</f>
        <v>#REF!</v>
      </c>
      <c r="V11" s="489" t="e">
        <f>MIN(U$5:U$6)+IF($B$2="mil",1,0.0254)*DDR2Specs!$C$3</f>
        <v>#REF!</v>
      </c>
      <c r="W11" s="21"/>
      <c r="X11" s="598" t="e">
        <f t="shared" si="1"/>
        <v>#REF!</v>
      </c>
      <c r="Y11" s="495" t="e">
        <f t="shared" si="24"/>
        <v>#REF!</v>
      </c>
      <c r="Z11" s="21"/>
      <c r="AA11" s="489">
        <f t="shared" si="2"/>
        <v>3729.63</v>
      </c>
      <c r="AB11" s="489" t="e">
        <f t="shared" si="3"/>
        <v>#REF!</v>
      </c>
      <c r="AC11" s="489" t="e">
        <f>MAX(AC$5:AC$6)+IF($B$2="mil",1,0.0254)*DDR2Specs!$E$3</f>
        <v>#REF!</v>
      </c>
      <c r="AD11" s="489" t="e">
        <f>MIN(AC$5:AC$6)+IF($B$2="mil",1,0.0254)*DDR2Specs!$F$3</f>
        <v>#REF!</v>
      </c>
      <c r="AE11" s="21"/>
      <c r="AF11" s="598" t="e">
        <f t="shared" si="25"/>
        <v>#REF!</v>
      </c>
      <c r="AG11" s="495" t="e">
        <f t="shared" si="4"/>
        <v>#REF!</v>
      </c>
      <c r="AH11" s="21"/>
      <c r="AI11" s="489">
        <f t="shared" si="5"/>
        <v>3729.63</v>
      </c>
      <c r="AJ11" s="489" t="e">
        <f t="shared" si="6"/>
        <v>#REF!</v>
      </c>
      <c r="AK11" s="489" t="e">
        <f>MAX(AK$5:AK$6)+IF($B$2="mil",1,0.0254)*DDR2Specs!$E$3</f>
        <v>#REF!</v>
      </c>
      <c r="AL11" s="489" t="e">
        <f>MIN(AK$5:AK$6)+IF($B$2="mil",1,0.0254)*DDR2Specs!$F$3</f>
        <v>#REF!</v>
      </c>
      <c r="AM11" s="21"/>
      <c r="AN11" s="598" t="e">
        <f t="shared" si="7"/>
        <v>#REF!</v>
      </c>
      <c r="AO11" s="495" t="e">
        <f t="shared" si="8"/>
        <v>#REF!</v>
      </c>
      <c r="AP11" s="21"/>
      <c r="AQ11" s="495" t="e">
        <f t="shared" si="9"/>
        <v>#REF!</v>
      </c>
      <c r="AR11" s="495" t="e">
        <f t="shared" si="10"/>
        <v>#REF!</v>
      </c>
      <c r="AS11" s="495" t="e">
        <f t="shared" si="11"/>
        <v>#REF!</v>
      </c>
      <c r="AT11" s="495" t="e">
        <f t="shared" ca="1" si="12"/>
        <v>#NAME?</v>
      </c>
      <c r="AU11" s="495" t="e">
        <f t="shared" si="13"/>
        <v>#REF!</v>
      </c>
      <c r="AV11" s="495" t="e">
        <f t="shared" si="14"/>
        <v>#REF!</v>
      </c>
      <c r="AW11" s="495" t="e">
        <f t="shared" si="15"/>
        <v>#REF!</v>
      </c>
      <c r="AX11" s="495" t="e">
        <f t="shared" si="16"/>
        <v>#REF!</v>
      </c>
      <c r="AY11" s="495" t="e">
        <f t="shared" si="17"/>
        <v>#REF!</v>
      </c>
      <c r="AZ11" s="493" t="e">
        <f t="shared" si="18"/>
        <v>#REF!</v>
      </c>
      <c r="BA11" s="495" t="e">
        <f t="shared" ca="1" si="26"/>
        <v>#NAME?</v>
      </c>
      <c r="BB11" s="495" t="e">
        <f t="shared" ca="1" si="27"/>
        <v>#NAME?</v>
      </c>
      <c r="BC11" s="495" t="e">
        <f t="shared" si="19"/>
        <v>#REF!</v>
      </c>
      <c r="BD11" s="495" t="e">
        <f t="shared" si="28"/>
        <v>#REF!</v>
      </c>
      <c r="BE11" s="495" t="e">
        <f t="shared" si="20"/>
        <v>#REF!</v>
      </c>
      <c r="BF11" s="495" t="e">
        <f t="shared" si="21"/>
        <v>#REF!</v>
      </c>
      <c r="BG11" s="21"/>
      <c r="BH11" s="554" t="e">
        <f t="shared" ca="1" si="22"/>
        <v>#REF!</v>
      </c>
      <c r="BI11" s="554"/>
      <c r="BJ11" s="554"/>
      <c r="BK11" s="3"/>
      <c r="BL11" s="3"/>
      <c r="BM11" s="3"/>
      <c r="BN11" s="3"/>
      <c r="BO11" s="3"/>
      <c r="BP11" s="3"/>
      <c r="BQ11" s="3"/>
      <c r="BR11" s="3"/>
      <c r="BS11" s="3"/>
      <c r="BT11" s="3"/>
      <c r="BU11" s="3"/>
      <c r="BV11" s="3"/>
      <c r="BW11" s="3"/>
      <c r="BX11" s="3"/>
    </row>
    <row r="12" spans="1:76">
      <c r="A12" s="633" t="s">
        <v>126</v>
      </c>
      <c r="B12" s="665" t="s">
        <v>510</v>
      </c>
      <c r="C12" s="658">
        <v>392.75590551181108</v>
      </c>
      <c r="D12" s="18"/>
      <c r="E12" s="621">
        <v>22.63</v>
      </c>
      <c r="F12" s="621">
        <v>0</v>
      </c>
      <c r="G12" s="622">
        <v>1740</v>
      </c>
      <c r="H12" s="622">
        <v>50</v>
      </c>
      <c r="I12" s="622">
        <v>750</v>
      </c>
      <c r="J12" s="622">
        <v>50</v>
      </c>
      <c r="K12" s="277">
        <v>40</v>
      </c>
      <c r="L12" s="622">
        <v>75</v>
      </c>
      <c r="M12" s="622">
        <v>970</v>
      </c>
      <c r="N12" s="620">
        <v>40</v>
      </c>
      <c r="O12" s="620">
        <v>40</v>
      </c>
      <c r="P12" s="622">
        <v>22</v>
      </c>
      <c r="Q12" s="622">
        <v>22</v>
      </c>
      <c r="R12" s="69"/>
      <c r="S12" s="489">
        <f t="shared" si="23"/>
        <v>1812.63</v>
      </c>
      <c r="T12" s="489" t="e">
        <f t="shared" si="0"/>
        <v>#REF!</v>
      </c>
      <c r="U12" s="489" t="e">
        <f>MAX(U$5:U$6)+IF($B$2="mil",1,0.0254)*DDR2Specs!$B$3</f>
        <v>#REF!</v>
      </c>
      <c r="V12" s="489" t="e">
        <f>MIN(U$5:U$6)+IF($B$2="mil",1,0.0254)*DDR2Specs!$C$3</f>
        <v>#REF!</v>
      </c>
      <c r="W12" s="21"/>
      <c r="X12" s="598" t="e">
        <f t="shared" si="1"/>
        <v>#REF!</v>
      </c>
      <c r="Y12" s="495" t="e">
        <f t="shared" si="24"/>
        <v>#REF!</v>
      </c>
      <c r="Z12" s="21"/>
      <c r="AA12" s="489">
        <f t="shared" si="2"/>
        <v>3709.63</v>
      </c>
      <c r="AB12" s="489" t="e">
        <f t="shared" si="3"/>
        <v>#REF!</v>
      </c>
      <c r="AC12" s="489" t="e">
        <f>MAX(AC$5:AC$6)+IF($B$2="mil",1,0.0254)*DDR2Specs!$E$3</f>
        <v>#REF!</v>
      </c>
      <c r="AD12" s="489" t="e">
        <f>MIN(AC$5:AC$6)+IF($B$2="mil",1,0.0254)*DDR2Specs!$F$3</f>
        <v>#REF!</v>
      </c>
      <c r="AE12" s="21"/>
      <c r="AF12" s="598" t="e">
        <f t="shared" si="25"/>
        <v>#REF!</v>
      </c>
      <c r="AG12" s="495" t="e">
        <f t="shared" si="4"/>
        <v>#REF!</v>
      </c>
      <c r="AH12" s="21"/>
      <c r="AI12" s="489">
        <f t="shared" si="5"/>
        <v>3709.63</v>
      </c>
      <c r="AJ12" s="489" t="e">
        <f t="shared" si="6"/>
        <v>#REF!</v>
      </c>
      <c r="AK12" s="489" t="e">
        <f>MAX(AK$5:AK$6)+IF($B$2="mil",1,0.0254)*DDR2Specs!$E$3</f>
        <v>#REF!</v>
      </c>
      <c r="AL12" s="489" t="e">
        <f>MIN(AK$5:AK$6)+IF($B$2="mil",1,0.0254)*DDR2Specs!$F$3</f>
        <v>#REF!</v>
      </c>
      <c r="AM12" s="21"/>
      <c r="AN12" s="598" t="e">
        <f t="shared" si="7"/>
        <v>#REF!</v>
      </c>
      <c r="AO12" s="495" t="e">
        <f t="shared" si="8"/>
        <v>#REF!</v>
      </c>
      <c r="AP12" s="21"/>
      <c r="AQ12" s="495" t="e">
        <f t="shared" si="9"/>
        <v>#REF!</v>
      </c>
      <c r="AR12" s="495" t="e">
        <f t="shared" si="10"/>
        <v>#REF!</v>
      </c>
      <c r="AS12" s="495" t="e">
        <f t="shared" si="11"/>
        <v>#REF!</v>
      </c>
      <c r="AT12" s="495" t="e">
        <f t="shared" ca="1" si="12"/>
        <v>#NAME?</v>
      </c>
      <c r="AU12" s="495" t="e">
        <f t="shared" si="13"/>
        <v>#REF!</v>
      </c>
      <c r="AV12" s="495" t="e">
        <f t="shared" si="14"/>
        <v>#REF!</v>
      </c>
      <c r="AW12" s="495" t="e">
        <f t="shared" si="15"/>
        <v>#REF!</v>
      </c>
      <c r="AX12" s="495" t="e">
        <f t="shared" si="16"/>
        <v>#REF!</v>
      </c>
      <c r="AY12" s="495" t="e">
        <f t="shared" si="17"/>
        <v>#REF!</v>
      </c>
      <c r="AZ12" s="493" t="e">
        <f t="shared" si="18"/>
        <v>#REF!</v>
      </c>
      <c r="BA12" s="495" t="e">
        <f t="shared" ca="1" si="26"/>
        <v>#NAME?</v>
      </c>
      <c r="BB12" s="495" t="e">
        <f t="shared" ca="1" si="27"/>
        <v>#NAME?</v>
      </c>
      <c r="BC12" s="495" t="e">
        <f t="shared" si="19"/>
        <v>#REF!</v>
      </c>
      <c r="BD12" s="495" t="e">
        <f t="shared" si="28"/>
        <v>#REF!</v>
      </c>
      <c r="BE12" s="495" t="e">
        <f t="shared" si="20"/>
        <v>#REF!</v>
      </c>
      <c r="BF12" s="495" t="e">
        <f t="shared" si="21"/>
        <v>#REF!</v>
      </c>
      <c r="BG12" s="21"/>
      <c r="BH12" s="554" t="e">
        <f t="shared" ca="1" si="22"/>
        <v>#REF!</v>
      </c>
      <c r="BI12" s="554"/>
      <c r="BJ12" s="554"/>
      <c r="BK12" s="3"/>
      <c r="BL12" s="3"/>
      <c r="BM12" s="3"/>
      <c r="BN12" s="3"/>
      <c r="BO12" s="3"/>
      <c r="BP12" s="3"/>
      <c r="BQ12" s="3"/>
      <c r="BR12" s="3"/>
      <c r="BS12" s="3"/>
      <c r="BT12" s="3"/>
      <c r="BU12" s="3"/>
      <c r="BV12" s="3"/>
      <c r="BW12" s="3"/>
      <c r="BX12" s="3"/>
    </row>
    <row r="13" spans="1:76">
      <c r="A13" s="633" t="s">
        <v>127</v>
      </c>
      <c r="B13" s="665" t="s">
        <v>343</v>
      </c>
      <c r="C13" s="658">
        <v>348.07086614173227</v>
      </c>
      <c r="D13" s="18"/>
      <c r="E13" s="621">
        <v>22.63</v>
      </c>
      <c r="F13" s="621">
        <v>0</v>
      </c>
      <c r="G13" s="622">
        <v>1740</v>
      </c>
      <c r="H13" s="622">
        <v>80</v>
      </c>
      <c r="I13" s="622">
        <v>750</v>
      </c>
      <c r="J13" s="622">
        <v>50</v>
      </c>
      <c r="K13" s="277">
        <v>40</v>
      </c>
      <c r="L13" s="622">
        <v>75</v>
      </c>
      <c r="M13" s="622">
        <v>1000</v>
      </c>
      <c r="N13" s="620">
        <v>55</v>
      </c>
      <c r="O13" s="620">
        <v>50</v>
      </c>
      <c r="P13" s="622">
        <v>22</v>
      </c>
      <c r="Q13" s="622">
        <v>22</v>
      </c>
      <c r="R13" s="69"/>
      <c r="S13" s="489">
        <f t="shared" si="23"/>
        <v>1842.63</v>
      </c>
      <c r="T13" s="489" t="e">
        <f t="shared" si="0"/>
        <v>#REF!</v>
      </c>
      <c r="U13" s="489" t="e">
        <f>MAX(U$5:U$6)+IF($B$2="mil",1,0.0254)*DDR2Specs!$B$3</f>
        <v>#REF!</v>
      </c>
      <c r="V13" s="489" t="e">
        <f>MIN(U$5:U$6)+IF($B$2="mil",1,0.0254)*DDR2Specs!$C$3</f>
        <v>#REF!</v>
      </c>
      <c r="W13" s="21"/>
      <c r="X13" s="598" t="e">
        <f t="shared" si="1"/>
        <v>#REF!</v>
      </c>
      <c r="Y13" s="495" t="e">
        <f t="shared" si="24"/>
        <v>#REF!</v>
      </c>
      <c r="Z13" s="21"/>
      <c r="AA13" s="489">
        <f t="shared" si="2"/>
        <v>3754.63</v>
      </c>
      <c r="AB13" s="489" t="e">
        <f t="shared" si="3"/>
        <v>#REF!</v>
      </c>
      <c r="AC13" s="489" t="e">
        <f>MAX(AC$5:AC$6)+IF($B$2="mil",1,0.0254)*DDR2Specs!$E$3</f>
        <v>#REF!</v>
      </c>
      <c r="AD13" s="489" t="e">
        <f>MIN(AC$5:AC$6)+IF($B$2="mil",1,0.0254)*DDR2Specs!$F$3</f>
        <v>#REF!</v>
      </c>
      <c r="AE13" s="21"/>
      <c r="AF13" s="598" t="e">
        <f t="shared" si="25"/>
        <v>#REF!</v>
      </c>
      <c r="AG13" s="495" t="e">
        <f t="shared" si="4"/>
        <v>#REF!</v>
      </c>
      <c r="AH13" s="21"/>
      <c r="AI13" s="489">
        <f t="shared" si="5"/>
        <v>3749.63</v>
      </c>
      <c r="AJ13" s="489" t="e">
        <f t="shared" si="6"/>
        <v>#REF!</v>
      </c>
      <c r="AK13" s="489" t="e">
        <f>MAX(AK$5:AK$6)+IF($B$2="mil",1,0.0254)*DDR2Specs!$E$3</f>
        <v>#REF!</v>
      </c>
      <c r="AL13" s="489" t="e">
        <f>MIN(AK$5:AK$6)+IF($B$2="mil",1,0.0254)*DDR2Specs!$F$3</f>
        <v>#REF!</v>
      </c>
      <c r="AM13" s="21"/>
      <c r="AN13" s="598" t="e">
        <f t="shared" si="7"/>
        <v>#REF!</v>
      </c>
      <c r="AO13" s="495" t="e">
        <f t="shared" si="8"/>
        <v>#REF!</v>
      </c>
      <c r="AP13" s="21"/>
      <c r="AQ13" s="495" t="e">
        <f t="shared" si="9"/>
        <v>#REF!</v>
      </c>
      <c r="AR13" s="495" t="e">
        <f t="shared" si="10"/>
        <v>#REF!</v>
      </c>
      <c r="AS13" s="495" t="e">
        <f t="shared" si="11"/>
        <v>#REF!</v>
      </c>
      <c r="AT13" s="495" t="e">
        <f t="shared" ca="1" si="12"/>
        <v>#NAME?</v>
      </c>
      <c r="AU13" s="495" t="e">
        <f t="shared" si="13"/>
        <v>#REF!</v>
      </c>
      <c r="AV13" s="495" t="e">
        <f t="shared" si="14"/>
        <v>#REF!</v>
      </c>
      <c r="AW13" s="495" t="e">
        <f t="shared" si="15"/>
        <v>#REF!</v>
      </c>
      <c r="AX13" s="495" t="e">
        <f t="shared" si="16"/>
        <v>#REF!</v>
      </c>
      <c r="AY13" s="495" t="e">
        <f t="shared" si="17"/>
        <v>#REF!</v>
      </c>
      <c r="AZ13" s="493" t="e">
        <f t="shared" si="18"/>
        <v>#REF!</v>
      </c>
      <c r="BA13" s="495" t="e">
        <f t="shared" ca="1" si="26"/>
        <v>#NAME?</v>
      </c>
      <c r="BB13" s="495" t="e">
        <f t="shared" ca="1" si="27"/>
        <v>#NAME?</v>
      </c>
      <c r="BC13" s="495" t="e">
        <f t="shared" si="19"/>
        <v>#REF!</v>
      </c>
      <c r="BD13" s="495" t="e">
        <f t="shared" si="28"/>
        <v>#REF!</v>
      </c>
      <c r="BE13" s="495" t="e">
        <f t="shared" si="20"/>
        <v>#REF!</v>
      </c>
      <c r="BF13" s="495" t="e">
        <f t="shared" si="21"/>
        <v>#REF!</v>
      </c>
      <c r="BG13" s="21"/>
      <c r="BH13" s="554" t="e">
        <f t="shared" ca="1" si="22"/>
        <v>#REF!</v>
      </c>
      <c r="BI13" s="554"/>
      <c r="BJ13" s="554"/>
      <c r="BK13" s="3"/>
      <c r="BL13" s="3"/>
      <c r="BM13" s="3"/>
      <c r="BN13" s="3"/>
      <c r="BO13" s="3"/>
      <c r="BP13" s="3"/>
      <c r="BQ13" s="3"/>
      <c r="BR13" s="3"/>
      <c r="BS13" s="3"/>
      <c r="BT13" s="3"/>
      <c r="BU13" s="3"/>
      <c r="BV13" s="3"/>
      <c r="BW13" s="3"/>
      <c r="BX13" s="3"/>
    </row>
    <row r="14" spans="1:76">
      <c r="A14" s="633" t="s">
        <v>128</v>
      </c>
      <c r="B14" s="665" t="s">
        <v>509</v>
      </c>
      <c r="C14" s="658">
        <v>531.10236220472439</v>
      </c>
      <c r="D14" s="18"/>
      <c r="E14" s="621">
        <v>22.63</v>
      </c>
      <c r="F14" s="621">
        <v>0</v>
      </c>
      <c r="G14" s="622">
        <v>1650</v>
      </c>
      <c r="H14" s="622">
        <v>0</v>
      </c>
      <c r="I14" s="622">
        <v>750</v>
      </c>
      <c r="J14" s="622">
        <v>50</v>
      </c>
      <c r="K14" s="277">
        <v>40</v>
      </c>
      <c r="L14" s="622">
        <v>75</v>
      </c>
      <c r="M14" s="622">
        <v>870</v>
      </c>
      <c r="N14" s="620">
        <v>92</v>
      </c>
      <c r="O14" s="620">
        <v>90</v>
      </c>
      <c r="P14" s="622">
        <v>22</v>
      </c>
      <c r="Q14" s="622">
        <v>22</v>
      </c>
      <c r="R14" s="69"/>
      <c r="S14" s="489">
        <f t="shared" si="23"/>
        <v>1672.63</v>
      </c>
      <c r="T14" s="489" t="e">
        <f t="shared" si="0"/>
        <v>#REF!</v>
      </c>
      <c r="U14" s="489" t="e">
        <f>MAX(U$5:U$6)+IF($B$2="mil",1,0.0254)*DDR2Specs!$B$3</f>
        <v>#REF!</v>
      </c>
      <c r="V14" s="489" t="e">
        <f>MIN(U$5:U$6)+IF($B$2="mil",1,0.0254)*DDR2Specs!$C$3</f>
        <v>#REF!</v>
      </c>
      <c r="W14" s="21"/>
      <c r="X14" s="598" t="e">
        <f t="shared" si="1"/>
        <v>#REF!</v>
      </c>
      <c r="Y14" s="495" t="e">
        <f t="shared" si="24"/>
        <v>#REF!</v>
      </c>
      <c r="Z14" s="21"/>
      <c r="AA14" s="489">
        <f t="shared" si="2"/>
        <v>3571.63</v>
      </c>
      <c r="AB14" s="489" t="e">
        <f t="shared" si="3"/>
        <v>#REF!</v>
      </c>
      <c r="AC14" s="489" t="e">
        <f>MAX(AC$5:AC$6)+IF($B$2="mil",1,0.0254)*DDR2Specs!$E$3</f>
        <v>#REF!</v>
      </c>
      <c r="AD14" s="489" t="e">
        <f>MIN(AC$5:AC$6)+IF($B$2="mil",1,0.0254)*DDR2Specs!$F$3</f>
        <v>#REF!</v>
      </c>
      <c r="AE14" s="21"/>
      <c r="AF14" s="598" t="e">
        <f t="shared" si="25"/>
        <v>#REF!</v>
      </c>
      <c r="AG14" s="495" t="e">
        <f t="shared" si="4"/>
        <v>#REF!</v>
      </c>
      <c r="AH14" s="21"/>
      <c r="AI14" s="489">
        <f t="shared" si="5"/>
        <v>3569.63</v>
      </c>
      <c r="AJ14" s="489" t="e">
        <f t="shared" si="6"/>
        <v>#REF!</v>
      </c>
      <c r="AK14" s="489" t="e">
        <f>MAX(AK$5:AK$6)+IF($B$2="mil",1,0.0254)*DDR2Specs!$E$3</f>
        <v>#REF!</v>
      </c>
      <c r="AL14" s="489" t="e">
        <f>MIN(AK$5:AK$6)+IF($B$2="mil",1,0.0254)*DDR2Specs!$F$3</f>
        <v>#REF!</v>
      </c>
      <c r="AM14" s="21"/>
      <c r="AN14" s="598" t="e">
        <f t="shared" si="7"/>
        <v>#REF!</v>
      </c>
      <c r="AO14" s="495" t="e">
        <f t="shared" si="8"/>
        <v>#REF!</v>
      </c>
      <c r="AP14" s="21"/>
      <c r="AQ14" s="495" t="e">
        <f t="shared" si="9"/>
        <v>#REF!</v>
      </c>
      <c r="AR14" s="495" t="e">
        <f t="shared" si="10"/>
        <v>#REF!</v>
      </c>
      <c r="AS14" s="495" t="e">
        <f t="shared" si="11"/>
        <v>#REF!</v>
      </c>
      <c r="AT14" s="495" t="e">
        <f t="shared" ca="1" si="12"/>
        <v>#NAME?</v>
      </c>
      <c r="AU14" s="495" t="e">
        <f t="shared" si="13"/>
        <v>#REF!</v>
      </c>
      <c r="AV14" s="495" t="e">
        <f t="shared" si="14"/>
        <v>#REF!</v>
      </c>
      <c r="AW14" s="495" t="e">
        <f t="shared" si="15"/>
        <v>#REF!</v>
      </c>
      <c r="AX14" s="495" t="e">
        <f t="shared" si="16"/>
        <v>#REF!</v>
      </c>
      <c r="AY14" s="495" t="e">
        <f t="shared" si="17"/>
        <v>#REF!</v>
      </c>
      <c r="AZ14" s="493" t="e">
        <f t="shared" si="18"/>
        <v>#REF!</v>
      </c>
      <c r="BA14" s="495" t="e">
        <f t="shared" ca="1" si="26"/>
        <v>#NAME?</v>
      </c>
      <c r="BB14" s="495" t="e">
        <f t="shared" ca="1" si="27"/>
        <v>#NAME?</v>
      </c>
      <c r="BC14" s="495" t="e">
        <f t="shared" si="19"/>
        <v>#REF!</v>
      </c>
      <c r="BD14" s="495" t="e">
        <f t="shared" si="28"/>
        <v>#REF!</v>
      </c>
      <c r="BE14" s="495" t="e">
        <f t="shared" si="20"/>
        <v>#REF!</v>
      </c>
      <c r="BF14" s="495" t="e">
        <f t="shared" si="21"/>
        <v>#REF!</v>
      </c>
      <c r="BG14" s="21"/>
      <c r="BH14" s="554" t="e">
        <f t="shared" ca="1" si="22"/>
        <v>#REF!</v>
      </c>
      <c r="BI14" s="554"/>
      <c r="BJ14" s="554"/>
      <c r="BK14" s="3"/>
      <c r="BL14" s="3"/>
      <c r="BM14" s="3"/>
      <c r="BN14" s="3"/>
      <c r="BO14" s="3"/>
      <c r="BP14" s="3"/>
      <c r="BQ14" s="3"/>
      <c r="BR14" s="3"/>
      <c r="BS14" s="3"/>
      <c r="BT14" s="3"/>
      <c r="BU14" s="3"/>
      <c r="BV14" s="3"/>
      <c r="BW14" s="3"/>
      <c r="BX14" s="3"/>
    </row>
    <row r="15" spans="1:76">
      <c r="A15" s="666" t="s">
        <v>129</v>
      </c>
      <c r="B15" s="667" t="s">
        <v>516</v>
      </c>
      <c r="C15" s="658">
        <v>364.88188976377955</v>
      </c>
      <c r="D15" s="18"/>
      <c r="E15" s="621">
        <v>22.63</v>
      </c>
      <c r="F15" s="621">
        <v>0</v>
      </c>
      <c r="G15" s="622">
        <v>1740</v>
      </c>
      <c r="H15" s="622">
        <v>60</v>
      </c>
      <c r="I15" s="622">
        <v>750</v>
      </c>
      <c r="J15" s="622">
        <v>50</v>
      </c>
      <c r="K15" s="277">
        <v>40</v>
      </c>
      <c r="L15" s="622">
        <v>75</v>
      </c>
      <c r="M15" s="622">
        <v>990</v>
      </c>
      <c r="N15" s="620">
        <v>40</v>
      </c>
      <c r="O15" s="620">
        <v>50</v>
      </c>
      <c r="P15" s="622">
        <v>22</v>
      </c>
      <c r="Q15" s="622">
        <v>22</v>
      </c>
      <c r="R15" s="69"/>
      <c r="S15" s="489">
        <f t="shared" si="23"/>
        <v>1822.63</v>
      </c>
      <c r="T15" s="489" t="e">
        <f t="shared" si="0"/>
        <v>#REF!</v>
      </c>
      <c r="U15" s="489" t="e">
        <f>MAX(U$5:U$6)+IF($B$2="mil",1,0.0254)*DDR2Specs!$B$3</f>
        <v>#REF!</v>
      </c>
      <c r="V15" s="489" t="e">
        <f>MIN(U$5:U$6)+IF($B$2="mil",1,0.0254)*DDR2Specs!$C$3</f>
        <v>#REF!</v>
      </c>
      <c r="W15" s="21"/>
      <c r="X15" s="598" t="e">
        <f t="shared" si="1"/>
        <v>#REF!</v>
      </c>
      <c r="Y15" s="495" t="e">
        <f t="shared" si="24"/>
        <v>#REF!</v>
      </c>
      <c r="Z15" s="21"/>
      <c r="AA15" s="489">
        <f t="shared" si="2"/>
        <v>3729.63</v>
      </c>
      <c r="AB15" s="489" t="e">
        <f t="shared" si="3"/>
        <v>#REF!</v>
      </c>
      <c r="AC15" s="489" t="e">
        <f>MAX(AC$5:AC$6)+IF($B$2="mil",1,0.0254)*DDR2Specs!$E$3</f>
        <v>#REF!</v>
      </c>
      <c r="AD15" s="489" t="e">
        <f>MIN(AC$5:AC$6)+IF($B$2="mil",1,0.0254)*DDR2Specs!$F$3</f>
        <v>#REF!</v>
      </c>
      <c r="AE15" s="21"/>
      <c r="AF15" s="598" t="e">
        <f t="shared" si="25"/>
        <v>#REF!</v>
      </c>
      <c r="AG15" s="495" t="e">
        <f t="shared" si="4"/>
        <v>#REF!</v>
      </c>
      <c r="AH15" s="21"/>
      <c r="AI15" s="489">
        <f t="shared" si="5"/>
        <v>3739.63</v>
      </c>
      <c r="AJ15" s="489" t="e">
        <f t="shared" si="6"/>
        <v>#REF!</v>
      </c>
      <c r="AK15" s="489" t="e">
        <f>MAX(AK$5:AK$6)+IF($B$2="mil",1,0.0254)*DDR2Specs!$E$3</f>
        <v>#REF!</v>
      </c>
      <c r="AL15" s="489" t="e">
        <f>MIN(AK$5:AK$6)+IF($B$2="mil",1,0.0254)*DDR2Specs!$F$3</f>
        <v>#REF!</v>
      </c>
      <c r="AM15" s="21"/>
      <c r="AN15" s="598" t="e">
        <f t="shared" si="7"/>
        <v>#REF!</v>
      </c>
      <c r="AO15" s="495" t="e">
        <f t="shared" si="8"/>
        <v>#REF!</v>
      </c>
      <c r="AP15" s="21"/>
      <c r="AQ15" s="495" t="e">
        <f t="shared" si="9"/>
        <v>#REF!</v>
      </c>
      <c r="AR15" s="495" t="e">
        <f t="shared" si="10"/>
        <v>#REF!</v>
      </c>
      <c r="AS15" s="495" t="e">
        <f t="shared" si="11"/>
        <v>#REF!</v>
      </c>
      <c r="AT15" s="495" t="e">
        <f t="shared" ca="1" si="12"/>
        <v>#NAME?</v>
      </c>
      <c r="AU15" s="495" t="e">
        <f t="shared" si="13"/>
        <v>#REF!</v>
      </c>
      <c r="AV15" s="495" t="e">
        <f t="shared" si="14"/>
        <v>#REF!</v>
      </c>
      <c r="AW15" s="495" t="e">
        <f t="shared" si="15"/>
        <v>#REF!</v>
      </c>
      <c r="AX15" s="495" t="e">
        <f t="shared" si="16"/>
        <v>#REF!</v>
      </c>
      <c r="AY15" s="495" t="e">
        <f t="shared" si="17"/>
        <v>#REF!</v>
      </c>
      <c r="AZ15" s="493" t="e">
        <f t="shared" si="18"/>
        <v>#REF!</v>
      </c>
      <c r="BA15" s="495" t="e">
        <f t="shared" ca="1" si="26"/>
        <v>#NAME?</v>
      </c>
      <c r="BB15" s="495" t="e">
        <f t="shared" ca="1" si="27"/>
        <v>#NAME?</v>
      </c>
      <c r="BC15" s="495" t="e">
        <f t="shared" si="19"/>
        <v>#REF!</v>
      </c>
      <c r="BD15" s="495" t="e">
        <f t="shared" si="28"/>
        <v>#REF!</v>
      </c>
      <c r="BE15" s="495" t="e">
        <f t="shared" si="20"/>
        <v>#REF!</v>
      </c>
      <c r="BF15" s="495" t="e">
        <f t="shared" si="21"/>
        <v>#REF!</v>
      </c>
      <c r="BG15" s="21"/>
      <c r="BH15" s="554" t="e">
        <f t="shared" ca="1" si="22"/>
        <v>#REF!</v>
      </c>
      <c r="BI15" s="554"/>
      <c r="BJ15" s="554"/>
      <c r="BK15" s="3"/>
      <c r="BL15" s="3"/>
      <c r="BM15" s="3"/>
      <c r="BN15" s="3"/>
      <c r="BO15" s="3"/>
      <c r="BP15" s="3"/>
      <c r="BQ15" s="3"/>
      <c r="BR15" s="3"/>
      <c r="BS15" s="3"/>
      <c r="BT15" s="3"/>
      <c r="BU15" s="3"/>
      <c r="BV15" s="3"/>
      <c r="BW15" s="3"/>
      <c r="BX15" s="3"/>
    </row>
    <row r="16" spans="1:76">
      <c r="A16" s="636" t="s">
        <v>198</v>
      </c>
      <c r="B16" s="668"/>
      <c r="C16" s="659"/>
      <c r="D16" s="62"/>
      <c r="E16" s="82" t="s">
        <v>21</v>
      </c>
      <c r="F16" s="82"/>
      <c r="G16" s="439"/>
      <c r="H16" s="295"/>
      <c r="I16" s="295"/>
      <c r="J16" s="295"/>
      <c r="K16" s="295"/>
      <c r="L16" s="295"/>
      <c r="M16" s="295"/>
      <c r="N16" s="295"/>
      <c r="O16" s="295"/>
      <c r="P16" s="295"/>
      <c r="Q16" s="295"/>
      <c r="R16" s="10"/>
      <c r="S16" s="82"/>
      <c r="T16" s="605"/>
      <c r="U16" s="605"/>
      <c r="V16" s="606"/>
      <c r="W16" s="606"/>
      <c r="X16" s="607"/>
      <c r="Y16" s="17"/>
      <c r="Z16" s="606"/>
      <c r="AA16" s="82"/>
      <c r="AB16" s="605"/>
      <c r="AC16" s="605"/>
      <c r="AD16" s="606"/>
      <c r="AE16" s="606"/>
      <c r="AF16" s="607"/>
      <c r="AG16" s="17"/>
      <c r="AH16" s="606"/>
      <c r="AI16" s="82"/>
      <c r="AJ16" s="605"/>
      <c r="AK16" s="605"/>
      <c r="AL16" s="606"/>
      <c r="AM16" s="606"/>
      <c r="AN16" s="607"/>
      <c r="AO16" s="17"/>
      <c r="AP16" s="606"/>
      <c r="AQ16" s="17"/>
      <c r="AR16" s="17"/>
      <c r="AS16" s="16"/>
      <c r="AT16" s="16"/>
      <c r="AU16" s="16"/>
      <c r="AV16" s="16"/>
      <c r="AW16" s="16"/>
      <c r="AX16" s="16"/>
      <c r="AY16" s="16"/>
      <c r="AZ16" s="16"/>
      <c r="BA16" s="16"/>
      <c r="BB16" s="16"/>
      <c r="BC16" s="16"/>
      <c r="BD16" s="16"/>
      <c r="BE16" s="16"/>
      <c r="BF16" s="16"/>
      <c r="BG16" s="83"/>
      <c r="BH16" s="554"/>
      <c r="BI16" s="554"/>
      <c r="BJ16" s="554"/>
      <c r="BK16" s="3"/>
      <c r="BL16" s="3"/>
      <c r="BM16" s="3"/>
      <c r="BN16" s="3"/>
      <c r="BO16" s="3"/>
      <c r="BP16" s="3"/>
      <c r="BQ16" s="3"/>
      <c r="BR16" s="3"/>
      <c r="BS16" s="3"/>
      <c r="BT16" s="3"/>
      <c r="BU16" s="3"/>
      <c r="BV16" s="3"/>
      <c r="BW16" s="3"/>
      <c r="BX16" s="3"/>
    </row>
    <row r="17" spans="1:76">
      <c r="A17" s="650" t="str">
        <f>'DDR2 Strobes - 2x16_1R SODIMM'!$A$12</f>
        <v>SA_DQS1</v>
      </c>
      <c r="B17" s="669" t="str">
        <f>'DDR2 Strobes - 2x16_1R SODIMM'!$B$12</f>
        <v>Y24</v>
      </c>
      <c r="C17" s="660"/>
      <c r="D17" s="53"/>
      <c r="E17" s="81"/>
      <c r="F17" s="81"/>
      <c r="G17" s="685"/>
      <c r="H17" s="686"/>
      <c r="I17" s="686"/>
      <c r="J17" s="686"/>
      <c r="K17" s="686"/>
      <c r="L17" s="686"/>
      <c r="M17" s="686"/>
      <c r="N17" s="686"/>
      <c r="O17" s="686"/>
      <c r="P17" s="686"/>
      <c r="Q17" s="686"/>
      <c r="R17" s="81"/>
      <c r="S17" s="81"/>
      <c r="T17" s="58"/>
      <c r="U17" s="58" t="e">
        <f>'DDR2 Strobes - 2x16_1R SODIMM'!$U$12</f>
        <v>#REF!</v>
      </c>
      <c r="V17" s="58"/>
      <c r="W17" s="58"/>
      <c r="X17" s="58"/>
      <c r="Y17" s="608"/>
      <c r="Z17" s="58"/>
      <c r="AA17" s="81"/>
      <c r="AB17" s="58"/>
      <c r="AC17" s="58" t="e">
        <f>'DDR2 Strobes - 2x16_1R SODIMM'!$AD$12</f>
        <v>#REF!</v>
      </c>
      <c r="AD17" s="58"/>
      <c r="AE17" s="58"/>
      <c r="AF17" s="58"/>
      <c r="AG17" s="608"/>
      <c r="AH17" s="58"/>
      <c r="AI17" s="81"/>
      <c r="AJ17" s="58"/>
      <c r="AK17" s="58" t="e">
        <f>'DDR2 Strobes - 2x16_1R SODIMM'!$AL$12</f>
        <v>#REF!</v>
      </c>
      <c r="AL17" s="58"/>
      <c r="AM17" s="58"/>
      <c r="AN17" s="58"/>
      <c r="AO17" s="608"/>
      <c r="AP17" s="58"/>
      <c r="AQ17" s="608"/>
      <c r="AR17" s="608"/>
      <c r="AS17" s="608"/>
      <c r="AT17" s="608"/>
      <c r="AU17" s="608"/>
      <c r="AV17" s="608"/>
      <c r="AW17" s="608"/>
      <c r="AX17" s="608"/>
      <c r="AY17" s="608"/>
      <c r="AZ17" s="608"/>
      <c r="BA17" s="608"/>
      <c r="BB17" s="608"/>
      <c r="BC17" s="608"/>
      <c r="BD17" s="608"/>
      <c r="BE17" s="608"/>
      <c r="BF17" s="608"/>
      <c r="BG17" s="58"/>
      <c r="BH17" s="554"/>
      <c r="BI17" s="554"/>
      <c r="BJ17" s="554"/>
      <c r="BK17" s="3"/>
      <c r="BL17" s="3"/>
      <c r="BM17" s="3"/>
      <c r="BN17" s="3"/>
      <c r="BO17" s="3"/>
      <c r="BP17" s="3"/>
      <c r="BQ17" s="3"/>
      <c r="BR17" s="3"/>
      <c r="BS17" s="3"/>
      <c r="BT17" s="3"/>
      <c r="BU17" s="3"/>
      <c r="BV17" s="3"/>
      <c r="BW17" s="3"/>
      <c r="BX17" s="3"/>
    </row>
    <row r="18" spans="1:76">
      <c r="A18" s="650" t="str">
        <f>'DDR2 Strobes - 2x16_1R SODIMM'!$A$13</f>
        <v>SA_DQS1#</v>
      </c>
      <c r="B18" s="669" t="str">
        <f>'DDR2 Strobes - 2x16_1R SODIMM'!$B$13</f>
        <v>AA24</v>
      </c>
      <c r="C18" s="660"/>
      <c r="D18" s="53"/>
      <c r="E18" s="81"/>
      <c r="F18" s="81"/>
      <c r="G18" s="685"/>
      <c r="H18" s="686"/>
      <c r="I18" s="686"/>
      <c r="J18" s="686"/>
      <c r="K18" s="686"/>
      <c r="L18" s="686"/>
      <c r="M18" s="686"/>
      <c r="N18" s="686"/>
      <c r="O18" s="686"/>
      <c r="P18" s="686"/>
      <c r="Q18" s="686"/>
      <c r="R18" s="81"/>
      <c r="S18" s="81"/>
      <c r="T18" s="603"/>
      <c r="U18" s="58" t="e">
        <f>'DDR2 Strobes - 2x16_1R SODIMM'!$U$13</f>
        <v>#REF!</v>
      </c>
      <c r="V18" s="58"/>
      <c r="W18" s="58"/>
      <c r="X18" s="58"/>
      <c r="Y18" s="608"/>
      <c r="Z18" s="58"/>
      <c r="AA18" s="602"/>
      <c r="AB18" s="603"/>
      <c r="AC18" s="58" t="e">
        <f>'DDR2 Strobes - 2x16_1R SODIMM'!$AD$13</f>
        <v>#REF!</v>
      </c>
      <c r="AD18" s="58"/>
      <c r="AE18" s="58"/>
      <c r="AF18" s="58"/>
      <c r="AG18" s="608"/>
      <c r="AH18" s="58"/>
      <c r="AI18" s="602"/>
      <c r="AJ18" s="603"/>
      <c r="AK18" s="58" t="e">
        <f>'DDR2 Strobes - 2x16_1R SODIMM'!$AL$13</f>
        <v>#REF!</v>
      </c>
      <c r="AL18" s="58"/>
      <c r="AM18" s="58"/>
      <c r="AN18" s="58"/>
      <c r="AO18" s="608"/>
      <c r="AP18" s="58"/>
      <c r="AQ18" s="608"/>
      <c r="AR18" s="608"/>
      <c r="AS18" s="609"/>
      <c r="AT18" s="609"/>
      <c r="AU18" s="609"/>
      <c r="AV18" s="609"/>
      <c r="AW18" s="609"/>
      <c r="AX18" s="609"/>
      <c r="AY18" s="609"/>
      <c r="AZ18" s="609"/>
      <c r="BA18" s="609"/>
      <c r="BB18" s="609"/>
      <c r="BC18" s="609"/>
      <c r="BD18" s="609"/>
      <c r="BE18" s="609"/>
      <c r="BF18" s="609"/>
      <c r="BG18" s="58"/>
      <c r="BH18" s="554"/>
      <c r="BI18" s="554"/>
      <c r="BJ18" s="554"/>
      <c r="BK18" s="3"/>
      <c r="BL18" s="3"/>
      <c r="BM18" s="3"/>
      <c r="BN18" s="3"/>
      <c r="BO18" s="3"/>
      <c r="BP18" s="3"/>
      <c r="BQ18" s="3"/>
      <c r="BR18" s="3"/>
      <c r="BS18" s="3"/>
      <c r="BT18" s="3"/>
      <c r="BU18" s="3"/>
      <c r="BV18" s="3"/>
      <c r="BW18" s="3"/>
      <c r="BX18" s="3"/>
    </row>
    <row r="19" spans="1:76">
      <c r="A19" s="633" t="s">
        <v>130</v>
      </c>
      <c r="B19" s="665" t="s">
        <v>507</v>
      </c>
      <c r="C19" s="658">
        <v>612.67716535433067</v>
      </c>
      <c r="D19" s="18"/>
      <c r="E19" s="621">
        <v>22.63</v>
      </c>
      <c r="F19" s="621">
        <v>0</v>
      </c>
      <c r="G19" s="622">
        <v>1400</v>
      </c>
      <c r="H19" s="622">
        <v>60</v>
      </c>
      <c r="I19" s="622">
        <v>724.35</v>
      </c>
      <c r="J19" s="622">
        <v>81.64</v>
      </c>
      <c r="K19" s="277">
        <v>40</v>
      </c>
      <c r="L19" s="622">
        <v>31.64</v>
      </c>
      <c r="M19" s="622">
        <v>1026.43</v>
      </c>
      <c r="N19" s="620">
        <v>0</v>
      </c>
      <c r="O19" s="620">
        <v>0</v>
      </c>
      <c r="P19" s="622">
        <v>101.8</v>
      </c>
      <c r="Q19" s="622">
        <v>101.77</v>
      </c>
      <c r="R19" s="69"/>
      <c r="S19" s="489">
        <f t="shared" ref="S19:S27" si="29" xml:space="preserve"> E19+F19+G19+H19</f>
        <v>1482.63</v>
      </c>
      <c r="T19" s="489" t="e">
        <f t="shared" ref="T19:T27" si="30">S19+IF($B$2="mil",1,0.0254)*C19</f>
        <v>#REF!</v>
      </c>
      <c r="U19" s="489" t="e">
        <f>MAX(U$17:U$18)+IF($B$2="mil",1,0.0254)*DDR2Specs!$B$3</f>
        <v>#REF!</v>
      </c>
      <c r="V19" s="489" t="e">
        <f>MIN(U$17:U$18)+IF($B$2="mil",1,0.0254)*DDR2Specs!$C$3</f>
        <v>#REF!</v>
      </c>
      <c r="W19" s="21"/>
      <c r="X19" s="598" t="e">
        <f t="shared" ref="X19:X27" si="31">IF($T19&lt;$U19,$U19-$T19,"Pass")</f>
        <v>#REF!</v>
      </c>
      <c r="Y19" s="495" t="e">
        <f t="shared" ref="Y19:Y27" si="32">IF($T19&gt;$V19,$T19-$V19,"Pass")</f>
        <v>#REF!</v>
      </c>
      <c r="Z19" s="21"/>
      <c r="AA19" s="489">
        <f t="shared" ref="AA19:AA27" si="33">SUM(E19:G19,I19:N19,P19)</f>
        <v>3428.49</v>
      </c>
      <c r="AB19" s="489" t="e">
        <f t="shared" ref="AB19:AB27" si="34">AA19+IF($B$2="mil",1,0.0254)*$C19</f>
        <v>#REF!</v>
      </c>
      <c r="AC19" s="489" t="e">
        <f>MAX(AC$17:AC$18)+IF($B$2="mil",1,0.0254)*DDR2Specs!$E$3</f>
        <v>#REF!</v>
      </c>
      <c r="AD19" s="489" t="e">
        <f>MIN(AC$17:AC$18)+IF($B$2="mil",1,0.0254)*DDR2Specs!$F$3</f>
        <v>#REF!</v>
      </c>
      <c r="AE19" s="21"/>
      <c r="AF19" s="598" t="e">
        <f t="shared" ref="AF19:AF27" si="35">IF($AB19&lt;$AC19,$AC19-$AB19,"Pass")</f>
        <v>#REF!</v>
      </c>
      <c r="AG19" s="495" t="e">
        <f t="shared" ref="AG19:AG27" si="36">IF($AB19&gt;$AD19,$AB19-$AD19,"Pass")</f>
        <v>#REF!</v>
      </c>
      <c r="AH19" s="21"/>
      <c r="AI19" s="489">
        <f t="shared" ref="AI19:AI27" si="37">SUM(E19:G19,I19:M19,O19,Q19)</f>
        <v>3428.4599999999996</v>
      </c>
      <c r="AJ19" s="489" t="e">
        <f t="shared" ref="AJ19:AJ27" si="38">AI19+IF($B$2="mil",1,0.0254)*$C19</f>
        <v>#REF!</v>
      </c>
      <c r="AK19" s="489" t="e">
        <f>MAX(AK$17:AK$18)+IF($B$2="mil",1,0.0254)*DDR2Specs!$E$3</f>
        <v>#REF!</v>
      </c>
      <c r="AL19" s="489" t="e">
        <f>MIN(AK$17:AK$18)+IF($B$2="mil",1,0.0254)*DDR2Specs!$F$3</f>
        <v>#REF!</v>
      </c>
      <c r="AM19" s="21"/>
      <c r="AN19" s="598" t="e">
        <f t="shared" ref="AN19:AN27" si="39">IF($AJ19&lt;$AK19,$AK19-$AJ19,"Pass")</f>
        <v>#REF!</v>
      </c>
      <c r="AO19" s="495" t="e">
        <f t="shared" ref="AO19:AO27" si="40">IF($AJ19&gt;$AL19,$AJ19-$AL19,"Pass")</f>
        <v>#REF!</v>
      </c>
      <c r="AP19" s="21"/>
      <c r="AQ19" s="495" t="e">
        <f t="shared" ref="AQ19:AQ27" si="41">IF($E19&lt;=IF($B$2="mil",1,0.0254)*50,"Pass",IF($B$2="mil",1,0.0254)*50-$E19)</f>
        <v>#REF!</v>
      </c>
      <c r="AR19" s="495" t="e">
        <f t="shared" ref="AR19:AR27" si="42">IF($F19&lt;=IF($B$2="mil",1,0.0254)*500,"Pass",IF($B$2="mil",1,0.0254)*500-$F19)</f>
        <v>#REF!</v>
      </c>
      <c r="AS19" s="495" t="e">
        <f t="shared" ref="AS19:AS27" si="43">IF($H19&lt;=IF($B$2="mil",1,0.0254)*250,"Pass",IF($B$2="mil",1,0.0254)*250-$H19)</f>
        <v>#REF!</v>
      </c>
      <c r="AT19" s="495" t="e">
        <f t="shared" ref="AT19:AT27" ca="1" si="44">CheckLength(IF($B$2="mil",1,0.0254)*750, IF($B$2="mil",1,0.0254)*125-J19, 0, I19,J19,0)</f>
        <v>#NAME?</v>
      </c>
      <c r="AU19" s="495" t="e">
        <f t="shared" ref="AU19:AU27" si="45">IF($J19&lt;=IF($B$2="mil",1,0.0254)*125,"Pass",IF($B$2="mil",1,0.0254)*125-$J19)</f>
        <v>#REF!</v>
      </c>
      <c r="AV19" s="495" t="e">
        <f t="shared" ref="AV19:AV27" si="46">IF($L19&lt;=IF($B$2="mil",1,0.0254)*125,"Pass",IF($B$2="mil",1,0.0254)*125-$L19)</f>
        <v>#REF!</v>
      </c>
      <c r="AW19" s="495" t="e">
        <f t="shared" ref="AW19:AW27" si="47">IF(($L19+$M19)&lt;=IF($B$2="mil",1,0.0254)*1275,"Pass",IF($B$2="mil",1,0.0254)*1275-($L19+H19))</f>
        <v>#REF!</v>
      </c>
      <c r="AX19" s="495" t="e">
        <f t="shared" ref="AX19:AX27" si="48">IF($N19&lt;=IF($B$2="mil",1,0.0254)*150,"Pass",IF($B$2="mil",1,0.0254)*150-$N19)</f>
        <v>#REF!</v>
      </c>
      <c r="AY19" s="495" t="e">
        <f t="shared" ref="AY19:AY27" si="49">IF($O19&lt;=IF($B$2="mil",1,0.0254)*150,"Pass",IF($B$2="mil",1,0.0254)*150-$O19)</f>
        <v>#REF!</v>
      </c>
      <c r="AZ19" s="493" t="e">
        <f t="shared" ref="AZ19:AZ27" si="50">IF(MAX(N19:O19)-MIN(N19:O19)&lt;=IF($B$2="mil",1,0.0254)*50,"Pass",MAX(N19:O19)-MIN(N19:O19)-IF($B$2="mil",1,0.0254)*50)</f>
        <v>#REF!</v>
      </c>
      <c r="BA19" s="495" t="e">
        <f t="shared" ref="BA19:BA27" ca="1" si="51">CheckLength2(IF($B$2="mil",1,0.0254)*200,$P19,N19,0)</f>
        <v>#NAME?</v>
      </c>
      <c r="BB19" s="495" t="e">
        <f t="shared" ref="BB19:BB27" ca="1" si="52">CheckLength2(IF($B$2="mil",1,0.0254)*200,$Q19,O19,0)</f>
        <v>#NAME?</v>
      </c>
      <c r="BC19" s="495" t="e">
        <f t="shared" ref="BC19:BC27" si="53">IF(AND($S19&gt;=IF($B$2="mil",1,0.0254)*500, $S19&lt;=IF($B$2="mil",1,0.0254)*4000),"Pass",IF($B$2="mil",1,0.0254)*4000-$S19)</f>
        <v>#REF!</v>
      </c>
      <c r="BD19" s="495" t="e">
        <f t="shared" ref="BD19:BD27" si="54">IF(AND($T19&gt;=IF($B$2="mil",1,0.0254)*500, $T19&lt;=IF($B$2="mil",1,0.0254)*4500),"Pass",IF($B$2="mil",1,0.0254)*4500-$T19)</f>
        <v>#REF!</v>
      </c>
      <c r="BE19" s="495" t="e">
        <f t="shared" ref="BE19:BE27" si="55">IF(AND($AA19&gt;=IF($B$2="mil",1,0.0254)*500, $AA19&lt;=IF($B$2="mil",1,0.0254)*5500),"Pass",IF($B$2="mil",1,0.0254)*5500-$AA19)</f>
        <v>#REF!</v>
      </c>
      <c r="BF19" s="495" t="e">
        <f t="shared" ref="BF19:BF27" si="56">IF(AND($AB19&gt;=IF($B$2="mil",1,0.0254)*500, $AB19&lt;=IF($B$2="mil",1,0.0254)*6000),"Pass",IF($B$2="mil",1,0.0254)*6000-$AB19)</f>
        <v>#REF!</v>
      </c>
      <c r="BG19" s="21"/>
      <c r="BH19" s="554" t="e">
        <f t="shared" ref="BH19:BH27" ca="1" si="57">IF(AND(AN19="Pass",AO19="Pass",AQ19="Pass",BD19="Pass",AS19="Pass",AR19="Pass",BC19="Pass",X19="Pass",Y19="Pass",BB19="Pass",AW19="Pass",AX19="Pass",AY19="Pass",AZ19="Pass",BA19="Pass",AV19="Pass",AU19="Pass",AT19="Pass",AF19="Pass",AG19="Pass",BE19="Pass",BF19="Pass"),"Pass","Fail")</f>
        <v>#REF!</v>
      </c>
      <c r="BI19" s="554" t="e">
        <f ca="1">IF(AND(BH19="Pass",BH20="Pass",BH21="Pass",BH22="Pass",BH23="Pass",BH24="Pass",BH25="Pass",BH26="Pass",BH27="Pass"),"Pass","Fail")</f>
        <v>#REF!</v>
      </c>
      <c r="BJ19" s="554"/>
      <c r="BK19" s="3"/>
      <c r="BL19" s="3"/>
      <c r="BM19" s="3"/>
      <c r="BN19" s="3"/>
      <c r="BO19" s="3"/>
      <c r="BP19" s="3"/>
      <c r="BQ19" s="3"/>
      <c r="BR19" s="3"/>
      <c r="BS19" s="3"/>
      <c r="BT19" s="3"/>
      <c r="BU19" s="3"/>
      <c r="BV19" s="3"/>
      <c r="BW19" s="3"/>
      <c r="BX19" s="3"/>
    </row>
    <row r="20" spans="1:76">
      <c r="A20" s="633" t="s">
        <v>131</v>
      </c>
      <c r="B20" s="665" t="s">
        <v>508</v>
      </c>
      <c r="C20" s="658">
        <v>627.75590551181108</v>
      </c>
      <c r="D20" s="18"/>
      <c r="E20" s="621">
        <v>22.63</v>
      </c>
      <c r="F20" s="621">
        <v>0</v>
      </c>
      <c r="G20" s="622">
        <v>1400</v>
      </c>
      <c r="H20" s="622">
        <v>50</v>
      </c>
      <c r="I20" s="622">
        <v>817.84</v>
      </c>
      <c r="J20" s="622">
        <v>44.57</v>
      </c>
      <c r="K20" s="277">
        <v>40</v>
      </c>
      <c r="L20" s="622">
        <v>90.75</v>
      </c>
      <c r="M20" s="622">
        <v>900.65</v>
      </c>
      <c r="N20" s="620">
        <v>0</v>
      </c>
      <c r="O20" s="620">
        <v>0</v>
      </c>
      <c r="P20" s="622">
        <v>105.05</v>
      </c>
      <c r="Q20" s="622">
        <v>105.02</v>
      </c>
      <c r="R20" s="69"/>
      <c r="S20" s="489">
        <f t="shared" si="29"/>
        <v>1472.63</v>
      </c>
      <c r="T20" s="489" t="e">
        <f t="shared" si="30"/>
        <v>#REF!</v>
      </c>
      <c r="U20" s="489" t="e">
        <f>MAX(U$17:U$18)+IF($B$2="mil",1,0.0254)*DDR2Specs!$B$3</f>
        <v>#REF!</v>
      </c>
      <c r="V20" s="489" t="e">
        <f>MIN(U$17:U$18)+IF($B$2="mil",1,0.0254)*DDR2Specs!$C$3</f>
        <v>#REF!</v>
      </c>
      <c r="W20" s="21"/>
      <c r="X20" s="598" t="e">
        <f t="shared" si="31"/>
        <v>#REF!</v>
      </c>
      <c r="Y20" s="495" t="e">
        <f t="shared" si="32"/>
        <v>#REF!</v>
      </c>
      <c r="Z20" s="21"/>
      <c r="AA20" s="489">
        <f t="shared" si="33"/>
        <v>3421.4900000000007</v>
      </c>
      <c r="AB20" s="489" t="e">
        <f t="shared" si="34"/>
        <v>#REF!</v>
      </c>
      <c r="AC20" s="489" t="e">
        <f>MAX(AC$17:AC$18)+IF($B$2="mil",1,0.0254)*DDR2Specs!$E$3</f>
        <v>#REF!</v>
      </c>
      <c r="AD20" s="489" t="e">
        <f>MIN(AC$17:AC$18)+IF($B$2="mil",1,0.0254)*DDR2Specs!$F$3</f>
        <v>#REF!</v>
      </c>
      <c r="AE20" s="21"/>
      <c r="AF20" s="598" t="e">
        <f t="shared" si="35"/>
        <v>#REF!</v>
      </c>
      <c r="AG20" s="495" t="e">
        <f t="shared" si="36"/>
        <v>#REF!</v>
      </c>
      <c r="AH20" s="21"/>
      <c r="AI20" s="489">
        <f t="shared" si="37"/>
        <v>3421.4600000000005</v>
      </c>
      <c r="AJ20" s="489" t="e">
        <f t="shared" si="38"/>
        <v>#REF!</v>
      </c>
      <c r="AK20" s="489" t="e">
        <f>MAX(AK$17:AK$18)+IF($B$2="mil",1,0.0254)*DDR2Specs!$E$3</f>
        <v>#REF!</v>
      </c>
      <c r="AL20" s="489" t="e">
        <f>MIN(AK$17:AK$18)+IF($B$2="mil",1,0.0254)*DDR2Specs!$F$3</f>
        <v>#REF!</v>
      </c>
      <c r="AM20" s="21"/>
      <c r="AN20" s="598" t="e">
        <f t="shared" si="39"/>
        <v>#REF!</v>
      </c>
      <c r="AO20" s="495" t="e">
        <f t="shared" si="40"/>
        <v>#REF!</v>
      </c>
      <c r="AP20" s="21"/>
      <c r="AQ20" s="495" t="e">
        <f t="shared" si="41"/>
        <v>#REF!</v>
      </c>
      <c r="AR20" s="495" t="e">
        <f t="shared" si="42"/>
        <v>#REF!</v>
      </c>
      <c r="AS20" s="495" t="e">
        <f t="shared" si="43"/>
        <v>#REF!</v>
      </c>
      <c r="AT20" s="495" t="e">
        <f t="shared" ca="1" si="44"/>
        <v>#NAME?</v>
      </c>
      <c r="AU20" s="495" t="e">
        <f t="shared" si="45"/>
        <v>#REF!</v>
      </c>
      <c r="AV20" s="495" t="e">
        <f t="shared" si="46"/>
        <v>#REF!</v>
      </c>
      <c r="AW20" s="495" t="e">
        <f t="shared" si="47"/>
        <v>#REF!</v>
      </c>
      <c r="AX20" s="495" t="e">
        <f t="shared" si="48"/>
        <v>#REF!</v>
      </c>
      <c r="AY20" s="495" t="e">
        <f t="shared" si="49"/>
        <v>#REF!</v>
      </c>
      <c r="AZ20" s="493" t="e">
        <f t="shared" si="50"/>
        <v>#REF!</v>
      </c>
      <c r="BA20" s="495" t="e">
        <f t="shared" ca="1" si="51"/>
        <v>#NAME?</v>
      </c>
      <c r="BB20" s="495" t="e">
        <f t="shared" ca="1" si="52"/>
        <v>#NAME?</v>
      </c>
      <c r="BC20" s="495" t="e">
        <f t="shared" si="53"/>
        <v>#REF!</v>
      </c>
      <c r="BD20" s="495" t="e">
        <f t="shared" si="54"/>
        <v>#REF!</v>
      </c>
      <c r="BE20" s="495" t="e">
        <f t="shared" si="55"/>
        <v>#REF!</v>
      </c>
      <c r="BF20" s="495" t="e">
        <f t="shared" si="56"/>
        <v>#REF!</v>
      </c>
      <c r="BG20" s="21"/>
      <c r="BH20" s="554" t="e">
        <f t="shared" ca="1" si="57"/>
        <v>#REF!</v>
      </c>
      <c r="BI20" s="554"/>
      <c r="BJ20" s="554"/>
      <c r="BK20" s="3"/>
      <c r="BL20" s="3"/>
      <c r="BM20" s="3"/>
      <c r="BN20" s="3"/>
      <c r="BO20" s="3"/>
      <c r="BP20" s="3"/>
      <c r="BQ20" s="3"/>
      <c r="BR20" s="3"/>
      <c r="BS20" s="3"/>
      <c r="BT20" s="3"/>
      <c r="BU20" s="3"/>
      <c r="BV20" s="3"/>
      <c r="BW20" s="3"/>
      <c r="BX20" s="3"/>
    </row>
    <row r="21" spans="1:76">
      <c r="A21" s="633" t="s">
        <v>132</v>
      </c>
      <c r="B21" s="670" t="s">
        <v>109</v>
      </c>
      <c r="C21" s="658">
        <v>625.43307086614175</v>
      </c>
      <c r="D21" s="18"/>
      <c r="E21" s="621">
        <v>22.63</v>
      </c>
      <c r="F21" s="621">
        <v>0</v>
      </c>
      <c r="G21" s="622">
        <v>1370</v>
      </c>
      <c r="H21" s="622">
        <v>80</v>
      </c>
      <c r="I21" s="622">
        <v>779.82</v>
      </c>
      <c r="J21" s="622">
        <v>85.78</v>
      </c>
      <c r="K21" s="277">
        <v>40</v>
      </c>
      <c r="L21" s="622">
        <v>90.75</v>
      </c>
      <c r="M21" s="622">
        <v>1010.48</v>
      </c>
      <c r="N21" s="620">
        <v>0</v>
      </c>
      <c r="O21" s="620">
        <v>0</v>
      </c>
      <c r="P21" s="622">
        <v>24.24</v>
      </c>
      <c r="Q21" s="622">
        <v>24.27</v>
      </c>
      <c r="R21" s="69"/>
      <c r="S21" s="489">
        <f t="shared" si="29"/>
        <v>1472.63</v>
      </c>
      <c r="T21" s="489" t="e">
        <f t="shared" si="30"/>
        <v>#REF!</v>
      </c>
      <c r="U21" s="489" t="e">
        <f>MAX(U$17:U$18)+IF($B$2="mil",1,0.0254)*DDR2Specs!$B$3</f>
        <v>#REF!</v>
      </c>
      <c r="V21" s="489" t="e">
        <f>MIN(U$17:U$18)+IF($B$2="mil",1,0.0254)*DDR2Specs!$C$3</f>
        <v>#REF!</v>
      </c>
      <c r="W21" s="21"/>
      <c r="X21" s="598" t="e">
        <f t="shared" si="31"/>
        <v>#REF!</v>
      </c>
      <c r="Y21" s="495" t="e">
        <f t="shared" si="32"/>
        <v>#REF!</v>
      </c>
      <c r="Z21" s="21"/>
      <c r="AA21" s="489">
        <f t="shared" si="33"/>
        <v>3423.7000000000003</v>
      </c>
      <c r="AB21" s="489" t="e">
        <f t="shared" si="34"/>
        <v>#REF!</v>
      </c>
      <c r="AC21" s="489" t="e">
        <f>MAX(AC$17:AC$18)+IF($B$2="mil",1,0.0254)*DDR2Specs!$E$3</f>
        <v>#REF!</v>
      </c>
      <c r="AD21" s="489" t="e">
        <f>MIN(AC$17:AC$18)+IF($B$2="mil",1,0.0254)*DDR2Specs!$F$3</f>
        <v>#REF!</v>
      </c>
      <c r="AE21" s="21"/>
      <c r="AF21" s="598" t="e">
        <f t="shared" si="35"/>
        <v>#REF!</v>
      </c>
      <c r="AG21" s="495" t="e">
        <f t="shared" si="36"/>
        <v>#REF!</v>
      </c>
      <c r="AH21" s="21"/>
      <c r="AI21" s="489">
        <f t="shared" si="37"/>
        <v>3423.7300000000005</v>
      </c>
      <c r="AJ21" s="489" t="e">
        <f t="shared" si="38"/>
        <v>#REF!</v>
      </c>
      <c r="AK21" s="489" t="e">
        <f>MAX(AK$17:AK$18)+IF($B$2="mil",1,0.0254)*DDR2Specs!$E$3</f>
        <v>#REF!</v>
      </c>
      <c r="AL21" s="489" t="e">
        <f>MIN(AK$17:AK$18)+IF($B$2="mil",1,0.0254)*DDR2Specs!$F$3</f>
        <v>#REF!</v>
      </c>
      <c r="AM21" s="21"/>
      <c r="AN21" s="598" t="e">
        <f t="shared" si="39"/>
        <v>#REF!</v>
      </c>
      <c r="AO21" s="495" t="e">
        <f t="shared" si="40"/>
        <v>#REF!</v>
      </c>
      <c r="AP21" s="21"/>
      <c r="AQ21" s="495" t="e">
        <f t="shared" si="41"/>
        <v>#REF!</v>
      </c>
      <c r="AR21" s="495" t="e">
        <f t="shared" si="42"/>
        <v>#REF!</v>
      </c>
      <c r="AS21" s="495" t="e">
        <f t="shared" si="43"/>
        <v>#REF!</v>
      </c>
      <c r="AT21" s="495" t="e">
        <f t="shared" ca="1" si="44"/>
        <v>#NAME?</v>
      </c>
      <c r="AU21" s="495" t="e">
        <f t="shared" si="45"/>
        <v>#REF!</v>
      </c>
      <c r="AV21" s="495" t="e">
        <f t="shared" si="46"/>
        <v>#REF!</v>
      </c>
      <c r="AW21" s="495" t="e">
        <f t="shared" si="47"/>
        <v>#REF!</v>
      </c>
      <c r="AX21" s="495" t="e">
        <f t="shared" si="48"/>
        <v>#REF!</v>
      </c>
      <c r="AY21" s="495" t="e">
        <f t="shared" si="49"/>
        <v>#REF!</v>
      </c>
      <c r="AZ21" s="493" t="e">
        <f t="shared" si="50"/>
        <v>#REF!</v>
      </c>
      <c r="BA21" s="495" t="e">
        <f t="shared" ca="1" si="51"/>
        <v>#NAME?</v>
      </c>
      <c r="BB21" s="495" t="e">
        <f t="shared" ca="1" si="52"/>
        <v>#NAME?</v>
      </c>
      <c r="BC21" s="495" t="e">
        <f t="shared" si="53"/>
        <v>#REF!</v>
      </c>
      <c r="BD21" s="495" t="e">
        <f t="shared" si="54"/>
        <v>#REF!</v>
      </c>
      <c r="BE21" s="495" t="e">
        <f t="shared" si="55"/>
        <v>#REF!</v>
      </c>
      <c r="BF21" s="495" t="e">
        <f t="shared" si="56"/>
        <v>#REF!</v>
      </c>
      <c r="BG21" s="21"/>
      <c r="BH21" s="554" t="e">
        <f t="shared" ca="1" si="57"/>
        <v>#REF!</v>
      </c>
      <c r="BI21" s="554"/>
      <c r="BJ21" s="554"/>
      <c r="BK21" s="3"/>
      <c r="BL21" s="3"/>
      <c r="BM21" s="3"/>
      <c r="BN21" s="3"/>
      <c r="BO21" s="3"/>
      <c r="BP21" s="3"/>
      <c r="BQ21" s="3"/>
      <c r="BR21" s="3"/>
      <c r="BS21" s="3"/>
      <c r="BT21" s="3"/>
      <c r="BU21" s="3"/>
      <c r="BV21" s="3"/>
      <c r="BW21" s="3"/>
      <c r="BX21" s="3"/>
    </row>
    <row r="22" spans="1:76">
      <c r="A22" s="633" t="s">
        <v>133</v>
      </c>
      <c r="B22" s="670" t="s">
        <v>351</v>
      </c>
      <c r="C22" s="658">
        <v>667.04724409448829</v>
      </c>
      <c r="D22" s="18"/>
      <c r="E22" s="621">
        <v>22.63</v>
      </c>
      <c r="F22" s="621">
        <v>0</v>
      </c>
      <c r="G22" s="622">
        <v>1360</v>
      </c>
      <c r="H22" s="622">
        <v>50</v>
      </c>
      <c r="I22" s="622">
        <v>790.03</v>
      </c>
      <c r="J22" s="622">
        <v>44.57</v>
      </c>
      <c r="K22" s="277">
        <v>40</v>
      </c>
      <c r="L22" s="622">
        <v>85.78</v>
      </c>
      <c r="M22" s="622">
        <v>999.3</v>
      </c>
      <c r="N22" s="620">
        <v>0</v>
      </c>
      <c r="O22" s="620">
        <v>0</v>
      </c>
      <c r="P22" s="622">
        <v>25.41</v>
      </c>
      <c r="Q22" s="622">
        <v>25.38</v>
      </c>
      <c r="R22" s="69"/>
      <c r="S22" s="489">
        <f t="shared" si="29"/>
        <v>1432.63</v>
      </c>
      <c r="T22" s="489" t="e">
        <f t="shared" si="30"/>
        <v>#REF!</v>
      </c>
      <c r="U22" s="489" t="e">
        <f>MAX(U$17:U$18)+IF($B$2="mil",1,0.0254)*DDR2Specs!$B$3</f>
        <v>#REF!</v>
      </c>
      <c r="V22" s="489" t="e">
        <f>MIN(U$17:U$18)+IF($B$2="mil",1,0.0254)*DDR2Specs!$C$3</f>
        <v>#REF!</v>
      </c>
      <c r="W22" s="21"/>
      <c r="X22" s="598" t="e">
        <f t="shared" si="31"/>
        <v>#REF!</v>
      </c>
      <c r="Y22" s="495" t="e">
        <f t="shared" si="32"/>
        <v>#REF!</v>
      </c>
      <c r="Z22" s="21"/>
      <c r="AA22" s="489">
        <f t="shared" si="33"/>
        <v>3367.7200000000003</v>
      </c>
      <c r="AB22" s="489" t="e">
        <f t="shared" si="34"/>
        <v>#REF!</v>
      </c>
      <c r="AC22" s="489" t="e">
        <f>MAX(AC$17:AC$18)+IF($B$2="mil",1,0.0254)*DDR2Specs!$E$3</f>
        <v>#REF!</v>
      </c>
      <c r="AD22" s="489" t="e">
        <f>MIN(AC$17:AC$18)+IF($B$2="mil",1,0.0254)*DDR2Specs!$F$3</f>
        <v>#REF!</v>
      </c>
      <c r="AE22" s="21"/>
      <c r="AF22" s="598" t="e">
        <f t="shared" si="35"/>
        <v>#REF!</v>
      </c>
      <c r="AG22" s="495" t="e">
        <f t="shared" si="36"/>
        <v>#REF!</v>
      </c>
      <c r="AH22" s="21"/>
      <c r="AI22" s="489">
        <f t="shared" si="37"/>
        <v>3367.6900000000005</v>
      </c>
      <c r="AJ22" s="489" t="e">
        <f t="shared" si="38"/>
        <v>#REF!</v>
      </c>
      <c r="AK22" s="489" t="e">
        <f>MAX(AK$17:AK$18)+IF($B$2="mil",1,0.0254)*DDR2Specs!$E$3</f>
        <v>#REF!</v>
      </c>
      <c r="AL22" s="489" t="e">
        <f>MIN(AK$17:AK$18)+IF($B$2="mil",1,0.0254)*DDR2Specs!$F$3</f>
        <v>#REF!</v>
      </c>
      <c r="AM22" s="21"/>
      <c r="AN22" s="598" t="e">
        <f t="shared" si="39"/>
        <v>#REF!</v>
      </c>
      <c r="AO22" s="495" t="e">
        <f t="shared" si="40"/>
        <v>#REF!</v>
      </c>
      <c r="AP22" s="21"/>
      <c r="AQ22" s="495" t="e">
        <f t="shared" si="41"/>
        <v>#REF!</v>
      </c>
      <c r="AR22" s="495" t="e">
        <f t="shared" si="42"/>
        <v>#REF!</v>
      </c>
      <c r="AS22" s="495" t="e">
        <f t="shared" si="43"/>
        <v>#REF!</v>
      </c>
      <c r="AT22" s="495" t="e">
        <f t="shared" ca="1" si="44"/>
        <v>#NAME?</v>
      </c>
      <c r="AU22" s="495" t="e">
        <f t="shared" si="45"/>
        <v>#REF!</v>
      </c>
      <c r="AV22" s="495" t="e">
        <f t="shared" si="46"/>
        <v>#REF!</v>
      </c>
      <c r="AW22" s="495" t="e">
        <f t="shared" si="47"/>
        <v>#REF!</v>
      </c>
      <c r="AX22" s="495" t="e">
        <f t="shared" si="48"/>
        <v>#REF!</v>
      </c>
      <c r="AY22" s="495" t="e">
        <f t="shared" si="49"/>
        <v>#REF!</v>
      </c>
      <c r="AZ22" s="493" t="e">
        <f t="shared" si="50"/>
        <v>#REF!</v>
      </c>
      <c r="BA22" s="495" t="e">
        <f t="shared" ca="1" si="51"/>
        <v>#NAME?</v>
      </c>
      <c r="BB22" s="495" t="e">
        <f t="shared" ca="1" si="52"/>
        <v>#NAME?</v>
      </c>
      <c r="BC22" s="495" t="e">
        <f t="shared" si="53"/>
        <v>#REF!</v>
      </c>
      <c r="BD22" s="495" t="e">
        <f t="shared" si="54"/>
        <v>#REF!</v>
      </c>
      <c r="BE22" s="495" t="e">
        <f t="shared" si="55"/>
        <v>#REF!</v>
      </c>
      <c r="BF22" s="495" t="e">
        <f t="shared" si="56"/>
        <v>#REF!</v>
      </c>
      <c r="BG22" s="21"/>
      <c r="BH22" s="554" t="e">
        <f t="shared" ca="1" si="57"/>
        <v>#REF!</v>
      </c>
      <c r="BI22" s="554"/>
      <c r="BJ22" s="554"/>
      <c r="BK22" s="3"/>
      <c r="BL22" s="3"/>
      <c r="BM22" s="3"/>
      <c r="BN22" s="3"/>
      <c r="BO22" s="3"/>
      <c r="BP22" s="3"/>
      <c r="BQ22" s="3"/>
      <c r="BR22" s="3"/>
      <c r="BS22" s="3"/>
      <c r="BT22" s="3"/>
      <c r="BU22" s="3"/>
      <c r="BV22" s="3"/>
      <c r="BW22" s="3"/>
      <c r="BX22" s="3"/>
    </row>
    <row r="23" spans="1:76">
      <c r="A23" s="633" t="s">
        <v>134</v>
      </c>
      <c r="B23" s="665" t="s">
        <v>476</v>
      </c>
      <c r="C23" s="658">
        <v>600.07874015748041</v>
      </c>
      <c r="D23" s="18"/>
      <c r="E23" s="621">
        <v>22.63</v>
      </c>
      <c r="F23" s="621">
        <v>0</v>
      </c>
      <c r="G23" s="622">
        <v>1460</v>
      </c>
      <c r="H23" s="622">
        <v>10</v>
      </c>
      <c r="I23" s="622">
        <v>734.97</v>
      </c>
      <c r="J23" s="622">
        <v>44.57</v>
      </c>
      <c r="K23" s="277">
        <v>40</v>
      </c>
      <c r="L23" s="622">
        <v>85.78</v>
      </c>
      <c r="M23" s="622">
        <v>1017.96</v>
      </c>
      <c r="N23" s="620">
        <v>0</v>
      </c>
      <c r="O23" s="620">
        <v>0</v>
      </c>
      <c r="P23" s="622">
        <v>32.9</v>
      </c>
      <c r="Q23" s="622">
        <v>32.93</v>
      </c>
      <c r="R23" s="69"/>
      <c r="S23" s="489">
        <f t="shared" si="29"/>
        <v>1492.63</v>
      </c>
      <c r="T23" s="489" t="e">
        <f t="shared" si="30"/>
        <v>#REF!</v>
      </c>
      <c r="U23" s="489" t="e">
        <f>MAX(U$17:U$18)+IF($B$2="mil",1,0.0254)*DDR2Specs!$B$3</f>
        <v>#REF!</v>
      </c>
      <c r="V23" s="489" t="e">
        <f>MIN(U$17:U$18)+IF($B$2="mil",1,0.0254)*DDR2Specs!$C$3</f>
        <v>#REF!</v>
      </c>
      <c r="W23" s="21"/>
      <c r="X23" s="598" t="e">
        <f t="shared" si="31"/>
        <v>#REF!</v>
      </c>
      <c r="Y23" s="495" t="e">
        <f t="shared" si="32"/>
        <v>#REF!</v>
      </c>
      <c r="Z23" s="21"/>
      <c r="AA23" s="489">
        <f t="shared" si="33"/>
        <v>3438.8100000000009</v>
      </c>
      <c r="AB23" s="489" t="e">
        <f t="shared" si="34"/>
        <v>#REF!</v>
      </c>
      <c r="AC23" s="489" t="e">
        <f>MAX(AC$17:AC$18)+IF($B$2="mil",1,0.0254)*DDR2Specs!$E$3</f>
        <v>#REF!</v>
      </c>
      <c r="AD23" s="489" t="e">
        <f>MIN(AC$17:AC$18)+IF($B$2="mil",1,0.0254)*DDR2Specs!$F$3</f>
        <v>#REF!</v>
      </c>
      <c r="AE23" s="21"/>
      <c r="AF23" s="598" t="e">
        <f t="shared" si="35"/>
        <v>#REF!</v>
      </c>
      <c r="AG23" s="495" t="e">
        <f t="shared" si="36"/>
        <v>#REF!</v>
      </c>
      <c r="AH23" s="21"/>
      <c r="AI23" s="489">
        <f t="shared" si="37"/>
        <v>3438.8400000000006</v>
      </c>
      <c r="AJ23" s="489" t="e">
        <f t="shared" si="38"/>
        <v>#REF!</v>
      </c>
      <c r="AK23" s="489" t="e">
        <f>MAX(AK$17:AK$18)+IF($B$2="mil",1,0.0254)*DDR2Specs!$E$3</f>
        <v>#REF!</v>
      </c>
      <c r="AL23" s="489" t="e">
        <f>MIN(AK$17:AK$18)+IF($B$2="mil",1,0.0254)*DDR2Specs!$F$3</f>
        <v>#REF!</v>
      </c>
      <c r="AM23" s="21"/>
      <c r="AN23" s="598" t="e">
        <f t="shared" si="39"/>
        <v>#REF!</v>
      </c>
      <c r="AO23" s="495" t="e">
        <f t="shared" si="40"/>
        <v>#REF!</v>
      </c>
      <c r="AP23" s="21"/>
      <c r="AQ23" s="495" t="e">
        <f t="shared" si="41"/>
        <v>#REF!</v>
      </c>
      <c r="AR23" s="495" t="e">
        <f t="shared" si="42"/>
        <v>#REF!</v>
      </c>
      <c r="AS23" s="495" t="e">
        <f t="shared" si="43"/>
        <v>#REF!</v>
      </c>
      <c r="AT23" s="495" t="e">
        <f t="shared" ca="1" si="44"/>
        <v>#NAME?</v>
      </c>
      <c r="AU23" s="495" t="e">
        <f t="shared" si="45"/>
        <v>#REF!</v>
      </c>
      <c r="AV23" s="495" t="e">
        <f t="shared" si="46"/>
        <v>#REF!</v>
      </c>
      <c r="AW23" s="495" t="e">
        <f t="shared" si="47"/>
        <v>#REF!</v>
      </c>
      <c r="AX23" s="495" t="e">
        <f t="shared" si="48"/>
        <v>#REF!</v>
      </c>
      <c r="AY23" s="495" t="e">
        <f t="shared" si="49"/>
        <v>#REF!</v>
      </c>
      <c r="AZ23" s="493" t="e">
        <f t="shared" si="50"/>
        <v>#REF!</v>
      </c>
      <c r="BA23" s="495" t="e">
        <f t="shared" ca="1" si="51"/>
        <v>#NAME?</v>
      </c>
      <c r="BB23" s="495" t="e">
        <f t="shared" ca="1" si="52"/>
        <v>#NAME?</v>
      </c>
      <c r="BC23" s="495" t="e">
        <f t="shared" si="53"/>
        <v>#REF!</v>
      </c>
      <c r="BD23" s="495" t="e">
        <f t="shared" si="54"/>
        <v>#REF!</v>
      </c>
      <c r="BE23" s="495" t="e">
        <f t="shared" si="55"/>
        <v>#REF!</v>
      </c>
      <c r="BF23" s="495" t="e">
        <f t="shared" si="56"/>
        <v>#REF!</v>
      </c>
      <c r="BG23" s="21"/>
      <c r="BH23" s="554" t="e">
        <f t="shared" ca="1" si="57"/>
        <v>#REF!</v>
      </c>
      <c r="BI23" s="554"/>
      <c r="BJ23" s="554"/>
      <c r="BK23" s="3"/>
      <c r="BL23" s="3"/>
      <c r="BM23" s="3"/>
      <c r="BN23" s="3"/>
      <c r="BO23" s="3"/>
      <c r="BP23" s="3"/>
      <c r="BQ23" s="3"/>
      <c r="BR23" s="3"/>
      <c r="BS23" s="3"/>
      <c r="BT23" s="3"/>
      <c r="BU23" s="3"/>
      <c r="BV23" s="3"/>
      <c r="BW23" s="3"/>
      <c r="BX23" s="3"/>
    </row>
    <row r="24" spans="1:76">
      <c r="A24" s="633" t="s">
        <v>135</v>
      </c>
      <c r="B24" s="671" t="s">
        <v>477</v>
      </c>
      <c r="C24" s="658">
        <v>655.98425196850394</v>
      </c>
      <c r="D24" s="18"/>
      <c r="E24" s="621">
        <v>22.63</v>
      </c>
      <c r="F24" s="621">
        <v>0</v>
      </c>
      <c r="G24" s="622">
        <v>1360</v>
      </c>
      <c r="H24" s="622">
        <v>50</v>
      </c>
      <c r="I24" s="622">
        <v>735.54</v>
      </c>
      <c r="J24" s="622">
        <v>85.78</v>
      </c>
      <c r="K24" s="277">
        <v>40</v>
      </c>
      <c r="L24" s="622">
        <v>44.57</v>
      </c>
      <c r="M24" s="622">
        <v>1027.4100000000001</v>
      </c>
      <c r="N24" s="620">
        <v>0</v>
      </c>
      <c r="O24" s="620">
        <v>0</v>
      </c>
      <c r="P24" s="622">
        <v>68.03</v>
      </c>
      <c r="Q24" s="622">
        <v>68</v>
      </c>
      <c r="R24" s="69"/>
      <c r="S24" s="489">
        <f t="shared" si="29"/>
        <v>1432.63</v>
      </c>
      <c r="T24" s="489" t="e">
        <f t="shared" si="30"/>
        <v>#REF!</v>
      </c>
      <c r="U24" s="489" t="e">
        <f>MAX(U$17:U$18)+IF($B$2="mil",1,0.0254)*DDR2Specs!$B$3</f>
        <v>#REF!</v>
      </c>
      <c r="V24" s="489" t="e">
        <f>MIN(U$17:U$18)+IF($B$2="mil",1,0.0254)*DDR2Specs!$C$3</f>
        <v>#REF!</v>
      </c>
      <c r="W24" s="21"/>
      <c r="X24" s="598" t="e">
        <f t="shared" si="31"/>
        <v>#REF!</v>
      </c>
      <c r="Y24" s="495" t="e">
        <f t="shared" si="32"/>
        <v>#REF!</v>
      </c>
      <c r="Z24" s="21"/>
      <c r="AA24" s="489">
        <f t="shared" si="33"/>
        <v>3383.9600000000005</v>
      </c>
      <c r="AB24" s="489" t="e">
        <f t="shared" si="34"/>
        <v>#REF!</v>
      </c>
      <c r="AC24" s="489" t="e">
        <f>MAX(AC$17:AC$18)+IF($B$2="mil",1,0.0254)*DDR2Specs!$E$3</f>
        <v>#REF!</v>
      </c>
      <c r="AD24" s="489" t="e">
        <f>MIN(AC$17:AC$18)+IF($B$2="mil",1,0.0254)*DDR2Specs!$F$3</f>
        <v>#REF!</v>
      </c>
      <c r="AE24" s="21"/>
      <c r="AF24" s="598" t="e">
        <f t="shared" si="35"/>
        <v>#REF!</v>
      </c>
      <c r="AG24" s="495" t="e">
        <f t="shared" si="36"/>
        <v>#REF!</v>
      </c>
      <c r="AH24" s="21"/>
      <c r="AI24" s="489">
        <f t="shared" si="37"/>
        <v>3383.9300000000003</v>
      </c>
      <c r="AJ24" s="489" t="e">
        <f t="shared" si="38"/>
        <v>#REF!</v>
      </c>
      <c r="AK24" s="489" t="e">
        <f>MAX(AK$17:AK$18)+IF($B$2="mil",1,0.0254)*DDR2Specs!$E$3</f>
        <v>#REF!</v>
      </c>
      <c r="AL24" s="489" t="e">
        <f>MIN(AK$17:AK$18)+IF($B$2="mil",1,0.0254)*DDR2Specs!$F$3</f>
        <v>#REF!</v>
      </c>
      <c r="AM24" s="21"/>
      <c r="AN24" s="598" t="e">
        <f t="shared" si="39"/>
        <v>#REF!</v>
      </c>
      <c r="AO24" s="495" t="e">
        <f t="shared" si="40"/>
        <v>#REF!</v>
      </c>
      <c r="AP24" s="21"/>
      <c r="AQ24" s="495" t="e">
        <f t="shared" si="41"/>
        <v>#REF!</v>
      </c>
      <c r="AR24" s="495" t="e">
        <f t="shared" si="42"/>
        <v>#REF!</v>
      </c>
      <c r="AS24" s="495" t="e">
        <f t="shared" si="43"/>
        <v>#REF!</v>
      </c>
      <c r="AT24" s="495" t="e">
        <f t="shared" ca="1" si="44"/>
        <v>#NAME?</v>
      </c>
      <c r="AU24" s="495" t="e">
        <f t="shared" si="45"/>
        <v>#REF!</v>
      </c>
      <c r="AV24" s="495" t="e">
        <f t="shared" si="46"/>
        <v>#REF!</v>
      </c>
      <c r="AW24" s="495" t="e">
        <f t="shared" si="47"/>
        <v>#REF!</v>
      </c>
      <c r="AX24" s="495" t="e">
        <f t="shared" si="48"/>
        <v>#REF!</v>
      </c>
      <c r="AY24" s="495" t="e">
        <f t="shared" si="49"/>
        <v>#REF!</v>
      </c>
      <c r="AZ24" s="493" t="e">
        <f t="shared" si="50"/>
        <v>#REF!</v>
      </c>
      <c r="BA24" s="495" t="e">
        <f t="shared" ca="1" si="51"/>
        <v>#NAME?</v>
      </c>
      <c r="BB24" s="495" t="e">
        <f t="shared" ca="1" si="52"/>
        <v>#NAME?</v>
      </c>
      <c r="BC24" s="495" t="e">
        <f t="shared" si="53"/>
        <v>#REF!</v>
      </c>
      <c r="BD24" s="495" t="e">
        <f t="shared" si="54"/>
        <v>#REF!</v>
      </c>
      <c r="BE24" s="495" t="e">
        <f t="shared" si="55"/>
        <v>#REF!</v>
      </c>
      <c r="BF24" s="495" t="e">
        <f t="shared" si="56"/>
        <v>#REF!</v>
      </c>
      <c r="BG24" s="21"/>
      <c r="BH24" s="554" t="e">
        <f t="shared" ca="1" si="57"/>
        <v>#REF!</v>
      </c>
      <c r="BI24" s="554"/>
      <c r="BJ24" s="554"/>
      <c r="BK24" s="3"/>
      <c r="BL24" s="3"/>
      <c r="BM24" s="3"/>
      <c r="BN24" s="3"/>
      <c r="BO24" s="3"/>
      <c r="BP24" s="3"/>
      <c r="BQ24" s="3"/>
      <c r="BR24" s="3"/>
      <c r="BS24" s="3"/>
      <c r="BT24" s="3"/>
      <c r="BU24" s="3"/>
      <c r="BV24" s="3"/>
      <c r="BW24" s="3"/>
      <c r="BX24" s="3"/>
    </row>
    <row r="25" spans="1:76" s="29" customFormat="1">
      <c r="A25" s="633" t="s">
        <v>233</v>
      </c>
      <c r="B25" s="665" t="s">
        <v>478</v>
      </c>
      <c r="C25" s="658">
        <v>589.64566929133866</v>
      </c>
      <c r="D25" s="18"/>
      <c r="E25" s="621">
        <v>22.63</v>
      </c>
      <c r="F25" s="621">
        <v>0</v>
      </c>
      <c r="G25" s="622">
        <v>1450</v>
      </c>
      <c r="H25" s="622">
        <v>30</v>
      </c>
      <c r="I25" s="622">
        <v>695.56</v>
      </c>
      <c r="J25" s="622">
        <v>44.57</v>
      </c>
      <c r="K25" s="277">
        <v>40</v>
      </c>
      <c r="L25" s="622">
        <v>85.78</v>
      </c>
      <c r="M25" s="622">
        <v>1020.94</v>
      </c>
      <c r="N25" s="620">
        <v>0</v>
      </c>
      <c r="O25" s="620">
        <v>0</v>
      </c>
      <c r="P25" s="622">
        <v>102.17</v>
      </c>
      <c r="Q25" s="622">
        <v>102.2</v>
      </c>
      <c r="R25" s="69"/>
      <c r="S25" s="489">
        <f t="shared" si="29"/>
        <v>1502.63</v>
      </c>
      <c r="T25" s="489" t="e">
        <f t="shared" si="30"/>
        <v>#REF!</v>
      </c>
      <c r="U25" s="489" t="e">
        <f>MAX(U$17:U$18)+IF($B$2="mil",1,0.0254)*DDR2Specs!$B$3</f>
        <v>#REF!</v>
      </c>
      <c r="V25" s="489" t="e">
        <f>MIN(U$17:U$18)+IF($B$2="mil",1,0.0254)*DDR2Specs!$C$3</f>
        <v>#REF!</v>
      </c>
      <c r="W25" s="21"/>
      <c r="X25" s="598" t="e">
        <f t="shared" si="31"/>
        <v>#REF!</v>
      </c>
      <c r="Y25" s="495" t="e">
        <f t="shared" si="32"/>
        <v>#REF!</v>
      </c>
      <c r="Z25" s="21"/>
      <c r="AA25" s="489">
        <f t="shared" si="33"/>
        <v>3461.6500000000005</v>
      </c>
      <c r="AB25" s="489" t="e">
        <f t="shared" si="34"/>
        <v>#REF!</v>
      </c>
      <c r="AC25" s="489" t="e">
        <f>MAX(AC$17:AC$18)+IF($B$2="mil",1,0.0254)*DDR2Specs!$E$3</f>
        <v>#REF!</v>
      </c>
      <c r="AD25" s="489" t="e">
        <f>MIN(AC$17:AC$18)+IF($B$2="mil",1,0.0254)*DDR2Specs!$F$3</f>
        <v>#REF!</v>
      </c>
      <c r="AE25" s="21"/>
      <c r="AF25" s="598" t="e">
        <f t="shared" si="35"/>
        <v>#REF!</v>
      </c>
      <c r="AG25" s="495" t="e">
        <f t="shared" si="36"/>
        <v>#REF!</v>
      </c>
      <c r="AH25" s="21"/>
      <c r="AI25" s="489">
        <f t="shared" si="37"/>
        <v>3461.6800000000003</v>
      </c>
      <c r="AJ25" s="489" t="e">
        <f t="shared" si="38"/>
        <v>#REF!</v>
      </c>
      <c r="AK25" s="489" t="e">
        <f>MAX(AK$17:AK$18)+IF($B$2="mil",1,0.0254)*DDR2Specs!$E$3</f>
        <v>#REF!</v>
      </c>
      <c r="AL25" s="489" t="e">
        <f>MIN(AK$17:AK$18)+IF($B$2="mil",1,0.0254)*DDR2Specs!$F$3</f>
        <v>#REF!</v>
      </c>
      <c r="AM25" s="21"/>
      <c r="AN25" s="598" t="e">
        <f t="shared" si="39"/>
        <v>#REF!</v>
      </c>
      <c r="AO25" s="495" t="e">
        <f t="shared" si="40"/>
        <v>#REF!</v>
      </c>
      <c r="AP25" s="21"/>
      <c r="AQ25" s="495" t="e">
        <f t="shared" si="41"/>
        <v>#REF!</v>
      </c>
      <c r="AR25" s="495" t="e">
        <f t="shared" si="42"/>
        <v>#REF!</v>
      </c>
      <c r="AS25" s="495" t="e">
        <f t="shared" si="43"/>
        <v>#REF!</v>
      </c>
      <c r="AT25" s="495" t="e">
        <f t="shared" ca="1" si="44"/>
        <v>#NAME?</v>
      </c>
      <c r="AU25" s="495" t="e">
        <f t="shared" si="45"/>
        <v>#REF!</v>
      </c>
      <c r="AV25" s="495" t="e">
        <f t="shared" si="46"/>
        <v>#REF!</v>
      </c>
      <c r="AW25" s="495" t="e">
        <f t="shared" si="47"/>
        <v>#REF!</v>
      </c>
      <c r="AX25" s="495" t="e">
        <f t="shared" si="48"/>
        <v>#REF!</v>
      </c>
      <c r="AY25" s="495" t="e">
        <f t="shared" si="49"/>
        <v>#REF!</v>
      </c>
      <c r="AZ25" s="493" t="e">
        <f t="shared" si="50"/>
        <v>#REF!</v>
      </c>
      <c r="BA25" s="495" t="e">
        <f t="shared" ca="1" si="51"/>
        <v>#NAME?</v>
      </c>
      <c r="BB25" s="495" t="e">
        <f t="shared" ca="1" si="52"/>
        <v>#NAME?</v>
      </c>
      <c r="BC25" s="495" t="e">
        <f t="shared" si="53"/>
        <v>#REF!</v>
      </c>
      <c r="BD25" s="495" t="e">
        <f t="shared" si="54"/>
        <v>#REF!</v>
      </c>
      <c r="BE25" s="495" t="e">
        <f t="shared" si="55"/>
        <v>#REF!</v>
      </c>
      <c r="BF25" s="495" t="e">
        <f t="shared" si="56"/>
        <v>#REF!</v>
      </c>
      <c r="BG25" s="21"/>
      <c r="BH25" s="554" t="e">
        <f t="shared" ca="1" si="57"/>
        <v>#REF!</v>
      </c>
      <c r="BI25" s="610"/>
      <c r="BJ25" s="610"/>
    </row>
    <row r="26" spans="1:76">
      <c r="A26" s="633" t="s">
        <v>136</v>
      </c>
      <c r="B26" s="665" t="s">
        <v>479</v>
      </c>
      <c r="C26" s="658">
        <v>669.29133858267721</v>
      </c>
      <c r="D26" s="18"/>
      <c r="E26" s="621">
        <v>22.63</v>
      </c>
      <c r="F26" s="621">
        <v>0</v>
      </c>
      <c r="G26" s="622">
        <v>1375</v>
      </c>
      <c r="H26" s="622">
        <v>20</v>
      </c>
      <c r="I26" s="622">
        <v>775.64</v>
      </c>
      <c r="J26" s="622">
        <v>81.64</v>
      </c>
      <c r="K26" s="277">
        <v>40</v>
      </c>
      <c r="L26" s="622">
        <v>44.57</v>
      </c>
      <c r="M26" s="622">
        <v>958.31</v>
      </c>
      <c r="N26" s="620">
        <v>0</v>
      </c>
      <c r="O26" s="620">
        <v>0</v>
      </c>
      <c r="P26" s="622">
        <v>67.8</v>
      </c>
      <c r="Q26" s="622">
        <v>67.77</v>
      </c>
      <c r="R26" s="69"/>
      <c r="S26" s="489">
        <f t="shared" si="29"/>
        <v>1417.63</v>
      </c>
      <c r="T26" s="489" t="e">
        <f t="shared" si="30"/>
        <v>#REF!</v>
      </c>
      <c r="U26" s="489" t="e">
        <f>MAX(U$17:U$18)+IF($B$2="mil",1,0.0254)*DDR2Specs!$B$3</f>
        <v>#REF!</v>
      </c>
      <c r="V26" s="489" t="e">
        <f>MIN(U$17:U$18)+IF($B$2="mil",1,0.0254)*DDR2Specs!$C$3</f>
        <v>#REF!</v>
      </c>
      <c r="W26" s="21"/>
      <c r="X26" s="598" t="e">
        <f t="shared" si="31"/>
        <v>#REF!</v>
      </c>
      <c r="Y26" s="495" t="e">
        <f t="shared" si="32"/>
        <v>#REF!</v>
      </c>
      <c r="Z26" s="21"/>
      <c r="AA26" s="489">
        <f t="shared" si="33"/>
        <v>3365.59</v>
      </c>
      <c r="AB26" s="489" t="e">
        <f t="shared" si="34"/>
        <v>#REF!</v>
      </c>
      <c r="AC26" s="489" t="e">
        <f>MAX(AC$17:AC$18)+IF($B$2="mil",1,0.0254)*DDR2Specs!$E$3</f>
        <v>#REF!</v>
      </c>
      <c r="AD26" s="489" t="e">
        <f>MIN(AC$17:AC$18)+IF($B$2="mil",1,0.0254)*DDR2Specs!$F$3</f>
        <v>#REF!</v>
      </c>
      <c r="AE26" s="21"/>
      <c r="AF26" s="598" t="e">
        <f t="shared" si="35"/>
        <v>#REF!</v>
      </c>
      <c r="AG26" s="495" t="e">
        <f t="shared" si="36"/>
        <v>#REF!</v>
      </c>
      <c r="AH26" s="21"/>
      <c r="AI26" s="489">
        <f t="shared" si="37"/>
        <v>3365.56</v>
      </c>
      <c r="AJ26" s="489" t="e">
        <f t="shared" si="38"/>
        <v>#REF!</v>
      </c>
      <c r="AK26" s="489" t="e">
        <f>MAX(AK$17:AK$18)+IF($B$2="mil",1,0.0254)*DDR2Specs!$E$3</f>
        <v>#REF!</v>
      </c>
      <c r="AL26" s="489" t="e">
        <f>MIN(AK$17:AK$18)+IF($B$2="mil",1,0.0254)*DDR2Specs!$F$3</f>
        <v>#REF!</v>
      </c>
      <c r="AM26" s="21"/>
      <c r="AN26" s="598" t="e">
        <f t="shared" si="39"/>
        <v>#REF!</v>
      </c>
      <c r="AO26" s="495" t="e">
        <f t="shared" si="40"/>
        <v>#REF!</v>
      </c>
      <c r="AP26" s="21"/>
      <c r="AQ26" s="495" t="e">
        <f t="shared" si="41"/>
        <v>#REF!</v>
      </c>
      <c r="AR26" s="495" t="e">
        <f t="shared" si="42"/>
        <v>#REF!</v>
      </c>
      <c r="AS26" s="495" t="e">
        <f t="shared" si="43"/>
        <v>#REF!</v>
      </c>
      <c r="AT26" s="495" t="e">
        <f t="shared" ca="1" si="44"/>
        <v>#NAME?</v>
      </c>
      <c r="AU26" s="495" t="e">
        <f t="shared" si="45"/>
        <v>#REF!</v>
      </c>
      <c r="AV26" s="495" t="e">
        <f t="shared" si="46"/>
        <v>#REF!</v>
      </c>
      <c r="AW26" s="495" t="e">
        <f t="shared" si="47"/>
        <v>#REF!</v>
      </c>
      <c r="AX26" s="495" t="e">
        <f t="shared" si="48"/>
        <v>#REF!</v>
      </c>
      <c r="AY26" s="495" t="e">
        <f t="shared" si="49"/>
        <v>#REF!</v>
      </c>
      <c r="AZ26" s="493" t="e">
        <f t="shared" si="50"/>
        <v>#REF!</v>
      </c>
      <c r="BA26" s="495" t="e">
        <f t="shared" ca="1" si="51"/>
        <v>#NAME?</v>
      </c>
      <c r="BB26" s="495" t="e">
        <f t="shared" ca="1" si="52"/>
        <v>#NAME?</v>
      </c>
      <c r="BC26" s="495" t="e">
        <f t="shared" si="53"/>
        <v>#REF!</v>
      </c>
      <c r="BD26" s="495" t="e">
        <f t="shared" si="54"/>
        <v>#REF!</v>
      </c>
      <c r="BE26" s="495" t="e">
        <f t="shared" si="55"/>
        <v>#REF!</v>
      </c>
      <c r="BF26" s="495" t="e">
        <f t="shared" si="56"/>
        <v>#REF!</v>
      </c>
      <c r="BG26" s="21"/>
      <c r="BH26" s="554" t="e">
        <f t="shared" ca="1" si="57"/>
        <v>#REF!</v>
      </c>
      <c r="BI26" s="554"/>
      <c r="BJ26" s="554"/>
      <c r="BK26" s="3"/>
      <c r="BL26" s="3"/>
      <c r="BM26" s="3"/>
      <c r="BN26" s="3"/>
      <c r="BO26" s="3"/>
      <c r="BP26" s="3"/>
      <c r="BQ26" s="3"/>
      <c r="BR26" s="3"/>
      <c r="BS26" s="3"/>
      <c r="BT26" s="3"/>
      <c r="BU26" s="3"/>
      <c r="BV26" s="3"/>
      <c r="BW26" s="3"/>
      <c r="BX26" s="3"/>
    </row>
    <row r="27" spans="1:76">
      <c r="A27" s="666" t="s">
        <v>137</v>
      </c>
      <c r="B27" s="667" t="s">
        <v>517</v>
      </c>
      <c r="C27" s="658">
        <v>627.91338582677167</v>
      </c>
      <c r="D27" s="18"/>
      <c r="E27" s="621">
        <v>22.63</v>
      </c>
      <c r="F27" s="621">
        <v>0</v>
      </c>
      <c r="G27" s="622">
        <v>1445</v>
      </c>
      <c r="H27" s="622">
        <v>6</v>
      </c>
      <c r="I27" s="622">
        <v>727.49</v>
      </c>
      <c r="J27" s="622">
        <v>29.57</v>
      </c>
      <c r="K27" s="277">
        <v>40</v>
      </c>
      <c r="L27" s="622">
        <v>85.78</v>
      </c>
      <c r="M27" s="622">
        <v>999.62</v>
      </c>
      <c r="N27" s="620">
        <v>0</v>
      </c>
      <c r="O27" s="620">
        <v>0</v>
      </c>
      <c r="P27" s="622">
        <v>75.42</v>
      </c>
      <c r="Q27" s="622">
        <v>76.09</v>
      </c>
      <c r="R27" s="69"/>
      <c r="S27" s="489">
        <f t="shared" si="29"/>
        <v>1473.63</v>
      </c>
      <c r="T27" s="489" t="e">
        <f t="shared" si="30"/>
        <v>#REF!</v>
      </c>
      <c r="U27" s="489" t="e">
        <f>MAX(U$17:U$18)+IF($B$2="mil",1,0.0254)*DDR2Specs!$B$3</f>
        <v>#REF!</v>
      </c>
      <c r="V27" s="489" t="e">
        <f>MIN(U$17:U$18)+IF($B$2="mil",1,0.0254)*DDR2Specs!$C$3</f>
        <v>#REF!</v>
      </c>
      <c r="W27" s="21"/>
      <c r="X27" s="598" t="e">
        <f t="shared" si="31"/>
        <v>#REF!</v>
      </c>
      <c r="Y27" s="495" t="e">
        <f t="shared" si="32"/>
        <v>#REF!</v>
      </c>
      <c r="Z27" s="21"/>
      <c r="AA27" s="489">
        <f t="shared" si="33"/>
        <v>3425.51</v>
      </c>
      <c r="AB27" s="489" t="e">
        <f t="shared" si="34"/>
        <v>#REF!</v>
      </c>
      <c r="AC27" s="489" t="e">
        <f>MAX(AC$17:AC$18)+IF($B$2="mil",1,0.0254)*DDR2Specs!$E$3</f>
        <v>#REF!</v>
      </c>
      <c r="AD27" s="489" t="e">
        <f>MIN(AC$17:AC$18)+IF($B$2="mil",1,0.0254)*DDR2Specs!$F$3</f>
        <v>#REF!</v>
      </c>
      <c r="AE27" s="21"/>
      <c r="AF27" s="598" t="e">
        <f t="shared" si="35"/>
        <v>#REF!</v>
      </c>
      <c r="AG27" s="495" t="e">
        <f t="shared" si="36"/>
        <v>#REF!</v>
      </c>
      <c r="AH27" s="21"/>
      <c r="AI27" s="489">
        <f t="shared" si="37"/>
        <v>3426.1800000000003</v>
      </c>
      <c r="AJ27" s="489" t="e">
        <f t="shared" si="38"/>
        <v>#REF!</v>
      </c>
      <c r="AK27" s="489" t="e">
        <f>MAX(AK$17:AK$18)+IF($B$2="mil",1,0.0254)*DDR2Specs!$E$3</f>
        <v>#REF!</v>
      </c>
      <c r="AL27" s="489" t="e">
        <f>MIN(AK$17:AK$18)+IF($B$2="mil",1,0.0254)*DDR2Specs!$F$3</f>
        <v>#REF!</v>
      </c>
      <c r="AM27" s="21"/>
      <c r="AN27" s="598" t="e">
        <f t="shared" si="39"/>
        <v>#REF!</v>
      </c>
      <c r="AO27" s="495" t="e">
        <f t="shared" si="40"/>
        <v>#REF!</v>
      </c>
      <c r="AP27" s="21"/>
      <c r="AQ27" s="495" t="e">
        <f t="shared" si="41"/>
        <v>#REF!</v>
      </c>
      <c r="AR27" s="495" t="e">
        <f t="shared" si="42"/>
        <v>#REF!</v>
      </c>
      <c r="AS27" s="495" t="e">
        <f t="shared" si="43"/>
        <v>#REF!</v>
      </c>
      <c r="AT27" s="495" t="e">
        <f t="shared" ca="1" si="44"/>
        <v>#NAME?</v>
      </c>
      <c r="AU27" s="495" t="e">
        <f t="shared" si="45"/>
        <v>#REF!</v>
      </c>
      <c r="AV27" s="495" t="e">
        <f t="shared" si="46"/>
        <v>#REF!</v>
      </c>
      <c r="AW27" s="495" t="e">
        <f t="shared" si="47"/>
        <v>#REF!</v>
      </c>
      <c r="AX27" s="495" t="e">
        <f t="shared" si="48"/>
        <v>#REF!</v>
      </c>
      <c r="AY27" s="495" t="e">
        <f t="shared" si="49"/>
        <v>#REF!</v>
      </c>
      <c r="AZ27" s="493" t="e">
        <f t="shared" si="50"/>
        <v>#REF!</v>
      </c>
      <c r="BA27" s="495" t="e">
        <f t="shared" ca="1" si="51"/>
        <v>#NAME?</v>
      </c>
      <c r="BB27" s="495" t="e">
        <f t="shared" ca="1" si="52"/>
        <v>#NAME?</v>
      </c>
      <c r="BC27" s="495" t="e">
        <f t="shared" si="53"/>
        <v>#REF!</v>
      </c>
      <c r="BD27" s="495" t="e">
        <f t="shared" si="54"/>
        <v>#REF!</v>
      </c>
      <c r="BE27" s="495" t="e">
        <f t="shared" si="55"/>
        <v>#REF!</v>
      </c>
      <c r="BF27" s="495" t="e">
        <f t="shared" si="56"/>
        <v>#REF!</v>
      </c>
      <c r="BG27" s="21"/>
      <c r="BH27" s="554" t="e">
        <f t="shared" ca="1" si="57"/>
        <v>#REF!</v>
      </c>
      <c r="BI27" s="554"/>
      <c r="BJ27" s="554"/>
      <c r="BK27" s="3"/>
      <c r="BL27" s="3"/>
      <c r="BM27" s="3"/>
      <c r="BN27" s="3"/>
      <c r="BO27" s="3"/>
      <c r="BP27" s="3"/>
      <c r="BQ27" s="3"/>
      <c r="BR27" s="3"/>
      <c r="BS27" s="3"/>
      <c r="BT27" s="3"/>
      <c r="BU27" s="3"/>
      <c r="BV27" s="3"/>
      <c r="BW27" s="3"/>
      <c r="BX27" s="3"/>
    </row>
    <row r="28" spans="1:76">
      <c r="A28" s="636" t="s">
        <v>199</v>
      </c>
      <c r="B28" s="668"/>
      <c r="C28" s="659"/>
      <c r="D28" s="62"/>
      <c r="E28" s="82"/>
      <c r="F28" s="82"/>
      <c r="G28" s="439"/>
      <c r="H28" s="295"/>
      <c r="I28" s="295"/>
      <c r="J28" s="295"/>
      <c r="K28" s="295"/>
      <c r="L28" s="295"/>
      <c r="M28" s="295"/>
      <c r="N28" s="295"/>
      <c r="O28" s="295"/>
      <c r="P28" s="295"/>
      <c r="Q28" s="295"/>
      <c r="R28" s="10"/>
      <c r="S28" s="82"/>
      <c r="T28" s="605"/>
      <c r="U28" s="605"/>
      <c r="V28" s="606"/>
      <c r="W28" s="606"/>
      <c r="X28" s="607"/>
      <c r="Y28" s="17"/>
      <c r="Z28" s="606"/>
      <c r="AA28" s="82"/>
      <c r="AB28" s="605"/>
      <c r="AC28" s="605"/>
      <c r="AD28" s="606"/>
      <c r="AE28" s="606"/>
      <c r="AF28" s="607"/>
      <c r="AG28" s="17"/>
      <c r="AH28" s="606"/>
      <c r="AI28" s="82"/>
      <c r="AJ28" s="605"/>
      <c r="AK28" s="605"/>
      <c r="AL28" s="606"/>
      <c r="AM28" s="606"/>
      <c r="AN28" s="607"/>
      <c r="AO28" s="17"/>
      <c r="AP28" s="606"/>
      <c r="AQ28" s="17"/>
      <c r="AR28" s="17"/>
      <c r="AS28" s="16"/>
      <c r="AT28" s="16"/>
      <c r="AU28" s="16"/>
      <c r="AV28" s="16"/>
      <c r="AW28" s="16"/>
      <c r="AX28" s="16"/>
      <c r="AY28" s="16"/>
      <c r="AZ28" s="16"/>
      <c r="BA28" s="16"/>
      <c r="BB28" s="16"/>
      <c r="BC28" s="16"/>
      <c r="BD28" s="16"/>
      <c r="BE28" s="16"/>
      <c r="BF28" s="16"/>
      <c r="BG28" s="83"/>
      <c r="BH28" s="554"/>
      <c r="BI28" s="554"/>
      <c r="BJ28" s="554"/>
      <c r="BK28" s="3"/>
      <c r="BL28" s="3"/>
      <c r="BM28" s="3"/>
      <c r="BN28" s="3"/>
      <c r="BO28" s="3"/>
      <c r="BP28" s="3"/>
      <c r="BQ28" s="3"/>
      <c r="BR28" s="3"/>
      <c r="BS28" s="3"/>
      <c r="BT28" s="3"/>
      <c r="BU28" s="3"/>
      <c r="BV28" s="3"/>
      <c r="BW28" s="3"/>
      <c r="BX28" s="3"/>
    </row>
    <row r="29" spans="1:76">
      <c r="A29" s="650" t="str">
        <f>'DDR2 Strobes - 2x16_1R SODIMM'!$A$17</f>
        <v>SA_DQS2</v>
      </c>
      <c r="B29" s="669" t="str">
        <f>'DDR2 Strobes - 2x16_1R SODIMM'!$B$17</f>
        <v>AB24</v>
      </c>
      <c r="C29" s="660"/>
      <c r="D29" s="53"/>
      <c r="E29" s="81"/>
      <c r="F29" s="81"/>
      <c r="G29" s="685"/>
      <c r="H29" s="686"/>
      <c r="I29" s="686"/>
      <c r="J29" s="686"/>
      <c r="K29" s="686"/>
      <c r="L29" s="686"/>
      <c r="M29" s="686"/>
      <c r="N29" s="686"/>
      <c r="O29" s="686"/>
      <c r="P29" s="686"/>
      <c r="Q29" s="686"/>
      <c r="R29" s="81"/>
      <c r="S29" s="81"/>
      <c r="T29" s="58"/>
      <c r="U29" s="58" t="e">
        <f>'DDR2 Strobes - 2x16_1R SODIMM'!$U$17</f>
        <v>#REF!</v>
      </c>
      <c r="V29" s="58"/>
      <c r="W29" s="58"/>
      <c r="X29" s="58"/>
      <c r="Y29" s="608"/>
      <c r="Z29" s="58"/>
      <c r="AA29" s="81"/>
      <c r="AB29" s="58"/>
      <c r="AC29" s="58" t="e">
        <f>'DDR2 Strobes - 2x16_1R SODIMM'!$AD$17</f>
        <v>#REF!</v>
      </c>
      <c r="AD29" s="58"/>
      <c r="AE29" s="58"/>
      <c r="AF29" s="58"/>
      <c r="AG29" s="608"/>
      <c r="AH29" s="58"/>
      <c r="AI29" s="81"/>
      <c r="AJ29" s="58"/>
      <c r="AK29" s="58" t="e">
        <f>'DDR2 Strobes - 2x16_1R SODIMM'!$AL$17</f>
        <v>#REF!</v>
      </c>
      <c r="AL29" s="58"/>
      <c r="AM29" s="58"/>
      <c r="AN29" s="58"/>
      <c r="AO29" s="608"/>
      <c r="AP29" s="58"/>
      <c r="AQ29" s="608"/>
      <c r="AR29" s="608"/>
      <c r="AS29" s="608"/>
      <c r="AT29" s="608"/>
      <c r="AU29" s="608"/>
      <c r="AV29" s="608"/>
      <c r="AW29" s="608"/>
      <c r="AX29" s="608"/>
      <c r="AY29" s="608"/>
      <c r="AZ29" s="608"/>
      <c r="BA29" s="608"/>
      <c r="BB29" s="608"/>
      <c r="BC29" s="608"/>
      <c r="BD29" s="608"/>
      <c r="BE29" s="608"/>
      <c r="BF29" s="608"/>
      <c r="BG29" s="58"/>
      <c r="BH29" s="554"/>
      <c r="BI29" s="554"/>
      <c r="BJ29" s="554"/>
      <c r="BK29" s="3"/>
      <c r="BL29" s="3"/>
      <c r="BM29" s="3"/>
      <c r="BN29" s="3"/>
      <c r="BO29" s="3"/>
      <c r="BP29" s="3"/>
      <c r="BQ29" s="3"/>
      <c r="BR29" s="3"/>
      <c r="BS29" s="3"/>
      <c r="BT29" s="3"/>
      <c r="BU29" s="3"/>
      <c r="BV29" s="3"/>
      <c r="BW29" s="3"/>
      <c r="BX29" s="3"/>
    </row>
    <row r="30" spans="1:76">
      <c r="A30" s="650" t="str">
        <f>'DDR2 Strobes - 2x16_1R SODIMM'!$A$18</f>
        <v>SA_DQS2#</v>
      </c>
      <c r="B30" s="669" t="str">
        <f>'DDR2 Strobes - 2x16_1R SODIMM'!$B$18</f>
        <v>AB22</v>
      </c>
      <c r="C30" s="660"/>
      <c r="D30" s="53"/>
      <c r="E30" s="81"/>
      <c r="F30" s="81"/>
      <c r="G30" s="685"/>
      <c r="H30" s="686"/>
      <c r="I30" s="686"/>
      <c r="J30" s="686"/>
      <c r="K30" s="686"/>
      <c r="L30" s="686"/>
      <c r="M30" s="686"/>
      <c r="N30" s="686"/>
      <c r="O30" s="686"/>
      <c r="P30" s="686"/>
      <c r="Q30" s="686"/>
      <c r="R30" s="81"/>
      <c r="S30" s="81"/>
      <c r="T30" s="603"/>
      <c r="U30" s="58" t="e">
        <f>'DDR2 Strobes - 2x16_1R SODIMM'!$U$18</f>
        <v>#REF!</v>
      </c>
      <c r="V30" s="58"/>
      <c r="W30" s="58"/>
      <c r="X30" s="58"/>
      <c r="Y30" s="608"/>
      <c r="Z30" s="58"/>
      <c r="AA30" s="602"/>
      <c r="AB30" s="603"/>
      <c r="AC30" s="58" t="e">
        <f>'DDR2 Strobes - 2x16_1R SODIMM'!$AD$18</f>
        <v>#REF!</v>
      </c>
      <c r="AD30" s="58"/>
      <c r="AE30" s="58"/>
      <c r="AF30" s="58"/>
      <c r="AG30" s="608"/>
      <c r="AH30" s="58"/>
      <c r="AI30" s="602"/>
      <c r="AJ30" s="603"/>
      <c r="AK30" s="58" t="e">
        <f>'DDR2 Strobes - 2x16_1R SODIMM'!$AL$18</f>
        <v>#REF!</v>
      </c>
      <c r="AL30" s="58"/>
      <c r="AM30" s="58"/>
      <c r="AN30" s="58"/>
      <c r="AO30" s="608"/>
      <c r="AP30" s="58"/>
      <c r="AQ30" s="608"/>
      <c r="AR30" s="608"/>
      <c r="AS30" s="609"/>
      <c r="AT30" s="609"/>
      <c r="AU30" s="609"/>
      <c r="AV30" s="609"/>
      <c r="AW30" s="609"/>
      <c r="AX30" s="609"/>
      <c r="AY30" s="609"/>
      <c r="AZ30" s="609"/>
      <c r="BA30" s="609"/>
      <c r="BB30" s="609"/>
      <c r="BC30" s="609"/>
      <c r="BD30" s="609"/>
      <c r="BE30" s="609"/>
      <c r="BF30" s="609"/>
      <c r="BG30" s="58"/>
      <c r="BH30" s="554"/>
      <c r="BI30" s="554"/>
      <c r="BJ30" s="554"/>
      <c r="BK30" s="3"/>
      <c r="BL30" s="3"/>
      <c r="BM30" s="3"/>
      <c r="BN30" s="3"/>
      <c r="BO30" s="3"/>
      <c r="BP30" s="3"/>
      <c r="BQ30" s="3"/>
      <c r="BR30" s="3"/>
      <c r="BS30" s="3"/>
      <c r="BT30" s="3"/>
      <c r="BU30" s="3"/>
      <c r="BV30" s="3"/>
      <c r="BW30" s="3"/>
      <c r="BX30" s="3"/>
    </row>
    <row r="31" spans="1:76">
      <c r="A31" s="633" t="s">
        <v>138</v>
      </c>
      <c r="B31" s="665" t="s">
        <v>480</v>
      </c>
      <c r="C31" s="658">
        <v>532.63779527559052</v>
      </c>
      <c r="D31" s="18"/>
      <c r="E31" s="621">
        <v>22.63</v>
      </c>
      <c r="F31" s="621">
        <v>0</v>
      </c>
      <c r="G31" s="622">
        <v>1615.28</v>
      </c>
      <c r="H31" s="622">
        <v>0</v>
      </c>
      <c r="I31" s="622">
        <v>779.42</v>
      </c>
      <c r="J31" s="622">
        <v>85.78</v>
      </c>
      <c r="K31" s="277">
        <v>40</v>
      </c>
      <c r="L31" s="622">
        <v>43.4</v>
      </c>
      <c r="M31" s="622">
        <v>1122.3699999999999</v>
      </c>
      <c r="N31" s="620">
        <v>0</v>
      </c>
      <c r="O31" s="620">
        <v>0</v>
      </c>
      <c r="P31" s="622">
        <v>108.87</v>
      </c>
      <c r="Q31" s="622">
        <v>108.88</v>
      </c>
      <c r="R31" s="69"/>
      <c r="S31" s="489">
        <f t="shared" ref="S31:S39" si="58" xml:space="preserve"> E31+F31+G31+H31</f>
        <v>1637.91</v>
      </c>
      <c r="T31" s="489" t="e">
        <f t="shared" ref="T31:T39" si="59">S31+IF($B$2="mil",1,0.0254)*C31</f>
        <v>#REF!</v>
      </c>
      <c r="U31" s="489" t="e">
        <f>MAX(U$29:U$30)+IF($B$2="mil",1,0.0254)*DDR2Specs!$B$3</f>
        <v>#REF!</v>
      </c>
      <c r="V31" s="489" t="e">
        <f>MIN(U$29:U$30)+IF($B$2="mil",1,0.0254)*DDR2Specs!$C$3</f>
        <v>#REF!</v>
      </c>
      <c r="W31" s="21"/>
      <c r="X31" s="598" t="e">
        <f t="shared" ref="X31:X39" si="60">IF($T31&lt;$U31,$U31-$T31,"Pass")</f>
        <v>#REF!</v>
      </c>
      <c r="Y31" s="495" t="e">
        <f t="shared" ref="Y31:Y39" si="61">IF($T31&gt;$V31,$T31-$V31,"Pass")</f>
        <v>#REF!</v>
      </c>
      <c r="Z31" s="21"/>
      <c r="AA31" s="489">
        <f t="shared" ref="AA31:AA39" si="62">SUM(E31:G31,I31:N31,P31)</f>
        <v>3817.75</v>
      </c>
      <c r="AB31" s="489" t="e">
        <f t="shared" ref="AB31:AB39" si="63">AA31+IF($B$2="mil",1,0.0254)*$C31</f>
        <v>#REF!</v>
      </c>
      <c r="AC31" s="489" t="e">
        <f>MAX(AC$29:AC$30)+IF($B$2="mil",1,0.0254)*DDR2Specs!$E$3</f>
        <v>#REF!</v>
      </c>
      <c r="AD31" s="489" t="e">
        <f>MIN(AC$29:AC$30)+IF($B$2="mil",1,0.0254)*DDR2Specs!$F$3</f>
        <v>#REF!</v>
      </c>
      <c r="AE31" s="21"/>
      <c r="AF31" s="598" t="e">
        <f t="shared" ref="AF31:AF39" si="64">IF($AB31&lt;$AC31,$AC31-$AB31,"Pass")</f>
        <v>#REF!</v>
      </c>
      <c r="AG31" s="495" t="e">
        <f t="shared" ref="AG31:AG39" si="65">IF($AB31&gt;$AD31,$AB31-$AD31,"Pass")</f>
        <v>#REF!</v>
      </c>
      <c r="AH31" s="21"/>
      <c r="AI31" s="489">
        <f t="shared" ref="AI31:AI39" si="66">SUM(E31:G31,I31:M31,O31,Q31)</f>
        <v>3817.76</v>
      </c>
      <c r="AJ31" s="489" t="e">
        <f t="shared" ref="AJ31:AJ39" si="67">AI31+IF($B$2="mil",1,0.0254)*$C31</f>
        <v>#REF!</v>
      </c>
      <c r="AK31" s="489" t="e">
        <f>MAX(AK$29:AK$30)+IF($B$2="mil",1,0.0254)*DDR2Specs!$E$3</f>
        <v>#REF!</v>
      </c>
      <c r="AL31" s="489" t="e">
        <f>MIN(AK$29:AK$30)+IF($B$2="mil",1,0.0254)*DDR2Specs!$F$3</f>
        <v>#REF!</v>
      </c>
      <c r="AM31" s="21"/>
      <c r="AN31" s="598" t="e">
        <f t="shared" ref="AN31:AN39" si="68">IF($AJ31&lt;$AK31,$AK31-$AJ31,"Pass")</f>
        <v>#REF!</v>
      </c>
      <c r="AO31" s="495" t="e">
        <f t="shared" ref="AO31:AO39" si="69">IF($AJ31&gt;$AL31,$AJ31-$AL31,"Pass")</f>
        <v>#REF!</v>
      </c>
      <c r="AP31" s="21"/>
      <c r="AQ31" s="495" t="e">
        <f t="shared" ref="AQ31:AQ39" si="70">IF($E31&lt;=IF($B$2="mil",1,0.0254)*50,"Pass",IF($B$2="mil",1,0.0254)*50-$E31)</f>
        <v>#REF!</v>
      </c>
      <c r="AR31" s="495" t="e">
        <f t="shared" ref="AR31:AR39" si="71">IF($F31&lt;=IF($B$2="mil",1,0.0254)*500,"Pass",IF($B$2="mil",1,0.0254)*500-$F31)</f>
        <v>#REF!</v>
      </c>
      <c r="AS31" s="495" t="e">
        <f t="shared" ref="AS31:AS39" si="72">IF($H31&lt;=IF($B$2="mil",1,0.0254)*250,"Pass",IF($B$2="mil",1,0.0254)*250-$H31)</f>
        <v>#REF!</v>
      </c>
      <c r="AT31" s="495" t="e">
        <f t="shared" ref="AT31:AT39" ca="1" si="73">CheckLength(IF($B$2="mil",1,0.0254)*750, IF($B$2="mil",1,0.0254)*125-J31, 0, I31,J31,0)</f>
        <v>#NAME?</v>
      </c>
      <c r="AU31" s="495" t="e">
        <f t="shared" ref="AU31:AU39" si="74">IF($J31&lt;=IF($B$2="mil",1,0.0254)*125,"Pass",IF($B$2="mil",1,0.0254)*125-$J31)</f>
        <v>#REF!</v>
      </c>
      <c r="AV31" s="495" t="e">
        <f t="shared" ref="AV31:AV39" si="75">IF($L31&lt;=IF($B$2="mil",1,0.0254)*125,"Pass",IF($B$2="mil",1,0.0254)*125-$L31)</f>
        <v>#REF!</v>
      </c>
      <c r="AW31" s="495" t="e">
        <f t="shared" ref="AW31:AW39" si="76">IF(($L31+$M31)&lt;=IF($B$2="mil",1,0.0254)*1275,"Pass",IF($B$2="mil",1,0.0254)*1275-($L31+H31))</f>
        <v>#REF!</v>
      </c>
      <c r="AX31" s="495" t="e">
        <f t="shared" ref="AX31:AX39" si="77">IF($N31&lt;=IF($B$2="mil",1,0.0254)*150,"Pass",IF($B$2="mil",1,0.0254)*150-$N31)</f>
        <v>#REF!</v>
      </c>
      <c r="AY31" s="495" t="e">
        <f t="shared" ref="AY31:AY39" si="78">IF($O31&lt;=IF($B$2="mil",1,0.0254)*150,"Pass",IF($B$2="mil",1,0.0254)*150-$O31)</f>
        <v>#REF!</v>
      </c>
      <c r="AZ31" s="493" t="e">
        <f t="shared" ref="AZ31:AZ39" si="79">IF(MAX(N31:O31)-MIN(N31:O31)&lt;=IF($B$2="mil",1,0.0254)*50,"Pass",MAX(N31:O31)-MIN(N31:O31)-IF($B$2="mil",1,0.0254)*50)</f>
        <v>#REF!</v>
      </c>
      <c r="BA31" s="495" t="e">
        <f t="shared" ref="BA31:BA39" ca="1" si="80">CheckLength2(IF($B$2="mil",1,0.0254)*200,$P31,N31,0)</f>
        <v>#NAME?</v>
      </c>
      <c r="BB31" s="495" t="e">
        <f t="shared" ref="BB31:BB39" ca="1" si="81">CheckLength2(IF($B$2="mil",1,0.0254)*200,$Q31,O31,0)</f>
        <v>#NAME?</v>
      </c>
      <c r="BC31" s="495" t="e">
        <f t="shared" ref="BC31:BC39" si="82">IF(AND($S31&gt;=IF($B$2="mil",1,0.0254)*500, $S31&lt;=IF($B$2="mil",1,0.0254)*4000),"Pass",IF($B$2="mil",1,0.0254)*4000-$S31)</f>
        <v>#REF!</v>
      </c>
      <c r="BD31" s="495" t="e">
        <f t="shared" ref="BD31:BD39" si="83">IF(AND($T31&gt;=IF($B$2="mil",1,0.0254)*500, $T31&lt;=IF($B$2="mil",1,0.0254)*4500),"Pass",IF($B$2="mil",1,0.0254)*4500-$T31)</f>
        <v>#REF!</v>
      </c>
      <c r="BE31" s="495" t="e">
        <f t="shared" ref="BE31:BE39" si="84">IF(AND($AA31&gt;=IF($B$2="mil",1,0.0254)*500, $AA31&lt;=IF($B$2="mil",1,0.0254)*5500),"Pass",IF($B$2="mil",1,0.0254)*5500-$AA31)</f>
        <v>#REF!</v>
      </c>
      <c r="BF31" s="495" t="e">
        <f t="shared" ref="BF31:BF39" si="85">IF(AND($AB31&gt;=IF($B$2="mil",1,0.0254)*500, $AB31&lt;=IF($B$2="mil",1,0.0254)*6000),"Pass",IF($B$2="mil",1,0.0254)*6000-$AB31)</f>
        <v>#REF!</v>
      </c>
      <c r="BG31" s="21"/>
      <c r="BH31" s="554" t="e">
        <f t="shared" ref="BH31:BH39" ca="1" si="86">IF(AND(AN31="Pass",AO31="Pass",AQ31="Pass",BD31="Pass",AS31="Pass",AR31="Pass",BC31="Pass",X31="Pass",Y31="Pass",BB31="Pass",AW31="Pass",AX31="Pass",AY31="Pass",AZ31="Pass",BA31="Pass",AV31="Pass",AU31="Pass",AT31="Pass",AF31="Pass",AG31="Pass",BE31="Pass",BF31="Pass"),"Pass","Fail")</f>
        <v>#REF!</v>
      </c>
      <c r="BI31" s="554" t="e">
        <f ca="1">IF(AND(BH31="Pass",BH32="Pass",BH33="Pass",BH34="Pass",BH35="Pass",BH36="Pass",BH37="Pass",BH38="Pass",BH39="Pass"),"Pass","Fail")</f>
        <v>#REF!</v>
      </c>
      <c r="BJ31" s="554"/>
      <c r="BK31" s="3"/>
      <c r="BL31" s="3"/>
      <c r="BM31" s="3"/>
      <c r="BN31" s="3"/>
      <c r="BO31" s="3"/>
      <c r="BP31" s="3"/>
      <c r="BQ31" s="3"/>
      <c r="BR31" s="3"/>
      <c r="BS31" s="3"/>
      <c r="BT31" s="3"/>
      <c r="BU31" s="3"/>
      <c r="BV31" s="3"/>
      <c r="BW31" s="3"/>
      <c r="BX31" s="3"/>
    </row>
    <row r="32" spans="1:76">
      <c r="A32" s="633" t="s">
        <v>139</v>
      </c>
      <c r="B32" s="665" t="s">
        <v>481</v>
      </c>
      <c r="C32" s="658">
        <v>514.9212598425197</v>
      </c>
      <c r="D32" s="18"/>
      <c r="E32" s="621">
        <v>22.63</v>
      </c>
      <c r="F32" s="621">
        <v>0</v>
      </c>
      <c r="G32" s="622">
        <v>1634</v>
      </c>
      <c r="H32" s="622">
        <v>0</v>
      </c>
      <c r="I32" s="622">
        <v>778.75</v>
      </c>
      <c r="J32" s="622">
        <v>85.78</v>
      </c>
      <c r="K32" s="277">
        <v>40</v>
      </c>
      <c r="L32" s="622">
        <v>44.57</v>
      </c>
      <c r="M32" s="622">
        <v>1205.76</v>
      </c>
      <c r="N32" s="620">
        <v>0</v>
      </c>
      <c r="O32" s="620">
        <v>0</v>
      </c>
      <c r="P32" s="622">
        <v>22.26</v>
      </c>
      <c r="Q32" s="622">
        <v>22.23</v>
      </c>
      <c r="R32" s="69"/>
      <c r="S32" s="489">
        <f t="shared" si="58"/>
        <v>1656.63</v>
      </c>
      <c r="T32" s="489" t="e">
        <f t="shared" si="59"/>
        <v>#REF!</v>
      </c>
      <c r="U32" s="489" t="e">
        <f>MAX(U$29:U$30)+IF($B$2="mil",1,0.0254)*DDR2Specs!$B$3</f>
        <v>#REF!</v>
      </c>
      <c r="V32" s="489" t="e">
        <f>MIN(U$29:U$30)+IF($B$2="mil",1,0.0254)*DDR2Specs!$C$3</f>
        <v>#REF!</v>
      </c>
      <c r="W32" s="21"/>
      <c r="X32" s="598" t="e">
        <f t="shared" si="60"/>
        <v>#REF!</v>
      </c>
      <c r="Y32" s="495" t="e">
        <f t="shared" si="61"/>
        <v>#REF!</v>
      </c>
      <c r="Z32" s="21"/>
      <c r="AA32" s="489">
        <f t="shared" si="62"/>
        <v>3833.7500000000009</v>
      </c>
      <c r="AB32" s="489" t="e">
        <f t="shared" si="63"/>
        <v>#REF!</v>
      </c>
      <c r="AC32" s="489" t="e">
        <f>MAX(AC$29:AC$30)+IF($B$2="mil",1,0.0254)*DDR2Specs!$E$3</f>
        <v>#REF!</v>
      </c>
      <c r="AD32" s="489" t="e">
        <f>MIN(AC$29:AC$30)+IF($B$2="mil",1,0.0254)*DDR2Specs!$F$3</f>
        <v>#REF!</v>
      </c>
      <c r="AE32" s="21"/>
      <c r="AF32" s="598" t="e">
        <f t="shared" si="64"/>
        <v>#REF!</v>
      </c>
      <c r="AG32" s="495" t="e">
        <f t="shared" si="65"/>
        <v>#REF!</v>
      </c>
      <c r="AH32" s="21"/>
      <c r="AI32" s="489">
        <f t="shared" si="66"/>
        <v>3833.7200000000007</v>
      </c>
      <c r="AJ32" s="489" t="e">
        <f t="shared" si="67"/>
        <v>#REF!</v>
      </c>
      <c r="AK32" s="489" t="e">
        <f>MAX(AK$29:AK$30)+IF($B$2="mil",1,0.0254)*DDR2Specs!$E$3</f>
        <v>#REF!</v>
      </c>
      <c r="AL32" s="489" t="e">
        <f>MIN(AK$29:AK$30)+IF($B$2="mil",1,0.0254)*DDR2Specs!$F$3</f>
        <v>#REF!</v>
      </c>
      <c r="AM32" s="21"/>
      <c r="AN32" s="598" t="e">
        <f t="shared" si="68"/>
        <v>#REF!</v>
      </c>
      <c r="AO32" s="495" t="e">
        <f t="shared" si="69"/>
        <v>#REF!</v>
      </c>
      <c r="AP32" s="21"/>
      <c r="AQ32" s="495" t="e">
        <f t="shared" si="70"/>
        <v>#REF!</v>
      </c>
      <c r="AR32" s="495" t="e">
        <f t="shared" si="71"/>
        <v>#REF!</v>
      </c>
      <c r="AS32" s="495" t="e">
        <f t="shared" si="72"/>
        <v>#REF!</v>
      </c>
      <c r="AT32" s="495" t="e">
        <f t="shared" ca="1" si="73"/>
        <v>#NAME?</v>
      </c>
      <c r="AU32" s="495" t="e">
        <f t="shared" si="74"/>
        <v>#REF!</v>
      </c>
      <c r="AV32" s="495" t="e">
        <f t="shared" si="75"/>
        <v>#REF!</v>
      </c>
      <c r="AW32" s="495" t="e">
        <f t="shared" si="76"/>
        <v>#REF!</v>
      </c>
      <c r="AX32" s="495" t="e">
        <f t="shared" si="77"/>
        <v>#REF!</v>
      </c>
      <c r="AY32" s="495" t="e">
        <f t="shared" si="78"/>
        <v>#REF!</v>
      </c>
      <c r="AZ32" s="493" t="e">
        <f t="shared" si="79"/>
        <v>#REF!</v>
      </c>
      <c r="BA32" s="495" t="e">
        <f t="shared" ca="1" si="80"/>
        <v>#NAME?</v>
      </c>
      <c r="BB32" s="495" t="e">
        <f t="shared" ca="1" si="81"/>
        <v>#NAME?</v>
      </c>
      <c r="BC32" s="495" t="e">
        <f t="shared" si="82"/>
        <v>#REF!</v>
      </c>
      <c r="BD32" s="495" t="e">
        <f t="shared" si="83"/>
        <v>#REF!</v>
      </c>
      <c r="BE32" s="495" t="e">
        <f t="shared" si="84"/>
        <v>#REF!</v>
      </c>
      <c r="BF32" s="495" t="e">
        <f t="shared" si="85"/>
        <v>#REF!</v>
      </c>
      <c r="BG32" s="21"/>
      <c r="BH32" s="554" t="e">
        <f t="shared" ca="1" si="86"/>
        <v>#REF!</v>
      </c>
      <c r="BI32" s="554"/>
      <c r="BJ32" s="554"/>
      <c r="BK32" s="3"/>
      <c r="BL32" s="3"/>
      <c r="BM32" s="3"/>
      <c r="BN32" s="3"/>
      <c r="BO32" s="3"/>
      <c r="BP32" s="3"/>
      <c r="BQ32" s="3"/>
      <c r="BR32" s="3"/>
      <c r="BS32" s="3"/>
      <c r="BT32" s="3"/>
      <c r="BU32" s="3"/>
      <c r="BV32" s="3"/>
      <c r="BW32" s="3"/>
      <c r="BX32" s="3"/>
    </row>
    <row r="33" spans="1:76">
      <c r="A33" s="633" t="s">
        <v>140</v>
      </c>
      <c r="B33" s="665" t="s">
        <v>482</v>
      </c>
      <c r="C33" s="658">
        <v>468.18897637795277</v>
      </c>
      <c r="D33" s="18"/>
      <c r="E33" s="621">
        <v>22.63</v>
      </c>
      <c r="F33" s="621">
        <v>0</v>
      </c>
      <c r="G33" s="622">
        <v>1623.5</v>
      </c>
      <c r="H33" s="622">
        <v>50</v>
      </c>
      <c r="I33" s="622">
        <v>845</v>
      </c>
      <c r="J33" s="622">
        <v>29.57</v>
      </c>
      <c r="K33" s="277">
        <v>40</v>
      </c>
      <c r="L33" s="622">
        <v>85.78</v>
      </c>
      <c r="M33" s="622">
        <v>1188.58</v>
      </c>
      <c r="N33" s="620">
        <v>0</v>
      </c>
      <c r="O33" s="620">
        <v>0</v>
      </c>
      <c r="P33" s="622">
        <v>40.630000000000003</v>
      </c>
      <c r="Q33" s="622">
        <v>36.81</v>
      </c>
      <c r="R33" s="69"/>
      <c r="S33" s="489">
        <f t="shared" si="58"/>
        <v>1696.13</v>
      </c>
      <c r="T33" s="489" t="e">
        <f t="shared" si="59"/>
        <v>#REF!</v>
      </c>
      <c r="U33" s="489" t="e">
        <f>MAX(U$29:U$30)+IF($B$2="mil",1,0.0254)*DDR2Specs!$B$3</f>
        <v>#REF!</v>
      </c>
      <c r="V33" s="489" t="e">
        <f>MIN(U$29:U$30)+IF($B$2="mil",1,0.0254)*DDR2Specs!$C$3</f>
        <v>#REF!</v>
      </c>
      <c r="W33" s="21"/>
      <c r="X33" s="598" t="e">
        <f t="shared" si="60"/>
        <v>#REF!</v>
      </c>
      <c r="Y33" s="495" t="e">
        <f t="shared" si="61"/>
        <v>#REF!</v>
      </c>
      <c r="Z33" s="21"/>
      <c r="AA33" s="489">
        <f t="shared" si="62"/>
        <v>3875.6900000000005</v>
      </c>
      <c r="AB33" s="489" t="e">
        <f t="shared" si="63"/>
        <v>#REF!</v>
      </c>
      <c r="AC33" s="489" t="e">
        <f>MAX(AC$29:AC$30)+IF($B$2="mil",1,0.0254)*DDR2Specs!$E$3</f>
        <v>#REF!</v>
      </c>
      <c r="AD33" s="489" t="e">
        <f>MIN(AC$29:AC$30)+IF($B$2="mil",1,0.0254)*DDR2Specs!$F$3</f>
        <v>#REF!</v>
      </c>
      <c r="AE33" s="21"/>
      <c r="AF33" s="598" t="e">
        <f t="shared" si="64"/>
        <v>#REF!</v>
      </c>
      <c r="AG33" s="495" t="e">
        <f t="shared" si="65"/>
        <v>#REF!</v>
      </c>
      <c r="AH33" s="21"/>
      <c r="AI33" s="489">
        <f t="shared" si="66"/>
        <v>3871.8700000000003</v>
      </c>
      <c r="AJ33" s="489" t="e">
        <f t="shared" si="67"/>
        <v>#REF!</v>
      </c>
      <c r="AK33" s="489" t="e">
        <f>MAX(AK$29:AK$30)+IF($B$2="mil",1,0.0254)*DDR2Specs!$E$3</f>
        <v>#REF!</v>
      </c>
      <c r="AL33" s="489" t="e">
        <f>MIN(AK$29:AK$30)+IF($B$2="mil",1,0.0254)*DDR2Specs!$F$3</f>
        <v>#REF!</v>
      </c>
      <c r="AM33" s="21"/>
      <c r="AN33" s="598" t="e">
        <f t="shared" si="68"/>
        <v>#REF!</v>
      </c>
      <c r="AO33" s="495" t="e">
        <f t="shared" si="69"/>
        <v>#REF!</v>
      </c>
      <c r="AP33" s="21"/>
      <c r="AQ33" s="495" t="e">
        <f t="shared" si="70"/>
        <v>#REF!</v>
      </c>
      <c r="AR33" s="495" t="e">
        <f t="shared" si="71"/>
        <v>#REF!</v>
      </c>
      <c r="AS33" s="495" t="e">
        <f t="shared" si="72"/>
        <v>#REF!</v>
      </c>
      <c r="AT33" s="495" t="e">
        <f t="shared" ca="1" si="73"/>
        <v>#NAME?</v>
      </c>
      <c r="AU33" s="495" t="e">
        <f t="shared" si="74"/>
        <v>#REF!</v>
      </c>
      <c r="AV33" s="495" t="e">
        <f t="shared" si="75"/>
        <v>#REF!</v>
      </c>
      <c r="AW33" s="495" t="e">
        <f t="shared" si="76"/>
        <v>#REF!</v>
      </c>
      <c r="AX33" s="495" t="e">
        <f t="shared" si="77"/>
        <v>#REF!</v>
      </c>
      <c r="AY33" s="495" t="e">
        <f t="shared" si="78"/>
        <v>#REF!</v>
      </c>
      <c r="AZ33" s="493" t="e">
        <f t="shared" si="79"/>
        <v>#REF!</v>
      </c>
      <c r="BA33" s="495" t="e">
        <f t="shared" ca="1" si="80"/>
        <v>#NAME?</v>
      </c>
      <c r="BB33" s="495" t="e">
        <f t="shared" ca="1" si="81"/>
        <v>#NAME?</v>
      </c>
      <c r="BC33" s="495" t="e">
        <f t="shared" si="82"/>
        <v>#REF!</v>
      </c>
      <c r="BD33" s="495" t="e">
        <f t="shared" si="83"/>
        <v>#REF!</v>
      </c>
      <c r="BE33" s="495" t="e">
        <f t="shared" si="84"/>
        <v>#REF!</v>
      </c>
      <c r="BF33" s="495" t="e">
        <f t="shared" si="85"/>
        <v>#REF!</v>
      </c>
      <c r="BG33" s="21"/>
      <c r="BH33" s="554" t="e">
        <f t="shared" ca="1" si="86"/>
        <v>#REF!</v>
      </c>
      <c r="BI33" s="554"/>
      <c r="BJ33" s="554"/>
      <c r="BK33" s="3"/>
      <c r="BL33" s="3"/>
      <c r="BM33" s="3"/>
      <c r="BN33" s="3"/>
      <c r="BO33" s="3"/>
      <c r="BP33" s="3"/>
      <c r="BQ33" s="3"/>
      <c r="BR33" s="3"/>
      <c r="BS33" s="3"/>
      <c r="BT33" s="3"/>
      <c r="BU33" s="3"/>
      <c r="BV33" s="3"/>
      <c r="BW33" s="3"/>
      <c r="BX33" s="3"/>
    </row>
    <row r="34" spans="1:76">
      <c r="A34" s="633" t="s">
        <v>141</v>
      </c>
      <c r="B34" s="665" t="s">
        <v>483</v>
      </c>
      <c r="C34" s="658">
        <v>494.40944881889766</v>
      </c>
      <c r="D34" s="18"/>
      <c r="E34" s="621">
        <v>22.63</v>
      </c>
      <c r="F34" s="621">
        <v>0</v>
      </c>
      <c r="G34" s="622">
        <v>1655.37</v>
      </c>
      <c r="H34" s="622">
        <v>0</v>
      </c>
      <c r="I34" s="622">
        <v>770.06</v>
      </c>
      <c r="J34" s="622">
        <v>85.78</v>
      </c>
      <c r="K34" s="277">
        <v>40</v>
      </c>
      <c r="L34" s="622">
        <v>44.57</v>
      </c>
      <c r="M34" s="622">
        <v>1215.22</v>
      </c>
      <c r="N34" s="620">
        <v>0</v>
      </c>
      <c r="O34" s="620">
        <v>0</v>
      </c>
      <c r="P34" s="622">
        <v>22.25</v>
      </c>
      <c r="Q34" s="622">
        <v>22.28</v>
      </c>
      <c r="R34" s="69"/>
      <c r="S34" s="489">
        <f t="shared" si="58"/>
        <v>1678</v>
      </c>
      <c r="T34" s="489" t="e">
        <f t="shared" si="59"/>
        <v>#REF!</v>
      </c>
      <c r="U34" s="489" t="e">
        <f>MAX(U$29:U$30)+IF($B$2="mil",1,0.0254)*DDR2Specs!$B$3</f>
        <v>#REF!</v>
      </c>
      <c r="V34" s="489" t="e">
        <f>MIN(U$29:U$30)+IF($B$2="mil",1,0.0254)*DDR2Specs!$C$3</f>
        <v>#REF!</v>
      </c>
      <c r="W34" s="21"/>
      <c r="X34" s="598" t="e">
        <f t="shared" si="60"/>
        <v>#REF!</v>
      </c>
      <c r="Y34" s="495" t="e">
        <f t="shared" si="61"/>
        <v>#REF!</v>
      </c>
      <c r="Z34" s="21"/>
      <c r="AA34" s="489">
        <f t="shared" si="62"/>
        <v>3855.88</v>
      </c>
      <c r="AB34" s="489" t="e">
        <f t="shared" si="63"/>
        <v>#REF!</v>
      </c>
      <c r="AC34" s="489" t="e">
        <f>MAX(AC$29:AC$30)+IF($B$2="mil",1,0.0254)*DDR2Specs!$E$3</f>
        <v>#REF!</v>
      </c>
      <c r="AD34" s="489" t="e">
        <f>MIN(AC$29:AC$30)+IF($B$2="mil",1,0.0254)*DDR2Specs!$F$3</f>
        <v>#REF!</v>
      </c>
      <c r="AE34" s="21"/>
      <c r="AF34" s="598" t="e">
        <f t="shared" si="64"/>
        <v>#REF!</v>
      </c>
      <c r="AG34" s="495" t="e">
        <f t="shared" si="65"/>
        <v>#REF!</v>
      </c>
      <c r="AH34" s="21"/>
      <c r="AI34" s="489">
        <f t="shared" si="66"/>
        <v>3855.9100000000003</v>
      </c>
      <c r="AJ34" s="489" t="e">
        <f t="shared" si="67"/>
        <v>#REF!</v>
      </c>
      <c r="AK34" s="489" t="e">
        <f>MAX(AK$29:AK$30)+IF($B$2="mil",1,0.0254)*DDR2Specs!$E$3</f>
        <v>#REF!</v>
      </c>
      <c r="AL34" s="489" t="e">
        <f>MIN(AK$29:AK$30)+IF($B$2="mil",1,0.0254)*DDR2Specs!$F$3</f>
        <v>#REF!</v>
      </c>
      <c r="AM34" s="21"/>
      <c r="AN34" s="598" t="e">
        <f t="shared" si="68"/>
        <v>#REF!</v>
      </c>
      <c r="AO34" s="495" t="e">
        <f t="shared" si="69"/>
        <v>#REF!</v>
      </c>
      <c r="AP34" s="21"/>
      <c r="AQ34" s="495" t="e">
        <f t="shared" si="70"/>
        <v>#REF!</v>
      </c>
      <c r="AR34" s="495" t="e">
        <f t="shared" si="71"/>
        <v>#REF!</v>
      </c>
      <c r="AS34" s="495" t="e">
        <f t="shared" si="72"/>
        <v>#REF!</v>
      </c>
      <c r="AT34" s="495" t="e">
        <f t="shared" ca="1" si="73"/>
        <v>#NAME?</v>
      </c>
      <c r="AU34" s="495" t="e">
        <f t="shared" si="74"/>
        <v>#REF!</v>
      </c>
      <c r="AV34" s="495" t="e">
        <f t="shared" si="75"/>
        <v>#REF!</v>
      </c>
      <c r="AW34" s="495" t="e">
        <f t="shared" si="76"/>
        <v>#REF!</v>
      </c>
      <c r="AX34" s="495" t="e">
        <f t="shared" si="77"/>
        <v>#REF!</v>
      </c>
      <c r="AY34" s="495" t="e">
        <f t="shared" si="78"/>
        <v>#REF!</v>
      </c>
      <c r="AZ34" s="493" t="e">
        <f t="shared" si="79"/>
        <v>#REF!</v>
      </c>
      <c r="BA34" s="495" t="e">
        <f t="shared" ca="1" si="80"/>
        <v>#NAME?</v>
      </c>
      <c r="BB34" s="495" t="e">
        <f t="shared" ca="1" si="81"/>
        <v>#NAME?</v>
      </c>
      <c r="BC34" s="495" t="e">
        <f t="shared" si="82"/>
        <v>#REF!</v>
      </c>
      <c r="BD34" s="495" t="e">
        <f t="shared" si="83"/>
        <v>#REF!</v>
      </c>
      <c r="BE34" s="495" t="e">
        <f t="shared" si="84"/>
        <v>#REF!</v>
      </c>
      <c r="BF34" s="495" t="e">
        <f t="shared" si="85"/>
        <v>#REF!</v>
      </c>
      <c r="BG34" s="21"/>
      <c r="BH34" s="554" t="e">
        <f t="shared" ca="1" si="86"/>
        <v>#REF!</v>
      </c>
      <c r="BI34" s="554"/>
      <c r="BJ34" s="554"/>
      <c r="BK34" s="3"/>
      <c r="BL34" s="3"/>
      <c r="BM34" s="3"/>
      <c r="BN34" s="3"/>
      <c r="BO34" s="3"/>
      <c r="BP34" s="3"/>
      <c r="BQ34" s="3"/>
      <c r="BR34" s="3"/>
      <c r="BS34" s="3"/>
      <c r="BT34" s="3"/>
      <c r="BU34" s="3"/>
      <c r="BV34" s="3"/>
      <c r="BW34" s="3"/>
      <c r="BX34" s="3"/>
    </row>
    <row r="35" spans="1:76">
      <c r="A35" s="633" t="s">
        <v>142</v>
      </c>
      <c r="B35" s="665" t="s">
        <v>484</v>
      </c>
      <c r="C35" s="658">
        <v>570.90551181102364</v>
      </c>
      <c r="D35" s="18"/>
      <c r="E35" s="621">
        <v>22.63</v>
      </c>
      <c r="F35" s="621">
        <v>0</v>
      </c>
      <c r="G35" s="622">
        <v>1507.64</v>
      </c>
      <c r="H35" s="622">
        <v>60</v>
      </c>
      <c r="I35" s="622">
        <v>780.58</v>
      </c>
      <c r="J35" s="622">
        <v>92</v>
      </c>
      <c r="K35" s="277">
        <v>40</v>
      </c>
      <c r="L35" s="622">
        <v>44.71</v>
      </c>
      <c r="M35" s="622">
        <v>1229.5899999999999</v>
      </c>
      <c r="N35" s="620">
        <v>0</v>
      </c>
      <c r="O35" s="620">
        <v>0</v>
      </c>
      <c r="P35" s="622">
        <v>65.11</v>
      </c>
      <c r="Q35" s="622">
        <v>65.14</v>
      </c>
      <c r="R35" s="69"/>
      <c r="S35" s="489">
        <f t="shared" si="58"/>
        <v>1590.2700000000002</v>
      </c>
      <c r="T35" s="489" t="e">
        <f t="shared" si="59"/>
        <v>#REF!</v>
      </c>
      <c r="U35" s="489" t="e">
        <f>MAX(U$29:U$30)+IF($B$2="mil",1,0.0254)*DDR2Specs!$B$3</f>
        <v>#REF!</v>
      </c>
      <c r="V35" s="489" t="e">
        <f>MIN(U$29:U$30)+IF($B$2="mil",1,0.0254)*DDR2Specs!$C$3</f>
        <v>#REF!</v>
      </c>
      <c r="W35" s="21"/>
      <c r="X35" s="598" t="e">
        <f t="shared" si="60"/>
        <v>#REF!</v>
      </c>
      <c r="Y35" s="495" t="e">
        <f t="shared" si="61"/>
        <v>#REF!</v>
      </c>
      <c r="Z35" s="21"/>
      <c r="AA35" s="489">
        <f t="shared" si="62"/>
        <v>3782.2600000000007</v>
      </c>
      <c r="AB35" s="489" t="e">
        <f t="shared" si="63"/>
        <v>#REF!</v>
      </c>
      <c r="AC35" s="489" t="e">
        <f>MAX(AC$29:AC$30)+IF($B$2="mil",1,0.0254)*DDR2Specs!$E$3</f>
        <v>#REF!</v>
      </c>
      <c r="AD35" s="489" t="e">
        <f>MIN(AC$29:AC$30)+IF($B$2="mil",1,0.0254)*DDR2Specs!$F$3</f>
        <v>#REF!</v>
      </c>
      <c r="AE35" s="21"/>
      <c r="AF35" s="598" t="e">
        <f t="shared" si="64"/>
        <v>#REF!</v>
      </c>
      <c r="AG35" s="495" t="e">
        <f t="shared" si="65"/>
        <v>#REF!</v>
      </c>
      <c r="AH35" s="21"/>
      <c r="AI35" s="489">
        <f t="shared" si="66"/>
        <v>3782.2900000000004</v>
      </c>
      <c r="AJ35" s="489" t="e">
        <f t="shared" si="67"/>
        <v>#REF!</v>
      </c>
      <c r="AK35" s="489" t="e">
        <f>MAX(AK$29:AK$30)+IF($B$2="mil",1,0.0254)*DDR2Specs!$E$3</f>
        <v>#REF!</v>
      </c>
      <c r="AL35" s="489" t="e">
        <f>MIN(AK$29:AK$30)+IF($B$2="mil",1,0.0254)*DDR2Specs!$F$3</f>
        <v>#REF!</v>
      </c>
      <c r="AM35" s="21"/>
      <c r="AN35" s="598" t="e">
        <f t="shared" si="68"/>
        <v>#REF!</v>
      </c>
      <c r="AO35" s="495" t="e">
        <f t="shared" si="69"/>
        <v>#REF!</v>
      </c>
      <c r="AP35" s="21"/>
      <c r="AQ35" s="495" t="e">
        <f t="shared" si="70"/>
        <v>#REF!</v>
      </c>
      <c r="AR35" s="495" t="e">
        <f t="shared" si="71"/>
        <v>#REF!</v>
      </c>
      <c r="AS35" s="495" t="e">
        <f t="shared" si="72"/>
        <v>#REF!</v>
      </c>
      <c r="AT35" s="495" t="e">
        <f t="shared" ca="1" si="73"/>
        <v>#NAME?</v>
      </c>
      <c r="AU35" s="495" t="e">
        <f t="shared" si="74"/>
        <v>#REF!</v>
      </c>
      <c r="AV35" s="495" t="e">
        <f t="shared" si="75"/>
        <v>#REF!</v>
      </c>
      <c r="AW35" s="495" t="e">
        <f t="shared" si="76"/>
        <v>#REF!</v>
      </c>
      <c r="AX35" s="495" t="e">
        <f t="shared" si="77"/>
        <v>#REF!</v>
      </c>
      <c r="AY35" s="495" t="e">
        <f t="shared" si="78"/>
        <v>#REF!</v>
      </c>
      <c r="AZ35" s="493" t="e">
        <f t="shared" si="79"/>
        <v>#REF!</v>
      </c>
      <c r="BA35" s="495" t="e">
        <f t="shared" ca="1" si="80"/>
        <v>#NAME?</v>
      </c>
      <c r="BB35" s="495" t="e">
        <f t="shared" ca="1" si="81"/>
        <v>#NAME?</v>
      </c>
      <c r="BC35" s="495" t="e">
        <f t="shared" si="82"/>
        <v>#REF!</v>
      </c>
      <c r="BD35" s="495" t="e">
        <f t="shared" si="83"/>
        <v>#REF!</v>
      </c>
      <c r="BE35" s="495" t="e">
        <f t="shared" si="84"/>
        <v>#REF!</v>
      </c>
      <c r="BF35" s="495" t="e">
        <f t="shared" si="85"/>
        <v>#REF!</v>
      </c>
      <c r="BG35" s="21"/>
      <c r="BH35" s="554" t="e">
        <f t="shared" ca="1" si="86"/>
        <v>#REF!</v>
      </c>
      <c r="BI35" s="554"/>
      <c r="BJ35" s="554"/>
      <c r="BK35" s="3"/>
      <c r="BL35" s="3"/>
      <c r="BM35" s="3"/>
      <c r="BN35" s="3"/>
      <c r="BO35" s="3"/>
      <c r="BP35" s="3"/>
      <c r="BQ35" s="3"/>
      <c r="BR35" s="3"/>
      <c r="BS35" s="3"/>
      <c r="BT35" s="3"/>
      <c r="BU35" s="3"/>
      <c r="BV35" s="3"/>
      <c r="BW35" s="3"/>
      <c r="BX35" s="3"/>
    </row>
    <row r="36" spans="1:76">
      <c r="A36" s="633" t="s">
        <v>143</v>
      </c>
      <c r="B36" s="665" t="s">
        <v>349</v>
      </c>
      <c r="C36" s="658">
        <v>498.14960629921262</v>
      </c>
      <c r="D36" s="18"/>
      <c r="E36" s="621">
        <v>22.63</v>
      </c>
      <c r="F36" s="621">
        <v>0</v>
      </c>
      <c r="G36" s="622">
        <v>1620.12</v>
      </c>
      <c r="H36" s="622">
        <v>20</v>
      </c>
      <c r="I36" s="622">
        <v>773.45</v>
      </c>
      <c r="J36" s="622">
        <v>96.14</v>
      </c>
      <c r="K36" s="277">
        <v>40</v>
      </c>
      <c r="L36" s="622">
        <v>85.78</v>
      </c>
      <c r="M36" s="622">
        <v>1188.45</v>
      </c>
      <c r="N36" s="620">
        <v>0</v>
      </c>
      <c r="O36" s="620">
        <v>0</v>
      </c>
      <c r="P36" s="622">
        <v>22.3</v>
      </c>
      <c r="Q36" s="622">
        <v>22.27</v>
      </c>
      <c r="R36" s="69"/>
      <c r="S36" s="489">
        <f t="shared" si="58"/>
        <v>1662.75</v>
      </c>
      <c r="T36" s="489" t="e">
        <f t="shared" si="59"/>
        <v>#REF!</v>
      </c>
      <c r="U36" s="489" t="e">
        <f>MAX(U$29:U$30)+IF($B$2="mil",1,0.0254)*DDR2Specs!$B$3</f>
        <v>#REF!</v>
      </c>
      <c r="V36" s="489" t="e">
        <f>MIN(U$29:U$30)+IF($B$2="mil",1,0.0254)*DDR2Specs!$C$3</f>
        <v>#REF!</v>
      </c>
      <c r="W36" s="21"/>
      <c r="X36" s="598" t="e">
        <f t="shared" si="60"/>
        <v>#REF!</v>
      </c>
      <c r="Y36" s="495" t="e">
        <f t="shared" si="61"/>
        <v>#REF!</v>
      </c>
      <c r="Z36" s="21"/>
      <c r="AA36" s="489">
        <f t="shared" si="62"/>
        <v>3848.87</v>
      </c>
      <c r="AB36" s="489" t="e">
        <f t="shared" si="63"/>
        <v>#REF!</v>
      </c>
      <c r="AC36" s="489" t="e">
        <f>MAX(AC$29:AC$30)+IF($B$2="mil",1,0.0254)*DDR2Specs!$E$3</f>
        <v>#REF!</v>
      </c>
      <c r="AD36" s="489" t="e">
        <f>MIN(AC$29:AC$30)+IF($B$2="mil",1,0.0254)*DDR2Specs!$F$3</f>
        <v>#REF!</v>
      </c>
      <c r="AE36" s="21"/>
      <c r="AF36" s="598" t="e">
        <f t="shared" si="64"/>
        <v>#REF!</v>
      </c>
      <c r="AG36" s="495" t="e">
        <f t="shared" si="65"/>
        <v>#REF!</v>
      </c>
      <c r="AH36" s="21"/>
      <c r="AI36" s="489">
        <f t="shared" si="66"/>
        <v>3848.8399999999997</v>
      </c>
      <c r="AJ36" s="489" t="e">
        <f t="shared" si="67"/>
        <v>#REF!</v>
      </c>
      <c r="AK36" s="489" t="e">
        <f>MAX(AK$29:AK$30)+IF($B$2="mil",1,0.0254)*DDR2Specs!$E$3</f>
        <v>#REF!</v>
      </c>
      <c r="AL36" s="489" t="e">
        <f>MIN(AK$29:AK$30)+IF($B$2="mil",1,0.0254)*DDR2Specs!$F$3</f>
        <v>#REF!</v>
      </c>
      <c r="AM36" s="21"/>
      <c r="AN36" s="598" t="e">
        <f t="shared" si="68"/>
        <v>#REF!</v>
      </c>
      <c r="AO36" s="495" t="e">
        <f t="shared" si="69"/>
        <v>#REF!</v>
      </c>
      <c r="AP36" s="21"/>
      <c r="AQ36" s="495" t="e">
        <f t="shared" si="70"/>
        <v>#REF!</v>
      </c>
      <c r="AR36" s="495" t="e">
        <f t="shared" si="71"/>
        <v>#REF!</v>
      </c>
      <c r="AS36" s="495" t="e">
        <f t="shared" si="72"/>
        <v>#REF!</v>
      </c>
      <c r="AT36" s="495" t="e">
        <f t="shared" ca="1" si="73"/>
        <v>#NAME?</v>
      </c>
      <c r="AU36" s="495" t="e">
        <f t="shared" si="74"/>
        <v>#REF!</v>
      </c>
      <c r="AV36" s="495" t="e">
        <f t="shared" si="75"/>
        <v>#REF!</v>
      </c>
      <c r="AW36" s="495" t="e">
        <f t="shared" si="76"/>
        <v>#REF!</v>
      </c>
      <c r="AX36" s="495" t="e">
        <f t="shared" si="77"/>
        <v>#REF!</v>
      </c>
      <c r="AY36" s="495" t="e">
        <f t="shared" si="78"/>
        <v>#REF!</v>
      </c>
      <c r="AZ36" s="493" t="e">
        <f t="shared" si="79"/>
        <v>#REF!</v>
      </c>
      <c r="BA36" s="495" t="e">
        <f t="shared" ca="1" si="80"/>
        <v>#NAME?</v>
      </c>
      <c r="BB36" s="495" t="e">
        <f t="shared" ca="1" si="81"/>
        <v>#NAME?</v>
      </c>
      <c r="BC36" s="495" t="e">
        <f t="shared" si="82"/>
        <v>#REF!</v>
      </c>
      <c r="BD36" s="495" t="e">
        <f t="shared" si="83"/>
        <v>#REF!</v>
      </c>
      <c r="BE36" s="495" t="e">
        <f t="shared" si="84"/>
        <v>#REF!</v>
      </c>
      <c r="BF36" s="495" t="e">
        <f t="shared" si="85"/>
        <v>#REF!</v>
      </c>
      <c r="BG36" s="21"/>
      <c r="BH36" s="554" t="e">
        <f t="shared" ca="1" si="86"/>
        <v>#REF!</v>
      </c>
      <c r="BI36" s="554"/>
      <c r="BJ36" s="554"/>
      <c r="BK36" s="3"/>
      <c r="BL36" s="3"/>
      <c r="BM36" s="3"/>
      <c r="BN36" s="3"/>
      <c r="BO36" s="3"/>
      <c r="BP36" s="3"/>
      <c r="BQ36" s="3"/>
      <c r="BR36" s="3"/>
      <c r="BS36" s="3"/>
      <c r="BT36" s="3"/>
      <c r="BU36" s="3"/>
      <c r="BV36" s="3"/>
      <c r="BW36" s="3"/>
      <c r="BX36" s="3"/>
    </row>
    <row r="37" spans="1:76">
      <c r="A37" s="633" t="s">
        <v>144</v>
      </c>
      <c r="B37" s="665" t="s">
        <v>347</v>
      </c>
      <c r="C37" s="658">
        <v>466.29921259842519</v>
      </c>
      <c r="D37" s="18"/>
      <c r="E37" s="621">
        <v>22.63</v>
      </c>
      <c r="F37" s="621">
        <v>0</v>
      </c>
      <c r="G37" s="622">
        <v>1653.76</v>
      </c>
      <c r="H37" s="622">
        <v>20</v>
      </c>
      <c r="I37" s="622">
        <v>829.71</v>
      </c>
      <c r="J37" s="622">
        <v>44.57</v>
      </c>
      <c r="K37" s="277">
        <v>40</v>
      </c>
      <c r="L37" s="622">
        <v>85.78</v>
      </c>
      <c r="M37" s="622">
        <v>1176.25</v>
      </c>
      <c r="N37" s="620">
        <v>0</v>
      </c>
      <c r="O37" s="620">
        <v>0</v>
      </c>
      <c r="P37" s="622">
        <v>25.06</v>
      </c>
      <c r="Q37" s="622">
        <v>25.09</v>
      </c>
      <c r="R37" s="69"/>
      <c r="S37" s="489">
        <f t="shared" si="58"/>
        <v>1696.39</v>
      </c>
      <c r="T37" s="489" t="e">
        <f t="shared" si="59"/>
        <v>#REF!</v>
      </c>
      <c r="U37" s="489" t="e">
        <f>MAX(U$29:U$30)+IF($B$2="mil",1,0.0254)*DDR2Specs!$B$3</f>
        <v>#REF!</v>
      </c>
      <c r="V37" s="489" t="e">
        <f>MIN(U$29:U$30)+IF($B$2="mil",1,0.0254)*DDR2Specs!$C$3</f>
        <v>#REF!</v>
      </c>
      <c r="W37" s="21"/>
      <c r="X37" s="598" t="e">
        <f t="shared" si="60"/>
        <v>#REF!</v>
      </c>
      <c r="Y37" s="495" t="e">
        <f t="shared" si="61"/>
        <v>#REF!</v>
      </c>
      <c r="Z37" s="21"/>
      <c r="AA37" s="489">
        <f t="shared" si="62"/>
        <v>3877.7600000000007</v>
      </c>
      <c r="AB37" s="489" t="e">
        <f t="shared" si="63"/>
        <v>#REF!</v>
      </c>
      <c r="AC37" s="489" t="e">
        <f>MAX(AC$29:AC$30)+IF($B$2="mil",1,0.0254)*DDR2Specs!$E$3</f>
        <v>#REF!</v>
      </c>
      <c r="AD37" s="489" t="e">
        <f>MIN(AC$29:AC$30)+IF($B$2="mil",1,0.0254)*DDR2Specs!$F$3</f>
        <v>#REF!</v>
      </c>
      <c r="AE37" s="21"/>
      <c r="AF37" s="598" t="e">
        <f t="shared" si="64"/>
        <v>#REF!</v>
      </c>
      <c r="AG37" s="495" t="e">
        <f t="shared" si="65"/>
        <v>#REF!</v>
      </c>
      <c r="AH37" s="21"/>
      <c r="AI37" s="489">
        <f t="shared" si="66"/>
        <v>3877.7900000000009</v>
      </c>
      <c r="AJ37" s="489" t="e">
        <f t="shared" si="67"/>
        <v>#REF!</v>
      </c>
      <c r="AK37" s="489" t="e">
        <f>MAX(AK$29:AK$30)+IF($B$2="mil",1,0.0254)*DDR2Specs!$E$3</f>
        <v>#REF!</v>
      </c>
      <c r="AL37" s="489" t="e">
        <f>MIN(AK$29:AK$30)+IF($B$2="mil",1,0.0254)*DDR2Specs!$F$3</f>
        <v>#REF!</v>
      </c>
      <c r="AM37" s="21"/>
      <c r="AN37" s="598" t="e">
        <f t="shared" si="68"/>
        <v>#REF!</v>
      </c>
      <c r="AO37" s="495" t="e">
        <f t="shared" si="69"/>
        <v>#REF!</v>
      </c>
      <c r="AP37" s="21"/>
      <c r="AQ37" s="495" t="e">
        <f t="shared" si="70"/>
        <v>#REF!</v>
      </c>
      <c r="AR37" s="495" t="e">
        <f t="shared" si="71"/>
        <v>#REF!</v>
      </c>
      <c r="AS37" s="495" t="e">
        <f t="shared" si="72"/>
        <v>#REF!</v>
      </c>
      <c r="AT37" s="495" t="e">
        <f t="shared" ca="1" si="73"/>
        <v>#NAME?</v>
      </c>
      <c r="AU37" s="495" t="e">
        <f t="shared" si="74"/>
        <v>#REF!</v>
      </c>
      <c r="AV37" s="495" t="e">
        <f t="shared" si="75"/>
        <v>#REF!</v>
      </c>
      <c r="AW37" s="495" t="e">
        <f t="shared" si="76"/>
        <v>#REF!</v>
      </c>
      <c r="AX37" s="495" t="e">
        <f t="shared" si="77"/>
        <v>#REF!</v>
      </c>
      <c r="AY37" s="495" t="e">
        <f t="shared" si="78"/>
        <v>#REF!</v>
      </c>
      <c r="AZ37" s="493" t="e">
        <f t="shared" si="79"/>
        <v>#REF!</v>
      </c>
      <c r="BA37" s="495" t="e">
        <f t="shared" ca="1" si="80"/>
        <v>#NAME?</v>
      </c>
      <c r="BB37" s="495" t="e">
        <f t="shared" ca="1" si="81"/>
        <v>#NAME?</v>
      </c>
      <c r="BC37" s="495" t="e">
        <f t="shared" si="82"/>
        <v>#REF!</v>
      </c>
      <c r="BD37" s="495" t="e">
        <f t="shared" si="83"/>
        <v>#REF!</v>
      </c>
      <c r="BE37" s="495" t="e">
        <f t="shared" si="84"/>
        <v>#REF!</v>
      </c>
      <c r="BF37" s="495" t="e">
        <f t="shared" si="85"/>
        <v>#REF!</v>
      </c>
      <c r="BG37" s="21"/>
      <c r="BH37" s="554" t="e">
        <f t="shared" ca="1" si="86"/>
        <v>#REF!</v>
      </c>
      <c r="BI37" s="554"/>
      <c r="BJ37" s="554"/>
      <c r="BK37" s="3"/>
      <c r="BL37" s="3"/>
      <c r="BM37" s="3"/>
      <c r="BN37" s="3"/>
      <c r="BO37" s="3"/>
      <c r="BP37" s="3"/>
      <c r="BQ37" s="3"/>
      <c r="BR37" s="3"/>
      <c r="BS37" s="3"/>
      <c r="BT37" s="3"/>
      <c r="BU37" s="3"/>
      <c r="BV37" s="3"/>
      <c r="BW37" s="3"/>
      <c r="BX37" s="3"/>
    </row>
    <row r="38" spans="1:76">
      <c r="A38" s="633" t="s">
        <v>145</v>
      </c>
      <c r="B38" s="665" t="s">
        <v>354</v>
      </c>
      <c r="C38" s="658">
        <v>475.51181102362204</v>
      </c>
      <c r="D38" s="18"/>
      <c r="E38" s="621">
        <v>22.6</v>
      </c>
      <c r="F38" s="621">
        <v>0</v>
      </c>
      <c r="G38" s="622">
        <v>1658</v>
      </c>
      <c r="H38" s="622">
        <v>0</v>
      </c>
      <c r="I38" s="622">
        <v>769.98</v>
      </c>
      <c r="J38" s="622">
        <v>85.78</v>
      </c>
      <c r="K38" s="277">
        <v>40</v>
      </c>
      <c r="L38" s="622">
        <v>70</v>
      </c>
      <c r="M38" s="622">
        <v>1193.22</v>
      </c>
      <c r="N38" s="620">
        <v>0</v>
      </c>
      <c r="O38" s="620">
        <v>0</v>
      </c>
      <c r="P38" s="622">
        <v>29.47</v>
      </c>
      <c r="Q38" s="622">
        <v>35.630000000000003</v>
      </c>
      <c r="R38" s="69"/>
      <c r="S38" s="489">
        <f t="shared" si="58"/>
        <v>1680.6</v>
      </c>
      <c r="T38" s="489" t="e">
        <f t="shared" si="59"/>
        <v>#REF!</v>
      </c>
      <c r="U38" s="489" t="e">
        <f>MAX(U$29:U$30)+IF($B$2="mil",1,0.0254)*DDR2Specs!$B$3</f>
        <v>#REF!</v>
      </c>
      <c r="V38" s="489" t="e">
        <f>MIN(U$29:U$30)+IF($B$2="mil",1,0.0254)*DDR2Specs!$C$3</f>
        <v>#REF!</v>
      </c>
      <c r="W38" s="21"/>
      <c r="X38" s="598" t="e">
        <f t="shared" si="60"/>
        <v>#REF!</v>
      </c>
      <c r="Y38" s="495" t="e">
        <f t="shared" si="61"/>
        <v>#REF!</v>
      </c>
      <c r="Z38" s="21"/>
      <c r="AA38" s="489">
        <f t="shared" si="62"/>
        <v>3869.0499999999997</v>
      </c>
      <c r="AB38" s="489" t="e">
        <f t="shared" si="63"/>
        <v>#REF!</v>
      </c>
      <c r="AC38" s="489" t="e">
        <f>MAX(AC$29:AC$30)+IF($B$2="mil",1,0.0254)*DDR2Specs!$E$3</f>
        <v>#REF!</v>
      </c>
      <c r="AD38" s="489" t="e">
        <f>MIN(AC$29:AC$30)+IF($B$2="mil",1,0.0254)*DDR2Specs!$F$3</f>
        <v>#REF!</v>
      </c>
      <c r="AE38" s="21"/>
      <c r="AF38" s="598" t="e">
        <f t="shared" si="64"/>
        <v>#REF!</v>
      </c>
      <c r="AG38" s="495" t="e">
        <f t="shared" si="65"/>
        <v>#REF!</v>
      </c>
      <c r="AH38" s="21"/>
      <c r="AI38" s="489">
        <f t="shared" si="66"/>
        <v>3875.21</v>
      </c>
      <c r="AJ38" s="489" t="e">
        <f t="shared" si="67"/>
        <v>#REF!</v>
      </c>
      <c r="AK38" s="489" t="e">
        <f>MAX(AK$29:AK$30)+IF($B$2="mil",1,0.0254)*DDR2Specs!$E$3</f>
        <v>#REF!</v>
      </c>
      <c r="AL38" s="489" t="e">
        <f>MIN(AK$29:AK$30)+IF($B$2="mil",1,0.0254)*DDR2Specs!$F$3</f>
        <v>#REF!</v>
      </c>
      <c r="AM38" s="21"/>
      <c r="AN38" s="598" t="e">
        <f t="shared" si="68"/>
        <v>#REF!</v>
      </c>
      <c r="AO38" s="495" t="e">
        <f t="shared" si="69"/>
        <v>#REF!</v>
      </c>
      <c r="AP38" s="21"/>
      <c r="AQ38" s="495" t="e">
        <f t="shared" si="70"/>
        <v>#REF!</v>
      </c>
      <c r="AR38" s="495" t="e">
        <f t="shared" si="71"/>
        <v>#REF!</v>
      </c>
      <c r="AS38" s="495" t="e">
        <f t="shared" si="72"/>
        <v>#REF!</v>
      </c>
      <c r="AT38" s="495" t="e">
        <f t="shared" ca="1" si="73"/>
        <v>#NAME?</v>
      </c>
      <c r="AU38" s="495" t="e">
        <f t="shared" si="74"/>
        <v>#REF!</v>
      </c>
      <c r="AV38" s="495" t="e">
        <f t="shared" si="75"/>
        <v>#REF!</v>
      </c>
      <c r="AW38" s="495" t="e">
        <f t="shared" si="76"/>
        <v>#REF!</v>
      </c>
      <c r="AX38" s="495" t="e">
        <f t="shared" si="77"/>
        <v>#REF!</v>
      </c>
      <c r="AY38" s="495" t="e">
        <f t="shared" si="78"/>
        <v>#REF!</v>
      </c>
      <c r="AZ38" s="493" t="e">
        <f t="shared" si="79"/>
        <v>#REF!</v>
      </c>
      <c r="BA38" s="495" t="e">
        <f t="shared" ca="1" si="80"/>
        <v>#NAME?</v>
      </c>
      <c r="BB38" s="495" t="e">
        <f t="shared" ca="1" si="81"/>
        <v>#NAME?</v>
      </c>
      <c r="BC38" s="495" t="e">
        <f t="shared" si="82"/>
        <v>#REF!</v>
      </c>
      <c r="BD38" s="495" t="e">
        <f t="shared" si="83"/>
        <v>#REF!</v>
      </c>
      <c r="BE38" s="495" t="e">
        <f t="shared" si="84"/>
        <v>#REF!</v>
      </c>
      <c r="BF38" s="495" t="e">
        <f t="shared" si="85"/>
        <v>#REF!</v>
      </c>
      <c r="BG38" s="21"/>
      <c r="BH38" s="554" t="e">
        <f t="shared" ca="1" si="86"/>
        <v>#REF!</v>
      </c>
      <c r="BI38" s="554"/>
      <c r="BJ38" s="554"/>
      <c r="BK38" s="3"/>
      <c r="BL38" s="3"/>
      <c r="BM38" s="3"/>
      <c r="BN38" s="3"/>
      <c r="BO38" s="3"/>
      <c r="BP38" s="3"/>
      <c r="BQ38" s="3"/>
      <c r="BR38" s="3"/>
      <c r="BS38" s="3"/>
      <c r="BT38" s="3"/>
      <c r="BU38" s="3"/>
      <c r="BV38" s="3"/>
      <c r="BW38" s="3"/>
      <c r="BX38" s="3"/>
    </row>
    <row r="39" spans="1:76">
      <c r="A39" s="666" t="s">
        <v>146</v>
      </c>
      <c r="B39" s="667" t="s">
        <v>518</v>
      </c>
      <c r="C39" s="658">
        <v>464.48818897637796</v>
      </c>
      <c r="D39" s="18"/>
      <c r="E39" s="621">
        <v>22.63</v>
      </c>
      <c r="F39" s="621">
        <v>0</v>
      </c>
      <c r="G39" s="622">
        <v>1650.71</v>
      </c>
      <c r="H39" s="622">
        <v>20</v>
      </c>
      <c r="I39" s="622">
        <v>840.12</v>
      </c>
      <c r="J39" s="622">
        <v>29.57</v>
      </c>
      <c r="K39" s="277">
        <v>40</v>
      </c>
      <c r="L39" s="622">
        <v>44.57</v>
      </c>
      <c r="M39" s="622">
        <v>1190.24</v>
      </c>
      <c r="N39" s="620">
        <v>0</v>
      </c>
      <c r="O39" s="620">
        <v>0</v>
      </c>
      <c r="P39" s="622">
        <v>69.19</v>
      </c>
      <c r="Q39" s="622">
        <v>70.81</v>
      </c>
      <c r="R39" s="69"/>
      <c r="S39" s="489">
        <f t="shared" si="58"/>
        <v>1693.3400000000001</v>
      </c>
      <c r="T39" s="489" t="e">
        <f t="shared" si="59"/>
        <v>#REF!</v>
      </c>
      <c r="U39" s="489" t="e">
        <f>MAX(U$29:U$30)+IF($B$2="mil",1,0.0254)*DDR2Specs!$B$3</f>
        <v>#REF!</v>
      </c>
      <c r="V39" s="489" t="e">
        <f>MIN(U$29:U$30)+IF($B$2="mil",1,0.0254)*DDR2Specs!$C$3</f>
        <v>#REF!</v>
      </c>
      <c r="W39" s="21"/>
      <c r="X39" s="598" t="e">
        <f t="shared" si="60"/>
        <v>#REF!</v>
      </c>
      <c r="Y39" s="495" t="e">
        <f t="shared" si="61"/>
        <v>#REF!</v>
      </c>
      <c r="Z39" s="21"/>
      <c r="AA39" s="489">
        <f t="shared" si="62"/>
        <v>3887.03</v>
      </c>
      <c r="AB39" s="489" t="e">
        <f t="shared" si="63"/>
        <v>#REF!</v>
      </c>
      <c r="AC39" s="489" t="e">
        <f>MAX(AC$29:AC$30)+IF($B$2="mil",1,0.0254)*DDR2Specs!$E$3</f>
        <v>#REF!</v>
      </c>
      <c r="AD39" s="489" t="e">
        <f>MIN(AC$29:AC$30)+IF($B$2="mil",1,0.0254)*DDR2Specs!$F$3</f>
        <v>#REF!</v>
      </c>
      <c r="AE39" s="21"/>
      <c r="AF39" s="598" t="e">
        <f t="shared" si="64"/>
        <v>#REF!</v>
      </c>
      <c r="AG39" s="495" t="e">
        <f t="shared" si="65"/>
        <v>#REF!</v>
      </c>
      <c r="AH39" s="21"/>
      <c r="AI39" s="489">
        <f t="shared" si="66"/>
        <v>3888.65</v>
      </c>
      <c r="AJ39" s="489" t="e">
        <f t="shared" si="67"/>
        <v>#REF!</v>
      </c>
      <c r="AK39" s="489" t="e">
        <f>MAX(AK$29:AK$30)+IF($B$2="mil",1,0.0254)*DDR2Specs!$E$3</f>
        <v>#REF!</v>
      </c>
      <c r="AL39" s="489" t="e">
        <f>MIN(AK$29:AK$30)+IF($B$2="mil",1,0.0254)*DDR2Specs!$F$3</f>
        <v>#REF!</v>
      </c>
      <c r="AM39" s="21"/>
      <c r="AN39" s="598" t="e">
        <f t="shared" si="68"/>
        <v>#REF!</v>
      </c>
      <c r="AO39" s="495" t="e">
        <f t="shared" si="69"/>
        <v>#REF!</v>
      </c>
      <c r="AP39" s="21"/>
      <c r="AQ39" s="495" t="e">
        <f t="shared" si="70"/>
        <v>#REF!</v>
      </c>
      <c r="AR39" s="495" t="e">
        <f t="shared" si="71"/>
        <v>#REF!</v>
      </c>
      <c r="AS39" s="495" t="e">
        <f t="shared" si="72"/>
        <v>#REF!</v>
      </c>
      <c r="AT39" s="495" t="e">
        <f t="shared" ca="1" si="73"/>
        <v>#NAME?</v>
      </c>
      <c r="AU39" s="495" t="e">
        <f t="shared" si="74"/>
        <v>#REF!</v>
      </c>
      <c r="AV39" s="495" t="e">
        <f t="shared" si="75"/>
        <v>#REF!</v>
      </c>
      <c r="AW39" s="495" t="e">
        <f t="shared" si="76"/>
        <v>#REF!</v>
      </c>
      <c r="AX39" s="495" t="e">
        <f t="shared" si="77"/>
        <v>#REF!</v>
      </c>
      <c r="AY39" s="495" t="e">
        <f t="shared" si="78"/>
        <v>#REF!</v>
      </c>
      <c r="AZ39" s="493" t="e">
        <f t="shared" si="79"/>
        <v>#REF!</v>
      </c>
      <c r="BA39" s="495" t="e">
        <f t="shared" ca="1" si="80"/>
        <v>#NAME?</v>
      </c>
      <c r="BB39" s="495" t="e">
        <f t="shared" ca="1" si="81"/>
        <v>#NAME?</v>
      </c>
      <c r="BC39" s="495" t="e">
        <f t="shared" si="82"/>
        <v>#REF!</v>
      </c>
      <c r="BD39" s="495" t="e">
        <f t="shared" si="83"/>
        <v>#REF!</v>
      </c>
      <c r="BE39" s="495" t="e">
        <f t="shared" si="84"/>
        <v>#REF!</v>
      </c>
      <c r="BF39" s="495" t="e">
        <f t="shared" si="85"/>
        <v>#REF!</v>
      </c>
      <c r="BG39" s="21"/>
      <c r="BH39" s="554" t="e">
        <f t="shared" ca="1" si="86"/>
        <v>#REF!</v>
      </c>
      <c r="BI39" s="554"/>
      <c r="BJ39" s="554"/>
      <c r="BK39" s="3"/>
      <c r="BL39" s="3"/>
      <c r="BM39" s="3"/>
      <c r="BN39" s="3"/>
      <c r="BO39" s="3"/>
      <c r="BP39" s="3"/>
      <c r="BQ39" s="3"/>
      <c r="BR39" s="3"/>
      <c r="BS39" s="3"/>
      <c r="BT39" s="3"/>
      <c r="BU39" s="3"/>
      <c r="BV39" s="3"/>
      <c r="BW39" s="3"/>
      <c r="BX39" s="3"/>
    </row>
    <row r="40" spans="1:76">
      <c r="A40" s="636" t="s">
        <v>200</v>
      </c>
      <c r="B40" s="668"/>
      <c r="C40" s="659"/>
      <c r="D40" s="62"/>
      <c r="E40" s="82"/>
      <c r="F40" s="82"/>
      <c r="G40" s="439"/>
      <c r="H40" s="295"/>
      <c r="I40" s="295"/>
      <c r="J40" s="295"/>
      <c r="K40" s="295"/>
      <c r="L40" s="295"/>
      <c r="M40" s="295"/>
      <c r="N40" s="295"/>
      <c r="O40" s="295"/>
      <c r="P40" s="295"/>
      <c r="Q40" s="295"/>
      <c r="R40" s="10"/>
      <c r="S40" s="82"/>
      <c r="T40" s="605"/>
      <c r="U40" s="605"/>
      <c r="V40" s="606"/>
      <c r="W40" s="606"/>
      <c r="X40" s="607"/>
      <c r="Y40" s="17"/>
      <c r="Z40" s="606"/>
      <c r="AA40" s="82"/>
      <c r="AB40" s="605"/>
      <c r="AC40" s="605"/>
      <c r="AD40" s="606"/>
      <c r="AE40" s="606"/>
      <c r="AF40" s="607"/>
      <c r="AG40" s="17"/>
      <c r="AH40" s="606"/>
      <c r="AI40" s="82"/>
      <c r="AJ40" s="605"/>
      <c r="AK40" s="605"/>
      <c r="AL40" s="606"/>
      <c r="AM40" s="606"/>
      <c r="AN40" s="607"/>
      <c r="AO40" s="17"/>
      <c r="AP40" s="606"/>
      <c r="AQ40" s="17"/>
      <c r="AR40" s="17"/>
      <c r="AS40" s="16"/>
      <c r="AT40" s="16"/>
      <c r="AU40" s="16"/>
      <c r="AV40" s="16"/>
      <c r="AW40" s="16"/>
      <c r="AX40" s="16"/>
      <c r="AY40" s="16"/>
      <c r="AZ40" s="16"/>
      <c r="BA40" s="16"/>
      <c r="BB40" s="16"/>
      <c r="BC40" s="16"/>
      <c r="BD40" s="16"/>
      <c r="BE40" s="16"/>
      <c r="BF40" s="16"/>
      <c r="BG40" s="83"/>
      <c r="BH40" s="554"/>
      <c r="BI40" s="554"/>
      <c r="BJ40" s="554"/>
      <c r="BK40" s="3"/>
      <c r="BL40" s="3"/>
      <c r="BM40" s="3"/>
      <c r="BN40" s="3"/>
      <c r="BO40" s="3"/>
      <c r="BP40" s="3"/>
      <c r="BQ40" s="3"/>
      <c r="BR40" s="3"/>
      <c r="BS40" s="3"/>
      <c r="BT40" s="3"/>
      <c r="BU40" s="3"/>
      <c r="BV40" s="3"/>
      <c r="BW40" s="3"/>
      <c r="BX40" s="3"/>
    </row>
    <row r="41" spans="1:76">
      <c r="A41" s="650" t="str">
        <f>'DDR2 Strobes - 2x16_1R SODIMM'!$A$22</f>
        <v>SA_DQS3</v>
      </c>
      <c r="B41" s="669" t="str">
        <f>'DDR2 Strobes - 2x16_1R SODIMM'!$B$22</f>
        <v>AB21</v>
      </c>
      <c r="C41" s="660"/>
      <c r="D41" s="53"/>
      <c r="E41" s="81"/>
      <c r="F41" s="81"/>
      <c r="G41" s="685"/>
      <c r="H41" s="686"/>
      <c r="I41" s="686"/>
      <c r="J41" s="686"/>
      <c r="K41" s="686"/>
      <c r="L41" s="686"/>
      <c r="M41" s="686"/>
      <c r="N41" s="686"/>
      <c r="O41" s="686"/>
      <c r="P41" s="686"/>
      <c r="Q41" s="686"/>
      <c r="R41" s="81"/>
      <c r="S41" s="81"/>
      <c r="T41" s="58"/>
      <c r="U41" s="58" t="e">
        <f>'DDR2 Strobes - 2x16_1R SODIMM'!$U$22</f>
        <v>#REF!</v>
      </c>
      <c r="V41" s="58"/>
      <c r="W41" s="58"/>
      <c r="X41" s="58"/>
      <c r="Y41" s="608"/>
      <c r="Z41" s="58"/>
      <c r="AA41" s="81"/>
      <c r="AB41" s="58"/>
      <c r="AC41" s="58" t="e">
        <f>'DDR2 Strobes - 2x16_1R SODIMM'!$AD$22</f>
        <v>#REF!</v>
      </c>
      <c r="AD41" s="58"/>
      <c r="AE41" s="58"/>
      <c r="AF41" s="58"/>
      <c r="AG41" s="608"/>
      <c r="AH41" s="58"/>
      <c r="AI41" s="81"/>
      <c r="AJ41" s="58"/>
      <c r="AK41" s="58" t="e">
        <f>'DDR2 Strobes - 2x16_1R SODIMM'!$AL$22</f>
        <v>#REF!</v>
      </c>
      <c r="AL41" s="58"/>
      <c r="AM41" s="58"/>
      <c r="AN41" s="58"/>
      <c r="AO41" s="608"/>
      <c r="AP41" s="58"/>
      <c r="AQ41" s="608"/>
      <c r="AR41" s="608"/>
      <c r="AS41" s="608"/>
      <c r="AT41" s="608"/>
      <c r="AU41" s="608"/>
      <c r="AV41" s="608"/>
      <c r="AW41" s="608"/>
      <c r="AX41" s="608"/>
      <c r="AY41" s="608"/>
      <c r="AZ41" s="608"/>
      <c r="BA41" s="608"/>
      <c r="BB41" s="608"/>
      <c r="BC41" s="608"/>
      <c r="BD41" s="608"/>
      <c r="BE41" s="608"/>
      <c r="BF41" s="608"/>
      <c r="BG41" s="58"/>
      <c r="BH41" s="554"/>
      <c r="BI41" s="554"/>
      <c r="BJ41" s="554"/>
      <c r="BK41" s="3"/>
      <c r="BL41" s="3"/>
      <c r="BM41" s="3"/>
      <c r="BN41" s="3"/>
      <c r="BO41" s="3"/>
      <c r="BP41" s="3"/>
      <c r="BQ41" s="3"/>
      <c r="BR41" s="3"/>
      <c r="BS41" s="3"/>
      <c r="BT41" s="3"/>
      <c r="BU41" s="3"/>
      <c r="BV41" s="3"/>
      <c r="BW41" s="3"/>
      <c r="BX41" s="3"/>
    </row>
    <row r="42" spans="1:76">
      <c r="A42" s="650" t="str">
        <f>'DDR2 Strobes - 2x16_1R SODIMM'!$A$23</f>
        <v>SA_DQS3#</v>
      </c>
      <c r="B42" s="669" t="str">
        <f>'DDR2 Strobes - 2x16_1R SODIMM'!$B$23</f>
        <v>AB20</v>
      </c>
      <c r="C42" s="660"/>
      <c r="D42" s="53"/>
      <c r="E42" s="81"/>
      <c r="F42" s="81"/>
      <c r="G42" s="685"/>
      <c r="H42" s="686"/>
      <c r="I42" s="686"/>
      <c r="J42" s="686"/>
      <c r="K42" s="686"/>
      <c r="L42" s="686"/>
      <c r="M42" s="686"/>
      <c r="N42" s="686"/>
      <c r="O42" s="686"/>
      <c r="P42" s="686"/>
      <c r="Q42" s="686"/>
      <c r="R42" s="81"/>
      <c r="S42" s="81"/>
      <c r="T42" s="603"/>
      <c r="U42" s="58" t="e">
        <f>'DDR2 Strobes - 2x16_1R SODIMM'!$U$23</f>
        <v>#REF!</v>
      </c>
      <c r="V42" s="58"/>
      <c r="W42" s="58"/>
      <c r="X42" s="58"/>
      <c r="Y42" s="608"/>
      <c r="Z42" s="58"/>
      <c r="AA42" s="602"/>
      <c r="AB42" s="603"/>
      <c r="AC42" s="58" t="e">
        <f>'DDR2 Strobes - 2x16_1R SODIMM'!$AD$23</f>
        <v>#REF!</v>
      </c>
      <c r="AD42" s="58"/>
      <c r="AE42" s="58"/>
      <c r="AF42" s="58"/>
      <c r="AG42" s="608"/>
      <c r="AH42" s="58"/>
      <c r="AI42" s="602"/>
      <c r="AJ42" s="603"/>
      <c r="AK42" s="58" t="e">
        <f>'DDR2 Strobes - 2x16_1R SODIMM'!$AL$23</f>
        <v>#REF!</v>
      </c>
      <c r="AL42" s="58"/>
      <c r="AM42" s="58"/>
      <c r="AN42" s="58"/>
      <c r="AO42" s="608"/>
      <c r="AP42" s="58"/>
      <c r="AQ42" s="608"/>
      <c r="AR42" s="608"/>
      <c r="AS42" s="609"/>
      <c r="AT42" s="609"/>
      <c r="AU42" s="609"/>
      <c r="AV42" s="609"/>
      <c r="AW42" s="609"/>
      <c r="AX42" s="609"/>
      <c r="AY42" s="609"/>
      <c r="AZ42" s="609"/>
      <c r="BA42" s="609"/>
      <c r="BB42" s="609"/>
      <c r="BC42" s="609"/>
      <c r="BD42" s="609"/>
      <c r="BE42" s="609"/>
      <c r="BF42" s="609"/>
      <c r="BG42" s="58"/>
      <c r="BH42" s="554"/>
      <c r="BI42" s="554"/>
      <c r="BJ42" s="554"/>
      <c r="BK42" s="3"/>
      <c r="BL42" s="3"/>
      <c r="BM42" s="3"/>
      <c r="BN42" s="3"/>
      <c r="BO42" s="3"/>
      <c r="BP42" s="3"/>
      <c r="BQ42" s="3"/>
      <c r="BR42" s="3"/>
      <c r="BS42" s="3"/>
      <c r="BT42" s="3"/>
      <c r="BU42" s="3"/>
      <c r="BV42" s="3"/>
      <c r="BW42" s="3"/>
      <c r="BX42" s="3"/>
    </row>
    <row r="43" spans="1:76">
      <c r="A43" s="633" t="s">
        <v>147</v>
      </c>
      <c r="B43" s="672" t="s">
        <v>485</v>
      </c>
      <c r="C43" s="658">
        <v>764.01574803149606</v>
      </c>
      <c r="D43" s="18"/>
      <c r="E43" s="621">
        <v>22.63</v>
      </c>
      <c r="F43" s="621">
        <v>0</v>
      </c>
      <c r="G43" s="622">
        <v>1260.83</v>
      </c>
      <c r="H43" s="622">
        <v>0</v>
      </c>
      <c r="I43" s="622">
        <v>700.29</v>
      </c>
      <c r="J43" s="622">
        <v>96.14</v>
      </c>
      <c r="K43" s="277">
        <v>40</v>
      </c>
      <c r="L43" s="622">
        <v>44.57</v>
      </c>
      <c r="M43" s="622">
        <v>960.33</v>
      </c>
      <c r="N43" s="620">
        <v>0</v>
      </c>
      <c r="O43" s="620">
        <v>0</v>
      </c>
      <c r="P43" s="622">
        <v>84.35</v>
      </c>
      <c r="Q43" s="622">
        <v>84.32</v>
      </c>
      <c r="R43" s="69"/>
      <c r="S43" s="489">
        <f t="shared" ref="S43:S51" si="87" xml:space="preserve"> E43+F43+G43+H43</f>
        <v>1283.46</v>
      </c>
      <c r="T43" s="489" t="e">
        <f t="shared" ref="T43:T51" si="88">S43+IF($B$2="mil",1,0.0254)*C43</f>
        <v>#REF!</v>
      </c>
      <c r="U43" s="489" t="e">
        <f>MAX(U$41:U$42)+IF($B$2="mil",1,0.0254)*DDR2Specs!$B$3</f>
        <v>#REF!</v>
      </c>
      <c r="V43" s="489" t="e">
        <f>MIN(U$41:U$42)+IF($B$2="mil",1,0.0254)*DDR2Specs!$C$3</f>
        <v>#REF!</v>
      </c>
      <c r="W43" s="21"/>
      <c r="X43" s="598" t="e">
        <f t="shared" ref="X43:X51" si="89">IF($T43&lt;$U43,$U43-$T43,"Pass")</f>
        <v>#REF!</v>
      </c>
      <c r="Y43" s="495" t="e">
        <f t="shared" ref="Y43:Y51" si="90">IF($T43&gt;$V43,$T43-$V43,"Pass")</f>
        <v>#REF!</v>
      </c>
      <c r="Z43" s="21"/>
      <c r="AA43" s="489">
        <f t="shared" ref="AA43:AA51" si="91">SUM(E43:G43,I43:N43,P43)</f>
        <v>3209.14</v>
      </c>
      <c r="AB43" s="489" t="e">
        <f t="shared" ref="AB43:AB51" si="92">AA43+IF($B$2="mil",1,0.0254)*$C43</f>
        <v>#REF!</v>
      </c>
      <c r="AC43" s="489" t="e">
        <f>MAX(AC$41:AC$42)+IF($B$2="mil",1,0.0254)*DDR2Specs!$E$3</f>
        <v>#REF!</v>
      </c>
      <c r="AD43" s="489" t="e">
        <f>MIN(AC$41:AC$42)+IF($B$2="mil",1,0.0254)*DDR2Specs!$F$3</f>
        <v>#REF!</v>
      </c>
      <c r="AE43" s="21"/>
      <c r="AF43" s="598" t="e">
        <f t="shared" ref="AF43:AF51" si="93">IF($AB43&lt;$AC43,$AC43-$AB43,"Pass")</f>
        <v>#REF!</v>
      </c>
      <c r="AG43" s="495" t="e">
        <f t="shared" ref="AG43:AG51" si="94">IF($AB43&gt;$AD43,$AB43-$AD43,"Pass")</f>
        <v>#REF!</v>
      </c>
      <c r="AH43" s="21"/>
      <c r="AI43" s="489">
        <f t="shared" ref="AI43:AI51" si="95">SUM(E43:G43,I43:M43,O43,Q43)</f>
        <v>3209.11</v>
      </c>
      <c r="AJ43" s="489" t="e">
        <f t="shared" ref="AJ43:AJ51" si="96">AI43+IF($B$2="mil",1,0.0254)*$C43</f>
        <v>#REF!</v>
      </c>
      <c r="AK43" s="489" t="e">
        <f>MAX(AK$41:AK$42)+IF($B$2="mil",1,0.0254)*DDR2Specs!$E$3</f>
        <v>#REF!</v>
      </c>
      <c r="AL43" s="489" t="e">
        <f>MIN(AK$41:AK$42)+IF($B$2="mil",1,0.0254)*DDR2Specs!$F$3</f>
        <v>#REF!</v>
      </c>
      <c r="AM43" s="21"/>
      <c r="AN43" s="598" t="e">
        <f t="shared" ref="AN43:AN51" si="97">IF($AJ43&lt;$AK43,$AK43-$AJ43,"Pass")</f>
        <v>#REF!</v>
      </c>
      <c r="AO43" s="495" t="e">
        <f t="shared" ref="AO43:AO51" si="98">IF($AJ43&gt;$AL43,$AJ43-$AL43,"Pass")</f>
        <v>#REF!</v>
      </c>
      <c r="AP43" s="21"/>
      <c r="AQ43" s="495" t="e">
        <f t="shared" ref="AQ43:AQ51" si="99">IF($E43&lt;=IF($B$2="mil",1,0.0254)*50,"Pass",IF($B$2="mil",1,0.0254)*50-$E43)</f>
        <v>#REF!</v>
      </c>
      <c r="AR43" s="495" t="e">
        <f t="shared" ref="AR43:AR51" si="100">IF($F43&lt;=IF($B$2="mil",1,0.0254)*500,"Pass",IF($B$2="mil",1,0.0254)*500-$F43)</f>
        <v>#REF!</v>
      </c>
      <c r="AS43" s="495" t="e">
        <f t="shared" ref="AS43:AS51" si="101">IF($H43&lt;=IF($B$2="mil",1,0.0254)*250,"Pass",IF($B$2="mil",1,0.0254)*250-$H43)</f>
        <v>#REF!</v>
      </c>
      <c r="AT43" s="495" t="e">
        <f t="shared" ref="AT43:AT51" ca="1" si="102">CheckLength(IF($B$2="mil",1,0.0254)*750, IF($B$2="mil",1,0.0254)*125-J43, 0, I43,J43,0)</f>
        <v>#NAME?</v>
      </c>
      <c r="AU43" s="495" t="e">
        <f t="shared" ref="AU43:AU51" si="103">IF($J43&lt;=IF($B$2="mil",1,0.0254)*125,"Pass",IF($B$2="mil",1,0.0254)*125-$J43)</f>
        <v>#REF!</v>
      </c>
      <c r="AV43" s="495" t="e">
        <f t="shared" ref="AV43:AV51" si="104">IF($L43&lt;=IF($B$2="mil",1,0.0254)*125,"Pass",IF($B$2="mil",1,0.0254)*125-$L43)</f>
        <v>#REF!</v>
      </c>
      <c r="AW43" s="495" t="e">
        <f t="shared" ref="AW43:AW51" si="105">IF(($L43+$M43)&lt;=IF($B$2="mil",1,0.0254)*1275,"Pass",IF($B$2="mil",1,0.0254)*1275-($L43+H43))</f>
        <v>#REF!</v>
      </c>
      <c r="AX43" s="495" t="e">
        <f t="shared" ref="AX43:AX51" si="106">IF($N43&lt;=IF($B$2="mil",1,0.0254)*150,"Pass",IF($B$2="mil",1,0.0254)*150-$N43)</f>
        <v>#REF!</v>
      </c>
      <c r="AY43" s="495" t="e">
        <f t="shared" ref="AY43:AY51" si="107">IF($O43&lt;=IF($B$2="mil",1,0.0254)*150,"Pass",IF($B$2="mil",1,0.0254)*150-$O43)</f>
        <v>#REF!</v>
      </c>
      <c r="AZ43" s="493" t="e">
        <f t="shared" ref="AZ43:AZ51" si="108">IF(MAX(N43:O43)-MIN(N43:O43)&lt;=IF($B$2="mil",1,0.0254)*50,"Pass",MAX(N43:O43)-MIN(N43:O43)-IF($B$2="mil",1,0.0254)*50)</f>
        <v>#REF!</v>
      </c>
      <c r="BA43" s="495" t="e">
        <f t="shared" ref="BA43:BA51" ca="1" si="109">CheckLength2(IF($B$2="mil",1,0.0254)*200,$P43,N43,0)</f>
        <v>#NAME?</v>
      </c>
      <c r="BB43" s="495" t="e">
        <f t="shared" ref="BB43:BB51" ca="1" si="110">CheckLength2(IF($B$2="mil",1,0.0254)*200,$Q43,O43,0)</f>
        <v>#NAME?</v>
      </c>
      <c r="BC43" s="495" t="e">
        <f t="shared" ref="BC43:BC51" si="111">IF(AND($S43&gt;=IF($B$2="mil",1,0.0254)*500, $S43&lt;=IF($B$2="mil",1,0.0254)*4000),"Pass",IF($B$2="mil",1,0.0254)*4000-$S43)</f>
        <v>#REF!</v>
      </c>
      <c r="BD43" s="495" t="e">
        <f t="shared" ref="BD43:BD51" si="112">IF(AND($T43&gt;=IF($B$2="mil",1,0.0254)*500, $T43&lt;=IF($B$2="mil",1,0.0254)*4500),"Pass",IF($B$2="mil",1,0.0254)*4500-$T43)</f>
        <v>#REF!</v>
      </c>
      <c r="BE43" s="495" t="e">
        <f t="shared" ref="BE43:BE51" si="113">IF(AND($AA43&gt;=IF($B$2="mil",1,0.0254)*500, $AA43&lt;=IF($B$2="mil",1,0.0254)*5500),"Pass",IF($B$2="mil",1,0.0254)*5500-$AA43)</f>
        <v>#REF!</v>
      </c>
      <c r="BF43" s="495" t="e">
        <f t="shared" ref="BF43:BF51" si="114">IF(AND($AB43&gt;=IF($B$2="mil",1,0.0254)*500, $AB43&lt;=IF($B$2="mil",1,0.0254)*6000),"Pass",IF($B$2="mil",1,0.0254)*6000-$AB43)</f>
        <v>#REF!</v>
      </c>
      <c r="BG43" s="21"/>
      <c r="BH43" s="554" t="e">
        <f t="shared" ref="BH43:BH51" ca="1" si="115">IF(AND(AN43="Pass",AO43="Pass",AQ43="Pass",BD43="Pass",AS43="Pass",AR43="Pass",BC43="Pass",X43="Pass",Y43="Pass",BB43="Pass",AW43="Pass",AX43="Pass",AY43="Pass",AZ43="Pass",BA43="Pass",AV43="Pass",AU43="Pass",AT43="Pass",AF43="Pass",AG43="Pass",BE43="Pass",BF43="Pass"),"Pass","Fail")</f>
        <v>#REF!</v>
      </c>
      <c r="BI43" s="554" t="e">
        <f ca="1">IF(AND(BH43="Pass",BH44="Pass",BH45="Pass",BH46="Pass",BH47="Pass",BH48="Pass",BH49="Pass",BH50="Pass",BH51="Pass"),"Pass","Fail")</f>
        <v>#REF!</v>
      </c>
      <c r="BJ43" s="554"/>
      <c r="BK43" s="3"/>
      <c r="BL43" s="3"/>
      <c r="BM43" s="3"/>
      <c r="BN43" s="3"/>
      <c r="BO43" s="3"/>
      <c r="BP43" s="3"/>
      <c r="BQ43" s="3"/>
      <c r="BR43" s="3"/>
      <c r="BS43" s="3"/>
      <c r="BT43" s="3"/>
      <c r="BU43" s="3"/>
      <c r="BV43" s="3"/>
      <c r="BW43" s="3"/>
      <c r="BX43" s="3"/>
    </row>
    <row r="44" spans="1:76">
      <c r="A44" s="633" t="s">
        <v>148</v>
      </c>
      <c r="B44" s="665" t="s">
        <v>486</v>
      </c>
      <c r="C44" s="658">
        <v>725.94488188976379</v>
      </c>
      <c r="D44" s="18"/>
      <c r="E44" s="621">
        <v>22.63</v>
      </c>
      <c r="F44" s="621">
        <v>0</v>
      </c>
      <c r="G44" s="622">
        <v>1302.19</v>
      </c>
      <c r="H44" s="622">
        <v>0</v>
      </c>
      <c r="I44" s="622">
        <v>765.62</v>
      </c>
      <c r="J44" s="622">
        <v>44.57</v>
      </c>
      <c r="K44" s="277">
        <v>40</v>
      </c>
      <c r="L44" s="622">
        <v>44.57</v>
      </c>
      <c r="M44" s="622">
        <v>1004.63</v>
      </c>
      <c r="N44" s="620">
        <v>0</v>
      </c>
      <c r="O44" s="620">
        <v>0</v>
      </c>
      <c r="P44" s="622">
        <v>22.27</v>
      </c>
      <c r="Q44" s="622">
        <v>22.3</v>
      </c>
      <c r="R44" s="69"/>
      <c r="S44" s="489">
        <f t="shared" si="87"/>
        <v>1324.8200000000002</v>
      </c>
      <c r="T44" s="489" t="e">
        <f t="shared" si="88"/>
        <v>#REF!</v>
      </c>
      <c r="U44" s="489" t="e">
        <f>MAX(U$41:U$42)+IF($B$2="mil",1,0.0254)*DDR2Specs!$B$3</f>
        <v>#REF!</v>
      </c>
      <c r="V44" s="489" t="e">
        <f>MIN(U$41:U$42)+IF($B$2="mil",1,0.0254)*DDR2Specs!$C$3</f>
        <v>#REF!</v>
      </c>
      <c r="W44" s="21"/>
      <c r="X44" s="598" t="e">
        <f t="shared" si="89"/>
        <v>#REF!</v>
      </c>
      <c r="Y44" s="495" t="e">
        <f t="shared" si="90"/>
        <v>#REF!</v>
      </c>
      <c r="Z44" s="21"/>
      <c r="AA44" s="489">
        <f t="shared" si="91"/>
        <v>3246.4800000000005</v>
      </c>
      <c r="AB44" s="489" t="e">
        <f t="shared" si="92"/>
        <v>#REF!</v>
      </c>
      <c r="AC44" s="489" t="e">
        <f>MAX(AC$41:AC$42)+IF($B$2="mil",1,0.0254)*DDR2Specs!$E$3</f>
        <v>#REF!</v>
      </c>
      <c r="AD44" s="489" t="e">
        <f>MIN(AC$41:AC$42)+IF($B$2="mil",1,0.0254)*DDR2Specs!$F$3</f>
        <v>#REF!</v>
      </c>
      <c r="AE44" s="21"/>
      <c r="AF44" s="598" t="e">
        <f t="shared" si="93"/>
        <v>#REF!</v>
      </c>
      <c r="AG44" s="495" t="e">
        <f t="shared" si="94"/>
        <v>#REF!</v>
      </c>
      <c r="AH44" s="21"/>
      <c r="AI44" s="489">
        <f t="shared" si="95"/>
        <v>3246.5100000000007</v>
      </c>
      <c r="AJ44" s="489" t="e">
        <f t="shared" si="96"/>
        <v>#REF!</v>
      </c>
      <c r="AK44" s="489" t="e">
        <f>MAX(AK$41:AK$42)+IF($B$2="mil",1,0.0254)*DDR2Specs!$E$3</f>
        <v>#REF!</v>
      </c>
      <c r="AL44" s="489" t="e">
        <f>MIN(AK$41:AK$42)+IF($B$2="mil",1,0.0254)*DDR2Specs!$F$3</f>
        <v>#REF!</v>
      </c>
      <c r="AM44" s="21"/>
      <c r="AN44" s="598" t="e">
        <f t="shared" si="97"/>
        <v>#REF!</v>
      </c>
      <c r="AO44" s="495" t="e">
        <f t="shared" si="98"/>
        <v>#REF!</v>
      </c>
      <c r="AP44" s="21"/>
      <c r="AQ44" s="495" t="e">
        <f t="shared" si="99"/>
        <v>#REF!</v>
      </c>
      <c r="AR44" s="495" t="e">
        <f t="shared" si="100"/>
        <v>#REF!</v>
      </c>
      <c r="AS44" s="495" t="e">
        <f t="shared" si="101"/>
        <v>#REF!</v>
      </c>
      <c r="AT44" s="495" t="e">
        <f t="shared" ca="1" si="102"/>
        <v>#NAME?</v>
      </c>
      <c r="AU44" s="495" t="e">
        <f t="shared" si="103"/>
        <v>#REF!</v>
      </c>
      <c r="AV44" s="495" t="e">
        <f t="shared" si="104"/>
        <v>#REF!</v>
      </c>
      <c r="AW44" s="495" t="e">
        <f t="shared" si="105"/>
        <v>#REF!</v>
      </c>
      <c r="AX44" s="495" t="e">
        <f t="shared" si="106"/>
        <v>#REF!</v>
      </c>
      <c r="AY44" s="495" t="e">
        <f t="shared" si="107"/>
        <v>#REF!</v>
      </c>
      <c r="AZ44" s="493" t="e">
        <f t="shared" si="108"/>
        <v>#REF!</v>
      </c>
      <c r="BA44" s="495" t="e">
        <f t="shared" ca="1" si="109"/>
        <v>#NAME?</v>
      </c>
      <c r="BB44" s="495" t="e">
        <f t="shared" ca="1" si="110"/>
        <v>#NAME?</v>
      </c>
      <c r="BC44" s="495" t="e">
        <f t="shared" si="111"/>
        <v>#REF!</v>
      </c>
      <c r="BD44" s="495" t="e">
        <f t="shared" si="112"/>
        <v>#REF!</v>
      </c>
      <c r="BE44" s="495" t="e">
        <f t="shared" si="113"/>
        <v>#REF!</v>
      </c>
      <c r="BF44" s="495" t="e">
        <f t="shared" si="114"/>
        <v>#REF!</v>
      </c>
      <c r="BG44" s="21"/>
      <c r="BH44" s="554" t="e">
        <f t="shared" ca="1" si="115"/>
        <v>#REF!</v>
      </c>
      <c r="BI44" s="554"/>
      <c r="BJ44" s="554"/>
      <c r="BK44" s="3"/>
      <c r="BL44" s="3"/>
      <c r="BM44" s="3"/>
      <c r="BN44" s="3"/>
      <c r="BO44" s="3"/>
      <c r="BP44" s="3"/>
      <c r="BQ44" s="3"/>
      <c r="BR44" s="3"/>
      <c r="BS44" s="3"/>
      <c r="BT44" s="3"/>
      <c r="BU44" s="3"/>
      <c r="BV44" s="3"/>
      <c r="BW44" s="3"/>
      <c r="BX44" s="3"/>
    </row>
    <row r="45" spans="1:76">
      <c r="A45" s="633" t="s">
        <v>149</v>
      </c>
      <c r="B45" s="665" t="s">
        <v>348</v>
      </c>
      <c r="C45" s="658">
        <v>793.66141732283461</v>
      </c>
      <c r="D45" s="18"/>
      <c r="E45" s="621">
        <v>22.63</v>
      </c>
      <c r="F45" s="621">
        <v>0</v>
      </c>
      <c r="G45" s="622">
        <v>1230.69</v>
      </c>
      <c r="H45" s="622">
        <v>0</v>
      </c>
      <c r="I45" s="622">
        <v>763.62</v>
      </c>
      <c r="J45" s="622">
        <v>44.57</v>
      </c>
      <c r="K45" s="277">
        <v>40</v>
      </c>
      <c r="L45" s="622">
        <v>85.78</v>
      </c>
      <c r="M45" s="622">
        <v>958.18</v>
      </c>
      <c r="N45" s="620">
        <v>0</v>
      </c>
      <c r="O45" s="620">
        <v>0</v>
      </c>
      <c r="P45" s="622">
        <v>32.28</v>
      </c>
      <c r="Q45" s="622">
        <v>32.31</v>
      </c>
      <c r="R45" s="69"/>
      <c r="S45" s="489">
        <f t="shared" si="87"/>
        <v>1253.3200000000002</v>
      </c>
      <c r="T45" s="489" t="e">
        <f t="shared" si="88"/>
        <v>#REF!</v>
      </c>
      <c r="U45" s="489" t="e">
        <f>MAX(U$41:U$42)+IF($B$2="mil",1,0.0254)*DDR2Specs!$B$3</f>
        <v>#REF!</v>
      </c>
      <c r="V45" s="489" t="e">
        <f>MIN(U$41:U$42)+IF($B$2="mil",1,0.0254)*DDR2Specs!$C$3</f>
        <v>#REF!</v>
      </c>
      <c r="W45" s="21"/>
      <c r="X45" s="598" t="e">
        <f t="shared" si="89"/>
        <v>#REF!</v>
      </c>
      <c r="Y45" s="495" t="e">
        <f t="shared" si="90"/>
        <v>#REF!</v>
      </c>
      <c r="Z45" s="21"/>
      <c r="AA45" s="489">
        <f t="shared" si="91"/>
        <v>3177.7500000000005</v>
      </c>
      <c r="AB45" s="489" t="e">
        <f t="shared" si="92"/>
        <v>#REF!</v>
      </c>
      <c r="AC45" s="489" t="e">
        <f>MAX(AC$41:AC$42)+IF($B$2="mil",1,0.0254)*DDR2Specs!$E$3</f>
        <v>#REF!</v>
      </c>
      <c r="AD45" s="489" t="e">
        <f>MIN(AC$41:AC$42)+IF($B$2="mil",1,0.0254)*DDR2Specs!$F$3</f>
        <v>#REF!</v>
      </c>
      <c r="AE45" s="21"/>
      <c r="AF45" s="598" t="e">
        <f t="shared" si="93"/>
        <v>#REF!</v>
      </c>
      <c r="AG45" s="495" t="e">
        <f t="shared" si="94"/>
        <v>#REF!</v>
      </c>
      <c r="AH45" s="21"/>
      <c r="AI45" s="489">
        <f t="shared" si="95"/>
        <v>3177.78</v>
      </c>
      <c r="AJ45" s="489" t="e">
        <f t="shared" si="96"/>
        <v>#REF!</v>
      </c>
      <c r="AK45" s="489" t="e">
        <f>MAX(AK$41:AK$42)+IF($B$2="mil",1,0.0254)*DDR2Specs!$E$3</f>
        <v>#REF!</v>
      </c>
      <c r="AL45" s="489" t="e">
        <f>MIN(AK$41:AK$42)+IF($B$2="mil",1,0.0254)*DDR2Specs!$F$3</f>
        <v>#REF!</v>
      </c>
      <c r="AM45" s="21"/>
      <c r="AN45" s="598" t="e">
        <f t="shared" si="97"/>
        <v>#REF!</v>
      </c>
      <c r="AO45" s="495" t="e">
        <f t="shared" si="98"/>
        <v>#REF!</v>
      </c>
      <c r="AP45" s="21"/>
      <c r="AQ45" s="495" t="e">
        <f t="shared" si="99"/>
        <v>#REF!</v>
      </c>
      <c r="AR45" s="495" t="e">
        <f t="shared" si="100"/>
        <v>#REF!</v>
      </c>
      <c r="AS45" s="495" t="e">
        <f t="shared" si="101"/>
        <v>#REF!</v>
      </c>
      <c r="AT45" s="495" t="e">
        <f t="shared" ca="1" si="102"/>
        <v>#NAME?</v>
      </c>
      <c r="AU45" s="495" t="e">
        <f t="shared" si="103"/>
        <v>#REF!</v>
      </c>
      <c r="AV45" s="495" t="e">
        <f t="shared" si="104"/>
        <v>#REF!</v>
      </c>
      <c r="AW45" s="495" t="e">
        <f t="shared" si="105"/>
        <v>#REF!</v>
      </c>
      <c r="AX45" s="495" t="e">
        <f t="shared" si="106"/>
        <v>#REF!</v>
      </c>
      <c r="AY45" s="495" t="e">
        <f t="shared" si="107"/>
        <v>#REF!</v>
      </c>
      <c r="AZ45" s="493" t="e">
        <f t="shared" si="108"/>
        <v>#REF!</v>
      </c>
      <c r="BA45" s="495" t="e">
        <f t="shared" ca="1" si="109"/>
        <v>#NAME?</v>
      </c>
      <c r="BB45" s="495" t="e">
        <f t="shared" ca="1" si="110"/>
        <v>#NAME?</v>
      </c>
      <c r="BC45" s="495" t="e">
        <f t="shared" si="111"/>
        <v>#REF!</v>
      </c>
      <c r="BD45" s="495" t="e">
        <f t="shared" si="112"/>
        <v>#REF!</v>
      </c>
      <c r="BE45" s="495" t="e">
        <f t="shared" si="113"/>
        <v>#REF!</v>
      </c>
      <c r="BF45" s="495" t="e">
        <f t="shared" si="114"/>
        <v>#REF!</v>
      </c>
      <c r="BG45" s="21"/>
      <c r="BH45" s="554" t="e">
        <f t="shared" ca="1" si="115"/>
        <v>#REF!</v>
      </c>
      <c r="BI45" s="554"/>
      <c r="BJ45" s="554"/>
      <c r="BK45" s="3"/>
      <c r="BL45" s="3"/>
      <c r="BM45" s="3"/>
      <c r="BN45" s="3"/>
      <c r="BO45" s="3"/>
      <c r="BP45" s="3"/>
      <c r="BQ45" s="3"/>
      <c r="BR45" s="3"/>
      <c r="BS45" s="3"/>
      <c r="BT45" s="3"/>
      <c r="BU45" s="3"/>
      <c r="BV45" s="3"/>
      <c r="BW45" s="3"/>
      <c r="BX45" s="3"/>
    </row>
    <row r="46" spans="1:76">
      <c r="A46" s="633" t="s">
        <v>150</v>
      </c>
      <c r="B46" s="665" t="s">
        <v>353</v>
      </c>
      <c r="C46" s="658">
        <v>909.6062992125984</v>
      </c>
      <c r="D46" s="18"/>
      <c r="E46" s="621">
        <v>22.63</v>
      </c>
      <c r="F46" s="621">
        <v>0</v>
      </c>
      <c r="G46" s="622">
        <v>1110.02</v>
      </c>
      <c r="H46" s="622">
        <v>10</v>
      </c>
      <c r="I46" s="622">
        <v>718.59</v>
      </c>
      <c r="J46" s="622">
        <v>85.78</v>
      </c>
      <c r="K46" s="277">
        <v>40</v>
      </c>
      <c r="L46" s="622">
        <v>44.57</v>
      </c>
      <c r="M46" s="622">
        <v>1010.54</v>
      </c>
      <c r="N46" s="620">
        <v>0</v>
      </c>
      <c r="O46" s="620">
        <v>0</v>
      </c>
      <c r="P46" s="622">
        <v>31.4</v>
      </c>
      <c r="Q46" s="622">
        <v>31.37</v>
      </c>
      <c r="R46" s="69"/>
      <c r="S46" s="489">
        <f t="shared" si="87"/>
        <v>1142.6500000000001</v>
      </c>
      <c r="T46" s="489" t="e">
        <f t="shared" si="88"/>
        <v>#REF!</v>
      </c>
      <c r="U46" s="489" t="e">
        <f>MAX(U$41:U$42)+IF($B$2="mil",1,0.0254)*DDR2Specs!$B$3</f>
        <v>#REF!</v>
      </c>
      <c r="V46" s="489" t="e">
        <f>MIN(U$41:U$42)+IF($B$2="mil",1,0.0254)*DDR2Specs!$C$3</f>
        <v>#REF!</v>
      </c>
      <c r="W46" s="21"/>
      <c r="X46" s="598" t="e">
        <f t="shared" si="89"/>
        <v>#REF!</v>
      </c>
      <c r="Y46" s="495" t="e">
        <f t="shared" si="90"/>
        <v>#REF!</v>
      </c>
      <c r="Z46" s="21"/>
      <c r="AA46" s="489">
        <f t="shared" si="91"/>
        <v>3063.53</v>
      </c>
      <c r="AB46" s="489" t="e">
        <f t="shared" si="92"/>
        <v>#REF!</v>
      </c>
      <c r="AC46" s="489" t="e">
        <f>MAX(AC$41:AC$42)+IF($B$2="mil",1,0.0254)*DDR2Specs!$E$3</f>
        <v>#REF!</v>
      </c>
      <c r="AD46" s="489" t="e">
        <f>MIN(AC$41:AC$42)+IF($B$2="mil",1,0.0254)*DDR2Specs!$F$3</f>
        <v>#REF!</v>
      </c>
      <c r="AE46" s="21"/>
      <c r="AF46" s="598" t="e">
        <f t="shared" si="93"/>
        <v>#REF!</v>
      </c>
      <c r="AG46" s="495" t="e">
        <f t="shared" si="94"/>
        <v>#REF!</v>
      </c>
      <c r="AH46" s="21"/>
      <c r="AI46" s="489">
        <f t="shared" si="95"/>
        <v>3063.5</v>
      </c>
      <c r="AJ46" s="489" t="e">
        <f t="shared" si="96"/>
        <v>#REF!</v>
      </c>
      <c r="AK46" s="489" t="e">
        <f>MAX(AK$41:AK$42)+IF($B$2="mil",1,0.0254)*DDR2Specs!$E$3</f>
        <v>#REF!</v>
      </c>
      <c r="AL46" s="489" t="e">
        <f>MIN(AK$41:AK$42)+IF($B$2="mil",1,0.0254)*DDR2Specs!$F$3</f>
        <v>#REF!</v>
      </c>
      <c r="AM46" s="21"/>
      <c r="AN46" s="598" t="e">
        <f t="shared" si="97"/>
        <v>#REF!</v>
      </c>
      <c r="AO46" s="495" t="e">
        <f t="shared" si="98"/>
        <v>#REF!</v>
      </c>
      <c r="AP46" s="21"/>
      <c r="AQ46" s="495" t="e">
        <f t="shared" si="99"/>
        <v>#REF!</v>
      </c>
      <c r="AR46" s="495" t="e">
        <f t="shared" si="100"/>
        <v>#REF!</v>
      </c>
      <c r="AS46" s="495" t="e">
        <f t="shared" si="101"/>
        <v>#REF!</v>
      </c>
      <c r="AT46" s="495" t="e">
        <f t="shared" ca="1" si="102"/>
        <v>#NAME?</v>
      </c>
      <c r="AU46" s="495" t="e">
        <f t="shared" si="103"/>
        <v>#REF!</v>
      </c>
      <c r="AV46" s="495" t="e">
        <f t="shared" si="104"/>
        <v>#REF!</v>
      </c>
      <c r="AW46" s="495" t="e">
        <f t="shared" si="105"/>
        <v>#REF!</v>
      </c>
      <c r="AX46" s="495" t="e">
        <f t="shared" si="106"/>
        <v>#REF!</v>
      </c>
      <c r="AY46" s="495" t="e">
        <f t="shared" si="107"/>
        <v>#REF!</v>
      </c>
      <c r="AZ46" s="493" t="e">
        <f t="shared" si="108"/>
        <v>#REF!</v>
      </c>
      <c r="BA46" s="495" t="e">
        <f t="shared" ca="1" si="109"/>
        <v>#NAME?</v>
      </c>
      <c r="BB46" s="495" t="e">
        <f t="shared" ca="1" si="110"/>
        <v>#NAME?</v>
      </c>
      <c r="BC46" s="495" t="e">
        <f t="shared" si="111"/>
        <v>#REF!</v>
      </c>
      <c r="BD46" s="495" t="e">
        <f t="shared" si="112"/>
        <v>#REF!</v>
      </c>
      <c r="BE46" s="495" t="e">
        <f t="shared" si="113"/>
        <v>#REF!</v>
      </c>
      <c r="BF46" s="495" t="e">
        <f t="shared" si="114"/>
        <v>#REF!</v>
      </c>
      <c r="BG46" s="21"/>
      <c r="BH46" s="554" t="e">
        <f t="shared" ca="1" si="115"/>
        <v>#REF!</v>
      </c>
      <c r="BI46" s="554"/>
      <c r="BJ46" s="554"/>
      <c r="BK46" s="3"/>
      <c r="BL46" s="3"/>
      <c r="BM46" s="3"/>
      <c r="BN46" s="3"/>
      <c r="BO46" s="3"/>
      <c r="BP46" s="3"/>
      <c r="BQ46" s="3"/>
      <c r="BR46" s="3"/>
      <c r="BS46" s="3"/>
      <c r="BT46" s="3"/>
      <c r="BU46" s="3"/>
      <c r="BV46" s="3"/>
      <c r="BW46" s="3"/>
      <c r="BX46" s="3"/>
    </row>
    <row r="47" spans="1:76">
      <c r="A47" s="633" t="s">
        <v>151</v>
      </c>
      <c r="B47" s="665" t="s">
        <v>350</v>
      </c>
      <c r="C47" s="658">
        <v>749.6062992125984</v>
      </c>
      <c r="D47" s="18"/>
      <c r="E47" s="621">
        <v>22.63</v>
      </c>
      <c r="F47" s="621">
        <v>0</v>
      </c>
      <c r="G47" s="622">
        <v>1236.55</v>
      </c>
      <c r="H47" s="622">
        <v>30</v>
      </c>
      <c r="I47" s="622">
        <v>738.31</v>
      </c>
      <c r="J47" s="622">
        <v>44.57</v>
      </c>
      <c r="K47" s="277">
        <v>40</v>
      </c>
      <c r="L47" s="622">
        <v>85.78</v>
      </c>
      <c r="M47" s="622">
        <v>1040.77</v>
      </c>
      <c r="N47" s="620">
        <v>0</v>
      </c>
      <c r="O47" s="620">
        <v>0</v>
      </c>
      <c r="P47" s="622">
        <v>22.27</v>
      </c>
      <c r="Q47" s="622">
        <v>24.29</v>
      </c>
      <c r="R47" s="69"/>
      <c r="S47" s="489">
        <f t="shared" si="87"/>
        <v>1289.18</v>
      </c>
      <c r="T47" s="489" t="e">
        <f t="shared" si="88"/>
        <v>#REF!</v>
      </c>
      <c r="U47" s="489" t="e">
        <f>MAX(U$41:U$42)+IF($B$2="mil",1,0.0254)*DDR2Specs!$B$3</f>
        <v>#REF!</v>
      </c>
      <c r="V47" s="489" t="e">
        <f>MIN(U$41:U$42)+IF($B$2="mil",1,0.0254)*DDR2Specs!$C$3</f>
        <v>#REF!</v>
      </c>
      <c r="W47" s="21"/>
      <c r="X47" s="598" t="e">
        <f t="shared" si="89"/>
        <v>#REF!</v>
      </c>
      <c r="Y47" s="495" t="e">
        <f t="shared" si="90"/>
        <v>#REF!</v>
      </c>
      <c r="Z47" s="21"/>
      <c r="AA47" s="489">
        <f t="shared" si="91"/>
        <v>3230.88</v>
      </c>
      <c r="AB47" s="489" t="e">
        <f t="shared" si="92"/>
        <v>#REF!</v>
      </c>
      <c r="AC47" s="489" t="e">
        <f>MAX(AC$41:AC$42)+IF($B$2="mil",1,0.0254)*DDR2Specs!$E$3</f>
        <v>#REF!</v>
      </c>
      <c r="AD47" s="489" t="e">
        <f>MIN(AC$41:AC$42)+IF($B$2="mil",1,0.0254)*DDR2Specs!$F$3</f>
        <v>#REF!</v>
      </c>
      <c r="AE47" s="21"/>
      <c r="AF47" s="598" t="e">
        <f t="shared" si="93"/>
        <v>#REF!</v>
      </c>
      <c r="AG47" s="495" t="e">
        <f t="shared" si="94"/>
        <v>#REF!</v>
      </c>
      <c r="AH47" s="21"/>
      <c r="AI47" s="489">
        <f t="shared" si="95"/>
        <v>3232.9</v>
      </c>
      <c r="AJ47" s="489" t="e">
        <f t="shared" si="96"/>
        <v>#REF!</v>
      </c>
      <c r="AK47" s="489" t="e">
        <f>MAX(AK$41:AK$42)+IF($B$2="mil",1,0.0254)*DDR2Specs!$E$3</f>
        <v>#REF!</v>
      </c>
      <c r="AL47" s="489" t="e">
        <f>MIN(AK$41:AK$42)+IF($B$2="mil",1,0.0254)*DDR2Specs!$F$3</f>
        <v>#REF!</v>
      </c>
      <c r="AM47" s="21"/>
      <c r="AN47" s="598" t="e">
        <f t="shared" si="97"/>
        <v>#REF!</v>
      </c>
      <c r="AO47" s="495" t="e">
        <f t="shared" si="98"/>
        <v>#REF!</v>
      </c>
      <c r="AP47" s="21"/>
      <c r="AQ47" s="495" t="e">
        <f t="shared" si="99"/>
        <v>#REF!</v>
      </c>
      <c r="AR47" s="495" t="e">
        <f t="shared" si="100"/>
        <v>#REF!</v>
      </c>
      <c r="AS47" s="495" t="e">
        <f t="shared" si="101"/>
        <v>#REF!</v>
      </c>
      <c r="AT47" s="495" t="e">
        <f t="shared" ca="1" si="102"/>
        <v>#NAME?</v>
      </c>
      <c r="AU47" s="495" t="e">
        <f t="shared" si="103"/>
        <v>#REF!</v>
      </c>
      <c r="AV47" s="495" t="e">
        <f t="shared" si="104"/>
        <v>#REF!</v>
      </c>
      <c r="AW47" s="495" t="e">
        <f t="shared" si="105"/>
        <v>#REF!</v>
      </c>
      <c r="AX47" s="495" t="e">
        <f t="shared" si="106"/>
        <v>#REF!</v>
      </c>
      <c r="AY47" s="495" t="e">
        <f t="shared" si="107"/>
        <v>#REF!</v>
      </c>
      <c r="AZ47" s="493" t="e">
        <f t="shared" si="108"/>
        <v>#REF!</v>
      </c>
      <c r="BA47" s="495" t="e">
        <f t="shared" ca="1" si="109"/>
        <v>#NAME?</v>
      </c>
      <c r="BB47" s="495" t="e">
        <f t="shared" ca="1" si="110"/>
        <v>#NAME?</v>
      </c>
      <c r="BC47" s="495" t="e">
        <f t="shared" si="111"/>
        <v>#REF!</v>
      </c>
      <c r="BD47" s="495" t="e">
        <f t="shared" si="112"/>
        <v>#REF!</v>
      </c>
      <c r="BE47" s="495" t="e">
        <f t="shared" si="113"/>
        <v>#REF!</v>
      </c>
      <c r="BF47" s="495" t="e">
        <f t="shared" si="114"/>
        <v>#REF!</v>
      </c>
      <c r="BG47" s="21"/>
      <c r="BH47" s="554" t="e">
        <f t="shared" ca="1" si="115"/>
        <v>#REF!</v>
      </c>
      <c r="BI47" s="554"/>
      <c r="BJ47" s="554"/>
      <c r="BK47" s="3"/>
      <c r="BL47" s="3"/>
      <c r="BM47" s="3"/>
      <c r="BN47" s="3"/>
      <c r="BO47" s="3"/>
      <c r="BP47" s="3"/>
      <c r="BQ47" s="3"/>
      <c r="BR47" s="3"/>
      <c r="BS47" s="3"/>
      <c r="BT47" s="3"/>
      <c r="BU47" s="3"/>
      <c r="BV47" s="3"/>
      <c r="BW47" s="3"/>
      <c r="BX47" s="3"/>
    </row>
    <row r="48" spans="1:76">
      <c r="A48" s="633" t="s">
        <v>152</v>
      </c>
      <c r="B48" s="672" t="s">
        <v>487</v>
      </c>
      <c r="C48" s="658">
        <v>808.70078740157487</v>
      </c>
      <c r="D48" s="18"/>
      <c r="E48" s="621">
        <v>22.63</v>
      </c>
      <c r="F48" s="621">
        <v>0</v>
      </c>
      <c r="G48" s="622">
        <v>1180.1099999999999</v>
      </c>
      <c r="H48" s="622">
        <v>30</v>
      </c>
      <c r="I48" s="622">
        <v>753.05</v>
      </c>
      <c r="J48" s="622">
        <v>85.78</v>
      </c>
      <c r="K48" s="277">
        <v>40</v>
      </c>
      <c r="L48" s="622">
        <v>44.57</v>
      </c>
      <c r="M48" s="622">
        <v>998.44</v>
      </c>
      <c r="N48" s="620">
        <v>0</v>
      </c>
      <c r="O48" s="620">
        <v>0</v>
      </c>
      <c r="P48" s="622">
        <v>44.7</v>
      </c>
      <c r="Q48" s="622">
        <v>44.67</v>
      </c>
      <c r="R48" s="69"/>
      <c r="S48" s="489">
        <f t="shared" si="87"/>
        <v>1232.74</v>
      </c>
      <c r="T48" s="489" t="e">
        <f t="shared" si="88"/>
        <v>#REF!</v>
      </c>
      <c r="U48" s="489" t="e">
        <f>MAX(U$41:U$42)+IF($B$2="mil",1,0.0254)*DDR2Specs!$B$3</f>
        <v>#REF!</v>
      </c>
      <c r="V48" s="489" t="e">
        <f>MIN(U$41:U$42)+IF($B$2="mil",1,0.0254)*DDR2Specs!$C$3</f>
        <v>#REF!</v>
      </c>
      <c r="W48" s="21"/>
      <c r="X48" s="598" t="e">
        <f t="shared" si="89"/>
        <v>#REF!</v>
      </c>
      <c r="Y48" s="495" t="e">
        <f t="shared" si="90"/>
        <v>#REF!</v>
      </c>
      <c r="Z48" s="21"/>
      <c r="AA48" s="489">
        <f t="shared" si="91"/>
        <v>3169.2799999999997</v>
      </c>
      <c r="AB48" s="489" t="e">
        <f t="shared" si="92"/>
        <v>#REF!</v>
      </c>
      <c r="AC48" s="489" t="e">
        <f>MAX(AC$41:AC$42)+IF($B$2="mil",1,0.0254)*DDR2Specs!$E$3</f>
        <v>#REF!</v>
      </c>
      <c r="AD48" s="489" t="e">
        <f>MIN(AC$41:AC$42)+IF($B$2="mil",1,0.0254)*DDR2Specs!$F$3</f>
        <v>#REF!</v>
      </c>
      <c r="AE48" s="21"/>
      <c r="AF48" s="598" t="e">
        <f t="shared" si="93"/>
        <v>#REF!</v>
      </c>
      <c r="AG48" s="495" t="e">
        <f t="shared" si="94"/>
        <v>#REF!</v>
      </c>
      <c r="AH48" s="21"/>
      <c r="AI48" s="489">
        <f t="shared" si="95"/>
        <v>3169.25</v>
      </c>
      <c r="AJ48" s="489" t="e">
        <f t="shared" si="96"/>
        <v>#REF!</v>
      </c>
      <c r="AK48" s="489" t="e">
        <f>MAX(AK$41:AK$42)+IF($B$2="mil",1,0.0254)*DDR2Specs!$E$3</f>
        <v>#REF!</v>
      </c>
      <c r="AL48" s="489" t="e">
        <f>MIN(AK$41:AK$42)+IF($B$2="mil",1,0.0254)*DDR2Specs!$F$3</f>
        <v>#REF!</v>
      </c>
      <c r="AM48" s="21"/>
      <c r="AN48" s="598" t="e">
        <f t="shared" si="97"/>
        <v>#REF!</v>
      </c>
      <c r="AO48" s="495" t="e">
        <f t="shared" si="98"/>
        <v>#REF!</v>
      </c>
      <c r="AP48" s="21"/>
      <c r="AQ48" s="495" t="e">
        <f t="shared" si="99"/>
        <v>#REF!</v>
      </c>
      <c r="AR48" s="495" t="e">
        <f t="shared" si="100"/>
        <v>#REF!</v>
      </c>
      <c r="AS48" s="495" t="e">
        <f t="shared" si="101"/>
        <v>#REF!</v>
      </c>
      <c r="AT48" s="495" t="e">
        <f t="shared" ca="1" si="102"/>
        <v>#NAME?</v>
      </c>
      <c r="AU48" s="495" t="e">
        <f t="shared" si="103"/>
        <v>#REF!</v>
      </c>
      <c r="AV48" s="495" t="e">
        <f t="shared" si="104"/>
        <v>#REF!</v>
      </c>
      <c r="AW48" s="495" t="e">
        <f t="shared" si="105"/>
        <v>#REF!</v>
      </c>
      <c r="AX48" s="495" t="e">
        <f t="shared" si="106"/>
        <v>#REF!</v>
      </c>
      <c r="AY48" s="495" t="e">
        <f t="shared" si="107"/>
        <v>#REF!</v>
      </c>
      <c r="AZ48" s="493" t="e">
        <f t="shared" si="108"/>
        <v>#REF!</v>
      </c>
      <c r="BA48" s="495" t="e">
        <f t="shared" ca="1" si="109"/>
        <v>#NAME?</v>
      </c>
      <c r="BB48" s="495" t="e">
        <f t="shared" ca="1" si="110"/>
        <v>#NAME?</v>
      </c>
      <c r="BC48" s="495" t="e">
        <f t="shared" si="111"/>
        <v>#REF!</v>
      </c>
      <c r="BD48" s="495" t="e">
        <f t="shared" si="112"/>
        <v>#REF!</v>
      </c>
      <c r="BE48" s="495" t="e">
        <f t="shared" si="113"/>
        <v>#REF!</v>
      </c>
      <c r="BF48" s="495" t="e">
        <f t="shared" si="114"/>
        <v>#REF!</v>
      </c>
      <c r="BG48" s="21"/>
      <c r="BH48" s="554" t="e">
        <f t="shared" ca="1" si="115"/>
        <v>#REF!</v>
      </c>
      <c r="BI48" s="554"/>
      <c r="BJ48" s="554"/>
      <c r="BK48" s="3"/>
      <c r="BL48" s="3"/>
      <c r="BM48" s="3"/>
      <c r="BN48" s="3"/>
      <c r="BO48" s="3"/>
      <c r="BP48" s="3"/>
      <c r="BQ48" s="3"/>
      <c r="BR48" s="3"/>
      <c r="BS48" s="3"/>
      <c r="BT48" s="3"/>
      <c r="BU48" s="3"/>
      <c r="BV48" s="3"/>
      <c r="BW48" s="3"/>
      <c r="BX48" s="3"/>
    </row>
    <row r="49" spans="1:76">
      <c r="A49" s="633" t="s">
        <v>153</v>
      </c>
      <c r="B49" s="665" t="s">
        <v>488</v>
      </c>
      <c r="C49" s="658">
        <v>901.61417322834643</v>
      </c>
      <c r="D49" s="18"/>
      <c r="E49" s="621">
        <v>22.63</v>
      </c>
      <c r="F49" s="621">
        <v>0</v>
      </c>
      <c r="G49" s="622">
        <v>1092.5</v>
      </c>
      <c r="H49" s="622">
        <v>30</v>
      </c>
      <c r="I49" s="622">
        <v>790.79</v>
      </c>
      <c r="J49" s="622">
        <v>44.57</v>
      </c>
      <c r="K49" s="277">
        <v>40</v>
      </c>
      <c r="L49" s="622">
        <v>85.78</v>
      </c>
      <c r="M49" s="622">
        <v>897.89</v>
      </c>
      <c r="N49" s="620">
        <v>0</v>
      </c>
      <c r="O49" s="620">
        <v>0</v>
      </c>
      <c r="P49" s="622">
        <v>103.32</v>
      </c>
      <c r="Q49" s="622">
        <v>103.36</v>
      </c>
      <c r="R49" s="69"/>
      <c r="S49" s="489">
        <f t="shared" si="87"/>
        <v>1145.1300000000001</v>
      </c>
      <c r="T49" s="489" t="e">
        <f t="shared" si="88"/>
        <v>#REF!</v>
      </c>
      <c r="U49" s="489" t="e">
        <f>MAX(U$41:U$42)+IF($B$2="mil",1,0.0254)*DDR2Specs!$B$3</f>
        <v>#REF!</v>
      </c>
      <c r="V49" s="489" t="e">
        <f>MIN(U$41:U$42)+IF($B$2="mil",1,0.0254)*DDR2Specs!$C$3</f>
        <v>#REF!</v>
      </c>
      <c r="W49" s="21"/>
      <c r="X49" s="598" t="e">
        <f t="shared" si="89"/>
        <v>#REF!</v>
      </c>
      <c r="Y49" s="495" t="e">
        <f t="shared" si="90"/>
        <v>#REF!</v>
      </c>
      <c r="Z49" s="21"/>
      <c r="AA49" s="489">
        <f t="shared" si="91"/>
        <v>3077.48</v>
      </c>
      <c r="AB49" s="489" t="e">
        <f t="shared" si="92"/>
        <v>#REF!</v>
      </c>
      <c r="AC49" s="489" t="e">
        <f>MAX(AC$41:AC$42)+IF($B$2="mil",1,0.0254)*DDR2Specs!$E$3</f>
        <v>#REF!</v>
      </c>
      <c r="AD49" s="489" t="e">
        <f>MIN(AC$41:AC$42)+IF($B$2="mil",1,0.0254)*DDR2Specs!$F$3</f>
        <v>#REF!</v>
      </c>
      <c r="AE49" s="21"/>
      <c r="AF49" s="598" t="e">
        <f t="shared" si="93"/>
        <v>#REF!</v>
      </c>
      <c r="AG49" s="495" t="e">
        <f t="shared" si="94"/>
        <v>#REF!</v>
      </c>
      <c r="AH49" s="21"/>
      <c r="AI49" s="489">
        <f t="shared" si="95"/>
        <v>3077.52</v>
      </c>
      <c r="AJ49" s="489" t="e">
        <f t="shared" si="96"/>
        <v>#REF!</v>
      </c>
      <c r="AK49" s="489" t="e">
        <f>MAX(AK$41:AK$42)+IF($B$2="mil",1,0.0254)*DDR2Specs!$E$3</f>
        <v>#REF!</v>
      </c>
      <c r="AL49" s="489" t="e">
        <f>MIN(AK$41:AK$42)+IF($B$2="mil",1,0.0254)*DDR2Specs!$F$3</f>
        <v>#REF!</v>
      </c>
      <c r="AM49" s="21"/>
      <c r="AN49" s="598" t="e">
        <f t="shared" si="97"/>
        <v>#REF!</v>
      </c>
      <c r="AO49" s="495" t="e">
        <f t="shared" si="98"/>
        <v>#REF!</v>
      </c>
      <c r="AP49" s="21"/>
      <c r="AQ49" s="495" t="e">
        <f t="shared" si="99"/>
        <v>#REF!</v>
      </c>
      <c r="AR49" s="495" t="e">
        <f t="shared" si="100"/>
        <v>#REF!</v>
      </c>
      <c r="AS49" s="495" t="e">
        <f t="shared" si="101"/>
        <v>#REF!</v>
      </c>
      <c r="AT49" s="495" t="e">
        <f t="shared" ca="1" si="102"/>
        <v>#NAME?</v>
      </c>
      <c r="AU49" s="495" t="e">
        <f t="shared" si="103"/>
        <v>#REF!</v>
      </c>
      <c r="AV49" s="495" t="e">
        <f t="shared" si="104"/>
        <v>#REF!</v>
      </c>
      <c r="AW49" s="495" t="e">
        <f t="shared" si="105"/>
        <v>#REF!</v>
      </c>
      <c r="AX49" s="495" t="e">
        <f t="shared" si="106"/>
        <v>#REF!</v>
      </c>
      <c r="AY49" s="495" t="e">
        <f t="shared" si="107"/>
        <v>#REF!</v>
      </c>
      <c r="AZ49" s="493" t="e">
        <f t="shared" si="108"/>
        <v>#REF!</v>
      </c>
      <c r="BA49" s="495" t="e">
        <f t="shared" ca="1" si="109"/>
        <v>#NAME?</v>
      </c>
      <c r="BB49" s="495" t="e">
        <f t="shared" ca="1" si="110"/>
        <v>#NAME?</v>
      </c>
      <c r="BC49" s="495" t="e">
        <f t="shared" si="111"/>
        <v>#REF!</v>
      </c>
      <c r="BD49" s="495" t="e">
        <f t="shared" si="112"/>
        <v>#REF!</v>
      </c>
      <c r="BE49" s="495" t="e">
        <f t="shared" si="113"/>
        <v>#REF!</v>
      </c>
      <c r="BF49" s="495" t="e">
        <f t="shared" si="114"/>
        <v>#REF!</v>
      </c>
      <c r="BG49" s="21"/>
      <c r="BH49" s="554" t="e">
        <f t="shared" ca="1" si="115"/>
        <v>#REF!</v>
      </c>
      <c r="BI49" s="554"/>
      <c r="BJ49" s="554"/>
      <c r="BK49" s="3"/>
      <c r="BL49" s="3"/>
      <c r="BM49" s="3"/>
      <c r="BN49" s="3"/>
      <c r="BO49" s="3"/>
      <c r="BP49" s="3"/>
      <c r="BQ49" s="3"/>
      <c r="BR49" s="3"/>
      <c r="BS49" s="3"/>
      <c r="BT49" s="3"/>
      <c r="BU49" s="3"/>
      <c r="BV49" s="3"/>
      <c r="BW49" s="3"/>
      <c r="BX49" s="3"/>
    </row>
    <row r="50" spans="1:76">
      <c r="A50" s="633" t="s">
        <v>154</v>
      </c>
      <c r="B50" s="665" t="s">
        <v>355</v>
      </c>
      <c r="C50" s="658">
        <v>894.17322834645665</v>
      </c>
      <c r="D50" s="18"/>
      <c r="E50" s="621">
        <v>22.63</v>
      </c>
      <c r="F50" s="621">
        <v>0</v>
      </c>
      <c r="G50" s="622">
        <v>1105.72</v>
      </c>
      <c r="H50" s="622">
        <v>30</v>
      </c>
      <c r="I50" s="622">
        <v>731.39</v>
      </c>
      <c r="J50" s="622">
        <v>85.78</v>
      </c>
      <c r="K50" s="277">
        <v>40</v>
      </c>
      <c r="L50" s="622">
        <v>44.57</v>
      </c>
      <c r="M50" s="622">
        <v>956.07</v>
      </c>
      <c r="N50" s="620">
        <v>0</v>
      </c>
      <c r="O50" s="620">
        <v>0</v>
      </c>
      <c r="P50" s="622">
        <v>94.03</v>
      </c>
      <c r="Q50" s="622">
        <v>95.46</v>
      </c>
      <c r="R50" s="69"/>
      <c r="S50" s="489">
        <f t="shared" si="87"/>
        <v>1158.3500000000001</v>
      </c>
      <c r="T50" s="489" t="e">
        <f t="shared" si="88"/>
        <v>#REF!</v>
      </c>
      <c r="U50" s="489" t="e">
        <f>MAX(U$41:U$42)+IF($B$2="mil",1,0.0254)*DDR2Specs!$B$3</f>
        <v>#REF!</v>
      </c>
      <c r="V50" s="489" t="e">
        <f>MIN(U$41:U$42)+IF($B$2="mil",1,0.0254)*DDR2Specs!$C$3</f>
        <v>#REF!</v>
      </c>
      <c r="W50" s="21"/>
      <c r="X50" s="598" t="e">
        <f t="shared" si="89"/>
        <v>#REF!</v>
      </c>
      <c r="Y50" s="495" t="e">
        <f t="shared" si="90"/>
        <v>#REF!</v>
      </c>
      <c r="Z50" s="21"/>
      <c r="AA50" s="489">
        <f t="shared" si="91"/>
        <v>3080.1900000000005</v>
      </c>
      <c r="AB50" s="489" t="e">
        <f t="shared" si="92"/>
        <v>#REF!</v>
      </c>
      <c r="AC50" s="489" t="e">
        <f>MAX(AC$41:AC$42)+IF($B$2="mil",1,0.0254)*DDR2Specs!$E$3</f>
        <v>#REF!</v>
      </c>
      <c r="AD50" s="489" t="e">
        <f>MIN(AC$41:AC$42)+IF($B$2="mil",1,0.0254)*DDR2Specs!$F$3</f>
        <v>#REF!</v>
      </c>
      <c r="AE50" s="21"/>
      <c r="AF50" s="598" t="e">
        <f t="shared" si="93"/>
        <v>#REF!</v>
      </c>
      <c r="AG50" s="495" t="e">
        <f t="shared" si="94"/>
        <v>#REF!</v>
      </c>
      <c r="AH50" s="21"/>
      <c r="AI50" s="489">
        <f t="shared" si="95"/>
        <v>3081.6200000000003</v>
      </c>
      <c r="AJ50" s="489" t="e">
        <f t="shared" si="96"/>
        <v>#REF!</v>
      </c>
      <c r="AK50" s="489" t="e">
        <f>MAX(AK$41:AK$42)+IF($B$2="mil",1,0.0254)*DDR2Specs!$E$3</f>
        <v>#REF!</v>
      </c>
      <c r="AL50" s="489" t="e">
        <f>MIN(AK$41:AK$42)+IF($B$2="mil",1,0.0254)*DDR2Specs!$F$3</f>
        <v>#REF!</v>
      </c>
      <c r="AM50" s="21"/>
      <c r="AN50" s="598" t="e">
        <f t="shared" si="97"/>
        <v>#REF!</v>
      </c>
      <c r="AO50" s="495" t="e">
        <f t="shared" si="98"/>
        <v>#REF!</v>
      </c>
      <c r="AP50" s="21"/>
      <c r="AQ50" s="495" t="e">
        <f t="shared" si="99"/>
        <v>#REF!</v>
      </c>
      <c r="AR50" s="495" t="e">
        <f t="shared" si="100"/>
        <v>#REF!</v>
      </c>
      <c r="AS50" s="495" t="e">
        <f t="shared" si="101"/>
        <v>#REF!</v>
      </c>
      <c r="AT50" s="495" t="e">
        <f t="shared" ca="1" si="102"/>
        <v>#NAME?</v>
      </c>
      <c r="AU50" s="495" t="e">
        <f t="shared" si="103"/>
        <v>#REF!</v>
      </c>
      <c r="AV50" s="495" t="e">
        <f t="shared" si="104"/>
        <v>#REF!</v>
      </c>
      <c r="AW50" s="495" t="e">
        <f t="shared" si="105"/>
        <v>#REF!</v>
      </c>
      <c r="AX50" s="495" t="e">
        <f t="shared" si="106"/>
        <v>#REF!</v>
      </c>
      <c r="AY50" s="495" t="e">
        <f t="shared" si="107"/>
        <v>#REF!</v>
      </c>
      <c r="AZ50" s="493" t="e">
        <f t="shared" si="108"/>
        <v>#REF!</v>
      </c>
      <c r="BA50" s="495" t="e">
        <f t="shared" ca="1" si="109"/>
        <v>#NAME?</v>
      </c>
      <c r="BB50" s="495" t="e">
        <f t="shared" ca="1" si="110"/>
        <v>#NAME?</v>
      </c>
      <c r="BC50" s="495" t="e">
        <f t="shared" si="111"/>
        <v>#REF!</v>
      </c>
      <c r="BD50" s="495" t="e">
        <f t="shared" si="112"/>
        <v>#REF!</v>
      </c>
      <c r="BE50" s="495" t="e">
        <f t="shared" si="113"/>
        <v>#REF!</v>
      </c>
      <c r="BF50" s="495" t="e">
        <f t="shared" si="114"/>
        <v>#REF!</v>
      </c>
      <c r="BG50" s="21"/>
      <c r="BH50" s="554" t="e">
        <f t="shared" ca="1" si="115"/>
        <v>#REF!</v>
      </c>
      <c r="BI50" s="554"/>
      <c r="BJ50" s="554"/>
      <c r="BK50" s="3"/>
      <c r="BL50" s="3"/>
      <c r="BM50" s="3"/>
      <c r="BN50" s="3"/>
      <c r="BO50" s="3"/>
      <c r="BP50" s="3"/>
      <c r="BQ50" s="3"/>
      <c r="BR50" s="3"/>
      <c r="BS50" s="3"/>
      <c r="BT50" s="3"/>
      <c r="BU50" s="3"/>
      <c r="BV50" s="3"/>
      <c r="BW50" s="3"/>
      <c r="BX50" s="3"/>
    </row>
    <row r="51" spans="1:76">
      <c r="A51" s="666" t="s">
        <v>155</v>
      </c>
      <c r="B51" s="667" t="s">
        <v>519</v>
      </c>
      <c r="C51" s="658">
        <v>728.70078740157487</v>
      </c>
      <c r="D51" s="18"/>
      <c r="E51" s="621">
        <v>22.63</v>
      </c>
      <c r="F51" s="621">
        <v>0</v>
      </c>
      <c r="G51" s="622">
        <v>1272.19</v>
      </c>
      <c r="H51" s="622">
        <v>20</v>
      </c>
      <c r="I51" s="622">
        <v>721.48</v>
      </c>
      <c r="J51" s="622">
        <v>85.78</v>
      </c>
      <c r="K51" s="277">
        <v>40</v>
      </c>
      <c r="L51" s="622">
        <v>85.78</v>
      </c>
      <c r="M51" s="622">
        <v>949.23</v>
      </c>
      <c r="N51" s="620">
        <v>0</v>
      </c>
      <c r="O51" s="620">
        <v>0</v>
      </c>
      <c r="P51" s="622">
        <v>68.790000000000006</v>
      </c>
      <c r="Q51" s="622">
        <v>70.290000000000006</v>
      </c>
      <c r="R51" s="69"/>
      <c r="S51" s="489">
        <f t="shared" si="87"/>
        <v>1314.8200000000002</v>
      </c>
      <c r="T51" s="489" t="e">
        <f t="shared" si="88"/>
        <v>#REF!</v>
      </c>
      <c r="U51" s="489" t="e">
        <f>MAX(U$41:U$42)+IF($B$2="mil",1,0.0254)*DDR2Specs!$B$3</f>
        <v>#REF!</v>
      </c>
      <c r="V51" s="489" t="e">
        <f>MIN(U$41:U$42)+IF($B$2="mil",1,0.0254)*DDR2Specs!$C$3</f>
        <v>#REF!</v>
      </c>
      <c r="W51" s="21"/>
      <c r="X51" s="598" t="e">
        <f t="shared" si="89"/>
        <v>#REF!</v>
      </c>
      <c r="Y51" s="495" t="e">
        <f t="shared" si="90"/>
        <v>#REF!</v>
      </c>
      <c r="Z51" s="21"/>
      <c r="AA51" s="489">
        <f t="shared" si="91"/>
        <v>3245.8800000000006</v>
      </c>
      <c r="AB51" s="489" t="e">
        <f t="shared" si="92"/>
        <v>#REF!</v>
      </c>
      <c r="AC51" s="489" t="e">
        <f>MAX(AC$41:AC$42)+IF($B$2="mil",1,0.0254)*DDR2Specs!$E$3</f>
        <v>#REF!</v>
      </c>
      <c r="AD51" s="489" t="e">
        <f>MIN(AC$41:AC$42)+IF($B$2="mil",1,0.0254)*DDR2Specs!$F$3</f>
        <v>#REF!</v>
      </c>
      <c r="AE51" s="21"/>
      <c r="AF51" s="598" t="e">
        <f t="shared" si="93"/>
        <v>#REF!</v>
      </c>
      <c r="AG51" s="495" t="e">
        <f t="shared" si="94"/>
        <v>#REF!</v>
      </c>
      <c r="AH51" s="21"/>
      <c r="AI51" s="489">
        <f t="shared" si="95"/>
        <v>3247.3800000000006</v>
      </c>
      <c r="AJ51" s="489" t="e">
        <f t="shared" si="96"/>
        <v>#REF!</v>
      </c>
      <c r="AK51" s="489" t="e">
        <f>MAX(AK$41:AK$42)+IF($B$2="mil",1,0.0254)*DDR2Specs!$E$3</f>
        <v>#REF!</v>
      </c>
      <c r="AL51" s="489" t="e">
        <f>MIN(AK$41:AK$42)+IF($B$2="mil",1,0.0254)*DDR2Specs!$F$3</f>
        <v>#REF!</v>
      </c>
      <c r="AM51" s="21"/>
      <c r="AN51" s="598" t="e">
        <f t="shared" si="97"/>
        <v>#REF!</v>
      </c>
      <c r="AO51" s="495" t="e">
        <f t="shared" si="98"/>
        <v>#REF!</v>
      </c>
      <c r="AP51" s="21"/>
      <c r="AQ51" s="495" t="e">
        <f t="shared" si="99"/>
        <v>#REF!</v>
      </c>
      <c r="AR51" s="495" t="e">
        <f t="shared" si="100"/>
        <v>#REF!</v>
      </c>
      <c r="AS51" s="495" t="e">
        <f t="shared" si="101"/>
        <v>#REF!</v>
      </c>
      <c r="AT51" s="495" t="e">
        <f t="shared" ca="1" si="102"/>
        <v>#NAME?</v>
      </c>
      <c r="AU51" s="495" t="e">
        <f t="shared" si="103"/>
        <v>#REF!</v>
      </c>
      <c r="AV51" s="495" t="e">
        <f t="shared" si="104"/>
        <v>#REF!</v>
      </c>
      <c r="AW51" s="495" t="e">
        <f t="shared" si="105"/>
        <v>#REF!</v>
      </c>
      <c r="AX51" s="495" t="e">
        <f t="shared" si="106"/>
        <v>#REF!</v>
      </c>
      <c r="AY51" s="495" t="e">
        <f t="shared" si="107"/>
        <v>#REF!</v>
      </c>
      <c r="AZ51" s="493" t="e">
        <f t="shared" si="108"/>
        <v>#REF!</v>
      </c>
      <c r="BA51" s="495" t="e">
        <f t="shared" ca="1" si="109"/>
        <v>#NAME?</v>
      </c>
      <c r="BB51" s="495" t="e">
        <f t="shared" ca="1" si="110"/>
        <v>#NAME?</v>
      </c>
      <c r="BC51" s="495" t="e">
        <f t="shared" si="111"/>
        <v>#REF!</v>
      </c>
      <c r="BD51" s="495" t="e">
        <f t="shared" si="112"/>
        <v>#REF!</v>
      </c>
      <c r="BE51" s="495" t="e">
        <f t="shared" si="113"/>
        <v>#REF!</v>
      </c>
      <c r="BF51" s="495" t="e">
        <f t="shared" si="114"/>
        <v>#REF!</v>
      </c>
      <c r="BG51" s="21"/>
      <c r="BH51" s="554" t="e">
        <f t="shared" ca="1" si="115"/>
        <v>#REF!</v>
      </c>
      <c r="BI51" s="554"/>
      <c r="BJ51" s="554"/>
      <c r="BK51" s="3"/>
      <c r="BL51" s="3"/>
      <c r="BM51" s="3"/>
      <c r="BN51" s="3"/>
      <c r="BO51" s="3"/>
      <c r="BP51" s="3"/>
      <c r="BQ51" s="3"/>
      <c r="BR51" s="3"/>
      <c r="BS51" s="3"/>
      <c r="BT51" s="3"/>
      <c r="BU51" s="3"/>
      <c r="BV51" s="3"/>
      <c r="BW51" s="3"/>
      <c r="BX51" s="3"/>
    </row>
    <row r="52" spans="1:76">
      <c r="A52" s="636" t="s">
        <v>201</v>
      </c>
      <c r="B52" s="668"/>
      <c r="C52" s="659"/>
      <c r="D52" s="62"/>
      <c r="E52" s="82"/>
      <c r="F52" s="82"/>
      <c r="G52" s="439"/>
      <c r="H52" s="295"/>
      <c r="I52" s="295"/>
      <c r="J52" s="295"/>
      <c r="K52" s="295"/>
      <c r="L52" s="295"/>
      <c r="M52" s="295"/>
      <c r="N52" s="295"/>
      <c r="O52" s="295"/>
      <c r="P52" s="295"/>
      <c r="Q52" s="295"/>
      <c r="R52" s="10"/>
      <c r="S52" s="82"/>
      <c r="T52" s="605"/>
      <c r="U52" s="605"/>
      <c r="V52" s="606"/>
      <c r="W52" s="606"/>
      <c r="X52" s="607"/>
      <c r="Y52" s="17"/>
      <c r="Z52" s="606"/>
      <c r="AA52" s="82"/>
      <c r="AB52" s="605"/>
      <c r="AC52" s="605"/>
      <c r="AD52" s="606"/>
      <c r="AE52" s="606"/>
      <c r="AF52" s="607"/>
      <c r="AG52" s="17"/>
      <c r="AH52" s="606"/>
      <c r="AI52" s="82"/>
      <c r="AJ52" s="605"/>
      <c r="AK52" s="605"/>
      <c r="AL52" s="606"/>
      <c r="AM52" s="606"/>
      <c r="AN52" s="607"/>
      <c r="AO52" s="17"/>
      <c r="AP52" s="606"/>
      <c r="AQ52" s="17"/>
      <c r="AR52" s="17"/>
      <c r="AS52" s="16"/>
      <c r="AT52" s="16"/>
      <c r="AU52" s="16"/>
      <c r="AV52" s="16"/>
      <c r="AW52" s="16"/>
      <c r="AX52" s="16"/>
      <c r="AY52" s="16"/>
      <c r="AZ52" s="16"/>
      <c r="BA52" s="16"/>
      <c r="BB52" s="16"/>
      <c r="BC52" s="16"/>
      <c r="BD52" s="16"/>
      <c r="BE52" s="16"/>
      <c r="BF52" s="16"/>
      <c r="BG52" s="83"/>
      <c r="BH52" s="554"/>
      <c r="BI52" s="554"/>
      <c r="BJ52" s="554"/>
      <c r="BK52" s="3"/>
      <c r="BL52" s="3"/>
      <c r="BM52" s="3"/>
      <c r="BN52" s="3"/>
      <c r="BO52" s="3"/>
      <c r="BP52" s="3"/>
      <c r="BQ52" s="3"/>
      <c r="BR52" s="3"/>
      <c r="BS52" s="3"/>
      <c r="BT52" s="3"/>
      <c r="BU52" s="3"/>
      <c r="BV52" s="3"/>
      <c r="BW52" s="3"/>
      <c r="BX52" s="3"/>
    </row>
    <row r="53" spans="1:76">
      <c r="A53" s="650" t="str">
        <f>'DDR2 Strobes - 2x16_1R SODIMM'!$A$27</f>
        <v>SA_DQS4</v>
      </c>
      <c r="B53" s="669" t="str">
        <f>'DDR2 Strobes - 2x16_1R SODIMM'!$B$27</f>
        <v>AB19</v>
      </c>
      <c r="C53" s="660"/>
      <c r="D53" s="53"/>
      <c r="E53" s="81"/>
      <c r="F53" s="81"/>
      <c r="G53" s="685"/>
      <c r="H53" s="686"/>
      <c r="I53" s="686"/>
      <c r="J53" s="686"/>
      <c r="K53" s="686"/>
      <c r="L53" s="686"/>
      <c r="M53" s="686"/>
      <c r="N53" s="686"/>
      <c r="O53" s="686"/>
      <c r="P53" s="686"/>
      <c r="Q53" s="686"/>
      <c r="R53" s="81"/>
      <c r="S53" s="81"/>
      <c r="T53" s="58"/>
      <c r="U53" s="58" t="e">
        <f>'DDR2 Strobes - 2x16_1R SODIMM'!$U$27</f>
        <v>#REF!</v>
      </c>
      <c r="V53" s="58"/>
      <c r="W53" s="58"/>
      <c r="X53" s="58"/>
      <c r="Y53" s="608"/>
      <c r="Z53" s="58"/>
      <c r="AA53" s="81"/>
      <c r="AB53" s="58"/>
      <c r="AC53" s="58" t="e">
        <f>'DDR2 Strobes - 2x16_1R SODIMM'!$AD$27</f>
        <v>#REF!</v>
      </c>
      <c r="AD53" s="58"/>
      <c r="AE53" s="58"/>
      <c r="AF53" s="58"/>
      <c r="AG53" s="608"/>
      <c r="AH53" s="58"/>
      <c r="AI53" s="81"/>
      <c r="AJ53" s="58"/>
      <c r="AK53" s="58" t="e">
        <f>'DDR2 Strobes - 2x16_1R SODIMM'!$AL$27</f>
        <v>#REF!</v>
      </c>
      <c r="AL53" s="58"/>
      <c r="AM53" s="58"/>
      <c r="AN53" s="58"/>
      <c r="AO53" s="608"/>
      <c r="AP53" s="58"/>
      <c r="AQ53" s="608"/>
      <c r="AR53" s="608"/>
      <c r="AS53" s="608"/>
      <c r="AT53" s="608"/>
      <c r="AU53" s="608"/>
      <c r="AV53" s="608"/>
      <c r="AW53" s="608"/>
      <c r="AX53" s="608"/>
      <c r="AY53" s="608"/>
      <c r="AZ53" s="608"/>
      <c r="BA53" s="608"/>
      <c r="BB53" s="608"/>
      <c r="BC53" s="608"/>
      <c r="BD53" s="608"/>
      <c r="BE53" s="608"/>
      <c r="BF53" s="608"/>
      <c r="BG53" s="58"/>
      <c r="BH53" s="554"/>
      <c r="BI53" s="554"/>
      <c r="BJ53" s="554"/>
      <c r="BK53" s="3"/>
      <c r="BL53" s="3"/>
      <c r="BM53" s="3"/>
      <c r="BN53" s="3"/>
      <c r="BO53" s="3"/>
      <c r="BP53" s="3"/>
      <c r="BQ53" s="3"/>
      <c r="BR53" s="3"/>
      <c r="BS53" s="3"/>
      <c r="BT53" s="3"/>
      <c r="BU53" s="3"/>
      <c r="BV53" s="3"/>
      <c r="BW53" s="3"/>
      <c r="BX53" s="3"/>
    </row>
    <row r="54" spans="1:76">
      <c r="A54" s="650" t="str">
        <f>'DDR2 Strobes - 2x16_1R SODIMM'!$A$28</f>
        <v>SA_DQS4#</v>
      </c>
      <c r="B54" s="669" t="str">
        <f>'DDR2 Strobes - 2x16_1R SODIMM'!$B$28</f>
        <v>AB18</v>
      </c>
      <c r="C54" s="660"/>
      <c r="D54" s="53"/>
      <c r="E54" s="81"/>
      <c r="F54" s="81"/>
      <c r="G54" s="685"/>
      <c r="H54" s="686"/>
      <c r="I54" s="686"/>
      <c r="J54" s="686"/>
      <c r="K54" s="686"/>
      <c r="L54" s="686"/>
      <c r="M54" s="686"/>
      <c r="N54" s="686"/>
      <c r="O54" s="686"/>
      <c r="P54" s="686"/>
      <c r="Q54" s="686"/>
      <c r="R54" s="81"/>
      <c r="S54" s="81"/>
      <c r="T54" s="603"/>
      <c r="U54" s="58" t="e">
        <f>'DDR2 Strobes - 2x16_1R SODIMM'!$U$28</f>
        <v>#REF!</v>
      </c>
      <c r="V54" s="58"/>
      <c r="W54" s="58"/>
      <c r="X54" s="58"/>
      <c r="Y54" s="608"/>
      <c r="Z54" s="58"/>
      <c r="AA54" s="602"/>
      <c r="AB54" s="603"/>
      <c r="AC54" s="58" t="e">
        <f>'DDR2 Strobes - 2x16_1R SODIMM'!$AD$28</f>
        <v>#REF!</v>
      </c>
      <c r="AD54" s="58"/>
      <c r="AE54" s="58"/>
      <c r="AF54" s="58"/>
      <c r="AG54" s="608"/>
      <c r="AH54" s="58"/>
      <c r="AI54" s="602"/>
      <c r="AJ54" s="603"/>
      <c r="AK54" s="58" t="e">
        <f>'DDR2 Strobes - 2x16_1R SODIMM'!$AL$28</f>
        <v>#REF!</v>
      </c>
      <c r="AL54" s="58"/>
      <c r="AM54" s="58"/>
      <c r="AN54" s="58"/>
      <c r="AO54" s="608"/>
      <c r="AP54" s="58"/>
      <c r="AQ54" s="608"/>
      <c r="AR54" s="608"/>
      <c r="AS54" s="609"/>
      <c r="AT54" s="609"/>
      <c r="AU54" s="609"/>
      <c r="AV54" s="609"/>
      <c r="AW54" s="609"/>
      <c r="AX54" s="609"/>
      <c r="AY54" s="609"/>
      <c r="AZ54" s="609"/>
      <c r="BA54" s="609"/>
      <c r="BB54" s="609"/>
      <c r="BC54" s="609"/>
      <c r="BD54" s="609"/>
      <c r="BE54" s="609"/>
      <c r="BF54" s="609"/>
      <c r="BG54" s="58"/>
      <c r="BH54" s="554"/>
      <c r="BI54" s="554"/>
      <c r="BJ54" s="554"/>
      <c r="BK54" s="3"/>
      <c r="BL54" s="3"/>
      <c r="BM54" s="3"/>
      <c r="BN54" s="3"/>
      <c r="BO54" s="3"/>
      <c r="BP54" s="3"/>
      <c r="BQ54" s="3"/>
      <c r="BR54" s="3"/>
      <c r="BS54" s="3"/>
      <c r="BT54" s="3"/>
      <c r="BU54" s="3"/>
      <c r="BV54" s="3"/>
      <c r="BW54" s="3"/>
      <c r="BX54" s="3"/>
    </row>
    <row r="55" spans="1:76">
      <c r="A55" s="633" t="s">
        <v>156</v>
      </c>
      <c r="B55" s="665" t="s">
        <v>489</v>
      </c>
      <c r="C55" s="658">
        <v>655.8661417322835</v>
      </c>
      <c r="D55" s="18"/>
      <c r="E55" s="621">
        <v>22.63</v>
      </c>
      <c r="F55" s="621">
        <v>0</v>
      </c>
      <c r="G55" s="622">
        <v>1375</v>
      </c>
      <c r="H55" s="622">
        <v>40</v>
      </c>
      <c r="I55" s="622">
        <v>827.1</v>
      </c>
      <c r="J55" s="622">
        <v>44.57</v>
      </c>
      <c r="K55" s="277">
        <v>40</v>
      </c>
      <c r="L55" s="622">
        <v>77.5</v>
      </c>
      <c r="M55" s="622">
        <v>1195.94</v>
      </c>
      <c r="N55" s="620">
        <v>0</v>
      </c>
      <c r="O55" s="620">
        <v>0</v>
      </c>
      <c r="P55" s="622">
        <v>65.849999999999994</v>
      </c>
      <c r="Q55" s="622">
        <v>65.819999999999993</v>
      </c>
      <c r="R55" s="69"/>
      <c r="S55" s="489">
        <f t="shared" ref="S55:S63" si="116" xml:space="preserve"> E55+F55+G55+H55</f>
        <v>1437.63</v>
      </c>
      <c r="T55" s="489" t="e">
        <f t="shared" ref="T55:T63" si="117">S55+IF($B$2="mil",1,0.0254)*C55</f>
        <v>#REF!</v>
      </c>
      <c r="U55" s="489" t="e">
        <f>MAX(U$53:U$54)+IF($B$2="mil",1,0.0254)*DDR2Specs!$B$3</f>
        <v>#REF!</v>
      </c>
      <c r="V55" s="489" t="e">
        <f>MIN(U$53:U$54)+IF($B$2="mil",1,0.0254)*DDR2Specs!$C$3</f>
        <v>#REF!</v>
      </c>
      <c r="W55" s="21"/>
      <c r="X55" s="598" t="e">
        <f t="shared" ref="X55:X63" si="118">IF($T55&lt;$U55,$U55-$T55,"Pass")</f>
        <v>#REF!</v>
      </c>
      <c r="Y55" s="495" t="e">
        <f t="shared" ref="Y55:Y63" si="119">IF($T55&gt;$V55,$T55-$V55,"Pass")</f>
        <v>#REF!</v>
      </c>
      <c r="Z55" s="21"/>
      <c r="AA55" s="489">
        <f t="shared" ref="AA55:AA63" si="120">SUM(E55:G55,I55:N55,P55)</f>
        <v>3648.59</v>
      </c>
      <c r="AB55" s="489" t="e">
        <f t="shared" ref="AB55:AB63" si="121">AA55+IF($B$2="mil",1,0.0254)*$C55</f>
        <v>#REF!</v>
      </c>
      <c r="AC55" s="489" t="e">
        <f>MAX(AC$53:AC$54)+IF($B$2="mil",1,0.0254)*DDR2Specs!$E$3</f>
        <v>#REF!</v>
      </c>
      <c r="AD55" s="489" t="e">
        <f>MIN(AC$53:AC$54)+IF($B$2="mil",1,0.0254)*DDR2Specs!$F$3</f>
        <v>#REF!</v>
      </c>
      <c r="AE55" s="21"/>
      <c r="AF55" s="598" t="e">
        <f t="shared" ref="AF55:AF63" si="122">IF($AB55&lt;$AC55,$AC55-$AB55,"Pass")</f>
        <v>#REF!</v>
      </c>
      <c r="AG55" s="495" t="e">
        <f t="shared" ref="AG55:AG63" si="123">IF($AB55&gt;$AD55,$AB55-$AD55,"Pass")</f>
        <v>#REF!</v>
      </c>
      <c r="AH55" s="21"/>
      <c r="AI55" s="489">
        <f t="shared" ref="AI55:AI63" si="124">SUM(E55:G55,I55:M55,O55,Q55)</f>
        <v>3648.5600000000004</v>
      </c>
      <c r="AJ55" s="489" t="e">
        <f t="shared" ref="AJ55:AJ63" si="125">AI55+IF($B$2="mil",1,0.0254)*$C55</f>
        <v>#REF!</v>
      </c>
      <c r="AK55" s="489" t="e">
        <f>MAX(AK$53:AK$54)+IF($B$2="mil",1,0.0254)*DDR2Specs!$E$3</f>
        <v>#REF!</v>
      </c>
      <c r="AL55" s="489" t="e">
        <f>MIN(AK$53:AK$54)+IF($B$2="mil",1,0.0254)*DDR2Specs!$F$3</f>
        <v>#REF!</v>
      </c>
      <c r="AM55" s="21"/>
      <c r="AN55" s="598" t="e">
        <f t="shared" ref="AN55:AN63" si="126">IF($AJ55&lt;$AK55,$AK55-$AJ55,"Pass")</f>
        <v>#REF!</v>
      </c>
      <c r="AO55" s="495" t="e">
        <f t="shared" ref="AO55:AO63" si="127">IF($AJ55&gt;$AL55,$AJ55-$AL55,"Pass")</f>
        <v>#REF!</v>
      </c>
      <c r="AP55" s="21"/>
      <c r="AQ55" s="495" t="e">
        <f t="shared" ref="AQ55:AQ63" si="128">IF($E55&lt;=IF($B$2="mil",1,0.0254)*50,"Pass",IF($B$2="mil",1,0.0254)*50-$E55)</f>
        <v>#REF!</v>
      </c>
      <c r="AR55" s="495" t="e">
        <f t="shared" ref="AR55:AR63" si="129">IF($F55&lt;=IF($B$2="mil",1,0.0254)*500,"Pass",IF($B$2="mil",1,0.0254)*500-$F55)</f>
        <v>#REF!</v>
      </c>
      <c r="AS55" s="495" t="e">
        <f t="shared" ref="AS55:AS63" si="130">IF($H55&lt;=IF($B$2="mil",1,0.0254)*250,"Pass",IF($B$2="mil",1,0.0254)*250-$H55)</f>
        <v>#REF!</v>
      </c>
      <c r="AT55" s="495" t="e">
        <f t="shared" ref="AT55:AT63" ca="1" si="131">CheckLength(IF($B$2="mil",1,0.0254)*750, IF($B$2="mil",1,0.0254)*125-J55, 0, I55,J55,0)</f>
        <v>#NAME?</v>
      </c>
      <c r="AU55" s="495" t="e">
        <f t="shared" ref="AU55:AU63" si="132">IF($J55&lt;=IF($B$2="mil",1,0.0254)*125,"Pass",IF($B$2="mil",1,0.0254)*125-$J55)</f>
        <v>#REF!</v>
      </c>
      <c r="AV55" s="495" t="e">
        <f t="shared" ref="AV55:AV63" si="133">IF($L55&lt;=IF($B$2="mil",1,0.0254)*125,"Pass",IF($B$2="mil",1,0.0254)*125-$L55)</f>
        <v>#REF!</v>
      </c>
      <c r="AW55" s="495" t="e">
        <f t="shared" ref="AW55:AW63" si="134">IF(($L55+$M55)&lt;=IF($B$2="mil",1,0.0254)*1275,"Pass",IF($B$2="mil",1,0.0254)*1275-($L55+H55))</f>
        <v>#REF!</v>
      </c>
      <c r="AX55" s="495" t="e">
        <f t="shared" ref="AX55:AX63" si="135">IF($N55&lt;=IF($B$2="mil",1,0.0254)*150,"Pass",IF($B$2="mil",1,0.0254)*150-$N55)</f>
        <v>#REF!</v>
      </c>
      <c r="AY55" s="495" t="e">
        <f t="shared" ref="AY55:AY63" si="136">IF($O55&lt;=IF($B$2="mil",1,0.0254)*150,"Pass",IF($B$2="mil",1,0.0254)*150-$O55)</f>
        <v>#REF!</v>
      </c>
      <c r="AZ55" s="493" t="e">
        <f t="shared" ref="AZ55:AZ63" si="137">IF(MAX(N55:O55)-MIN(N55:O55)&lt;=IF($B$2="mil",1,0.0254)*50,"Pass",MAX(N55:O55)-MIN(N55:O55)-IF($B$2="mil",1,0.0254)*50)</f>
        <v>#REF!</v>
      </c>
      <c r="BA55" s="495" t="e">
        <f t="shared" ref="BA55:BA63" ca="1" si="138">CheckLength2(IF($B$2="mil",1,0.0254)*200,$P55,N55,0)</f>
        <v>#NAME?</v>
      </c>
      <c r="BB55" s="495" t="e">
        <f t="shared" ref="BB55:BB63" ca="1" si="139">CheckLength2(IF($B$2="mil",1,0.0254)*200,$Q55,O55,0)</f>
        <v>#NAME?</v>
      </c>
      <c r="BC55" s="495" t="e">
        <f t="shared" ref="BC55:BC63" si="140">IF(AND($S55&gt;=IF($B$2="mil",1,0.0254)*500, $S55&lt;=IF($B$2="mil",1,0.0254)*4000),"Pass",IF($B$2="mil",1,0.0254)*4000-$S55)</f>
        <v>#REF!</v>
      </c>
      <c r="BD55" s="495" t="e">
        <f t="shared" ref="BD55:BD63" si="141">IF(AND($T55&gt;=IF($B$2="mil",1,0.0254)*500, $T55&lt;=IF($B$2="mil",1,0.0254)*4500),"Pass",IF($B$2="mil",1,0.0254)*4500-$T55)</f>
        <v>#REF!</v>
      </c>
      <c r="BE55" s="495" t="e">
        <f t="shared" ref="BE55:BE63" si="142">IF(AND($AA55&gt;=IF($B$2="mil",1,0.0254)*500, $AA55&lt;=IF($B$2="mil",1,0.0254)*5500),"Pass",IF($B$2="mil",1,0.0254)*5500-$AA55)</f>
        <v>#REF!</v>
      </c>
      <c r="BF55" s="495" t="e">
        <f t="shared" ref="BF55:BF63" si="143">IF(AND($AB55&gt;=IF($B$2="mil",1,0.0254)*500, $AB55&lt;=IF($B$2="mil",1,0.0254)*6000),"Pass",IF($B$2="mil",1,0.0254)*6000-$AB55)</f>
        <v>#REF!</v>
      </c>
      <c r="BG55" s="21"/>
      <c r="BH55" s="554" t="e">
        <f t="shared" ref="BH55:BH63" ca="1" si="144">IF(AND(AN55="Pass",AO55="Pass",AQ55="Pass",BD55="Pass",AS55="Pass",AR55="Pass",BC55="Pass",X55="Pass",Y55="Pass",BB55="Pass",AW55="Pass",AX55="Pass",AY55="Pass",AZ55="Pass",BA55="Pass",AV55="Pass",AU55="Pass",AT55="Pass",AF55="Pass",AG55="Pass",BE55="Pass",BF55="Pass"),"Pass","Fail")</f>
        <v>#REF!</v>
      </c>
      <c r="BI55" s="554" t="e">
        <f ca="1">IF(AND(BH55="Pass",BH56="Pass",BH57="Pass",BH58="Pass",BH59="Pass",BH60="Pass",BH61="Pass",BH62="Pass",BH63="Pass"),"Pass","Fail")</f>
        <v>#REF!</v>
      </c>
      <c r="BJ55" s="554"/>
      <c r="BK55" s="3"/>
      <c r="BL55" s="3"/>
      <c r="BM55" s="3"/>
      <c r="BN55" s="3"/>
      <c r="BO55" s="3"/>
      <c r="BP55" s="3"/>
      <c r="BQ55" s="3"/>
      <c r="BR55" s="3"/>
      <c r="BS55" s="3"/>
      <c r="BT55" s="3"/>
      <c r="BU55" s="3"/>
      <c r="BV55" s="3"/>
      <c r="BW55" s="3"/>
      <c r="BX55" s="3"/>
    </row>
    <row r="56" spans="1:76">
      <c r="A56" s="633" t="s">
        <v>157</v>
      </c>
      <c r="B56" s="665" t="s">
        <v>357</v>
      </c>
      <c r="C56" s="658">
        <v>729.25196850393706</v>
      </c>
      <c r="D56" s="18"/>
      <c r="E56" s="621">
        <v>22.63</v>
      </c>
      <c r="F56" s="621">
        <v>0</v>
      </c>
      <c r="G56" s="622">
        <v>1320</v>
      </c>
      <c r="H56" s="622">
        <v>10</v>
      </c>
      <c r="I56" s="622">
        <v>761.84</v>
      </c>
      <c r="J56" s="622">
        <v>85.78</v>
      </c>
      <c r="K56" s="277">
        <v>40</v>
      </c>
      <c r="L56" s="622">
        <v>44.57</v>
      </c>
      <c r="M56" s="622">
        <v>1199.1400000000001</v>
      </c>
      <c r="N56" s="620">
        <v>0</v>
      </c>
      <c r="O56" s="620">
        <v>0</v>
      </c>
      <c r="P56" s="622">
        <v>97.27</v>
      </c>
      <c r="Q56" s="622">
        <v>97.3</v>
      </c>
      <c r="R56" s="69"/>
      <c r="S56" s="489">
        <f t="shared" si="116"/>
        <v>1352.63</v>
      </c>
      <c r="T56" s="489" t="e">
        <f t="shared" si="117"/>
        <v>#REF!</v>
      </c>
      <c r="U56" s="489" t="e">
        <f>MAX(U$53:U$54)+IF($B$2="mil",1,0.0254)*DDR2Specs!$B$3</f>
        <v>#REF!</v>
      </c>
      <c r="V56" s="489" t="e">
        <f>MIN(U$53:U$54)+IF($B$2="mil",1,0.0254)*DDR2Specs!$C$3</f>
        <v>#REF!</v>
      </c>
      <c r="W56" s="21"/>
      <c r="X56" s="598" t="e">
        <f t="shared" si="118"/>
        <v>#REF!</v>
      </c>
      <c r="Y56" s="495" t="e">
        <f t="shared" si="119"/>
        <v>#REF!</v>
      </c>
      <c r="Z56" s="21"/>
      <c r="AA56" s="489">
        <f t="shared" si="120"/>
        <v>3571.2300000000009</v>
      </c>
      <c r="AB56" s="489" t="e">
        <f t="shared" si="121"/>
        <v>#REF!</v>
      </c>
      <c r="AC56" s="489" t="e">
        <f>MAX(AC$53:AC$54)+IF($B$2="mil",1,0.0254)*DDR2Specs!$E$3</f>
        <v>#REF!</v>
      </c>
      <c r="AD56" s="489" t="e">
        <f>MIN(AC$53:AC$54)+IF($B$2="mil",1,0.0254)*DDR2Specs!$F$3</f>
        <v>#REF!</v>
      </c>
      <c r="AE56" s="21"/>
      <c r="AF56" s="598" t="e">
        <f t="shared" si="122"/>
        <v>#REF!</v>
      </c>
      <c r="AG56" s="495" t="e">
        <f t="shared" si="123"/>
        <v>#REF!</v>
      </c>
      <c r="AH56" s="21"/>
      <c r="AI56" s="489">
        <f t="shared" si="124"/>
        <v>3571.2600000000011</v>
      </c>
      <c r="AJ56" s="489" t="e">
        <f t="shared" si="125"/>
        <v>#REF!</v>
      </c>
      <c r="AK56" s="489" t="e">
        <f>MAX(AK$53:AK$54)+IF($B$2="mil",1,0.0254)*DDR2Specs!$E$3</f>
        <v>#REF!</v>
      </c>
      <c r="AL56" s="489" t="e">
        <f>MIN(AK$53:AK$54)+IF($B$2="mil",1,0.0254)*DDR2Specs!$F$3</f>
        <v>#REF!</v>
      </c>
      <c r="AM56" s="21"/>
      <c r="AN56" s="598" t="e">
        <f t="shared" si="126"/>
        <v>#REF!</v>
      </c>
      <c r="AO56" s="495" t="e">
        <f t="shared" si="127"/>
        <v>#REF!</v>
      </c>
      <c r="AP56" s="21"/>
      <c r="AQ56" s="495" t="e">
        <f t="shared" si="128"/>
        <v>#REF!</v>
      </c>
      <c r="AR56" s="495" t="e">
        <f t="shared" si="129"/>
        <v>#REF!</v>
      </c>
      <c r="AS56" s="495" t="e">
        <f t="shared" si="130"/>
        <v>#REF!</v>
      </c>
      <c r="AT56" s="495" t="e">
        <f t="shared" ca="1" si="131"/>
        <v>#NAME?</v>
      </c>
      <c r="AU56" s="495" t="e">
        <f t="shared" si="132"/>
        <v>#REF!</v>
      </c>
      <c r="AV56" s="495" t="e">
        <f t="shared" si="133"/>
        <v>#REF!</v>
      </c>
      <c r="AW56" s="495" t="e">
        <f t="shared" si="134"/>
        <v>#REF!</v>
      </c>
      <c r="AX56" s="495" t="e">
        <f t="shared" si="135"/>
        <v>#REF!</v>
      </c>
      <c r="AY56" s="495" t="e">
        <f t="shared" si="136"/>
        <v>#REF!</v>
      </c>
      <c r="AZ56" s="493" t="e">
        <f t="shared" si="137"/>
        <v>#REF!</v>
      </c>
      <c r="BA56" s="495" t="e">
        <f t="shared" ca="1" si="138"/>
        <v>#NAME?</v>
      </c>
      <c r="BB56" s="495" t="e">
        <f t="shared" ca="1" si="139"/>
        <v>#NAME?</v>
      </c>
      <c r="BC56" s="495" t="e">
        <f t="shared" si="140"/>
        <v>#REF!</v>
      </c>
      <c r="BD56" s="495" t="e">
        <f t="shared" si="141"/>
        <v>#REF!</v>
      </c>
      <c r="BE56" s="495" t="e">
        <f t="shared" si="142"/>
        <v>#REF!</v>
      </c>
      <c r="BF56" s="495" t="e">
        <f t="shared" si="143"/>
        <v>#REF!</v>
      </c>
      <c r="BG56" s="21"/>
      <c r="BH56" s="554" t="e">
        <f t="shared" ca="1" si="144"/>
        <v>#REF!</v>
      </c>
      <c r="BI56" s="554"/>
      <c r="BJ56" s="554"/>
      <c r="BK56" s="3"/>
      <c r="BL56" s="3"/>
      <c r="BM56" s="3"/>
      <c r="BN56" s="3"/>
      <c r="BO56" s="3"/>
      <c r="BP56" s="3"/>
      <c r="BQ56" s="3"/>
      <c r="BR56" s="3"/>
      <c r="BS56" s="3"/>
      <c r="BT56" s="3"/>
      <c r="BU56" s="3"/>
      <c r="BV56" s="3"/>
      <c r="BW56" s="3"/>
      <c r="BX56" s="3"/>
    </row>
    <row r="57" spans="1:76">
      <c r="A57" s="633" t="s">
        <v>158</v>
      </c>
      <c r="B57" s="665" t="s">
        <v>361</v>
      </c>
      <c r="C57" s="658">
        <v>732.12598425196848</v>
      </c>
      <c r="D57" s="18"/>
      <c r="E57" s="621">
        <v>22.63</v>
      </c>
      <c r="F57" s="621">
        <v>0</v>
      </c>
      <c r="G57" s="622">
        <v>1334</v>
      </c>
      <c r="H57" s="622">
        <v>6</v>
      </c>
      <c r="I57" s="622">
        <v>787.08</v>
      </c>
      <c r="J57" s="622">
        <v>85.78</v>
      </c>
      <c r="K57" s="277">
        <v>40</v>
      </c>
      <c r="L57" s="622">
        <v>44.57</v>
      </c>
      <c r="M57" s="622">
        <v>1227</v>
      </c>
      <c r="N57" s="620">
        <v>0</v>
      </c>
      <c r="O57" s="620">
        <v>0</v>
      </c>
      <c r="P57" s="622">
        <v>30.83</v>
      </c>
      <c r="Q57" s="622">
        <v>30.86</v>
      </c>
      <c r="R57" s="69"/>
      <c r="S57" s="489">
        <f t="shared" si="116"/>
        <v>1362.63</v>
      </c>
      <c r="T57" s="489" t="e">
        <f t="shared" si="117"/>
        <v>#REF!</v>
      </c>
      <c r="U57" s="489" t="e">
        <f>MAX(U$53:U$54)+IF($B$2="mil",1,0.0254)*DDR2Specs!$B$3</f>
        <v>#REF!</v>
      </c>
      <c r="V57" s="489" t="e">
        <f>MIN(U$53:U$54)+IF($B$2="mil",1,0.0254)*DDR2Specs!$C$3</f>
        <v>#REF!</v>
      </c>
      <c r="W57" s="21"/>
      <c r="X57" s="598" t="e">
        <f t="shared" si="118"/>
        <v>#REF!</v>
      </c>
      <c r="Y57" s="495" t="e">
        <f t="shared" si="119"/>
        <v>#REF!</v>
      </c>
      <c r="Z57" s="21"/>
      <c r="AA57" s="489">
        <f t="shared" si="120"/>
        <v>3571.8900000000003</v>
      </c>
      <c r="AB57" s="489" t="e">
        <f t="shared" si="121"/>
        <v>#REF!</v>
      </c>
      <c r="AC57" s="489" t="e">
        <f>MAX(AC$53:AC$54)+IF($B$2="mil",1,0.0254)*DDR2Specs!$E$3</f>
        <v>#REF!</v>
      </c>
      <c r="AD57" s="489" t="e">
        <f>MIN(AC$53:AC$54)+IF($B$2="mil",1,0.0254)*DDR2Specs!$F$3</f>
        <v>#REF!</v>
      </c>
      <c r="AE57" s="21"/>
      <c r="AF57" s="598" t="e">
        <f t="shared" si="122"/>
        <v>#REF!</v>
      </c>
      <c r="AG57" s="495" t="e">
        <f t="shared" si="123"/>
        <v>#REF!</v>
      </c>
      <c r="AH57" s="21"/>
      <c r="AI57" s="489">
        <f t="shared" si="124"/>
        <v>3571.9200000000005</v>
      </c>
      <c r="AJ57" s="489" t="e">
        <f t="shared" si="125"/>
        <v>#REF!</v>
      </c>
      <c r="AK57" s="489" t="e">
        <f>MAX(AK$53:AK$54)+IF($B$2="mil",1,0.0254)*DDR2Specs!$E$3</f>
        <v>#REF!</v>
      </c>
      <c r="AL57" s="489" t="e">
        <f>MIN(AK$53:AK$54)+IF($B$2="mil",1,0.0254)*DDR2Specs!$F$3</f>
        <v>#REF!</v>
      </c>
      <c r="AM57" s="21"/>
      <c r="AN57" s="598" t="e">
        <f t="shared" si="126"/>
        <v>#REF!</v>
      </c>
      <c r="AO57" s="495" t="e">
        <f t="shared" si="127"/>
        <v>#REF!</v>
      </c>
      <c r="AP57" s="21"/>
      <c r="AQ57" s="495" t="e">
        <f t="shared" si="128"/>
        <v>#REF!</v>
      </c>
      <c r="AR57" s="495" t="e">
        <f t="shared" si="129"/>
        <v>#REF!</v>
      </c>
      <c r="AS57" s="495" t="e">
        <f t="shared" si="130"/>
        <v>#REF!</v>
      </c>
      <c r="AT57" s="495" t="e">
        <f t="shared" ca="1" si="131"/>
        <v>#NAME?</v>
      </c>
      <c r="AU57" s="495" t="e">
        <f t="shared" si="132"/>
        <v>#REF!</v>
      </c>
      <c r="AV57" s="495" t="e">
        <f t="shared" si="133"/>
        <v>#REF!</v>
      </c>
      <c r="AW57" s="495" t="e">
        <f t="shared" si="134"/>
        <v>#REF!</v>
      </c>
      <c r="AX57" s="495" t="e">
        <f t="shared" si="135"/>
        <v>#REF!</v>
      </c>
      <c r="AY57" s="495" t="e">
        <f t="shared" si="136"/>
        <v>#REF!</v>
      </c>
      <c r="AZ57" s="493" t="e">
        <f t="shared" si="137"/>
        <v>#REF!</v>
      </c>
      <c r="BA57" s="495" t="e">
        <f t="shared" ca="1" si="138"/>
        <v>#NAME?</v>
      </c>
      <c r="BB57" s="495" t="e">
        <f t="shared" ca="1" si="139"/>
        <v>#NAME?</v>
      </c>
      <c r="BC57" s="495" t="e">
        <f t="shared" si="140"/>
        <v>#REF!</v>
      </c>
      <c r="BD57" s="495" t="e">
        <f t="shared" si="141"/>
        <v>#REF!</v>
      </c>
      <c r="BE57" s="495" t="e">
        <f t="shared" si="142"/>
        <v>#REF!</v>
      </c>
      <c r="BF57" s="495" t="e">
        <f t="shared" si="143"/>
        <v>#REF!</v>
      </c>
      <c r="BG57" s="21"/>
      <c r="BH57" s="554" t="e">
        <f t="shared" ca="1" si="144"/>
        <v>#REF!</v>
      </c>
      <c r="BI57" s="554"/>
      <c r="BJ57" s="554"/>
      <c r="BK57" s="3"/>
      <c r="BL57" s="3"/>
      <c r="BM57" s="3"/>
      <c r="BN57" s="3"/>
      <c r="BO57" s="3"/>
      <c r="BP57" s="3"/>
      <c r="BQ57" s="3"/>
      <c r="BR57" s="3"/>
      <c r="BS57" s="3"/>
      <c r="BT57" s="3"/>
      <c r="BU57" s="3"/>
      <c r="BV57" s="3"/>
      <c r="BW57" s="3"/>
      <c r="BX57" s="3"/>
    </row>
    <row r="58" spans="1:76">
      <c r="A58" s="633" t="s">
        <v>159</v>
      </c>
      <c r="B58" s="665" t="s">
        <v>490</v>
      </c>
      <c r="C58" s="658">
        <v>731.0236220472442</v>
      </c>
      <c r="D58" s="18"/>
      <c r="E58" s="621">
        <v>22.63</v>
      </c>
      <c r="F58" s="621">
        <v>0</v>
      </c>
      <c r="G58" s="622">
        <v>1334</v>
      </c>
      <c r="H58" s="622">
        <v>7</v>
      </c>
      <c r="I58" s="622">
        <v>829.82</v>
      </c>
      <c r="J58" s="622">
        <v>44.57</v>
      </c>
      <c r="K58" s="277">
        <v>40</v>
      </c>
      <c r="L58" s="622">
        <v>85.78</v>
      </c>
      <c r="M58" s="622">
        <v>1183.3</v>
      </c>
      <c r="N58" s="620">
        <v>0</v>
      </c>
      <c r="O58" s="620">
        <v>0</v>
      </c>
      <c r="P58" s="622">
        <v>31.57</v>
      </c>
      <c r="Q58" s="622">
        <v>31.54</v>
      </c>
      <c r="R58" s="69"/>
      <c r="S58" s="489">
        <f t="shared" si="116"/>
        <v>1363.63</v>
      </c>
      <c r="T58" s="489" t="e">
        <f t="shared" si="117"/>
        <v>#REF!</v>
      </c>
      <c r="U58" s="489" t="e">
        <f>MAX(U$53:U$54)+IF($B$2="mil",1,0.0254)*DDR2Specs!$B$3</f>
        <v>#REF!</v>
      </c>
      <c r="V58" s="489" t="e">
        <f>MIN(U$53:U$54)+IF($B$2="mil",1,0.0254)*DDR2Specs!$C$3</f>
        <v>#REF!</v>
      </c>
      <c r="W58" s="21"/>
      <c r="X58" s="598" t="e">
        <f t="shared" si="118"/>
        <v>#REF!</v>
      </c>
      <c r="Y58" s="495" t="e">
        <f t="shared" si="119"/>
        <v>#REF!</v>
      </c>
      <c r="Z58" s="21"/>
      <c r="AA58" s="489">
        <f t="shared" si="120"/>
        <v>3571.6700000000005</v>
      </c>
      <c r="AB58" s="489" t="e">
        <f t="shared" si="121"/>
        <v>#REF!</v>
      </c>
      <c r="AC58" s="489" t="e">
        <f>MAX(AC$53:AC$54)+IF($B$2="mil",1,0.0254)*DDR2Specs!$E$3</f>
        <v>#REF!</v>
      </c>
      <c r="AD58" s="489" t="e">
        <f>MIN(AC$53:AC$54)+IF($B$2="mil",1,0.0254)*DDR2Specs!$F$3</f>
        <v>#REF!</v>
      </c>
      <c r="AE58" s="21"/>
      <c r="AF58" s="598" t="e">
        <f t="shared" si="122"/>
        <v>#REF!</v>
      </c>
      <c r="AG58" s="495" t="e">
        <f t="shared" si="123"/>
        <v>#REF!</v>
      </c>
      <c r="AH58" s="21"/>
      <c r="AI58" s="489">
        <f t="shared" si="124"/>
        <v>3571.6400000000003</v>
      </c>
      <c r="AJ58" s="489" t="e">
        <f t="shared" si="125"/>
        <v>#REF!</v>
      </c>
      <c r="AK58" s="489" t="e">
        <f>MAX(AK$53:AK$54)+IF($B$2="mil",1,0.0254)*DDR2Specs!$E$3</f>
        <v>#REF!</v>
      </c>
      <c r="AL58" s="489" t="e">
        <f>MIN(AK$53:AK$54)+IF($B$2="mil",1,0.0254)*DDR2Specs!$F$3</f>
        <v>#REF!</v>
      </c>
      <c r="AM58" s="21"/>
      <c r="AN58" s="598" t="e">
        <f t="shared" si="126"/>
        <v>#REF!</v>
      </c>
      <c r="AO58" s="495" t="e">
        <f t="shared" si="127"/>
        <v>#REF!</v>
      </c>
      <c r="AP58" s="21"/>
      <c r="AQ58" s="495" t="e">
        <f t="shared" si="128"/>
        <v>#REF!</v>
      </c>
      <c r="AR58" s="495" t="e">
        <f t="shared" si="129"/>
        <v>#REF!</v>
      </c>
      <c r="AS58" s="495" t="e">
        <f t="shared" si="130"/>
        <v>#REF!</v>
      </c>
      <c r="AT58" s="495" t="e">
        <f t="shared" ca="1" si="131"/>
        <v>#NAME?</v>
      </c>
      <c r="AU58" s="495" t="e">
        <f t="shared" si="132"/>
        <v>#REF!</v>
      </c>
      <c r="AV58" s="495" t="e">
        <f t="shared" si="133"/>
        <v>#REF!</v>
      </c>
      <c r="AW58" s="495" t="e">
        <f t="shared" si="134"/>
        <v>#REF!</v>
      </c>
      <c r="AX58" s="495" t="e">
        <f t="shared" si="135"/>
        <v>#REF!</v>
      </c>
      <c r="AY58" s="495" t="e">
        <f t="shared" si="136"/>
        <v>#REF!</v>
      </c>
      <c r="AZ58" s="493" t="e">
        <f t="shared" si="137"/>
        <v>#REF!</v>
      </c>
      <c r="BA58" s="495" t="e">
        <f t="shared" ca="1" si="138"/>
        <v>#NAME?</v>
      </c>
      <c r="BB58" s="495" t="e">
        <f t="shared" ca="1" si="139"/>
        <v>#NAME?</v>
      </c>
      <c r="BC58" s="495" t="e">
        <f t="shared" si="140"/>
        <v>#REF!</v>
      </c>
      <c r="BD58" s="495" t="e">
        <f t="shared" si="141"/>
        <v>#REF!</v>
      </c>
      <c r="BE58" s="495" t="e">
        <f t="shared" si="142"/>
        <v>#REF!</v>
      </c>
      <c r="BF58" s="495" t="e">
        <f t="shared" si="143"/>
        <v>#REF!</v>
      </c>
      <c r="BG58" s="21"/>
      <c r="BH58" s="554" t="e">
        <f t="shared" ca="1" si="144"/>
        <v>#REF!</v>
      </c>
      <c r="BI58" s="554"/>
      <c r="BJ58" s="554"/>
      <c r="BK58" s="3"/>
      <c r="BL58" s="3"/>
      <c r="BM58" s="3"/>
      <c r="BN58" s="3"/>
      <c r="BO58" s="3"/>
      <c r="BP58" s="3"/>
      <c r="BQ58" s="3"/>
      <c r="BR58" s="3"/>
      <c r="BS58" s="3"/>
      <c r="BT58" s="3"/>
      <c r="BU58" s="3"/>
      <c r="BV58" s="3"/>
      <c r="BW58" s="3"/>
      <c r="BX58" s="3"/>
    </row>
    <row r="59" spans="1:76">
      <c r="A59" s="633" t="s">
        <v>160</v>
      </c>
      <c r="B59" s="665" t="s">
        <v>491</v>
      </c>
      <c r="C59" s="658">
        <v>672.48031496062993</v>
      </c>
      <c r="D59" s="18"/>
      <c r="E59" s="621">
        <v>22.63</v>
      </c>
      <c r="F59" s="621">
        <v>0</v>
      </c>
      <c r="G59" s="622">
        <v>1400</v>
      </c>
      <c r="H59" s="622">
        <v>0</v>
      </c>
      <c r="I59" s="622">
        <v>787.6</v>
      </c>
      <c r="J59" s="622">
        <v>85.78</v>
      </c>
      <c r="K59" s="277">
        <v>40</v>
      </c>
      <c r="L59" s="622">
        <v>44.57</v>
      </c>
      <c r="M59" s="622">
        <v>1226.07</v>
      </c>
      <c r="N59" s="620">
        <v>0</v>
      </c>
      <c r="O59" s="620">
        <v>0</v>
      </c>
      <c r="P59" s="622">
        <v>22.24</v>
      </c>
      <c r="Q59" s="622">
        <v>22.29</v>
      </c>
      <c r="R59" s="69"/>
      <c r="S59" s="489">
        <f t="shared" si="116"/>
        <v>1422.63</v>
      </c>
      <c r="T59" s="489" t="e">
        <f t="shared" si="117"/>
        <v>#REF!</v>
      </c>
      <c r="U59" s="489" t="e">
        <f>MAX(U$53:U$54)+IF($B$2="mil",1,0.0254)*DDR2Specs!$B$3</f>
        <v>#REF!</v>
      </c>
      <c r="V59" s="489" t="e">
        <f>MIN(U$53:U$54)+IF($B$2="mil",1,0.0254)*DDR2Specs!$C$3</f>
        <v>#REF!</v>
      </c>
      <c r="W59" s="21"/>
      <c r="X59" s="598" t="e">
        <f t="shared" si="118"/>
        <v>#REF!</v>
      </c>
      <c r="Y59" s="495" t="e">
        <f t="shared" si="119"/>
        <v>#REF!</v>
      </c>
      <c r="Z59" s="21"/>
      <c r="AA59" s="489">
        <f t="shared" si="120"/>
        <v>3628.8900000000003</v>
      </c>
      <c r="AB59" s="489" t="e">
        <f t="shared" si="121"/>
        <v>#REF!</v>
      </c>
      <c r="AC59" s="489" t="e">
        <f>MAX(AC$53:AC$54)+IF($B$2="mil",1,0.0254)*DDR2Specs!$E$3</f>
        <v>#REF!</v>
      </c>
      <c r="AD59" s="489" t="e">
        <f>MIN(AC$53:AC$54)+IF($B$2="mil",1,0.0254)*DDR2Specs!$F$3</f>
        <v>#REF!</v>
      </c>
      <c r="AE59" s="21"/>
      <c r="AF59" s="598" t="e">
        <f t="shared" si="122"/>
        <v>#REF!</v>
      </c>
      <c r="AG59" s="495" t="e">
        <f t="shared" si="123"/>
        <v>#REF!</v>
      </c>
      <c r="AH59" s="21"/>
      <c r="AI59" s="489">
        <f t="shared" si="124"/>
        <v>3628.9400000000005</v>
      </c>
      <c r="AJ59" s="489" t="e">
        <f t="shared" si="125"/>
        <v>#REF!</v>
      </c>
      <c r="AK59" s="489" t="e">
        <f>MAX(AK$53:AK$54)+IF($B$2="mil",1,0.0254)*DDR2Specs!$E$3</f>
        <v>#REF!</v>
      </c>
      <c r="AL59" s="489" t="e">
        <f>MIN(AK$53:AK$54)+IF($B$2="mil",1,0.0254)*DDR2Specs!$F$3</f>
        <v>#REF!</v>
      </c>
      <c r="AM59" s="21"/>
      <c r="AN59" s="598" t="e">
        <f t="shared" si="126"/>
        <v>#REF!</v>
      </c>
      <c r="AO59" s="495" t="e">
        <f t="shared" si="127"/>
        <v>#REF!</v>
      </c>
      <c r="AP59" s="21"/>
      <c r="AQ59" s="495" t="e">
        <f t="shared" si="128"/>
        <v>#REF!</v>
      </c>
      <c r="AR59" s="495" t="e">
        <f t="shared" si="129"/>
        <v>#REF!</v>
      </c>
      <c r="AS59" s="495" t="e">
        <f t="shared" si="130"/>
        <v>#REF!</v>
      </c>
      <c r="AT59" s="495" t="e">
        <f t="shared" ca="1" si="131"/>
        <v>#NAME?</v>
      </c>
      <c r="AU59" s="495" t="e">
        <f t="shared" si="132"/>
        <v>#REF!</v>
      </c>
      <c r="AV59" s="495" t="e">
        <f t="shared" si="133"/>
        <v>#REF!</v>
      </c>
      <c r="AW59" s="495" t="e">
        <f t="shared" si="134"/>
        <v>#REF!</v>
      </c>
      <c r="AX59" s="495" t="e">
        <f t="shared" si="135"/>
        <v>#REF!</v>
      </c>
      <c r="AY59" s="495" t="e">
        <f t="shared" si="136"/>
        <v>#REF!</v>
      </c>
      <c r="AZ59" s="493" t="e">
        <f>IF(MAX(N59:O59)-MIN(N59:O59)&lt;=IF($B$2="mil",1,0.0254)*50,"Pass",MAX(N59:O59)-MIN(N59:O59)-IF($B$2="mil",1,0.0254)*50)</f>
        <v>#REF!</v>
      </c>
      <c r="BA59" s="495" t="e">
        <f t="shared" ca="1" si="138"/>
        <v>#NAME?</v>
      </c>
      <c r="BB59" s="495" t="e">
        <f t="shared" ca="1" si="139"/>
        <v>#NAME?</v>
      </c>
      <c r="BC59" s="495" t="e">
        <f t="shared" si="140"/>
        <v>#REF!</v>
      </c>
      <c r="BD59" s="495" t="e">
        <f t="shared" si="141"/>
        <v>#REF!</v>
      </c>
      <c r="BE59" s="495" t="e">
        <f t="shared" si="142"/>
        <v>#REF!</v>
      </c>
      <c r="BF59" s="495" t="e">
        <f t="shared" si="143"/>
        <v>#REF!</v>
      </c>
      <c r="BG59" s="21"/>
      <c r="BH59" s="554" t="e">
        <f t="shared" ca="1" si="144"/>
        <v>#REF!</v>
      </c>
      <c r="BI59" s="554"/>
      <c r="BJ59" s="554"/>
      <c r="BK59" s="3"/>
      <c r="BL59" s="3"/>
      <c r="BM59" s="3"/>
      <c r="BN59" s="3"/>
      <c r="BO59" s="3"/>
      <c r="BP59" s="3"/>
      <c r="BQ59" s="3"/>
      <c r="BR59" s="3"/>
      <c r="BS59" s="3"/>
      <c r="BT59" s="3"/>
      <c r="BU59" s="3"/>
      <c r="BV59" s="3"/>
      <c r="BW59" s="3"/>
      <c r="BX59" s="3"/>
    </row>
    <row r="60" spans="1:76">
      <c r="A60" s="633" t="s">
        <v>161</v>
      </c>
      <c r="B60" s="665" t="s">
        <v>356</v>
      </c>
      <c r="C60" s="658">
        <v>669.5275590551181</v>
      </c>
      <c r="D60" s="18"/>
      <c r="E60" s="621">
        <v>22.63</v>
      </c>
      <c r="F60" s="621">
        <v>0</v>
      </c>
      <c r="G60" s="622">
        <v>1400</v>
      </c>
      <c r="H60" s="622">
        <v>0</v>
      </c>
      <c r="I60" s="622">
        <v>787.6</v>
      </c>
      <c r="J60" s="622">
        <v>85.78</v>
      </c>
      <c r="K60" s="277">
        <v>40</v>
      </c>
      <c r="L60" s="622">
        <v>44.57</v>
      </c>
      <c r="M60" s="622">
        <v>1226.07</v>
      </c>
      <c r="N60" s="620">
        <v>0</v>
      </c>
      <c r="O60" s="620">
        <v>0</v>
      </c>
      <c r="P60" s="622">
        <v>22.24</v>
      </c>
      <c r="Q60" s="622">
        <v>22.29</v>
      </c>
      <c r="R60" s="69"/>
      <c r="S60" s="489">
        <f t="shared" si="116"/>
        <v>1422.63</v>
      </c>
      <c r="T60" s="489" t="e">
        <f t="shared" si="117"/>
        <v>#REF!</v>
      </c>
      <c r="U60" s="489" t="e">
        <f>MAX(U$53:U$54)+IF($B$2="mil",1,0.0254)*DDR2Specs!$B$3</f>
        <v>#REF!</v>
      </c>
      <c r="V60" s="489" t="e">
        <f>MIN(U$53:U$54)+IF($B$2="mil",1,0.0254)*DDR2Specs!$C$3</f>
        <v>#REF!</v>
      </c>
      <c r="W60" s="21"/>
      <c r="X60" s="598" t="e">
        <f t="shared" si="118"/>
        <v>#REF!</v>
      </c>
      <c r="Y60" s="495" t="e">
        <f t="shared" si="119"/>
        <v>#REF!</v>
      </c>
      <c r="Z60" s="21"/>
      <c r="AA60" s="489">
        <f t="shared" si="120"/>
        <v>3628.8900000000003</v>
      </c>
      <c r="AB60" s="489" t="e">
        <f t="shared" si="121"/>
        <v>#REF!</v>
      </c>
      <c r="AC60" s="489" t="e">
        <f>MAX(AC$53:AC$54)+IF($B$2="mil",1,0.0254)*DDR2Specs!$E$3</f>
        <v>#REF!</v>
      </c>
      <c r="AD60" s="489" t="e">
        <f>MIN(AC$53:AC$54)+IF($B$2="mil",1,0.0254)*DDR2Specs!$F$3</f>
        <v>#REF!</v>
      </c>
      <c r="AE60" s="21"/>
      <c r="AF60" s="598" t="e">
        <f t="shared" si="122"/>
        <v>#REF!</v>
      </c>
      <c r="AG60" s="495" t="e">
        <f t="shared" si="123"/>
        <v>#REF!</v>
      </c>
      <c r="AH60" s="21"/>
      <c r="AI60" s="489">
        <f t="shared" si="124"/>
        <v>3628.9400000000005</v>
      </c>
      <c r="AJ60" s="489" t="e">
        <f t="shared" si="125"/>
        <v>#REF!</v>
      </c>
      <c r="AK60" s="489" t="e">
        <f>MAX(AK$53:AK$54)+IF($B$2="mil",1,0.0254)*DDR2Specs!$E$3</f>
        <v>#REF!</v>
      </c>
      <c r="AL60" s="489" t="e">
        <f>MIN(AK$53:AK$54)+IF($B$2="mil",1,0.0254)*DDR2Specs!$F$3</f>
        <v>#REF!</v>
      </c>
      <c r="AM60" s="21"/>
      <c r="AN60" s="598" t="e">
        <f t="shared" si="126"/>
        <v>#REF!</v>
      </c>
      <c r="AO60" s="495" t="e">
        <f t="shared" si="127"/>
        <v>#REF!</v>
      </c>
      <c r="AP60" s="21"/>
      <c r="AQ60" s="495" t="e">
        <f t="shared" si="128"/>
        <v>#REF!</v>
      </c>
      <c r="AR60" s="495" t="e">
        <f t="shared" si="129"/>
        <v>#REF!</v>
      </c>
      <c r="AS60" s="495" t="e">
        <f t="shared" si="130"/>
        <v>#REF!</v>
      </c>
      <c r="AT60" s="495" t="e">
        <f t="shared" ca="1" si="131"/>
        <v>#NAME?</v>
      </c>
      <c r="AU60" s="495" t="e">
        <f t="shared" si="132"/>
        <v>#REF!</v>
      </c>
      <c r="AV60" s="495" t="e">
        <f t="shared" si="133"/>
        <v>#REF!</v>
      </c>
      <c r="AW60" s="495" t="e">
        <f t="shared" si="134"/>
        <v>#REF!</v>
      </c>
      <c r="AX60" s="495" t="e">
        <f t="shared" si="135"/>
        <v>#REF!</v>
      </c>
      <c r="AY60" s="495" t="e">
        <f t="shared" si="136"/>
        <v>#REF!</v>
      </c>
      <c r="AZ60" s="493" t="e">
        <f t="shared" si="137"/>
        <v>#REF!</v>
      </c>
      <c r="BA60" s="495" t="e">
        <f t="shared" ca="1" si="138"/>
        <v>#NAME?</v>
      </c>
      <c r="BB60" s="495" t="e">
        <f t="shared" ca="1" si="139"/>
        <v>#NAME?</v>
      </c>
      <c r="BC60" s="495" t="e">
        <f t="shared" si="140"/>
        <v>#REF!</v>
      </c>
      <c r="BD60" s="495" t="e">
        <f t="shared" si="141"/>
        <v>#REF!</v>
      </c>
      <c r="BE60" s="495" t="e">
        <f t="shared" si="142"/>
        <v>#REF!</v>
      </c>
      <c r="BF60" s="495" t="e">
        <f t="shared" si="143"/>
        <v>#REF!</v>
      </c>
      <c r="BG60" s="21"/>
      <c r="BH60" s="554" t="e">
        <f t="shared" ca="1" si="144"/>
        <v>#REF!</v>
      </c>
      <c r="BI60" s="554"/>
      <c r="BJ60" s="554"/>
      <c r="BK60" s="3"/>
      <c r="BL60" s="3"/>
      <c r="BM60" s="3"/>
      <c r="BN60" s="3"/>
      <c r="BO60" s="3"/>
      <c r="BP60" s="3"/>
      <c r="BQ60" s="3"/>
      <c r="BR60" s="3"/>
      <c r="BS60" s="3"/>
      <c r="BT60" s="3"/>
      <c r="BU60" s="3"/>
      <c r="BV60" s="3"/>
      <c r="BW60" s="3"/>
      <c r="BX60" s="3"/>
    </row>
    <row r="61" spans="1:76">
      <c r="A61" s="633" t="s">
        <v>162</v>
      </c>
      <c r="B61" s="665" t="s">
        <v>492</v>
      </c>
      <c r="C61" s="658">
        <v>639.96062992125985</v>
      </c>
      <c r="D61" s="18"/>
      <c r="E61" s="621">
        <v>22.63</v>
      </c>
      <c r="F61" s="621">
        <v>0</v>
      </c>
      <c r="G61" s="622">
        <v>1405</v>
      </c>
      <c r="H61" s="622">
        <v>10</v>
      </c>
      <c r="I61" s="622">
        <v>761.84</v>
      </c>
      <c r="J61" s="622">
        <v>85.78</v>
      </c>
      <c r="K61" s="277">
        <v>40</v>
      </c>
      <c r="L61" s="622">
        <v>44.57</v>
      </c>
      <c r="M61" s="622">
        <v>1199.1400000000001</v>
      </c>
      <c r="N61" s="620">
        <v>0</v>
      </c>
      <c r="O61" s="620">
        <v>0</v>
      </c>
      <c r="P61" s="622">
        <v>97.27</v>
      </c>
      <c r="Q61" s="622">
        <v>97.3</v>
      </c>
      <c r="R61" s="69"/>
      <c r="S61" s="489">
        <f t="shared" si="116"/>
        <v>1437.63</v>
      </c>
      <c r="T61" s="489" t="e">
        <f t="shared" si="117"/>
        <v>#REF!</v>
      </c>
      <c r="U61" s="489" t="e">
        <f>MAX(U$53:U$54)+IF($B$2="mil",1,0.0254)*DDR2Specs!$B$3</f>
        <v>#REF!</v>
      </c>
      <c r="V61" s="489" t="e">
        <f>MIN(U$53:U$54)+IF($B$2="mil",1,0.0254)*DDR2Specs!$C$3</f>
        <v>#REF!</v>
      </c>
      <c r="W61" s="21"/>
      <c r="X61" s="598" t="e">
        <f t="shared" si="118"/>
        <v>#REF!</v>
      </c>
      <c r="Y61" s="495" t="e">
        <f t="shared" si="119"/>
        <v>#REF!</v>
      </c>
      <c r="Z61" s="21"/>
      <c r="AA61" s="489">
        <f t="shared" si="120"/>
        <v>3656.2300000000009</v>
      </c>
      <c r="AB61" s="489" t="e">
        <f t="shared" si="121"/>
        <v>#REF!</v>
      </c>
      <c r="AC61" s="489" t="e">
        <f>MAX(AC$53:AC$54)+IF($B$2="mil",1,0.0254)*DDR2Specs!$E$3</f>
        <v>#REF!</v>
      </c>
      <c r="AD61" s="489" t="e">
        <f>MIN(AC$53:AC$54)+IF($B$2="mil",1,0.0254)*DDR2Specs!$F$3</f>
        <v>#REF!</v>
      </c>
      <c r="AE61" s="21"/>
      <c r="AF61" s="598" t="e">
        <f t="shared" si="122"/>
        <v>#REF!</v>
      </c>
      <c r="AG61" s="495" t="e">
        <f t="shared" si="123"/>
        <v>#REF!</v>
      </c>
      <c r="AH61" s="21"/>
      <c r="AI61" s="489">
        <f t="shared" si="124"/>
        <v>3656.2600000000011</v>
      </c>
      <c r="AJ61" s="489" t="e">
        <f t="shared" si="125"/>
        <v>#REF!</v>
      </c>
      <c r="AK61" s="489" t="e">
        <f>MAX(AK$53:AK$54)+IF($B$2="mil",1,0.0254)*DDR2Specs!$E$3</f>
        <v>#REF!</v>
      </c>
      <c r="AL61" s="489" t="e">
        <f>MIN(AK$53:AK$54)+IF($B$2="mil",1,0.0254)*DDR2Specs!$F$3</f>
        <v>#REF!</v>
      </c>
      <c r="AM61" s="21"/>
      <c r="AN61" s="598" t="e">
        <f t="shared" si="126"/>
        <v>#REF!</v>
      </c>
      <c r="AO61" s="495" t="e">
        <f t="shared" si="127"/>
        <v>#REF!</v>
      </c>
      <c r="AP61" s="21"/>
      <c r="AQ61" s="495" t="e">
        <f t="shared" si="128"/>
        <v>#REF!</v>
      </c>
      <c r="AR61" s="495" t="e">
        <f t="shared" si="129"/>
        <v>#REF!</v>
      </c>
      <c r="AS61" s="495" t="e">
        <f t="shared" si="130"/>
        <v>#REF!</v>
      </c>
      <c r="AT61" s="495" t="e">
        <f t="shared" ca="1" si="131"/>
        <v>#NAME?</v>
      </c>
      <c r="AU61" s="495" t="e">
        <f t="shared" si="132"/>
        <v>#REF!</v>
      </c>
      <c r="AV61" s="495" t="e">
        <f t="shared" si="133"/>
        <v>#REF!</v>
      </c>
      <c r="AW61" s="495" t="e">
        <f t="shared" si="134"/>
        <v>#REF!</v>
      </c>
      <c r="AX61" s="495" t="e">
        <f t="shared" si="135"/>
        <v>#REF!</v>
      </c>
      <c r="AY61" s="495" t="e">
        <f t="shared" si="136"/>
        <v>#REF!</v>
      </c>
      <c r="AZ61" s="493" t="e">
        <f t="shared" si="137"/>
        <v>#REF!</v>
      </c>
      <c r="BA61" s="495" t="e">
        <f t="shared" ca="1" si="138"/>
        <v>#NAME?</v>
      </c>
      <c r="BB61" s="495" t="e">
        <f t="shared" ca="1" si="139"/>
        <v>#NAME?</v>
      </c>
      <c r="BC61" s="495" t="e">
        <f t="shared" si="140"/>
        <v>#REF!</v>
      </c>
      <c r="BD61" s="495" t="e">
        <f t="shared" si="141"/>
        <v>#REF!</v>
      </c>
      <c r="BE61" s="495" t="e">
        <f t="shared" si="142"/>
        <v>#REF!</v>
      </c>
      <c r="BF61" s="495" t="e">
        <f t="shared" si="143"/>
        <v>#REF!</v>
      </c>
      <c r="BG61" s="21"/>
      <c r="BH61" s="554" t="e">
        <f t="shared" ca="1" si="144"/>
        <v>#REF!</v>
      </c>
      <c r="BI61" s="554"/>
      <c r="BJ61" s="554"/>
      <c r="BK61" s="3"/>
      <c r="BL61" s="3"/>
      <c r="BM61" s="3"/>
      <c r="BN61" s="3"/>
      <c r="BO61" s="3"/>
      <c r="BP61" s="3"/>
      <c r="BQ61" s="3"/>
      <c r="BR61" s="3"/>
      <c r="BS61" s="3"/>
      <c r="BT61" s="3"/>
      <c r="BU61" s="3"/>
      <c r="BV61" s="3"/>
      <c r="BW61" s="3"/>
      <c r="BX61" s="3"/>
    </row>
    <row r="62" spans="1:76">
      <c r="A62" s="633" t="s">
        <v>163</v>
      </c>
      <c r="B62" s="665" t="s">
        <v>493</v>
      </c>
      <c r="C62" s="658">
        <v>696.29921259842524</v>
      </c>
      <c r="D62" s="18"/>
      <c r="E62" s="621">
        <v>22.63</v>
      </c>
      <c r="F62" s="621">
        <v>0</v>
      </c>
      <c r="G62" s="622">
        <v>1360</v>
      </c>
      <c r="H62" s="622">
        <v>0</v>
      </c>
      <c r="I62" s="622">
        <v>810.56</v>
      </c>
      <c r="J62" s="622">
        <v>32.5</v>
      </c>
      <c r="K62" s="621">
        <v>40</v>
      </c>
      <c r="L62" s="622">
        <v>85.78</v>
      </c>
      <c r="M62" s="622">
        <v>1131.05</v>
      </c>
      <c r="N62" s="620">
        <v>0</v>
      </c>
      <c r="O62" s="620">
        <v>0</v>
      </c>
      <c r="P62" s="622">
        <v>116.74</v>
      </c>
      <c r="Q62" s="622">
        <v>116.71</v>
      </c>
      <c r="R62" s="69"/>
      <c r="S62" s="489">
        <f t="shared" si="116"/>
        <v>1382.63</v>
      </c>
      <c r="T62" s="489" t="e">
        <f t="shared" si="117"/>
        <v>#REF!</v>
      </c>
      <c r="U62" s="489" t="e">
        <f>MAX(U$53:U$54)+IF($B$2="mil",1,0.0254)*DDR2Specs!$B$3</f>
        <v>#REF!</v>
      </c>
      <c r="V62" s="489" t="e">
        <f>MIN(U$53:U$54)+IF($B$2="mil",1,0.0254)*DDR2Specs!$C$3</f>
        <v>#REF!</v>
      </c>
      <c r="W62" s="21"/>
      <c r="X62" s="598" t="e">
        <f t="shared" si="118"/>
        <v>#REF!</v>
      </c>
      <c r="Y62" s="495" t="e">
        <f t="shared" si="119"/>
        <v>#REF!</v>
      </c>
      <c r="Z62" s="21"/>
      <c r="AA62" s="489">
        <f t="shared" si="120"/>
        <v>3599.26</v>
      </c>
      <c r="AB62" s="489" t="e">
        <f t="shared" si="121"/>
        <v>#REF!</v>
      </c>
      <c r="AC62" s="489" t="e">
        <f>MAX(AC$53:AC$54)+IF($B$2="mil",1,0.0254)*DDR2Specs!$E$3</f>
        <v>#REF!</v>
      </c>
      <c r="AD62" s="489" t="e">
        <f>MIN(AC$53:AC$54)+IF($B$2="mil",1,0.0254)*DDR2Specs!$F$3</f>
        <v>#REF!</v>
      </c>
      <c r="AE62" s="21"/>
      <c r="AF62" s="598" t="e">
        <f t="shared" si="122"/>
        <v>#REF!</v>
      </c>
      <c r="AG62" s="495" t="e">
        <f t="shared" si="123"/>
        <v>#REF!</v>
      </c>
      <c r="AH62" s="21"/>
      <c r="AI62" s="489">
        <f t="shared" si="124"/>
        <v>3599.2300000000005</v>
      </c>
      <c r="AJ62" s="489" t="e">
        <f t="shared" si="125"/>
        <v>#REF!</v>
      </c>
      <c r="AK62" s="489" t="e">
        <f>MAX(AK$53:AK$54)+IF($B$2="mil",1,0.0254)*DDR2Specs!$E$3</f>
        <v>#REF!</v>
      </c>
      <c r="AL62" s="489" t="e">
        <f>MIN(AK$53:AK$54)+IF($B$2="mil",1,0.0254)*DDR2Specs!$F$3</f>
        <v>#REF!</v>
      </c>
      <c r="AM62" s="21"/>
      <c r="AN62" s="598" t="e">
        <f t="shared" si="126"/>
        <v>#REF!</v>
      </c>
      <c r="AO62" s="495" t="e">
        <f t="shared" si="127"/>
        <v>#REF!</v>
      </c>
      <c r="AP62" s="21"/>
      <c r="AQ62" s="495" t="e">
        <f t="shared" si="128"/>
        <v>#REF!</v>
      </c>
      <c r="AR62" s="495" t="e">
        <f t="shared" si="129"/>
        <v>#REF!</v>
      </c>
      <c r="AS62" s="495" t="e">
        <f t="shared" si="130"/>
        <v>#REF!</v>
      </c>
      <c r="AT62" s="495" t="e">
        <f t="shared" ca="1" si="131"/>
        <v>#NAME?</v>
      </c>
      <c r="AU62" s="495" t="e">
        <f t="shared" si="132"/>
        <v>#REF!</v>
      </c>
      <c r="AV62" s="495" t="e">
        <f t="shared" si="133"/>
        <v>#REF!</v>
      </c>
      <c r="AW62" s="495" t="e">
        <f t="shared" si="134"/>
        <v>#REF!</v>
      </c>
      <c r="AX62" s="495" t="e">
        <f t="shared" si="135"/>
        <v>#REF!</v>
      </c>
      <c r="AY62" s="495" t="e">
        <f t="shared" si="136"/>
        <v>#REF!</v>
      </c>
      <c r="AZ62" s="493" t="e">
        <f t="shared" si="137"/>
        <v>#REF!</v>
      </c>
      <c r="BA62" s="495" t="e">
        <f t="shared" ca="1" si="138"/>
        <v>#NAME?</v>
      </c>
      <c r="BB62" s="495" t="e">
        <f t="shared" ca="1" si="139"/>
        <v>#NAME?</v>
      </c>
      <c r="BC62" s="495" t="e">
        <f t="shared" si="140"/>
        <v>#REF!</v>
      </c>
      <c r="BD62" s="495" t="e">
        <f t="shared" si="141"/>
        <v>#REF!</v>
      </c>
      <c r="BE62" s="495" t="e">
        <f t="shared" si="142"/>
        <v>#REF!</v>
      </c>
      <c r="BF62" s="495" t="e">
        <f t="shared" si="143"/>
        <v>#REF!</v>
      </c>
      <c r="BG62" s="21"/>
      <c r="BH62" s="554" t="e">
        <f t="shared" ca="1" si="144"/>
        <v>#REF!</v>
      </c>
      <c r="BI62" s="554"/>
      <c r="BJ62" s="554"/>
      <c r="BK62" s="3"/>
      <c r="BL62" s="3"/>
      <c r="BM62" s="3"/>
      <c r="BN62" s="3"/>
      <c r="BO62" s="3"/>
      <c r="BP62" s="3"/>
      <c r="BQ62" s="3"/>
      <c r="BR62" s="3"/>
      <c r="BS62" s="3"/>
      <c r="BT62" s="3"/>
      <c r="BU62" s="3"/>
      <c r="BV62" s="3"/>
      <c r="BW62" s="3"/>
      <c r="BX62" s="3"/>
    </row>
    <row r="63" spans="1:76">
      <c r="A63" s="666" t="s">
        <v>164</v>
      </c>
      <c r="B63" s="667" t="s">
        <v>110</v>
      </c>
      <c r="C63" s="658">
        <v>755</v>
      </c>
      <c r="D63" s="18"/>
      <c r="E63" s="621">
        <v>22.63</v>
      </c>
      <c r="F63" s="621">
        <v>0</v>
      </c>
      <c r="G63" s="622">
        <v>1317</v>
      </c>
      <c r="H63" s="622">
        <v>0</v>
      </c>
      <c r="I63" s="622">
        <v>781.51</v>
      </c>
      <c r="J63" s="622">
        <v>44.57</v>
      </c>
      <c r="K63" s="621">
        <v>40</v>
      </c>
      <c r="L63" s="622">
        <v>85.78</v>
      </c>
      <c r="M63" s="622">
        <v>1180.97</v>
      </c>
      <c r="N63" s="620">
        <v>0</v>
      </c>
      <c r="O63" s="620">
        <v>0</v>
      </c>
      <c r="P63" s="622">
        <v>69.45</v>
      </c>
      <c r="Q63" s="622">
        <v>72.95</v>
      </c>
      <c r="R63" s="69"/>
      <c r="S63" s="489">
        <f t="shared" si="116"/>
        <v>1339.63</v>
      </c>
      <c r="T63" s="489" t="e">
        <f t="shared" si="117"/>
        <v>#REF!</v>
      </c>
      <c r="U63" s="489" t="e">
        <f>MAX(U$53:U$54)+IF($B$2="mil",1,0.0254)*DDR2Specs!$B$3</f>
        <v>#REF!</v>
      </c>
      <c r="V63" s="489" t="e">
        <f>MIN(U$53:U$54)+IF($B$2="mil",1,0.0254)*DDR2Specs!$C$3</f>
        <v>#REF!</v>
      </c>
      <c r="W63" s="21"/>
      <c r="X63" s="598" t="e">
        <f t="shared" si="118"/>
        <v>#REF!</v>
      </c>
      <c r="Y63" s="495" t="e">
        <f t="shared" si="119"/>
        <v>#REF!</v>
      </c>
      <c r="Z63" s="21"/>
      <c r="AA63" s="489">
        <f t="shared" si="120"/>
        <v>3541.9100000000008</v>
      </c>
      <c r="AB63" s="489" t="e">
        <f t="shared" si="121"/>
        <v>#REF!</v>
      </c>
      <c r="AC63" s="489" t="e">
        <f>MAX(AC$53:AC$54)+IF($B$2="mil",1,0.0254)*DDR2Specs!$E$3</f>
        <v>#REF!</v>
      </c>
      <c r="AD63" s="489" t="e">
        <f>MIN(AC$53:AC$54)+IF($B$2="mil",1,0.0254)*DDR2Specs!$F$3</f>
        <v>#REF!</v>
      </c>
      <c r="AE63" s="21"/>
      <c r="AF63" s="598" t="e">
        <f t="shared" si="122"/>
        <v>#REF!</v>
      </c>
      <c r="AG63" s="495" t="e">
        <f t="shared" si="123"/>
        <v>#REF!</v>
      </c>
      <c r="AH63" s="21"/>
      <c r="AI63" s="489">
        <f t="shared" si="124"/>
        <v>3545.4100000000008</v>
      </c>
      <c r="AJ63" s="489" t="e">
        <f t="shared" si="125"/>
        <v>#REF!</v>
      </c>
      <c r="AK63" s="489" t="e">
        <f>MAX(AK$53:AK$54)+IF($B$2="mil",1,0.0254)*DDR2Specs!$E$3</f>
        <v>#REF!</v>
      </c>
      <c r="AL63" s="489" t="e">
        <f>MIN(AK$53:AK$54)+IF($B$2="mil",1,0.0254)*DDR2Specs!$F$3</f>
        <v>#REF!</v>
      </c>
      <c r="AM63" s="21"/>
      <c r="AN63" s="598" t="e">
        <f t="shared" si="126"/>
        <v>#REF!</v>
      </c>
      <c r="AO63" s="495" t="e">
        <f t="shared" si="127"/>
        <v>#REF!</v>
      </c>
      <c r="AP63" s="21"/>
      <c r="AQ63" s="495" t="e">
        <f t="shared" si="128"/>
        <v>#REF!</v>
      </c>
      <c r="AR63" s="495" t="e">
        <f t="shared" si="129"/>
        <v>#REF!</v>
      </c>
      <c r="AS63" s="495" t="e">
        <f t="shared" si="130"/>
        <v>#REF!</v>
      </c>
      <c r="AT63" s="495" t="e">
        <f t="shared" ca="1" si="131"/>
        <v>#NAME?</v>
      </c>
      <c r="AU63" s="495" t="e">
        <f t="shared" si="132"/>
        <v>#REF!</v>
      </c>
      <c r="AV63" s="495" t="e">
        <f t="shared" si="133"/>
        <v>#REF!</v>
      </c>
      <c r="AW63" s="495" t="e">
        <f t="shared" si="134"/>
        <v>#REF!</v>
      </c>
      <c r="AX63" s="495" t="e">
        <f t="shared" si="135"/>
        <v>#REF!</v>
      </c>
      <c r="AY63" s="495" t="e">
        <f t="shared" si="136"/>
        <v>#REF!</v>
      </c>
      <c r="AZ63" s="493" t="e">
        <f t="shared" si="137"/>
        <v>#REF!</v>
      </c>
      <c r="BA63" s="495" t="e">
        <f t="shared" ca="1" si="138"/>
        <v>#NAME?</v>
      </c>
      <c r="BB63" s="495" t="e">
        <f t="shared" ca="1" si="139"/>
        <v>#NAME?</v>
      </c>
      <c r="BC63" s="495" t="e">
        <f t="shared" si="140"/>
        <v>#REF!</v>
      </c>
      <c r="BD63" s="495" t="e">
        <f t="shared" si="141"/>
        <v>#REF!</v>
      </c>
      <c r="BE63" s="495" t="e">
        <f t="shared" si="142"/>
        <v>#REF!</v>
      </c>
      <c r="BF63" s="495" t="e">
        <f t="shared" si="143"/>
        <v>#REF!</v>
      </c>
      <c r="BG63" s="21"/>
      <c r="BH63" s="554" t="e">
        <f t="shared" ca="1" si="144"/>
        <v>#REF!</v>
      </c>
      <c r="BI63" s="554"/>
      <c r="BJ63" s="554"/>
      <c r="BK63" s="3"/>
      <c r="BL63" s="3"/>
      <c r="BM63" s="3"/>
      <c r="BN63" s="3"/>
      <c r="BO63" s="3"/>
      <c r="BP63" s="3"/>
      <c r="BQ63" s="3"/>
      <c r="BR63" s="3"/>
      <c r="BS63" s="3"/>
      <c r="BT63" s="3"/>
      <c r="BU63" s="3"/>
      <c r="BV63" s="3"/>
      <c r="BW63" s="3"/>
      <c r="BX63" s="3"/>
    </row>
    <row r="64" spans="1:76">
      <c r="A64" s="636" t="s">
        <v>202</v>
      </c>
      <c r="B64" s="668"/>
      <c r="C64" s="659"/>
      <c r="D64" s="62"/>
      <c r="E64" s="82"/>
      <c r="F64" s="82"/>
      <c r="G64" s="439"/>
      <c r="H64" s="295"/>
      <c r="I64" s="295"/>
      <c r="J64" s="295"/>
      <c r="K64" s="295"/>
      <c r="L64" s="295"/>
      <c r="M64" s="295"/>
      <c r="N64" s="295"/>
      <c r="O64" s="295"/>
      <c r="P64" s="295"/>
      <c r="Q64" s="295"/>
      <c r="R64" s="10"/>
      <c r="S64" s="82"/>
      <c r="T64" s="605"/>
      <c r="U64" s="605"/>
      <c r="V64" s="606"/>
      <c r="W64" s="606"/>
      <c r="X64" s="607"/>
      <c r="Y64" s="17"/>
      <c r="Z64" s="606"/>
      <c r="AA64" s="82"/>
      <c r="AB64" s="605"/>
      <c r="AC64" s="605"/>
      <c r="AD64" s="606"/>
      <c r="AE64" s="606"/>
      <c r="AF64" s="607"/>
      <c r="AG64" s="17"/>
      <c r="AH64" s="606"/>
      <c r="AI64" s="82"/>
      <c r="AJ64" s="605"/>
      <c r="AK64" s="605"/>
      <c r="AL64" s="606"/>
      <c r="AM64" s="606"/>
      <c r="AN64" s="607"/>
      <c r="AO64" s="17"/>
      <c r="AP64" s="606"/>
      <c r="AQ64" s="17"/>
      <c r="AR64" s="17"/>
      <c r="AS64" s="16"/>
      <c r="AT64" s="16"/>
      <c r="AU64" s="16"/>
      <c r="AV64" s="16"/>
      <c r="AW64" s="16"/>
      <c r="AX64" s="16"/>
      <c r="AY64" s="16"/>
      <c r="AZ64" s="16"/>
      <c r="BA64" s="16"/>
      <c r="BB64" s="16"/>
      <c r="BC64" s="16"/>
      <c r="BD64" s="16"/>
      <c r="BE64" s="16"/>
      <c r="BF64" s="16"/>
      <c r="BG64" s="83"/>
      <c r="BH64" s="554"/>
      <c r="BI64" s="554"/>
      <c r="BJ64" s="554"/>
      <c r="BK64" s="3"/>
      <c r="BL64" s="3"/>
      <c r="BM64" s="3"/>
      <c r="BN64" s="3"/>
      <c r="BO64" s="3"/>
      <c r="BP64" s="3"/>
      <c r="BQ64" s="3"/>
      <c r="BR64" s="3"/>
      <c r="BS64" s="3"/>
      <c r="BT64" s="3"/>
      <c r="BU64" s="3"/>
      <c r="BV64" s="3"/>
      <c r="BW64" s="3"/>
      <c r="BX64" s="3"/>
    </row>
    <row r="65" spans="1:76">
      <c r="A65" s="650" t="str">
        <f>'DDR2 Strobes - 2x16_1R SODIMM'!$A$32</f>
        <v>SA_DQS5</v>
      </c>
      <c r="B65" s="669" t="str">
        <f>'DDR2 Strobes - 2x16_1R SODIMM'!$B$32</f>
        <v>AB16</v>
      </c>
      <c r="C65" s="660"/>
      <c r="D65" s="53"/>
      <c r="E65" s="81"/>
      <c r="F65" s="81"/>
      <c r="G65" s="685"/>
      <c r="H65" s="686"/>
      <c r="I65" s="686"/>
      <c r="J65" s="686"/>
      <c r="K65" s="686"/>
      <c r="L65" s="686"/>
      <c r="M65" s="686"/>
      <c r="N65" s="686"/>
      <c r="O65" s="686"/>
      <c r="P65" s="686"/>
      <c r="Q65" s="686"/>
      <c r="R65" s="81"/>
      <c r="S65" s="81"/>
      <c r="T65" s="58"/>
      <c r="U65" s="58" t="e">
        <f>'DDR2 Strobes - 2x16_1R SODIMM'!$U$32</f>
        <v>#REF!</v>
      </c>
      <c r="V65" s="58"/>
      <c r="W65" s="58"/>
      <c r="X65" s="58"/>
      <c r="Y65" s="608"/>
      <c r="Z65" s="58"/>
      <c r="AA65" s="81"/>
      <c r="AB65" s="58"/>
      <c r="AC65" s="58" t="e">
        <f>'DDR2 Strobes - 2x16_1R SODIMM'!$AD$32</f>
        <v>#REF!</v>
      </c>
      <c r="AD65" s="58"/>
      <c r="AE65" s="58"/>
      <c r="AF65" s="58"/>
      <c r="AG65" s="608"/>
      <c r="AH65" s="58"/>
      <c r="AI65" s="81"/>
      <c r="AJ65" s="58"/>
      <c r="AK65" s="58" t="e">
        <f>'DDR2 Strobes - 2x16_1R SODIMM'!$AL$32</f>
        <v>#REF!</v>
      </c>
      <c r="AL65" s="58"/>
      <c r="AM65" s="58"/>
      <c r="AN65" s="58"/>
      <c r="AO65" s="608"/>
      <c r="AP65" s="58"/>
      <c r="AQ65" s="608"/>
      <c r="AR65" s="608"/>
      <c r="AS65" s="608"/>
      <c r="AT65" s="608"/>
      <c r="AU65" s="608"/>
      <c r="AV65" s="608"/>
      <c r="AW65" s="608"/>
      <c r="AX65" s="608"/>
      <c r="AY65" s="608"/>
      <c r="AZ65" s="608"/>
      <c r="BA65" s="608"/>
      <c r="BB65" s="608"/>
      <c r="BC65" s="608"/>
      <c r="BD65" s="608"/>
      <c r="BE65" s="608"/>
      <c r="BF65" s="608"/>
      <c r="BG65" s="58"/>
      <c r="BH65" s="554"/>
      <c r="BI65" s="554"/>
      <c r="BJ65" s="554"/>
      <c r="BK65" s="3"/>
      <c r="BL65" s="3"/>
      <c r="BM65" s="3"/>
      <c r="BN65" s="3"/>
      <c r="BO65" s="3"/>
      <c r="BP65" s="3"/>
      <c r="BQ65" s="3"/>
      <c r="BR65" s="3"/>
      <c r="BS65" s="3"/>
      <c r="BT65" s="3"/>
      <c r="BU65" s="3"/>
      <c r="BV65" s="3"/>
      <c r="BW65" s="3"/>
      <c r="BX65" s="3"/>
    </row>
    <row r="66" spans="1:76">
      <c r="A66" s="650" t="str">
        <f>'DDR2 Strobes - 2x16_1R SODIMM'!$A$33</f>
        <v>SA_DQS5#</v>
      </c>
      <c r="B66" s="669" t="str">
        <f>'DDR2 Strobes - 2x16_1R SODIMM'!$B$33</f>
        <v>AB15</v>
      </c>
      <c r="C66" s="660"/>
      <c r="D66" s="53"/>
      <c r="E66" s="81"/>
      <c r="F66" s="81"/>
      <c r="G66" s="685"/>
      <c r="H66" s="686"/>
      <c r="I66" s="686"/>
      <c r="J66" s="686"/>
      <c r="K66" s="686"/>
      <c r="L66" s="686"/>
      <c r="M66" s="686"/>
      <c r="N66" s="686"/>
      <c r="O66" s="686"/>
      <c r="P66" s="686"/>
      <c r="Q66" s="686"/>
      <c r="R66" s="81"/>
      <c r="S66" s="81"/>
      <c r="T66" s="603"/>
      <c r="U66" s="58" t="e">
        <f>'DDR2 Strobes - 2x16_1R SODIMM'!$U$33</f>
        <v>#REF!</v>
      </c>
      <c r="V66" s="58"/>
      <c r="W66" s="58"/>
      <c r="X66" s="58"/>
      <c r="Y66" s="608"/>
      <c r="Z66" s="58"/>
      <c r="AA66" s="602"/>
      <c r="AB66" s="603"/>
      <c r="AC66" s="58" t="e">
        <f>'DDR2 Strobes - 2x16_1R SODIMM'!$AD$33</f>
        <v>#REF!</v>
      </c>
      <c r="AD66" s="58"/>
      <c r="AE66" s="58"/>
      <c r="AF66" s="58"/>
      <c r="AG66" s="608"/>
      <c r="AH66" s="58"/>
      <c r="AI66" s="602"/>
      <c r="AJ66" s="603"/>
      <c r="AK66" s="58" t="e">
        <f>'DDR2 Strobes - 2x16_1R SODIMM'!$AL$33</f>
        <v>#REF!</v>
      </c>
      <c r="AL66" s="58"/>
      <c r="AM66" s="58"/>
      <c r="AN66" s="58"/>
      <c r="AO66" s="608"/>
      <c r="AP66" s="58"/>
      <c r="AQ66" s="608"/>
      <c r="AR66" s="608"/>
      <c r="AS66" s="609"/>
      <c r="AT66" s="609"/>
      <c r="AU66" s="609"/>
      <c r="AV66" s="609"/>
      <c r="AW66" s="609"/>
      <c r="AX66" s="609"/>
      <c r="AY66" s="609"/>
      <c r="AZ66" s="609"/>
      <c r="BA66" s="609"/>
      <c r="BB66" s="609"/>
      <c r="BC66" s="609"/>
      <c r="BD66" s="609"/>
      <c r="BE66" s="609"/>
      <c r="BF66" s="609"/>
      <c r="BG66" s="58"/>
      <c r="BH66" s="554"/>
      <c r="BI66" s="554"/>
      <c r="BJ66" s="554"/>
      <c r="BK66" s="3"/>
      <c r="BL66" s="3"/>
      <c r="BM66" s="3"/>
      <c r="BN66" s="3"/>
      <c r="BO66" s="3"/>
      <c r="BP66" s="3"/>
      <c r="BQ66" s="3"/>
      <c r="BR66" s="3"/>
      <c r="BS66" s="3"/>
      <c r="BT66" s="3"/>
      <c r="BU66" s="3"/>
      <c r="BV66" s="3"/>
      <c r="BW66" s="3"/>
      <c r="BX66" s="3"/>
    </row>
    <row r="67" spans="1:76">
      <c r="A67" s="633" t="s">
        <v>165</v>
      </c>
      <c r="B67" s="665" t="s">
        <v>339</v>
      </c>
      <c r="C67" s="658">
        <v>714.1338582677165</v>
      </c>
      <c r="D67" s="18"/>
      <c r="E67" s="621">
        <v>22.63</v>
      </c>
      <c r="F67" s="621">
        <v>0</v>
      </c>
      <c r="G67" s="622">
        <v>1423.05</v>
      </c>
      <c r="H67" s="622">
        <v>60</v>
      </c>
      <c r="I67" s="622">
        <v>827.1</v>
      </c>
      <c r="J67" s="622">
        <v>44.57</v>
      </c>
      <c r="K67" s="277">
        <v>40</v>
      </c>
      <c r="L67" s="622">
        <v>77.5</v>
      </c>
      <c r="M67" s="622">
        <v>1195.94</v>
      </c>
      <c r="N67" s="620">
        <v>0</v>
      </c>
      <c r="O67" s="620">
        <v>0</v>
      </c>
      <c r="P67" s="622">
        <v>65.849999999999994</v>
      </c>
      <c r="Q67" s="622">
        <v>65.819999999999993</v>
      </c>
      <c r="R67" s="69"/>
      <c r="S67" s="489">
        <f t="shared" ref="S67:S75" si="145" xml:space="preserve"> E67+F67+G67+H67</f>
        <v>1505.68</v>
      </c>
      <c r="T67" s="489" t="e">
        <f t="shared" ref="T67:T75" si="146">S67+IF($B$2="mil",1,0.0254)*C67</f>
        <v>#REF!</v>
      </c>
      <c r="U67" s="489" t="e">
        <f>MAX(U$65:U$66)+IF($B$2="mil",1,0.0254)*DDR2Specs!$B$3</f>
        <v>#REF!</v>
      </c>
      <c r="V67" s="489" t="e">
        <f>MIN(U$65:U$66)+IF($B$2="mil",1,0.0254)*DDR2Specs!$C$3</f>
        <v>#REF!</v>
      </c>
      <c r="W67" s="21"/>
      <c r="X67" s="598" t="e">
        <f t="shared" ref="X67:X75" si="147">IF($T67&lt;$U67,$U67-$T67,"Pass")</f>
        <v>#REF!</v>
      </c>
      <c r="Y67" s="495" t="e">
        <f t="shared" ref="Y67:Y75" si="148">IF($T67&gt;$V67,$T67-$V67,"Pass")</f>
        <v>#REF!</v>
      </c>
      <c r="Z67" s="21"/>
      <c r="AA67" s="489">
        <f t="shared" ref="AA67:AA75" si="149">SUM(E67:G67,I67:N67,P67)</f>
        <v>3696.6400000000003</v>
      </c>
      <c r="AB67" s="489" t="e">
        <f t="shared" ref="AB67:AB75" si="150">AA67+IF($B$2="mil",1,0.0254)*$C67</f>
        <v>#REF!</v>
      </c>
      <c r="AC67" s="489" t="e">
        <f>MAX(AC$65:AC$66)+IF($B$2="mil",1,0.0254)*DDR2Specs!$E$3</f>
        <v>#REF!</v>
      </c>
      <c r="AD67" s="489" t="e">
        <f>MIN(AC$65:AC$66)+IF($B$2="mil",1,0.0254)*DDR2Specs!$F$3</f>
        <v>#REF!</v>
      </c>
      <c r="AE67" s="21"/>
      <c r="AF67" s="598" t="e">
        <f t="shared" ref="AF67:AF75" si="151">IF($AB67&lt;$AC67,$AC67-$AB67,"Pass")</f>
        <v>#REF!</v>
      </c>
      <c r="AG67" s="495" t="e">
        <f t="shared" ref="AG67:AG75" si="152">IF($AB67&gt;$AD67,$AB67-$AD67,"Pass")</f>
        <v>#REF!</v>
      </c>
      <c r="AH67" s="21"/>
      <c r="AI67" s="489">
        <f t="shared" ref="AI67:AI75" si="153">SUM(E67:G67,I67:M67,O67,Q67)</f>
        <v>3696.6100000000006</v>
      </c>
      <c r="AJ67" s="489" t="e">
        <f t="shared" ref="AJ67:AJ75" si="154">AI67+IF($B$2="mil",1,0.0254)*$C67</f>
        <v>#REF!</v>
      </c>
      <c r="AK67" s="489" t="e">
        <f>MAX(AK$65:AK$66)+IF($B$2="mil",1,0.0254)*DDR2Specs!$E$3</f>
        <v>#REF!</v>
      </c>
      <c r="AL67" s="489" t="e">
        <f>MIN(AK$65:AK$66)+IF($B$2="mil",1,0.0254)*DDR2Specs!$F$3</f>
        <v>#REF!</v>
      </c>
      <c r="AM67" s="21"/>
      <c r="AN67" s="598" t="e">
        <f t="shared" ref="AN67:AN75" si="155">IF($AJ67&lt;$AK67,$AK67-$AJ67,"Pass")</f>
        <v>#REF!</v>
      </c>
      <c r="AO67" s="495" t="e">
        <f t="shared" ref="AO67:AO75" si="156">IF($AJ67&gt;$AL67,$AJ67-$AL67,"Pass")</f>
        <v>#REF!</v>
      </c>
      <c r="AP67" s="21"/>
      <c r="AQ67" s="495" t="e">
        <f t="shared" ref="AQ67:AQ75" si="157">IF($E67&lt;=IF($B$2="mil",1,0.0254)*50,"Pass",IF($B$2="mil",1,0.0254)*50-$E67)</f>
        <v>#REF!</v>
      </c>
      <c r="AR67" s="495" t="e">
        <f t="shared" ref="AR67:AR75" si="158">IF($F67&lt;=IF($B$2="mil",1,0.0254)*500,"Pass",IF($B$2="mil",1,0.0254)*500-$F67)</f>
        <v>#REF!</v>
      </c>
      <c r="AS67" s="495" t="e">
        <f t="shared" ref="AS67:AS75" si="159">IF($H67&lt;=IF($B$2="mil",1,0.0254)*250,"Pass",IF($B$2="mil",1,0.0254)*250-$H67)</f>
        <v>#REF!</v>
      </c>
      <c r="AT67" s="495" t="e">
        <f t="shared" ref="AT67:AT75" ca="1" si="160">CheckLength(IF($B$2="mil",1,0.0254)*750, IF($B$2="mil",1,0.0254)*125-J67, 0, I67,J67,0)</f>
        <v>#NAME?</v>
      </c>
      <c r="AU67" s="495" t="e">
        <f t="shared" ref="AU67:AU75" si="161">IF($J67&lt;=IF($B$2="mil",1,0.0254)*125,"Pass",IF($B$2="mil",1,0.0254)*125-$J67)</f>
        <v>#REF!</v>
      </c>
      <c r="AV67" s="495" t="e">
        <f t="shared" ref="AV67:AV75" si="162">IF($L67&lt;=IF($B$2="mil",1,0.0254)*125,"Pass",IF($B$2="mil",1,0.0254)*125-$L67)</f>
        <v>#REF!</v>
      </c>
      <c r="AW67" s="495" t="e">
        <f t="shared" ref="AW67:AW75" si="163">IF(($L67+$M67)&lt;=IF($B$2="mil",1,0.0254)*1275,"Pass",IF($B$2="mil",1,0.0254)*1275-($L67+H67))</f>
        <v>#REF!</v>
      </c>
      <c r="AX67" s="495" t="e">
        <f t="shared" ref="AX67:AX75" si="164">IF($N67&lt;=IF($B$2="mil",1,0.0254)*150,"Pass",IF($B$2="mil",1,0.0254)*150-$N67)</f>
        <v>#REF!</v>
      </c>
      <c r="AY67" s="495" t="e">
        <f t="shared" ref="AY67:AY75" si="165">IF($O67&lt;=IF($B$2="mil",1,0.0254)*150,"Pass",IF($B$2="mil",1,0.0254)*150-$O67)</f>
        <v>#REF!</v>
      </c>
      <c r="AZ67" s="493" t="e">
        <f t="shared" ref="AZ67:AZ75" si="166">IF(MAX(N67:O67)-MIN(N67:O67)&lt;=IF($B$2="mil",1,0.0254)*50,"Pass",MAX(N67:O67)-MIN(N67:O67)-IF($B$2="mil",1,0.0254)*50)</f>
        <v>#REF!</v>
      </c>
      <c r="BA67" s="495" t="e">
        <f t="shared" ref="BA67:BA75" ca="1" si="167">CheckLength2(IF($B$2="mil",1,0.0254)*200,$P67,N67,0)</f>
        <v>#NAME?</v>
      </c>
      <c r="BB67" s="495" t="e">
        <f t="shared" ref="BB67:BB75" ca="1" si="168">CheckLength2(IF($B$2="mil",1,0.0254)*200,$Q67,O67,0)</f>
        <v>#NAME?</v>
      </c>
      <c r="BC67" s="495" t="e">
        <f t="shared" ref="BC67:BC75" si="169">IF(AND($S67&gt;=IF($B$2="mil",1,0.0254)*500, $S67&lt;=IF($B$2="mil",1,0.0254)*4000),"Pass",IF($B$2="mil",1,0.0254)*4000-$S67)</f>
        <v>#REF!</v>
      </c>
      <c r="BD67" s="495" t="e">
        <f t="shared" ref="BD67:BD75" si="170">IF(AND($T67&gt;=IF($B$2="mil",1,0.0254)*500, $T67&lt;=IF($B$2="mil",1,0.0254)*4500),"Pass",IF($B$2="mil",1,0.0254)*4500-$T67)</f>
        <v>#REF!</v>
      </c>
      <c r="BE67" s="495" t="e">
        <f t="shared" ref="BE67:BE75" si="171">IF(AND($AA67&gt;=IF($B$2="mil",1,0.0254)*500, $AA67&lt;=IF($B$2="mil",1,0.0254)*5500),"Pass",IF($B$2="mil",1,0.0254)*5500-$AA67)</f>
        <v>#REF!</v>
      </c>
      <c r="BF67" s="495" t="e">
        <f t="shared" ref="BF67:BF75" si="172">IF(AND($AB67&gt;=IF($B$2="mil",1,0.0254)*500, $AB67&lt;=IF($B$2="mil",1,0.0254)*6000),"Pass",IF($B$2="mil",1,0.0254)*6000-$AB67)</f>
        <v>#REF!</v>
      </c>
      <c r="BG67" s="21"/>
      <c r="BH67" s="554" t="e">
        <f t="shared" ref="BH67:BH75" ca="1" si="173">IF(AND(AN67="Pass",AO67="Pass",AQ67="Pass",BD67="Pass",AS67="Pass",AR67="Pass",BC67="Pass",X67="Pass",Y67="Pass",BB67="Pass",AW67="Pass",AX67="Pass",AY67="Pass",AZ67="Pass",BA67="Pass",AV67="Pass",AU67="Pass",AT67="Pass",AF67="Pass",AG67="Pass",BE67="Pass",BF67="Pass"),"Pass","Fail")</f>
        <v>#REF!</v>
      </c>
      <c r="BI67" s="554" t="e">
        <f ca="1">IF(AND(BH67="Pass",BH68="Pass",BH69="Pass",BH70="Pass",BH71="Pass",BH72="Pass",BH73="Pass",BH74="Pass",BH75="Pass"),"Pass","Fail")</f>
        <v>#REF!</v>
      </c>
      <c r="BJ67" s="554"/>
      <c r="BK67" s="3"/>
      <c r="BL67" s="3"/>
      <c r="BM67" s="3"/>
      <c r="BN67" s="3"/>
      <c r="BO67" s="3"/>
      <c r="BP67" s="3"/>
      <c r="BQ67" s="3"/>
      <c r="BR67" s="3"/>
      <c r="BS67" s="3"/>
      <c r="BT67" s="3"/>
      <c r="BU67" s="3"/>
      <c r="BV67" s="3"/>
      <c r="BW67" s="3"/>
      <c r="BX67" s="3"/>
    </row>
    <row r="68" spans="1:76">
      <c r="A68" s="633" t="s">
        <v>166</v>
      </c>
      <c r="B68" s="670" t="s">
        <v>341</v>
      </c>
      <c r="C68" s="658">
        <v>754.9212598425197</v>
      </c>
      <c r="D68" s="18"/>
      <c r="E68" s="621">
        <v>22.63</v>
      </c>
      <c r="F68" s="621">
        <v>0</v>
      </c>
      <c r="G68" s="622">
        <v>1417.67</v>
      </c>
      <c r="H68" s="622">
        <v>30</v>
      </c>
      <c r="I68" s="622">
        <v>761.84</v>
      </c>
      <c r="J68" s="622">
        <v>85.78</v>
      </c>
      <c r="K68" s="277">
        <v>40</v>
      </c>
      <c r="L68" s="622">
        <v>44.57</v>
      </c>
      <c r="M68" s="622">
        <v>1199.1400000000001</v>
      </c>
      <c r="N68" s="620">
        <v>0</v>
      </c>
      <c r="O68" s="620">
        <v>0</v>
      </c>
      <c r="P68" s="622">
        <v>97.27</v>
      </c>
      <c r="Q68" s="622">
        <v>97.3</v>
      </c>
      <c r="R68" s="69"/>
      <c r="S68" s="489">
        <f t="shared" si="145"/>
        <v>1470.3000000000002</v>
      </c>
      <c r="T68" s="489" t="e">
        <f t="shared" si="146"/>
        <v>#REF!</v>
      </c>
      <c r="U68" s="489" t="e">
        <f>MAX(U$65:U$66)+IF($B$2="mil",1,0.0254)*DDR2Specs!$B$3</f>
        <v>#REF!</v>
      </c>
      <c r="V68" s="489" t="e">
        <f>MIN(U$65:U$66)+IF($B$2="mil",1,0.0254)*DDR2Specs!$C$3</f>
        <v>#REF!</v>
      </c>
      <c r="W68" s="21"/>
      <c r="X68" s="598" t="e">
        <f t="shared" si="147"/>
        <v>#REF!</v>
      </c>
      <c r="Y68" s="495" t="e">
        <f t="shared" si="148"/>
        <v>#REF!</v>
      </c>
      <c r="Z68" s="21"/>
      <c r="AA68" s="489">
        <f t="shared" si="149"/>
        <v>3668.900000000001</v>
      </c>
      <c r="AB68" s="489" t="e">
        <f t="shared" si="150"/>
        <v>#REF!</v>
      </c>
      <c r="AC68" s="489" t="e">
        <f>MAX(AC$65:AC$66)+IF($B$2="mil",1,0.0254)*DDR2Specs!$E$3</f>
        <v>#REF!</v>
      </c>
      <c r="AD68" s="489" t="e">
        <f>MIN(AC$65:AC$66)+IF($B$2="mil",1,0.0254)*DDR2Specs!$F$3</f>
        <v>#REF!</v>
      </c>
      <c r="AE68" s="21"/>
      <c r="AF68" s="598" t="e">
        <f t="shared" si="151"/>
        <v>#REF!</v>
      </c>
      <c r="AG68" s="495" t="e">
        <f t="shared" si="152"/>
        <v>#REF!</v>
      </c>
      <c r="AH68" s="21"/>
      <c r="AI68" s="489">
        <f t="shared" si="153"/>
        <v>3668.9300000000012</v>
      </c>
      <c r="AJ68" s="489" t="e">
        <f t="shared" si="154"/>
        <v>#REF!</v>
      </c>
      <c r="AK68" s="489" t="e">
        <f>MAX(AK$65:AK$66)+IF($B$2="mil",1,0.0254)*DDR2Specs!$E$3</f>
        <v>#REF!</v>
      </c>
      <c r="AL68" s="489" t="e">
        <f>MIN(AK$65:AK$66)+IF($B$2="mil",1,0.0254)*DDR2Specs!$F$3</f>
        <v>#REF!</v>
      </c>
      <c r="AM68" s="21"/>
      <c r="AN68" s="598" t="e">
        <f t="shared" si="155"/>
        <v>#REF!</v>
      </c>
      <c r="AO68" s="495" t="e">
        <f t="shared" si="156"/>
        <v>#REF!</v>
      </c>
      <c r="AP68" s="21"/>
      <c r="AQ68" s="495" t="e">
        <f t="shared" si="157"/>
        <v>#REF!</v>
      </c>
      <c r="AR68" s="495" t="e">
        <f t="shared" si="158"/>
        <v>#REF!</v>
      </c>
      <c r="AS68" s="495" t="e">
        <f t="shared" si="159"/>
        <v>#REF!</v>
      </c>
      <c r="AT68" s="495" t="e">
        <f t="shared" ca="1" si="160"/>
        <v>#NAME?</v>
      </c>
      <c r="AU68" s="495" t="e">
        <f t="shared" si="161"/>
        <v>#REF!</v>
      </c>
      <c r="AV68" s="495" t="e">
        <f t="shared" si="162"/>
        <v>#REF!</v>
      </c>
      <c r="AW68" s="495" t="e">
        <f t="shared" si="163"/>
        <v>#REF!</v>
      </c>
      <c r="AX68" s="495" t="e">
        <f t="shared" si="164"/>
        <v>#REF!</v>
      </c>
      <c r="AY68" s="495" t="e">
        <f t="shared" si="165"/>
        <v>#REF!</v>
      </c>
      <c r="AZ68" s="493" t="e">
        <f t="shared" si="166"/>
        <v>#REF!</v>
      </c>
      <c r="BA68" s="495" t="e">
        <f t="shared" ca="1" si="167"/>
        <v>#NAME?</v>
      </c>
      <c r="BB68" s="495" t="e">
        <f t="shared" ca="1" si="168"/>
        <v>#NAME?</v>
      </c>
      <c r="BC68" s="495" t="e">
        <f t="shared" si="169"/>
        <v>#REF!</v>
      </c>
      <c r="BD68" s="495" t="e">
        <f t="shared" si="170"/>
        <v>#REF!</v>
      </c>
      <c r="BE68" s="495" t="e">
        <f t="shared" si="171"/>
        <v>#REF!</v>
      </c>
      <c r="BF68" s="495" t="e">
        <f t="shared" si="172"/>
        <v>#REF!</v>
      </c>
      <c r="BG68" s="21"/>
      <c r="BH68" s="554" t="e">
        <f t="shared" ca="1" si="173"/>
        <v>#REF!</v>
      </c>
      <c r="BI68" s="554"/>
      <c r="BJ68" s="554"/>
      <c r="BK68" s="3"/>
      <c r="BL68" s="3"/>
      <c r="BM68" s="3"/>
      <c r="BN68" s="3"/>
      <c r="BO68" s="3"/>
      <c r="BP68" s="3"/>
      <c r="BQ68" s="3"/>
      <c r="BR68" s="3"/>
      <c r="BS68" s="3"/>
      <c r="BT68" s="3"/>
      <c r="BU68" s="3"/>
      <c r="BV68" s="3"/>
      <c r="BW68" s="3"/>
      <c r="BX68" s="3"/>
    </row>
    <row r="69" spans="1:76">
      <c r="A69" s="633" t="s">
        <v>167</v>
      </c>
      <c r="B69" s="670" t="s">
        <v>494</v>
      </c>
      <c r="C69" s="658">
        <v>593.89763779527561</v>
      </c>
      <c r="D69" s="18"/>
      <c r="E69" s="621">
        <v>22.63</v>
      </c>
      <c r="F69" s="621">
        <v>0</v>
      </c>
      <c r="G69" s="622">
        <v>1580.15</v>
      </c>
      <c r="H69" s="622">
        <v>30</v>
      </c>
      <c r="I69" s="622">
        <v>787.08</v>
      </c>
      <c r="J69" s="622">
        <v>85.78</v>
      </c>
      <c r="K69" s="277">
        <v>40</v>
      </c>
      <c r="L69" s="622">
        <v>44.57</v>
      </c>
      <c r="M69" s="622">
        <v>1227</v>
      </c>
      <c r="N69" s="620">
        <v>0</v>
      </c>
      <c r="O69" s="620">
        <v>0</v>
      </c>
      <c r="P69" s="622">
        <v>30.83</v>
      </c>
      <c r="Q69" s="622">
        <v>30.86</v>
      </c>
      <c r="R69" s="69"/>
      <c r="S69" s="489">
        <f t="shared" si="145"/>
        <v>1632.7800000000002</v>
      </c>
      <c r="T69" s="489" t="e">
        <f t="shared" si="146"/>
        <v>#REF!</v>
      </c>
      <c r="U69" s="489" t="e">
        <f>MAX(U$65:U$66)+IF($B$2="mil",1,0.0254)*DDR2Specs!$B$3</f>
        <v>#REF!</v>
      </c>
      <c r="V69" s="489" t="e">
        <f>MIN(U$65:U$66)+IF($B$2="mil",1,0.0254)*DDR2Specs!$C$3</f>
        <v>#REF!</v>
      </c>
      <c r="W69" s="21"/>
      <c r="X69" s="598" t="e">
        <f t="shared" si="147"/>
        <v>#REF!</v>
      </c>
      <c r="Y69" s="495" t="e">
        <f t="shared" si="148"/>
        <v>#REF!</v>
      </c>
      <c r="Z69" s="21"/>
      <c r="AA69" s="489">
        <f t="shared" si="149"/>
        <v>3818.0400000000004</v>
      </c>
      <c r="AB69" s="489" t="e">
        <f t="shared" si="150"/>
        <v>#REF!</v>
      </c>
      <c r="AC69" s="489" t="e">
        <f>MAX(AC$65:AC$66)+IF($B$2="mil",1,0.0254)*DDR2Specs!$E$3</f>
        <v>#REF!</v>
      </c>
      <c r="AD69" s="489" t="e">
        <f>MIN(AC$65:AC$66)+IF($B$2="mil",1,0.0254)*DDR2Specs!$F$3</f>
        <v>#REF!</v>
      </c>
      <c r="AE69" s="21"/>
      <c r="AF69" s="598" t="e">
        <f t="shared" si="151"/>
        <v>#REF!</v>
      </c>
      <c r="AG69" s="495" t="e">
        <f t="shared" si="152"/>
        <v>#REF!</v>
      </c>
      <c r="AH69" s="21"/>
      <c r="AI69" s="489">
        <f t="shared" si="153"/>
        <v>3818.0700000000006</v>
      </c>
      <c r="AJ69" s="489" t="e">
        <f t="shared" si="154"/>
        <v>#REF!</v>
      </c>
      <c r="AK69" s="489" t="e">
        <f>MAX(AK$65:AK$66)+IF($B$2="mil",1,0.0254)*DDR2Specs!$E$3</f>
        <v>#REF!</v>
      </c>
      <c r="AL69" s="489" t="e">
        <f>MIN(AK$65:AK$66)+IF($B$2="mil",1,0.0254)*DDR2Specs!$F$3</f>
        <v>#REF!</v>
      </c>
      <c r="AM69" s="21"/>
      <c r="AN69" s="598" t="e">
        <f t="shared" si="155"/>
        <v>#REF!</v>
      </c>
      <c r="AO69" s="495" t="e">
        <f t="shared" si="156"/>
        <v>#REF!</v>
      </c>
      <c r="AP69" s="21"/>
      <c r="AQ69" s="495" t="e">
        <f t="shared" si="157"/>
        <v>#REF!</v>
      </c>
      <c r="AR69" s="495" t="e">
        <f t="shared" si="158"/>
        <v>#REF!</v>
      </c>
      <c r="AS69" s="495" t="e">
        <f t="shared" si="159"/>
        <v>#REF!</v>
      </c>
      <c r="AT69" s="495" t="e">
        <f t="shared" ca="1" si="160"/>
        <v>#NAME?</v>
      </c>
      <c r="AU69" s="495" t="e">
        <f t="shared" si="161"/>
        <v>#REF!</v>
      </c>
      <c r="AV69" s="495" t="e">
        <f t="shared" si="162"/>
        <v>#REF!</v>
      </c>
      <c r="AW69" s="495" t="e">
        <f t="shared" si="163"/>
        <v>#REF!</v>
      </c>
      <c r="AX69" s="495" t="e">
        <f t="shared" si="164"/>
        <v>#REF!</v>
      </c>
      <c r="AY69" s="495" t="e">
        <f t="shared" si="165"/>
        <v>#REF!</v>
      </c>
      <c r="AZ69" s="493" t="e">
        <f t="shared" si="166"/>
        <v>#REF!</v>
      </c>
      <c r="BA69" s="495" t="e">
        <f t="shared" ca="1" si="167"/>
        <v>#NAME?</v>
      </c>
      <c r="BB69" s="495" t="e">
        <f t="shared" ca="1" si="168"/>
        <v>#NAME?</v>
      </c>
      <c r="BC69" s="495" t="e">
        <f t="shared" si="169"/>
        <v>#REF!</v>
      </c>
      <c r="BD69" s="495" t="e">
        <f t="shared" si="170"/>
        <v>#REF!</v>
      </c>
      <c r="BE69" s="495" t="e">
        <f t="shared" si="171"/>
        <v>#REF!</v>
      </c>
      <c r="BF69" s="495" t="e">
        <f t="shared" si="172"/>
        <v>#REF!</v>
      </c>
      <c r="BG69" s="21"/>
      <c r="BH69" s="554" t="e">
        <f t="shared" ca="1" si="173"/>
        <v>#REF!</v>
      </c>
      <c r="BI69" s="554"/>
      <c r="BJ69" s="554"/>
      <c r="BK69" s="3"/>
      <c r="BL69" s="3"/>
      <c r="BM69" s="3"/>
      <c r="BN69" s="3"/>
      <c r="BO69" s="3"/>
      <c r="BP69" s="3"/>
      <c r="BQ69" s="3"/>
      <c r="BR69" s="3"/>
      <c r="BS69" s="3"/>
      <c r="BT69" s="3"/>
      <c r="BU69" s="3"/>
      <c r="BV69" s="3"/>
      <c r="BW69" s="3"/>
      <c r="BX69" s="3"/>
    </row>
    <row r="70" spans="1:76">
      <c r="A70" s="633" t="s">
        <v>168</v>
      </c>
      <c r="B70" s="665" t="s">
        <v>371</v>
      </c>
      <c r="C70" s="658">
        <v>626.37795275590554</v>
      </c>
      <c r="D70" s="18"/>
      <c r="E70" s="621">
        <v>22.63</v>
      </c>
      <c r="F70" s="621">
        <v>0</v>
      </c>
      <c r="G70" s="622">
        <v>1548.65</v>
      </c>
      <c r="H70" s="622">
        <v>25</v>
      </c>
      <c r="I70" s="622">
        <v>829.82</v>
      </c>
      <c r="J70" s="622">
        <v>44.57</v>
      </c>
      <c r="K70" s="277">
        <v>40</v>
      </c>
      <c r="L70" s="622">
        <v>85.78</v>
      </c>
      <c r="M70" s="622">
        <v>1183.3</v>
      </c>
      <c r="N70" s="620">
        <v>0</v>
      </c>
      <c r="O70" s="620">
        <v>0</v>
      </c>
      <c r="P70" s="622">
        <v>31.57</v>
      </c>
      <c r="Q70" s="622">
        <v>31.54</v>
      </c>
      <c r="R70" s="69"/>
      <c r="S70" s="489">
        <f t="shared" si="145"/>
        <v>1596.2800000000002</v>
      </c>
      <c r="T70" s="489" t="e">
        <f t="shared" si="146"/>
        <v>#REF!</v>
      </c>
      <c r="U70" s="489" t="e">
        <f>MAX(U$65:U$66)+IF($B$2="mil",1,0.0254)*DDR2Specs!$B$3</f>
        <v>#REF!</v>
      </c>
      <c r="V70" s="489" t="e">
        <f>MIN(U$65:U$66)+IF($B$2="mil",1,0.0254)*DDR2Specs!$C$3</f>
        <v>#REF!</v>
      </c>
      <c r="W70" s="21"/>
      <c r="X70" s="598" t="e">
        <f t="shared" si="147"/>
        <v>#REF!</v>
      </c>
      <c r="Y70" s="495" t="e">
        <f t="shared" si="148"/>
        <v>#REF!</v>
      </c>
      <c r="Z70" s="21"/>
      <c r="AA70" s="489">
        <f t="shared" si="149"/>
        <v>3786.3200000000011</v>
      </c>
      <c r="AB70" s="489" t="e">
        <f t="shared" si="150"/>
        <v>#REF!</v>
      </c>
      <c r="AC70" s="489" t="e">
        <f>MAX(AC$65:AC$66)+IF($B$2="mil",1,0.0254)*DDR2Specs!$E$3</f>
        <v>#REF!</v>
      </c>
      <c r="AD70" s="489" t="e">
        <f>MIN(AC$65:AC$66)+IF($B$2="mil",1,0.0254)*DDR2Specs!$F$3</f>
        <v>#REF!</v>
      </c>
      <c r="AE70" s="21"/>
      <c r="AF70" s="598" t="e">
        <f t="shared" si="151"/>
        <v>#REF!</v>
      </c>
      <c r="AG70" s="495" t="e">
        <f t="shared" si="152"/>
        <v>#REF!</v>
      </c>
      <c r="AH70" s="21"/>
      <c r="AI70" s="489">
        <f t="shared" si="153"/>
        <v>3786.2900000000009</v>
      </c>
      <c r="AJ70" s="489" t="e">
        <f t="shared" si="154"/>
        <v>#REF!</v>
      </c>
      <c r="AK70" s="489" t="e">
        <f>MAX(AK$65:AK$66)+IF($B$2="mil",1,0.0254)*DDR2Specs!$E$3</f>
        <v>#REF!</v>
      </c>
      <c r="AL70" s="489" t="e">
        <f>MIN(AK$65:AK$66)+IF($B$2="mil",1,0.0254)*DDR2Specs!$F$3</f>
        <v>#REF!</v>
      </c>
      <c r="AM70" s="21"/>
      <c r="AN70" s="598" t="e">
        <f t="shared" si="155"/>
        <v>#REF!</v>
      </c>
      <c r="AO70" s="495" t="e">
        <f t="shared" si="156"/>
        <v>#REF!</v>
      </c>
      <c r="AP70" s="21"/>
      <c r="AQ70" s="495" t="e">
        <f t="shared" si="157"/>
        <v>#REF!</v>
      </c>
      <c r="AR70" s="495" t="e">
        <f t="shared" si="158"/>
        <v>#REF!</v>
      </c>
      <c r="AS70" s="495" t="e">
        <f t="shared" si="159"/>
        <v>#REF!</v>
      </c>
      <c r="AT70" s="495" t="e">
        <f t="shared" ca="1" si="160"/>
        <v>#NAME?</v>
      </c>
      <c r="AU70" s="495" t="e">
        <f t="shared" si="161"/>
        <v>#REF!</v>
      </c>
      <c r="AV70" s="495" t="e">
        <f t="shared" si="162"/>
        <v>#REF!</v>
      </c>
      <c r="AW70" s="495" t="e">
        <f t="shared" si="163"/>
        <v>#REF!</v>
      </c>
      <c r="AX70" s="495" t="e">
        <f t="shared" si="164"/>
        <v>#REF!</v>
      </c>
      <c r="AY70" s="495" t="e">
        <f t="shared" si="165"/>
        <v>#REF!</v>
      </c>
      <c r="AZ70" s="493" t="e">
        <f t="shared" si="166"/>
        <v>#REF!</v>
      </c>
      <c r="BA70" s="495" t="e">
        <f t="shared" ca="1" si="167"/>
        <v>#NAME?</v>
      </c>
      <c r="BB70" s="495" t="e">
        <f t="shared" ca="1" si="168"/>
        <v>#NAME?</v>
      </c>
      <c r="BC70" s="495" t="e">
        <f t="shared" si="169"/>
        <v>#REF!</v>
      </c>
      <c r="BD70" s="495" t="e">
        <f t="shared" si="170"/>
        <v>#REF!</v>
      </c>
      <c r="BE70" s="495" t="e">
        <f t="shared" si="171"/>
        <v>#REF!</v>
      </c>
      <c r="BF70" s="495" t="e">
        <f t="shared" si="172"/>
        <v>#REF!</v>
      </c>
      <c r="BG70" s="21"/>
      <c r="BH70" s="554" t="e">
        <f t="shared" ca="1" si="173"/>
        <v>#REF!</v>
      </c>
      <c r="BI70" s="554"/>
      <c r="BJ70" s="554"/>
      <c r="BK70" s="3"/>
      <c r="BL70" s="3"/>
      <c r="BM70" s="3"/>
      <c r="BN70" s="3"/>
      <c r="BO70" s="3"/>
      <c r="BP70" s="3"/>
      <c r="BQ70" s="3"/>
      <c r="BR70" s="3"/>
      <c r="BS70" s="3"/>
      <c r="BT70" s="3"/>
      <c r="BU70" s="3"/>
      <c r="BV70" s="3"/>
      <c r="BW70" s="3"/>
      <c r="BX70" s="3"/>
    </row>
    <row r="71" spans="1:76">
      <c r="A71" s="633" t="s">
        <v>169</v>
      </c>
      <c r="B71" s="665" t="s">
        <v>495</v>
      </c>
      <c r="C71" s="658">
        <v>594.33070866141736</v>
      </c>
      <c r="D71" s="18"/>
      <c r="E71" s="621">
        <v>22.63</v>
      </c>
      <c r="F71" s="621">
        <v>0</v>
      </c>
      <c r="G71" s="622">
        <v>1602.69</v>
      </c>
      <c r="H71" s="622">
        <v>15</v>
      </c>
      <c r="I71" s="622">
        <v>817.53</v>
      </c>
      <c r="J71" s="622">
        <v>44.57</v>
      </c>
      <c r="K71" s="277">
        <v>40</v>
      </c>
      <c r="L71" s="622">
        <v>92.41</v>
      </c>
      <c r="M71" s="622">
        <v>1149.32</v>
      </c>
      <c r="N71" s="620">
        <v>0</v>
      </c>
      <c r="O71" s="620">
        <v>0</v>
      </c>
      <c r="P71" s="622">
        <v>50.17</v>
      </c>
      <c r="Q71" s="622">
        <v>50.2</v>
      </c>
      <c r="R71" s="69"/>
      <c r="S71" s="489">
        <f t="shared" si="145"/>
        <v>1640.3200000000002</v>
      </c>
      <c r="T71" s="489" t="e">
        <f t="shared" si="146"/>
        <v>#REF!</v>
      </c>
      <c r="U71" s="489" t="e">
        <f>MAX(U$65:U$66)+IF($B$2="mil",1,0.0254)*DDR2Specs!$B$3</f>
        <v>#REF!</v>
      </c>
      <c r="V71" s="489" t="e">
        <f>MIN(U$65:U$66)+IF($B$2="mil",1,0.0254)*DDR2Specs!$C$3</f>
        <v>#REF!</v>
      </c>
      <c r="W71" s="21"/>
      <c r="X71" s="598" t="e">
        <f t="shared" si="147"/>
        <v>#REF!</v>
      </c>
      <c r="Y71" s="495" t="e">
        <f t="shared" si="148"/>
        <v>#REF!</v>
      </c>
      <c r="Z71" s="21"/>
      <c r="AA71" s="489">
        <f t="shared" si="149"/>
        <v>3819.3200000000006</v>
      </c>
      <c r="AB71" s="489" t="e">
        <f t="shared" si="150"/>
        <v>#REF!</v>
      </c>
      <c r="AC71" s="489" t="e">
        <f>MAX(AC$65:AC$66)+IF($B$2="mil",1,0.0254)*DDR2Specs!$E$3</f>
        <v>#REF!</v>
      </c>
      <c r="AD71" s="489" t="e">
        <f>MIN(AC$65:AC$66)+IF($B$2="mil",1,0.0254)*DDR2Specs!$F$3</f>
        <v>#REF!</v>
      </c>
      <c r="AE71" s="21"/>
      <c r="AF71" s="598" t="e">
        <f t="shared" si="151"/>
        <v>#REF!</v>
      </c>
      <c r="AG71" s="495" t="e">
        <f t="shared" si="152"/>
        <v>#REF!</v>
      </c>
      <c r="AH71" s="21"/>
      <c r="AI71" s="489">
        <f t="shared" si="153"/>
        <v>3819.3500000000004</v>
      </c>
      <c r="AJ71" s="489" t="e">
        <f t="shared" si="154"/>
        <v>#REF!</v>
      </c>
      <c r="AK71" s="489" t="e">
        <f>MAX(AK$65:AK$66)+IF($B$2="mil",1,0.0254)*DDR2Specs!$E$3</f>
        <v>#REF!</v>
      </c>
      <c r="AL71" s="489" t="e">
        <f>MIN(AK$65:AK$66)+IF($B$2="mil",1,0.0254)*DDR2Specs!$F$3</f>
        <v>#REF!</v>
      </c>
      <c r="AM71" s="21"/>
      <c r="AN71" s="598" t="e">
        <f t="shared" si="155"/>
        <v>#REF!</v>
      </c>
      <c r="AO71" s="495" t="e">
        <f t="shared" si="156"/>
        <v>#REF!</v>
      </c>
      <c r="AP71" s="21"/>
      <c r="AQ71" s="495" t="e">
        <f t="shared" si="157"/>
        <v>#REF!</v>
      </c>
      <c r="AR71" s="495" t="e">
        <f t="shared" si="158"/>
        <v>#REF!</v>
      </c>
      <c r="AS71" s="495" t="e">
        <f t="shared" si="159"/>
        <v>#REF!</v>
      </c>
      <c r="AT71" s="495" t="e">
        <f t="shared" ca="1" si="160"/>
        <v>#NAME?</v>
      </c>
      <c r="AU71" s="495" t="e">
        <f t="shared" si="161"/>
        <v>#REF!</v>
      </c>
      <c r="AV71" s="495" t="e">
        <f t="shared" si="162"/>
        <v>#REF!</v>
      </c>
      <c r="AW71" s="495" t="e">
        <f t="shared" si="163"/>
        <v>#REF!</v>
      </c>
      <c r="AX71" s="495" t="e">
        <f t="shared" si="164"/>
        <v>#REF!</v>
      </c>
      <c r="AY71" s="495" t="e">
        <f t="shared" si="165"/>
        <v>#REF!</v>
      </c>
      <c r="AZ71" s="493" t="e">
        <f t="shared" si="166"/>
        <v>#REF!</v>
      </c>
      <c r="BA71" s="495" t="e">
        <f t="shared" ca="1" si="167"/>
        <v>#NAME?</v>
      </c>
      <c r="BB71" s="495" t="e">
        <f t="shared" ca="1" si="168"/>
        <v>#NAME?</v>
      </c>
      <c r="BC71" s="495" t="e">
        <f t="shared" si="169"/>
        <v>#REF!</v>
      </c>
      <c r="BD71" s="495" t="e">
        <f t="shared" si="170"/>
        <v>#REF!</v>
      </c>
      <c r="BE71" s="495" t="e">
        <f t="shared" si="171"/>
        <v>#REF!</v>
      </c>
      <c r="BF71" s="495" t="e">
        <f t="shared" si="172"/>
        <v>#REF!</v>
      </c>
      <c r="BG71" s="21"/>
      <c r="BH71" s="554" t="e">
        <f t="shared" ca="1" si="173"/>
        <v>#REF!</v>
      </c>
      <c r="BI71" s="554"/>
      <c r="BJ71" s="554"/>
      <c r="BK71" s="3"/>
      <c r="BL71" s="3"/>
      <c r="BM71" s="3"/>
      <c r="BN71" s="3"/>
      <c r="BO71" s="3"/>
      <c r="BP71" s="3"/>
      <c r="BQ71" s="3"/>
      <c r="BR71" s="3"/>
      <c r="BS71" s="3"/>
      <c r="BT71" s="3"/>
      <c r="BU71" s="3"/>
      <c r="BV71" s="3"/>
      <c r="BW71" s="3"/>
      <c r="BX71" s="3"/>
    </row>
    <row r="72" spans="1:76">
      <c r="A72" s="633" t="s">
        <v>170</v>
      </c>
      <c r="B72" s="665" t="s">
        <v>367</v>
      </c>
      <c r="C72" s="658">
        <v>587.95275590551182</v>
      </c>
      <c r="D72" s="18"/>
      <c r="E72" s="621">
        <v>22.63</v>
      </c>
      <c r="F72" s="621">
        <v>0</v>
      </c>
      <c r="G72" s="622">
        <v>1594.04</v>
      </c>
      <c r="H72" s="622">
        <v>30</v>
      </c>
      <c r="I72" s="622">
        <v>787.6</v>
      </c>
      <c r="J72" s="622">
        <v>85.78</v>
      </c>
      <c r="K72" s="277">
        <v>40</v>
      </c>
      <c r="L72" s="622">
        <v>44.57</v>
      </c>
      <c r="M72" s="622">
        <v>1226.07</v>
      </c>
      <c r="N72" s="620">
        <v>0</v>
      </c>
      <c r="O72" s="620">
        <v>0</v>
      </c>
      <c r="P72" s="622">
        <v>22.24</v>
      </c>
      <c r="Q72" s="622">
        <v>22.29</v>
      </c>
      <c r="R72" s="69"/>
      <c r="S72" s="489">
        <f t="shared" si="145"/>
        <v>1646.67</v>
      </c>
      <c r="T72" s="489" t="e">
        <f t="shared" si="146"/>
        <v>#REF!</v>
      </c>
      <c r="U72" s="489" t="e">
        <f>MAX(U$65:U$66)+IF($B$2="mil",1,0.0254)*DDR2Specs!$B$3</f>
        <v>#REF!</v>
      </c>
      <c r="V72" s="489" t="e">
        <f>MIN(U$65:U$66)+IF($B$2="mil",1,0.0254)*DDR2Specs!$C$3</f>
        <v>#REF!</v>
      </c>
      <c r="W72" s="21"/>
      <c r="X72" s="598" t="e">
        <f t="shared" si="147"/>
        <v>#REF!</v>
      </c>
      <c r="Y72" s="495" t="e">
        <f t="shared" si="148"/>
        <v>#REF!</v>
      </c>
      <c r="Z72" s="21"/>
      <c r="AA72" s="489">
        <f t="shared" si="149"/>
        <v>3822.9300000000003</v>
      </c>
      <c r="AB72" s="489" t="e">
        <f t="shared" si="150"/>
        <v>#REF!</v>
      </c>
      <c r="AC72" s="489" t="e">
        <f>MAX(AC$65:AC$66)+IF($B$2="mil",1,0.0254)*DDR2Specs!$E$3</f>
        <v>#REF!</v>
      </c>
      <c r="AD72" s="489" t="e">
        <f>MIN(AC$65:AC$66)+IF($B$2="mil",1,0.0254)*DDR2Specs!$F$3</f>
        <v>#REF!</v>
      </c>
      <c r="AE72" s="21"/>
      <c r="AF72" s="598" t="e">
        <f t="shared" si="151"/>
        <v>#REF!</v>
      </c>
      <c r="AG72" s="495" t="e">
        <f t="shared" si="152"/>
        <v>#REF!</v>
      </c>
      <c r="AH72" s="21"/>
      <c r="AI72" s="489">
        <f t="shared" si="153"/>
        <v>3822.9800000000005</v>
      </c>
      <c r="AJ72" s="489" t="e">
        <f t="shared" si="154"/>
        <v>#REF!</v>
      </c>
      <c r="AK72" s="489" t="e">
        <f>MAX(AK$65:AK$66)+IF($B$2="mil",1,0.0254)*DDR2Specs!$E$3</f>
        <v>#REF!</v>
      </c>
      <c r="AL72" s="489" t="e">
        <f>MIN(AK$65:AK$66)+IF($B$2="mil",1,0.0254)*DDR2Specs!$F$3</f>
        <v>#REF!</v>
      </c>
      <c r="AM72" s="21"/>
      <c r="AN72" s="598" t="e">
        <f t="shared" si="155"/>
        <v>#REF!</v>
      </c>
      <c r="AO72" s="495" t="e">
        <f t="shared" si="156"/>
        <v>#REF!</v>
      </c>
      <c r="AP72" s="21"/>
      <c r="AQ72" s="495" t="e">
        <f t="shared" si="157"/>
        <v>#REF!</v>
      </c>
      <c r="AR72" s="495" t="e">
        <f t="shared" si="158"/>
        <v>#REF!</v>
      </c>
      <c r="AS72" s="495" t="e">
        <f t="shared" si="159"/>
        <v>#REF!</v>
      </c>
      <c r="AT72" s="495" t="e">
        <f t="shared" ca="1" si="160"/>
        <v>#NAME?</v>
      </c>
      <c r="AU72" s="495" t="e">
        <f t="shared" si="161"/>
        <v>#REF!</v>
      </c>
      <c r="AV72" s="495" t="e">
        <f t="shared" si="162"/>
        <v>#REF!</v>
      </c>
      <c r="AW72" s="495" t="e">
        <f t="shared" si="163"/>
        <v>#REF!</v>
      </c>
      <c r="AX72" s="495" t="e">
        <f t="shared" si="164"/>
        <v>#REF!</v>
      </c>
      <c r="AY72" s="495" t="e">
        <f t="shared" si="165"/>
        <v>#REF!</v>
      </c>
      <c r="AZ72" s="493" t="e">
        <f t="shared" si="166"/>
        <v>#REF!</v>
      </c>
      <c r="BA72" s="495" t="e">
        <f t="shared" ca="1" si="167"/>
        <v>#NAME?</v>
      </c>
      <c r="BB72" s="495" t="e">
        <f t="shared" ca="1" si="168"/>
        <v>#NAME?</v>
      </c>
      <c r="BC72" s="495" t="e">
        <f t="shared" si="169"/>
        <v>#REF!</v>
      </c>
      <c r="BD72" s="495" t="e">
        <f t="shared" si="170"/>
        <v>#REF!</v>
      </c>
      <c r="BE72" s="495" t="e">
        <f t="shared" si="171"/>
        <v>#REF!</v>
      </c>
      <c r="BF72" s="495" t="e">
        <f t="shared" si="172"/>
        <v>#REF!</v>
      </c>
      <c r="BG72" s="21"/>
      <c r="BH72" s="554" t="e">
        <f t="shared" ca="1" si="173"/>
        <v>#REF!</v>
      </c>
      <c r="BI72" s="554"/>
      <c r="BJ72" s="554"/>
      <c r="BK72" s="3"/>
      <c r="BL72" s="3"/>
      <c r="BM72" s="3"/>
      <c r="BN72" s="3"/>
      <c r="BO72" s="3"/>
      <c r="BP72" s="3"/>
      <c r="BQ72" s="3"/>
      <c r="BR72" s="3"/>
      <c r="BS72" s="3"/>
      <c r="BT72" s="3"/>
      <c r="BU72" s="3"/>
      <c r="BV72" s="3"/>
      <c r="BW72" s="3"/>
      <c r="BX72" s="3"/>
    </row>
    <row r="73" spans="1:76">
      <c r="A73" s="633" t="s">
        <v>171</v>
      </c>
      <c r="B73" s="665" t="s">
        <v>372</v>
      </c>
      <c r="C73" s="658">
        <v>692.79527559055123</v>
      </c>
      <c r="D73" s="18"/>
      <c r="E73" s="621">
        <v>22.63</v>
      </c>
      <c r="F73" s="621">
        <v>0</v>
      </c>
      <c r="G73" s="622">
        <v>1520.05</v>
      </c>
      <c r="H73" s="622">
        <v>0</v>
      </c>
      <c r="I73" s="622">
        <v>771.23</v>
      </c>
      <c r="J73" s="622">
        <v>94.07</v>
      </c>
      <c r="K73" s="277">
        <v>40</v>
      </c>
      <c r="L73" s="622">
        <v>90.75</v>
      </c>
      <c r="M73" s="622">
        <v>1120.94</v>
      </c>
      <c r="N73" s="620">
        <v>0</v>
      </c>
      <c r="O73" s="620">
        <v>0</v>
      </c>
      <c r="P73" s="622">
        <v>64.260000000000005</v>
      </c>
      <c r="Q73" s="622">
        <v>64.3</v>
      </c>
      <c r="R73" s="69"/>
      <c r="S73" s="489">
        <f t="shared" si="145"/>
        <v>1542.68</v>
      </c>
      <c r="T73" s="489" t="e">
        <f t="shared" si="146"/>
        <v>#REF!</v>
      </c>
      <c r="U73" s="489" t="e">
        <f>MAX(U$65:U$66)+IF($B$2="mil",1,0.0254)*DDR2Specs!$B$3</f>
        <v>#REF!</v>
      </c>
      <c r="V73" s="489" t="e">
        <f>MIN(U$65:U$66)+IF($B$2="mil",1,0.0254)*DDR2Specs!$C$3</f>
        <v>#REF!</v>
      </c>
      <c r="W73" s="21"/>
      <c r="X73" s="598" t="e">
        <f t="shared" si="147"/>
        <v>#REF!</v>
      </c>
      <c r="Y73" s="495" t="e">
        <f t="shared" si="148"/>
        <v>#REF!</v>
      </c>
      <c r="Z73" s="21"/>
      <c r="AA73" s="489">
        <f t="shared" si="149"/>
        <v>3723.9300000000003</v>
      </c>
      <c r="AB73" s="489" t="e">
        <f t="shared" si="150"/>
        <v>#REF!</v>
      </c>
      <c r="AC73" s="489" t="e">
        <f>MAX(AC$65:AC$66)+IF($B$2="mil",1,0.0254)*DDR2Specs!$E$3</f>
        <v>#REF!</v>
      </c>
      <c r="AD73" s="489" t="e">
        <f>MIN(AC$65:AC$66)+IF($B$2="mil",1,0.0254)*DDR2Specs!$F$3</f>
        <v>#REF!</v>
      </c>
      <c r="AE73" s="21"/>
      <c r="AF73" s="598" t="e">
        <f t="shared" si="151"/>
        <v>#REF!</v>
      </c>
      <c r="AG73" s="495" t="e">
        <f t="shared" si="152"/>
        <v>#REF!</v>
      </c>
      <c r="AH73" s="21"/>
      <c r="AI73" s="489">
        <f t="shared" si="153"/>
        <v>3723.9700000000003</v>
      </c>
      <c r="AJ73" s="489" t="e">
        <f t="shared" si="154"/>
        <v>#REF!</v>
      </c>
      <c r="AK73" s="489" t="e">
        <f>MAX(AK$65:AK$66)+IF($B$2="mil",1,0.0254)*DDR2Specs!$E$3</f>
        <v>#REF!</v>
      </c>
      <c r="AL73" s="489" t="e">
        <f>MIN(AK$65:AK$66)+IF($B$2="mil",1,0.0254)*DDR2Specs!$F$3</f>
        <v>#REF!</v>
      </c>
      <c r="AM73" s="21"/>
      <c r="AN73" s="598" t="e">
        <f t="shared" si="155"/>
        <v>#REF!</v>
      </c>
      <c r="AO73" s="495" t="e">
        <f t="shared" si="156"/>
        <v>#REF!</v>
      </c>
      <c r="AP73" s="21"/>
      <c r="AQ73" s="495" t="e">
        <f t="shared" si="157"/>
        <v>#REF!</v>
      </c>
      <c r="AR73" s="495" t="e">
        <f t="shared" si="158"/>
        <v>#REF!</v>
      </c>
      <c r="AS73" s="495" t="e">
        <f t="shared" si="159"/>
        <v>#REF!</v>
      </c>
      <c r="AT73" s="495" t="e">
        <f t="shared" ca="1" si="160"/>
        <v>#NAME?</v>
      </c>
      <c r="AU73" s="495" t="e">
        <f t="shared" si="161"/>
        <v>#REF!</v>
      </c>
      <c r="AV73" s="495" t="e">
        <f t="shared" si="162"/>
        <v>#REF!</v>
      </c>
      <c r="AW73" s="495" t="e">
        <f t="shared" si="163"/>
        <v>#REF!</v>
      </c>
      <c r="AX73" s="495" t="e">
        <f t="shared" si="164"/>
        <v>#REF!</v>
      </c>
      <c r="AY73" s="495" t="e">
        <f t="shared" si="165"/>
        <v>#REF!</v>
      </c>
      <c r="AZ73" s="493" t="e">
        <f t="shared" si="166"/>
        <v>#REF!</v>
      </c>
      <c r="BA73" s="495" t="e">
        <f t="shared" ca="1" si="167"/>
        <v>#NAME?</v>
      </c>
      <c r="BB73" s="495" t="e">
        <f t="shared" ca="1" si="168"/>
        <v>#NAME?</v>
      </c>
      <c r="BC73" s="495" t="e">
        <f t="shared" si="169"/>
        <v>#REF!</v>
      </c>
      <c r="BD73" s="495" t="e">
        <f t="shared" si="170"/>
        <v>#REF!</v>
      </c>
      <c r="BE73" s="495" t="e">
        <f t="shared" si="171"/>
        <v>#REF!</v>
      </c>
      <c r="BF73" s="495" t="e">
        <f t="shared" si="172"/>
        <v>#REF!</v>
      </c>
      <c r="BG73" s="21"/>
      <c r="BH73" s="554" t="e">
        <f t="shared" ca="1" si="173"/>
        <v>#REF!</v>
      </c>
      <c r="BI73" s="554"/>
      <c r="BJ73" s="554"/>
      <c r="BK73" s="3"/>
      <c r="BL73" s="3"/>
      <c r="BM73" s="3"/>
      <c r="BN73" s="3"/>
      <c r="BO73" s="3"/>
      <c r="BP73" s="3"/>
      <c r="BQ73" s="3"/>
      <c r="BR73" s="3"/>
      <c r="BS73" s="3"/>
      <c r="BT73" s="3"/>
      <c r="BU73" s="3"/>
      <c r="BV73" s="3"/>
      <c r="BW73" s="3"/>
      <c r="BX73" s="3"/>
    </row>
    <row r="74" spans="1:76">
      <c r="A74" s="633" t="s">
        <v>172</v>
      </c>
      <c r="B74" s="665" t="s">
        <v>496</v>
      </c>
      <c r="C74" s="658">
        <v>671.29921259842513</v>
      </c>
      <c r="D74" s="18"/>
      <c r="E74" s="621">
        <v>22.63</v>
      </c>
      <c r="F74" s="621">
        <v>0</v>
      </c>
      <c r="G74" s="622">
        <v>1512.78</v>
      </c>
      <c r="H74" s="622">
        <v>25</v>
      </c>
      <c r="I74" s="622">
        <v>810.56</v>
      </c>
      <c r="J74" s="622">
        <v>32.5</v>
      </c>
      <c r="K74" s="621">
        <v>40</v>
      </c>
      <c r="L74" s="622">
        <v>85.78</v>
      </c>
      <c r="M74" s="622">
        <v>1131.05</v>
      </c>
      <c r="N74" s="620">
        <v>0</v>
      </c>
      <c r="O74" s="620">
        <v>0</v>
      </c>
      <c r="P74" s="622">
        <v>116.74</v>
      </c>
      <c r="Q74" s="622">
        <v>116.71</v>
      </c>
      <c r="R74" s="69"/>
      <c r="S74" s="489">
        <f t="shared" si="145"/>
        <v>1560.41</v>
      </c>
      <c r="T74" s="489" t="e">
        <f t="shared" si="146"/>
        <v>#REF!</v>
      </c>
      <c r="U74" s="489" t="e">
        <f>MAX(U$65:U$66)+IF($B$2="mil",1,0.0254)*DDR2Specs!$B$3</f>
        <v>#REF!</v>
      </c>
      <c r="V74" s="489" t="e">
        <f>MIN(U$65:U$66)+IF($B$2="mil",1,0.0254)*DDR2Specs!$C$3</f>
        <v>#REF!</v>
      </c>
      <c r="W74" s="21"/>
      <c r="X74" s="598" t="e">
        <f t="shared" si="147"/>
        <v>#REF!</v>
      </c>
      <c r="Y74" s="495" t="e">
        <f t="shared" si="148"/>
        <v>#REF!</v>
      </c>
      <c r="Z74" s="21"/>
      <c r="AA74" s="489">
        <f t="shared" si="149"/>
        <v>3752.04</v>
      </c>
      <c r="AB74" s="489" t="e">
        <f t="shared" si="150"/>
        <v>#REF!</v>
      </c>
      <c r="AC74" s="489" t="e">
        <f>MAX(AC$65:AC$66)+IF($B$2="mil",1,0.0254)*DDR2Specs!$E$3</f>
        <v>#REF!</v>
      </c>
      <c r="AD74" s="489" t="e">
        <f>MIN(AC$65:AC$66)+IF($B$2="mil",1,0.0254)*DDR2Specs!$F$3</f>
        <v>#REF!</v>
      </c>
      <c r="AE74" s="21"/>
      <c r="AF74" s="598" t="e">
        <f t="shared" si="151"/>
        <v>#REF!</v>
      </c>
      <c r="AG74" s="495" t="e">
        <f t="shared" si="152"/>
        <v>#REF!</v>
      </c>
      <c r="AH74" s="21"/>
      <c r="AI74" s="489">
        <f t="shared" si="153"/>
        <v>3752.01</v>
      </c>
      <c r="AJ74" s="489" t="e">
        <f t="shared" si="154"/>
        <v>#REF!</v>
      </c>
      <c r="AK74" s="489" t="e">
        <f>MAX(AK$65:AK$66)+IF($B$2="mil",1,0.0254)*DDR2Specs!$E$3</f>
        <v>#REF!</v>
      </c>
      <c r="AL74" s="489" t="e">
        <f>MIN(AK$65:AK$66)+IF($B$2="mil",1,0.0254)*DDR2Specs!$F$3</f>
        <v>#REF!</v>
      </c>
      <c r="AM74" s="21"/>
      <c r="AN74" s="598" t="e">
        <f t="shared" si="155"/>
        <v>#REF!</v>
      </c>
      <c r="AO74" s="495" t="e">
        <f t="shared" si="156"/>
        <v>#REF!</v>
      </c>
      <c r="AP74" s="21"/>
      <c r="AQ74" s="495" t="e">
        <f t="shared" si="157"/>
        <v>#REF!</v>
      </c>
      <c r="AR74" s="495" t="e">
        <f t="shared" si="158"/>
        <v>#REF!</v>
      </c>
      <c r="AS74" s="495" t="e">
        <f t="shared" si="159"/>
        <v>#REF!</v>
      </c>
      <c r="AT74" s="495" t="e">
        <f t="shared" ca="1" si="160"/>
        <v>#NAME?</v>
      </c>
      <c r="AU74" s="495" t="e">
        <f t="shared" si="161"/>
        <v>#REF!</v>
      </c>
      <c r="AV74" s="495" t="e">
        <f t="shared" si="162"/>
        <v>#REF!</v>
      </c>
      <c r="AW74" s="495" t="e">
        <f t="shared" si="163"/>
        <v>#REF!</v>
      </c>
      <c r="AX74" s="495" t="e">
        <f t="shared" si="164"/>
        <v>#REF!</v>
      </c>
      <c r="AY74" s="495" t="e">
        <f t="shared" si="165"/>
        <v>#REF!</v>
      </c>
      <c r="AZ74" s="493" t="e">
        <f t="shared" si="166"/>
        <v>#REF!</v>
      </c>
      <c r="BA74" s="495" t="e">
        <f t="shared" ca="1" si="167"/>
        <v>#NAME?</v>
      </c>
      <c r="BB74" s="495" t="e">
        <f t="shared" ca="1" si="168"/>
        <v>#NAME?</v>
      </c>
      <c r="BC74" s="495" t="e">
        <f t="shared" si="169"/>
        <v>#REF!</v>
      </c>
      <c r="BD74" s="495" t="e">
        <f t="shared" si="170"/>
        <v>#REF!</v>
      </c>
      <c r="BE74" s="495" t="e">
        <f t="shared" si="171"/>
        <v>#REF!</v>
      </c>
      <c r="BF74" s="495" t="e">
        <f t="shared" si="172"/>
        <v>#REF!</v>
      </c>
      <c r="BG74" s="21"/>
      <c r="BH74" s="554" t="e">
        <f t="shared" ca="1" si="173"/>
        <v>#REF!</v>
      </c>
      <c r="BI74" s="554"/>
      <c r="BJ74" s="554"/>
      <c r="BK74" s="3"/>
      <c r="BL74" s="3"/>
      <c r="BM74" s="3"/>
      <c r="BN74" s="3"/>
      <c r="BO74" s="3"/>
      <c r="BP74" s="3"/>
      <c r="BQ74" s="3"/>
      <c r="BR74" s="3"/>
      <c r="BS74" s="3"/>
      <c r="BT74" s="3"/>
      <c r="BU74" s="3"/>
      <c r="BV74" s="3"/>
      <c r="BW74" s="3"/>
      <c r="BX74" s="3"/>
    </row>
    <row r="75" spans="1:76">
      <c r="A75" s="666" t="s">
        <v>173</v>
      </c>
      <c r="B75" s="667" t="s">
        <v>345</v>
      </c>
      <c r="C75" s="658">
        <v>583.81889763779532</v>
      </c>
      <c r="D75" s="18"/>
      <c r="E75" s="621">
        <v>22.63</v>
      </c>
      <c r="F75" s="621">
        <v>0</v>
      </c>
      <c r="G75" s="622">
        <v>1611.21</v>
      </c>
      <c r="H75" s="622">
        <v>15</v>
      </c>
      <c r="I75" s="622">
        <v>781.51</v>
      </c>
      <c r="J75" s="622">
        <v>44.57</v>
      </c>
      <c r="K75" s="621">
        <v>40</v>
      </c>
      <c r="L75" s="622">
        <v>85.78</v>
      </c>
      <c r="M75" s="622">
        <v>1180.97</v>
      </c>
      <c r="N75" s="620">
        <v>0</v>
      </c>
      <c r="O75" s="620">
        <v>0</v>
      </c>
      <c r="P75" s="622">
        <v>69.45</v>
      </c>
      <c r="Q75" s="622">
        <v>72.95</v>
      </c>
      <c r="R75" s="69"/>
      <c r="S75" s="489">
        <f t="shared" si="145"/>
        <v>1648.8400000000001</v>
      </c>
      <c r="T75" s="489" t="e">
        <f t="shared" si="146"/>
        <v>#REF!</v>
      </c>
      <c r="U75" s="489" t="e">
        <f>MAX(U$65:U$66)+IF($B$2="mil",1,0.0254)*DDR2Specs!$B$3</f>
        <v>#REF!</v>
      </c>
      <c r="V75" s="489" t="e">
        <f>MIN(U$65:U$66)+IF($B$2="mil",1,0.0254)*DDR2Specs!$C$3</f>
        <v>#REF!</v>
      </c>
      <c r="W75" s="21"/>
      <c r="X75" s="598" t="e">
        <f t="shared" si="147"/>
        <v>#REF!</v>
      </c>
      <c r="Y75" s="495" t="e">
        <f t="shared" si="148"/>
        <v>#REF!</v>
      </c>
      <c r="Z75" s="21"/>
      <c r="AA75" s="489">
        <f t="shared" si="149"/>
        <v>3836.1200000000008</v>
      </c>
      <c r="AB75" s="489" t="e">
        <f t="shared" si="150"/>
        <v>#REF!</v>
      </c>
      <c r="AC75" s="489" t="e">
        <f>MAX(AC$65:AC$66)+IF($B$2="mil",1,0.0254)*DDR2Specs!$E$3</f>
        <v>#REF!</v>
      </c>
      <c r="AD75" s="489" t="e">
        <f>MIN(AC$65:AC$66)+IF($B$2="mil",1,0.0254)*DDR2Specs!$F$3</f>
        <v>#REF!</v>
      </c>
      <c r="AE75" s="21"/>
      <c r="AF75" s="598" t="e">
        <f t="shared" si="151"/>
        <v>#REF!</v>
      </c>
      <c r="AG75" s="495" t="e">
        <f t="shared" si="152"/>
        <v>#REF!</v>
      </c>
      <c r="AH75" s="21"/>
      <c r="AI75" s="489">
        <f t="shared" si="153"/>
        <v>3839.6200000000008</v>
      </c>
      <c r="AJ75" s="489" t="e">
        <f t="shared" si="154"/>
        <v>#REF!</v>
      </c>
      <c r="AK75" s="489" t="e">
        <f>MAX(AK$65:AK$66)+IF($B$2="mil",1,0.0254)*DDR2Specs!$E$3</f>
        <v>#REF!</v>
      </c>
      <c r="AL75" s="489" t="e">
        <f>MIN(AK$65:AK$66)+IF($B$2="mil",1,0.0254)*DDR2Specs!$F$3</f>
        <v>#REF!</v>
      </c>
      <c r="AM75" s="21"/>
      <c r="AN75" s="598" t="e">
        <f t="shared" si="155"/>
        <v>#REF!</v>
      </c>
      <c r="AO75" s="495" t="e">
        <f t="shared" si="156"/>
        <v>#REF!</v>
      </c>
      <c r="AP75" s="21"/>
      <c r="AQ75" s="495" t="e">
        <f t="shared" si="157"/>
        <v>#REF!</v>
      </c>
      <c r="AR75" s="495" t="e">
        <f t="shared" si="158"/>
        <v>#REF!</v>
      </c>
      <c r="AS75" s="495" t="e">
        <f t="shared" si="159"/>
        <v>#REF!</v>
      </c>
      <c r="AT75" s="495" t="e">
        <f t="shared" ca="1" si="160"/>
        <v>#NAME?</v>
      </c>
      <c r="AU75" s="495" t="e">
        <f t="shared" si="161"/>
        <v>#REF!</v>
      </c>
      <c r="AV75" s="495" t="e">
        <f t="shared" si="162"/>
        <v>#REF!</v>
      </c>
      <c r="AW75" s="495" t="e">
        <f t="shared" si="163"/>
        <v>#REF!</v>
      </c>
      <c r="AX75" s="495" t="e">
        <f t="shared" si="164"/>
        <v>#REF!</v>
      </c>
      <c r="AY75" s="495" t="e">
        <f t="shared" si="165"/>
        <v>#REF!</v>
      </c>
      <c r="AZ75" s="493" t="e">
        <f t="shared" si="166"/>
        <v>#REF!</v>
      </c>
      <c r="BA75" s="495" t="e">
        <f t="shared" ca="1" si="167"/>
        <v>#NAME?</v>
      </c>
      <c r="BB75" s="495" t="e">
        <f t="shared" ca="1" si="168"/>
        <v>#NAME?</v>
      </c>
      <c r="BC75" s="495" t="e">
        <f t="shared" si="169"/>
        <v>#REF!</v>
      </c>
      <c r="BD75" s="495" t="e">
        <f t="shared" si="170"/>
        <v>#REF!</v>
      </c>
      <c r="BE75" s="495" t="e">
        <f t="shared" si="171"/>
        <v>#REF!</v>
      </c>
      <c r="BF75" s="495" t="e">
        <f t="shared" si="172"/>
        <v>#REF!</v>
      </c>
      <c r="BG75" s="21"/>
      <c r="BH75" s="554" t="e">
        <f t="shared" ca="1" si="173"/>
        <v>#REF!</v>
      </c>
      <c r="BI75" s="554"/>
      <c r="BJ75" s="554"/>
      <c r="BK75" s="3"/>
      <c r="BL75" s="3"/>
      <c r="BM75" s="3"/>
      <c r="BN75" s="3"/>
      <c r="BO75" s="3"/>
      <c r="BP75" s="3"/>
      <c r="BQ75" s="3"/>
      <c r="BR75" s="3"/>
      <c r="BS75" s="3"/>
      <c r="BT75" s="3"/>
      <c r="BU75" s="3"/>
      <c r="BV75" s="3"/>
      <c r="BW75" s="3"/>
      <c r="BX75" s="3"/>
    </row>
    <row r="76" spans="1:76">
      <c r="A76" s="636" t="s">
        <v>203</v>
      </c>
      <c r="B76" s="668"/>
      <c r="C76" s="659"/>
      <c r="D76" s="62"/>
      <c r="E76" s="82"/>
      <c r="F76" s="82"/>
      <c r="G76" s="439"/>
      <c r="H76" s="295"/>
      <c r="I76" s="295"/>
      <c r="J76" s="295"/>
      <c r="K76" s="295"/>
      <c r="L76" s="295"/>
      <c r="M76" s="295"/>
      <c r="N76" s="295"/>
      <c r="O76" s="295"/>
      <c r="P76" s="295"/>
      <c r="Q76" s="295"/>
      <c r="R76" s="10"/>
      <c r="S76" s="82"/>
      <c r="T76" s="605"/>
      <c r="U76" s="605"/>
      <c r="V76" s="606"/>
      <c r="W76" s="606"/>
      <c r="X76" s="607"/>
      <c r="Y76" s="17"/>
      <c r="Z76" s="606"/>
      <c r="AA76" s="82"/>
      <c r="AB76" s="605"/>
      <c r="AC76" s="605"/>
      <c r="AD76" s="606"/>
      <c r="AE76" s="606"/>
      <c r="AF76" s="607"/>
      <c r="AG76" s="17"/>
      <c r="AH76" s="606"/>
      <c r="AI76" s="82"/>
      <c r="AJ76" s="605"/>
      <c r="AK76" s="605"/>
      <c r="AL76" s="606"/>
      <c r="AM76" s="606"/>
      <c r="AN76" s="607"/>
      <c r="AO76" s="17"/>
      <c r="AP76" s="606"/>
      <c r="AQ76" s="17"/>
      <c r="AR76" s="17"/>
      <c r="AS76" s="16"/>
      <c r="AT76" s="16"/>
      <c r="AU76" s="16"/>
      <c r="AV76" s="16"/>
      <c r="AW76" s="16"/>
      <c r="AX76" s="16"/>
      <c r="AY76" s="16"/>
      <c r="AZ76" s="16"/>
      <c r="BA76" s="16"/>
      <c r="BB76" s="16"/>
      <c r="BC76" s="16"/>
      <c r="BD76" s="16"/>
      <c r="BE76" s="16"/>
      <c r="BF76" s="16"/>
      <c r="BG76" s="83"/>
      <c r="BH76" s="554"/>
      <c r="BI76" s="554"/>
      <c r="BJ76" s="554"/>
      <c r="BK76" s="3"/>
      <c r="BL76" s="3"/>
      <c r="BM76" s="3"/>
      <c r="BN76" s="3"/>
      <c r="BO76" s="3"/>
      <c r="BP76" s="3"/>
      <c r="BQ76" s="3"/>
      <c r="BR76" s="3"/>
      <c r="BS76" s="3"/>
      <c r="BT76" s="3"/>
      <c r="BU76" s="3"/>
      <c r="BV76" s="3"/>
      <c r="BW76" s="3"/>
      <c r="BX76" s="3"/>
    </row>
    <row r="77" spans="1:76">
      <c r="A77" s="650" t="str">
        <f>'DDR2 Strobes - 2x16_1R SODIMM'!$A$37</f>
        <v>SA_DQS6</v>
      </c>
      <c r="B77" s="669" t="str">
        <f>'DDR2 Strobes - 2x16_1R SODIMM'!$B$37</f>
        <v>AB14</v>
      </c>
      <c r="C77" s="660"/>
      <c r="D77" s="53"/>
      <c r="E77" s="81"/>
      <c r="F77" s="81"/>
      <c r="G77" s="685"/>
      <c r="H77" s="686"/>
      <c r="I77" s="686"/>
      <c r="J77" s="686"/>
      <c r="K77" s="686"/>
      <c r="L77" s="686"/>
      <c r="M77" s="686"/>
      <c r="N77" s="686"/>
      <c r="O77" s="686"/>
      <c r="P77" s="686"/>
      <c r="Q77" s="686"/>
      <c r="R77" s="81"/>
      <c r="S77" s="81"/>
      <c r="T77" s="58"/>
      <c r="U77" s="58" t="e">
        <f>'DDR2 Strobes - 2x16_1R SODIMM'!$U$37</f>
        <v>#REF!</v>
      </c>
      <c r="V77" s="58"/>
      <c r="W77" s="58"/>
      <c r="X77" s="58"/>
      <c r="Y77" s="608"/>
      <c r="Z77" s="58"/>
      <c r="AA77" s="81"/>
      <c r="AB77" s="58"/>
      <c r="AC77" s="58" t="e">
        <f>'DDR2 Strobes - 2x16_1R SODIMM'!$AD$37</f>
        <v>#REF!</v>
      </c>
      <c r="AD77" s="58"/>
      <c r="AE77" s="58"/>
      <c r="AF77" s="58"/>
      <c r="AG77" s="608"/>
      <c r="AH77" s="58"/>
      <c r="AI77" s="81"/>
      <c r="AJ77" s="58"/>
      <c r="AK77" s="58" t="e">
        <f>'DDR2 Strobes - 2x16_1R SODIMM'!$AL$37</f>
        <v>#REF!</v>
      </c>
      <c r="AL77" s="58"/>
      <c r="AM77" s="58"/>
      <c r="AN77" s="58"/>
      <c r="AO77" s="608"/>
      <c r="AP77" s="58"/>
      <c r="AQ77" s="608"/>
      <c r="AR77" s="608"/>
      <c r="AS77" s="608"/>
      <c r="AT77" s="608"/>
      <c r="AU77" s="608"/>
      <c r="AV77" s="608"/>
      <c r="AW77" s="608"/>
      <c r="AX77" s="608"/>
      <c r="AY77" s="608"/>
      <c r="AZ77" s="608"/>
      <c r="BA77" s="608"/>
      <c r="BB77" s="608"/>
      <c r="BC77" s="608"/>
      <c r="BD77" s="608"/>
      <c r="BE77" s="608"/>
      <c r="BF77" s="608"/>
      <c r="BG77" s="58"/>
      <c r="BH77" s="554"/>
      <c r="BI77" s="554"/>
      <c r="BJ77" s="554"/>
      <c r="BK77" s="3"/>
      <c r="BL77" s="3"/>
      <c r="BM77" s="3"/>
      <c r="BN77" s="3"/>
      <c r="BO77" s="3"/>
      <c r="BP77" s="3"/>
      <c r="BQ77" s="3"/>
      <c r="BR77" s="3"/>
      <c r="BS77" s="3"/>
      <c r="BT77" s="3"/>
      <c r="BU77" s="3"/>
      <c r="BV77" s="3"/>
      <c r="BW77" s="3"/>
      <c r="BX77" s="3"/>
    </row>
    <row r="78" spans="1:76">
      <c r="A78" s="650" t="str">
        <f>'DDR2 Strobes - 2x16_1R SODIMM'!$A$38</f>
        <v>SA_DQS6#</v>
      </c>
      <c r="B78" s="669" t="str">
        <f>'DDR2 Strobes - 2x16_1R SODIMM'!$B$38</f>
        <v>AB13</v>
      </c>
      <c r="C78" s="660"/>
      <c r="D78" s="53"/>
      <c r="E78" s="81"/>
      <c r="F78" s="81"/>
      <c r="G78" s="685"/>
      <c r="H78" s="686"/>
      <c r="I78" s="686"/>
      <c r="J78" s="686"/>
      <c r="K78" s="686"/>
      <c r="L78" s="686"/>
      <c r="M78" s="686"/>
      <c r="N78" s="686"/>
      <c r="O78" s="686"/>
      <c r="P78" s="686"/>
      <c r="Q78" s="686"/>
      <c r="R78" s="81"/>
      <c r="S78" s="81"/>
      <c r="T78" s="603"/>
      <c r="U78" s="58" t="e">
        <f>'DDR2 Strobes - 2x16_1R SODIMM'!$U$38</f>
        <v>#REF!</v>
      </c>
      <c r="V78" s="58"/>
      <c r="W78" s="58"/>
      <c r="X78" s="58"/>
      <c r="Y78" s="608"/>
      <c r="Z78" s="58"/>
      <c r="AA78" s="602"/>
      <c r="AB78" s="603"/>
      <c r="AC78" s="58" t="e">
        <f>'DDR2 Strobes - 2x16_1R SODIMM'!$AD$38</f>
        <v>#REF!</v>
      </c>
      <c r="AD78" s="58"/>
      <c r="AE78" s="58"/>
      <c r="AF78" s="58"/>
      <c r="AG78" s="608"/>
      <c r="AH78" s="58"/>
      <c r="AI78" s="602"/>
      <c r="AJ78" s="603"/>
      <c r="AK78" s="58" t="e">
        <f>'DDR2 Strobes - 2x16_1R SODIMM'!$AL$38</f>
        <v>#REF!</v>
      </c>
      <c r="AL78" s="58"/>
      <c r="AM78" s="58"/>
      <c r="AN78" s="58"/>
      <c r="AO78" s="608"/>
      <c r="AP78" s="58"/>
      <c r="AQ78" s="608"/>
      <c r="AR78" s="608"/>
      <c r="AS78" s="609"/>
      <c r="AT78" s="609"/>
      <c r="AU78" s="609"/>
      <c r="AV78" s="609"/>
      <c r="AW78" s="609"/>
      <c r="AX78" s="609"/>
      <c r="AY78" s="609"/>
      <c r="AZ78" s="609"/>
      <c r="BA78" s="609"/>
      <c r="BB78" s="609"/>
      <c r="BC78" s="609"/>
      <c r="BD78" s="609"/>
      <c r="BE78" s="609"/>
      <c r="BF78" s="609"/>
      <c r="BG78" s="58"/>
      <c r="BH78" s="554"/>
      <c r="BI78" s="554"/>
      <c r="BJ78" s="554"/>
      <c r="BK78" s="3"/>
      <c r="BL78" s="3"/>
      <c r="BM78" s="3"/>
      <c r="BN78" s="3"/>
      <c r="BO78" s="3"/>
      <c r="BP78" s="3"/>
      <c r="BQ78" s="3"/>
      <c r="BR78" s="3"/>
      <c r="BS78" s="3"/>
      <c r="BT78" s="3"/>
      <c r="BU78" s="3"/>
      <c r="BV78" s="3"/>
      <c r="BW78" s="3"/>
      <c r="BX78" s="3"/>
    </row>
    <row r="79" spans="1:76">
      <c r="A79" s="633" t="s">
        <v>174</v>
      </c>
      <c r="B79" s="672" t="s">
        <v>497</v>
      </c>
      <c r="C79" s="658">
        <v>846.81102362204729</v>
      </c>
      <c r="D79" s="18"/>
      <c r="E79" s="621">
        <v>22.63</v>
      </c>
      <c r="F79" s="621">
        <v>0</v>
      </c>
      <c r="G79" s="622">
        <v>1285.47</v>
      </c>
      <c r="H79" s="622">
        <v>40</v>
      </c>
      <c r="I79" s="622">
        <v>780.87</v>
      </c>
      <c r="J79" s="622">
        <v>85.78</v>
      </c>
      <c r="K79" s="277">
        <v>40</v>
      </c>
      <c r="L79" s="622">
        <v>44.57</v>
      </c>
      <c r="M79" s="622">
        <v>1229.31</v>
      </c>
      <c r="N79" s="620">
        <v>0</v>
      </c>
      <c r="O79" s="620">
        <v>0</v>
      </c>
      <c r="P79" s="622">
        <v>22.29</v>
      </c>
      <c r="Q79" s="622">
        <v>22.26</v>
      </c>
      <c r="R79" s="69"/>
      <c r="S79" s="489">
        <f t="shared" ref="S79:S87" si="174" xml:space="preserve"> E79+F79+G79+H79</f>
        <v>1348.1000000000001</v>
      </c>
      <c r="T79" s="489" t="e">
        <f t="shared" ref="T79:T87" si="175">S79+IF($B$2="mil",1,0.0254)*C79</f>
        <v>#REF!</v>
      </c>
      <c r="U79" s="489" t="e">
        <f>MAX(U$77:U$78)+IF($B$2="mil",1,0.0254)*DDR2Specs!$B$3</f>
        <v>#REF!</v>
      </c>
      <c r="V79" s="489" t="e">
        <f>MIN(U$77:U$78)+IF($B$2="mil",1,0.0254)*DDR2Specs!$C$3</f>
        <v>#REF!</v>
      </c>
      <c r="W79" s="21"/>
      <c r="X79" s="598" t="e">
        <f t="shared" ref="X79:X87" si="176">IF($T79&lt;$U79,$U79-$T79,"Pass")</f>
        <v>#REF!</v>
      </c>
      <c r="Y79" s="495" t="e">
        <f t="shared" ref="Y79:Y87" si="177">IF($T79&gt;$V79,$T79-$V79,"Pass")</f>
        <v>#REF!</v>
      </c>
      <c r="Z79" s="21"/>
      <c r="AA79" s="489">
        <f t="shared" ref="AA79:AA87" si="178">SUM(E79:G79,I79:N79,P79)</f>
        <v>3510.9200000000005</v>
      </c>
      <c r="AB79" s="489" t="e">
        <f t="shared" ref="AB79:AB87" si="179">AA79+IF($B$2="mil",1,0.0254)*$C79</f>
        <v>#REF!</v>
      </c>
      <c r="AC79" s="489" t="e">
        <f>MAX(AC$77:AC$78)+IF($B$2="mil",1,0.0254)*DDR2Specs!$E$3</f>
        <v>#REF!</v>
      </c>
      <c r="AD79" s="489" t="e">
        <f>MIN(AC$77:AC$78)+IF($B$2="mil",1,0.0254)*DDR2Specs!$F$3</f>
        <v>#REF!</v>
      </c>
      <c r="AE79" s="21"/>
      <c r="AF79" s="598" t="e">
        <f t="shared" ref="AF79:AF87" si="180">IF($AB79&lt;$AC79,$AC79-$AB79,"Pass")</f>
        <v>#REF!</v>
      </c>
      <c r="AG79" s="495" t="e">
        <f t="shared" ref="AG79:AG87" si="181">IF($AB79&gt;$AD79,$AB79-$AD79,"Pass")</f>
        <v>#REF!</v>
      </c>
      <c r="AH79" s="21"/>
      <c r="AI79" s="489">
        <f t="shared" ref="AI79:AI87" si="182">SUM(E79:G79,I79:M79,O79,Q79)</f>
        <v>3510.8900000000008</v>
      </c>
      <c r="AJ79" s="489" t="e">
        <f t="shared" ref="AJ79:AJ87" si="183">AI79+IF($B$2="mil",1,0.0254)*$C79</f>
        <v>#REF!</v>
      </c>
      <c r="AK79" s="489" t="e">
        <f>MAX(AK$77:AK$78)+IF($B$2="mil",1,0.0254)*DDR2Specs!$E$3</f>
        <v>#REF!</v>
      </c>
      <c r="AL79" s="489" t="e">
        <f>MIN(AK$77:AK$78)+IF($B$2="mil",1,0.0254)*DDR2Specs!$F$3</f>
        <v>#REF!</v>
      </c>
      <c r="AM79" s="21"/>
      <c r="AN79" s="598" t="e">
        <f t="shared" ref="AN79:AN87" si="184">IF($AJ79&lt;$AK79,$AK79-$AJ79,"Pass")</f>
        <v>#REF!</v>
      </c>
      <c r="AO79" s="495" t="e">
        <f t="shared" ref="AO79:AO87" si="185">IF($AJ79&gt;$AL79,$AJ79-$AL79,"Pass")</f>
        <v>#REF!</v>
      </c>
      <c r="AP79" s="21"/>
      <c r="AQ79" s="495" t="e">
        <f t="shared" ref="AQ79:AQ87" si="186">IF($E79&lt;=IF($B$2="mil",1,0.0254)*50,"Pass",IF($B$2="mil",1,0.0254)*50-$E79)</f>
        <v>#REF!</v>
      </c>
      <c r="AR79" s="495" t="e">
        <f t="shared" ref="AR79:AR87" si="187">IF($F79&lt;=IF($B$2="mil",1,0.0254)*500,"Pass",IF($B$2="mil",1,0.0254)*500-$F79)</f>
        <v>#REF!</v>
      </c>
      <c r="AS79" s="495" t="e">
        <f t="shared" ref="AS79:AS87" si="188">IF($H79&lt;=IF($B$2="mil",1,0.0254)*250,"Pass",IF($B$2="mil",1,0.0254)*250-$H79)</f>
        <v>#REF!</v>
      </c>
      <c r="AT79" s="495" t="e">
        <f t="shared" ref="AT79:AT87" ca="1" si="189">CheckLength(IF($B$2="mil",1,0.0254)*750, IF($B$2="mil",1,0.0254)*125-J79, 0, I79,J79,0)</f>
        <v>#NAME?</v>
      </c>
      <c r="AU79" s="495" t="e">
        <f t="shared" ref="AU79:AU87" si="190">IF($J79&lt;=IF($B$2="mil",1,0.0254)*125,"Pass",IF($B$2="mil",1,0.0254)*125-$J79)</f>
        <v>#REF!</v>
      </c>
      <c r="AV79" s="495" t="e">
        <f t="shared" ref="AV79:AV87" si="191">IF($L79&lt;=IF($B$2="mil",1,0.0254)*125,"Pass",IF($B$2="mil",1,0.0254)*125-$L79)</f>
        <v>#REF!</v>
      </c>
      <c r="AW79" s="495" t="e">
        <f t="shared" ref="AW79:AW87" si="192">IF(($L79+$M79)&lt;=IF($B$2="mil",1,0.0254)*1275,"Pass",IF($B$2="mil",1,0.0254)*1275-($L79+H79))</f>
        <v>#REF!</v>
      </c>
      <c r="AX79" s="495" t="e">
        <f t="shared" ref="AX79:AX87" si="193">IF($N79&lt;=IF($B$2="mil",1,0.0254)*150,"Pass",IF($B$2="mil",1,0.0254)*150-$N79)</f>
        <v>#REF!</v>
      </c>
      <c r="AY79" s="495" t="e">
        <f t="shared" ref="AY79:AY87" si="194">IF($O79&lt;=IF($B$2="mil",1,0.0254)*150,"Pass",IF($B$2="mil",1,0.0254)*150-$O79)</f>
        <v>#REF!</v>
      </c>
      <c r="AZ79" s="493" t="e">
        <f t="shared" ref="AZ79:AZ87" si="195">IF(MAX(N79:O79)-MIN(N79:O79)&lt;=IF($B$2="mil",1,0.0254)*50,"Pass",MAX(N79:O79)-MIN(N79:O79)-IF($B$2="mil",1,0.0254)*50)</f>
        <v>#REF!</v>
      </c>
      <c r="BA79" s="495" t="e">
        <f t="shared" ref="BA79:BA87" ca="1" si="196">CheckLength2(IF($B$2="mil",1,0.0254)*200,$P79,N79,0)</f>
        <v>#NAME?</v>
      </c>
      <c r="BB79" s="495" t="e">
        <f t="shared" ref="BB79:BB87" ca="1" si="197">CheckLength2(IF($B$2="mil",1,0.0254)*200,$Q79,O79,0)</f>
        <v>#NAME?</v>
      </c>
      <c r="BC79" s="495" t="e">
        <f t="shared" ref="BC79:BC87" si="198">IF(AND($S79&gt;=IF($B$2="mil",1,0.0254)*500, $S79&lt;=IF($B$2="mil",1,0.0254)*4000),"Pass",IF($B$2="mil",1,0.0254)*4000-$S79)</f>
        <v>#REF!</v>
      </c>
      <c r="BD79" s="495" t="e">
        <f t="shared" ref="BD79:BD87" si="199">IF(AND($T79&gt;=IF($B$2="mil",1,0.0254)*500, $T79&lt;=IF($B$2="mil",1,0.0254)*4500),"Pass",IF($B$2="mil",1,0.0254)*4500-$T79)</f>
        <v>#REF!</v>
      </c>
      <c r="BE79" s="495" t="e">
        <f t="shared" ref="BE79:BE87" si="200">IF(AND($AA79&gt;=IF($B$2="mil",1,0.0254)*500, $AA79&lt;=IF($B$2="mil",1,0.0254)*5500),"Pass",IF($B$2="mil",1,0.0254)*5500-$AA79)</f>
        <v>#REF!</v>
      </c>
      <c r="BF79" s="495" t="e">
        <f t="shared" ref="BF79:BF87" si="201">IF(AND($AB79&gt;=IF($B$2="mil",1,0.0254)*500, $AB79&lt;=IF($B$2="mil",1,0.0254)*6000),"Pass",IF($B$2="mil",1,0.0254)*6000-$AB79)</f>
        <v>#REF!</v>
      </c>
      <c r="BG79" s="21"/>
      <c r="BH79" s="554" t="e">
        <f t="shared" ref="BH79:BH87" ca="1" si="202">IF(AND(AN79="Pass",AO79="Pass",AQ79="Pass",BD79="Pass",AS79="Pass",AR79="Pass",BC79="Pass",X79="Pass",Y79="Pass",BB79="Pass",AW79="Pass",AX79="Pass",AY79="Pass",AZ79="Pass",BA79="Pass",AV79="Pass",AU79="Pass",AT79="Pass",AF79="Pass",AG79="Pass",BE79="Pass",BF79="Pass"),"Pass","Fail")</f>
        <v>#REF!</v>
      </c>
      <c r="BI79" s="554" t="e">
        <f ca="1">IF(AND(BH79="Pass",BH80="Pass",BH81="Pass",BH82="Pass",BH83="Pass",BH84="Pass",BH85="Pass",BH86="Pass",BH87="Pass"),"Pass","Fail")</f>
        <v>#REF!</v>
      </c>
      <c r="BJ79" s="554"/>
      <c r="BK79" s="3"/>
      <c r="BL79" s="3"/>
      <c r="BM79" s="3"/>
      <c r="BN79" s="3"/>
      <c r="BO79" s="3"/>
      <c r="BP79" s="3"/>
      <c r="BQ79" s="3"/>
      <c r="BR79" s="3"/>
      <c r="BS79" s="3"/>
      <c r="BT79" s="3"/>
      <c r="BU79" s="3"/>
      <c r="BV79" s="3"/>
      <c r="BW79" s="3"/>
      <c r="BX79" s="3"/>
    </row>
    <row r="80" spans="1:76">
      <c r="A80" s="633" t="s">
        <v>175</v>
      </c>
      <c r="B80" s="665" t="s">
        <v>498</v>
      </c>
      <c r="C80" s="658">
        <v>749.48818897637796</v>
      </c>
      <c r="D80" s="18"/>
      <c r="E80" s="621">
        <v>22.63</v>
      </c>
      <c r="F80" s="621">
        <v>0</v>
      </c>
      <c r="G80" s="622">
        <v>1416.4</v>
      </c>
      <c r="H80" s="622">
        <v>7</v>
      </c>
      <c r="I80" s="622">
        <v>759</v>
      </c>
      <c r="J80" s="622">
        <v>85.78</v>
      </c>
      <c r="K80" s="277">
        <v>40</v>
      </c>
      <c r="L80" s="622">
        <v>42.23</v>
      </c>
      <c r="M80" s="622">
        <v>1216.4100000000001</v>
      </c>
      <c r="N80" s="620">
        <v>0</v>
      </c>
      <c r="O80" s="620">
        <v>0</v>
      </c>
      <c r="P80" s="622">
        <v>22.26</v>
      </c>
      <c r="Q80" s="622">
        <v>22.23</v>
      </c>
      <c r="R80" s="69"/>
      <c r="S80" s="489">
        <f t="shared" si="174"/>
        <v>1446.0300000000002</v>
      </c>
      <c r="T80" s="489" t="e">
        <f t="shared" si="175"/>
        <v>#REF!</v>
      </c>
      <c r="U80" s="489" t="e">
        <f>MAX(U$77:U$78)+IF($B$2="mil",1,0.0254)*DDR2Specs!$B$3</f>
        <v>#REF!</v>
      </c>
      <c r="V80" s="489" t="e">
        <f>MIN(U$77:U$78)+IF($B$2="mil",1,0.0254)*DDR2Specs!$C$3</f>
        <v>#REF!</v>
      </c>
      <c r="W80" s="21"/>
      <c r="X80" s="598" t="e">
        <f t="shared" si="176"/>
        <v>#REF!</v>
      </c>
      <c r="Y80" s="495" t="e">
        <f t="shared" si="177"/>
        <v>#REF!</v>
      </c>
      <c r="Z80" s="21"/>
      <c r="AA80" s="489">
        <f t="shared" si="178"/>
        <v>3604.7100000000009</v>
      </c>
      <c r="AB80" s="489" t="e">
        <f t="shared" si="179"/>
        <v>#REF!</v>
      </c>
      <c r="AC80" s="489" t="e">
        <f>MAX(AC$77:AC$78)+IF($B$2="mil",1,0.0254)*DDR2Specs!$E$3</f>
        <v>#REF!</v>
      </c>
      <c r="AD80" s="489" t="e">
        <f>MIN(AC$77:AC$78)+IF($B$2="mil",1,0.0254)*DDR2Specs!$F$3</f>
        <v>#REF!</v>
      </c>
      <c r="AE80" s="21"/>
      <c r="AF80" s="598" t="e">
        <f t="shared" si="180"/>
        <v>#REF!</v>
      </c>
      <c r="AG80" s="495" t="e">
        <f t="shared" si="181"/>
        <v>#REF!</v>
      </c>
      <c r="AH80" s="21"/>
      <c r="AI80" s="489">
        <f t="shared" si="182"/>
        <v>3604.6800000000007</v>
      </c>
      <c r="AJ80" s="489" t="e">
        <f t="shared" si="183"/>
        <v>#REF!</v>
      </c>
      <c r="AK80" s="489" t="e">
        <f>MAX(AK$77:AK$78)+IF($B$2="mil",1,0.0254)*DDR2Specs!$E$3</f>
        <v>#REF!</v>
      </c>
      <c r="AL80" s="489" t="e">
        <f>MIN(AK$77:AK$78)+IF($B$2="mil",1,0.0254)*DDR2Specs!$F$3</f>
        <v>#REF!</v>
      </c>
      <c r="AM80" s="21"/>
      <c r="AN80" s="598" t="e">
        <f t="shared" si="184"/>
        <v>#REF!</v>
      </c>
      <c r="AO80" s="495" t="e">
        <f t="shared" si="185"/>
        <v>#REF!</v>
      </c>
      <c r="AP80" s="21"/>
      <c r="AQ80" s="495" t="e">
        <f t="shared" si="186"/>
        <v>#REF!</v>
      </c>
      <c r="AR80" s="495" t="e">
        <f t="shared" si="187"/>
        <v>#REF!</v>
      </c>
      <c r="AS80" s="495" t="e">
        <f t="shared" si="188"/>
        <v>#REF!</v>
      </c>
      <c r="AT80" s="495" t="e">
        <f t="shared" ca="1" si="189"/>
        <v>#NAME?</v>
      </c>
      <c r="AU80" s="495" t="e">
        <f t="shared" si="190"/>
        <v>#REF!</v>
      </c>
      <c r="AV80" s="495" t="e">
        <f t="shared" si="191"/>
        <v>#REF!</v>
      </c>
      <c r="AW80" s="495" t="e">
        <f t="shared" si="192"/>
        <v>#REF!</v>
      </c>
      <c r="AX80" s="495" t="e">
        <f t="shared" si="193"/>
        <v>#REF!</v>
      </c>
      <c r="AY80" s="495" t="e">
        <f t="shared" si="194"/>
        <v>#REF!</v>
      </c>
      <c r="AZ80" s="493" t="e">
        <f t="shared" si="195"/>
        <v>#REF!</v>
      </c>
      <c r="BA80" s="495" t="e">
        <f t="shared" ca="1" si="196"/>
        <v>#NAME?</v>
      </c>
      <c r="BB80" s="495" t="e">
        <f t="shared" ca="1" si="197"/>
        <v>#NAME?</v>
      </c>
      <c r="BC80" s="495" t="e">
        <f t="shared" si="198"/>
        <v>#REF!</v>
      </c>
      <c r="BD80" s="495" t="e">
        <f t="shared" si="199"/>
        <v>#REF!</v>
      </c>
      <c r="BE80" s="495" t="e">
        <f t="shared" si="200"/>
        <v>#REF!</v>
      </c>
      <c r="BF80" s="495" t="e">
        <f t="shared" si="201"/>
        <v>#REF!</v>
      </c>
      <c r="BG80" s="21"/>
      <c r="BH80" s="554" t="e">
        <f t="shared" ca="1" si="202"/>
        <v>#REF!</v>
      </c>
      <c r="BI80" s="554"/>
      <c r="BJ80" s="554"/>
      <c r="BK80" s="3"/>
      <c r="BL80" s="3"/>
      <c r="BM80" s="3"/>
      <c r="BN80" s="3"/>
      <c r="BO80" s="3"/>
      <c r="BP80" s="3"/>
      <c r="BQ80" s="3"/>
      <c r="BR80" s="3"/>
      <c r="BS80" s="3"/>
      <c r="BT80" s="3"/>
      <c r="BU80" s="3"/>
      <c r="BV80" s="3"/>
      <c r="BW80" s="3"/>
      <c r="BX80" s="3"/>
    </row>
    <row r="81" spans="1:76">
      <c r="A81" s="633" t="s">
        <v>176</v>
      </c>
      <c r="B81" s="665" t="s">
        <v>113</v>
      </c>
      <c r="C81" s="658">
        <v>668.97637795275591</v>
      </c>
      <c r="D81" s="18"/>
      <c r="E81" s="621">
        <v>22.63</v>
      </c>
      <c r="F81" s="621">
        <v>0</v>
      </c>
      <c r="G81" s="622">
        <v>1465.88</v>
      </c>
      <c r="H81" s="622">
        <v>30</v>
      </c>
      <c r="I81" s="622">
        <v>790.71</v>
      </c>
      <c r="J81" s="622">
        <v>81.64</v>
      </c>
      <c r="K81" s="277">
        <v>40</v>
      </c>
      <c r="L81" s="622">
        <v>85.78</v>
      </c>
      <c r="M81" s="622">
        <v>1188.9100000000001</v>
      </c>
      <c r="N81" s="620">
        <v>0</v>
      </c>
      <c r="O81" s="620">
        <v>0</v>
      </c>
      <c r="P81" s="622">
        <v>22.28</v>
      </c>
      <c r="Q81" s="622">
        <v>22.25</v>
      </c>
      <c r="R81" s="69"/>
      <c r="S81" s="489">
        <f t="shared" si="174"/>
        <v>1518.5100000000002</v>
      </c>
      <c r="T81" s="489" t="e">
        <f t="shared" si="175"/>
        <v>#REF!</v>
      </c>
      <c r="U81" s="489" t="e">
        <f>MAX(U$77:U$78)+IF($B$2="mil",1,0.0254)*DDR2Specs!$B$3</f>
        <v>#REF!</v>
      </c>
      <c r="V81" s="489" t="e">
        <f>MIN(U$77:U$78)+IF($B$2="mil",1,0.0254)*DDR2Specs!$C$3</f>
        <v>#REF!</v>
      </c>
      <c r="W81" s="21"/>
      <c r="X81" s="598" t="e">
        <f t="shared" si="176"/>
        <v>#REF!</v>
      </c>
      <c r="Y81" s="495" t="e">
        <f t="shared" si="177"/>
        <v>#REF!</v>
      </c>
      <c r="Z81" s="21"/>
      <c r="AA81" s="489">
        <f t="shared" si="178"/>
        <v>3697.8300000000004</v>
      </c>
      <c r="AB81" s="489" t="e">
        <f t="shared" si="179"/>
        <v>#REF!</v>
      </c>
      <c r="AC81" s="489" t="e">
        <f>MAX(AC$77:AC$78)+IF($B$2="mil",1,0.0254)*DDR2Specs!$E$3</f>
        <v>#REF!</v>
      </c>
      <c r="AD81" s="489" t="e">
        <f>MIN(AC$77:AC$78)+IF($B$2="mil",1,0.0254)*DDR2Specs!$F$3</f>
        <v>#REF!</v>
      </c>
      <c r="AE81" s="21"/>
      <c r="AF81" s="598" t="e">
        <f t="shared" si="180"/>
        <v>#REF!</v>
      </c>
      <c r="AG81" s="495" t="e">
        <f t="shared" si="181"/>
        <v>#REF!</v>
      </c>
      <c r="AH81" s="21"/>
      <c r="AI81" s="489">
        <f t="shared" si="182"/>
        <v>3697.8</v>
      </c>
      <c r="AJ81" s="489" t="e">
        <f t="shared" si="183"/>
        <v>#REF!</v>
      </c>
      <c r="AK81" s="489" t="e">
        <f>MAX(AK$77:AK$78)+IF($B$2="mil",1,0.0254)*DDR2Specs!$E$3</f>
        <v>#REF!</v>
      </c>
      <c r="AL81" s="489" t="e">
        <f>MIN(AK$77:AK$78)+IF($B$2="mil",1,0.0254)*DDR2Specs!$F$3</f>
        <v>#REF!</v>
      </c>
      <c r="AM81" s="21"/>
      <c r="AN81" s="598" t="e">
        <f t="shared" si="184"/>
        <v>#REF!</v>
      </c>
      <c r="AO81" s="495" t="e">
        <f t="shared" si="185"/>
        <v>#REF!</v>
      </c>
      <c r="AP81" s="21"/>
      <c r="AQ81" s="495" t="e">
        <f t="shared" si="186"/>
        <v>#REF!</v>
      </c>
      <c r="AR81" s="495" t="e">
        <f t="shared" si="187"/>
        <v>#REF!</v>
      </c>
      <c r="AS81" s="495" t="e">
        <f t="shared" si="188"/>
        <v>#REF!</v>
      </c>
      <c r="AT81" s="495" t="e">
        <f t="shared" ca="1" si="189"/>
        <v>#NAME?</v>
      </c>
      <c r="AU81" s="495" t="e">
        <f t="shared" si="190"/>
        <v>#REF!</v>
      </c>
      <c r="AV81" s="495" t="e">
        <f t="shared" si="191"/>
        <v>#REF!</v>
      </c>
      <c r="AW81" s="495" t="e">
        <f t="shared" si="192"/>
        <v>#REF!</v>
      </c>
      <c r="AX81" s="495" t="e">
        <f t="shared" si="193"/>
        <v>#REF!</v>
      </c>
      <c r="AY81" s="495" t="e">
        <f t="shared" si="194"/>
        <v>#REF!</v>
      </c>
      <c r="AZ81" s="493" t="e">
        <f t="shared" si="195"/>
        <v>#REF!</v>
      </c>
      <c r="BA81" s="495" t="e">
        <f t="shared" ca="1" si="196"/>
        <v>#NAME?</v>
      </c>
      <c r="BB81" s="495" t="e">
        <f t="shared" ca="1" si="197"/>
        <v>#NAME?</v>
      </c>
      <c r="BC81" s="495" t="e">
        <f t="shared" si="198"/>
        <v>#REF!</v>
      </c>
      <c r="BD81" s="495" t="e">
        <f t="shared" si="199"/>
        <v>#REF!</v>
      </c>
      <c r="BE81" s="495" t="e">
        <f t="shared" si="200"/>
        <v>#REF!</v>
      </c>
      <c r="BF81" s="495" t="e">
        <f t="shared" si="201"/>
        <v>#REF!</v>
      </c>
      <c r="BG81" s="21"/>
      <c r="BH81" s="554" t="e">
        <f t="shared" ca="1" si="202"/>
        <v>#REF!</v>
      </c>
      <c r="BI81" s="554"/>
      <c r="BJ81" s="554"/>
      <c r="BK81" s="3"/>
      <c r="BL81" s="3"/>
      <c r="BM81" s="3"/>
      <c r="BN81" s="3"/>
      <c r="BO81" s="3"/>
      <c r="BP81" s="3"/>
      <c r="BQ81" s="3"/>
      <c r="BR81" s="3"/>
      <c r="BS81" s="3"/>
      <c r="BT81" s="3"/>
      <c r="BU81" s="3"/>
      <c r="BV81" s="3"/>
      <c r="BW81" s="3"/>
      <c r="BX81" s="3"/>
    </row>
    <row r="82" spans="1:76">
      <c r="A82" s="633" t="s">
        <v>177</v>
      </c>
      <c r="B82" s="665" t="s">
        <v>499</v>
      </c>
      <c r="C82" s="658">
        <v>678.50393700787413</v>
      </c>
      <c r="D82" s="18"/>
      <c r="E82" s="621">
        <v>22.63</v>
      </c>
      <c r="F82" s="621">
        <v>0</v>
      </c>
      <c r="G82" s="622">
        <v>1461.52</v>
      </c>
      <c r="H82" s="622">
        <v>25</v>
      </c>
      <c r="I82" s="622">
        <v>785.11</v>
      </c>
      <c r="J82" s="622">
        <v>85.78</v>
      </c>
      <c r="K82" s="277">
        <v>40</v>
      </c>
      <c r="L82" s="622">
        <v>44.57</v>
      </c>
      <c r="M82" s="622">
        <v>1219.69</v>
      </c>
      <c r="N82" s="620">
        <v>0</v>
      </c>
      <c r="O82" s="620">
        <v>0</v>
      </c>
      <c r="P82" s="622">
        <v>22.25</v>
      </c>
      <c r="Q82" s="622">
        <v>22.28</v>
      </c>
      <c r="R82" s="69"/>
      <c r="S82" s="489">
        <f t="shared" si="174"/>
        <v>1509.15</v>
      </c>
      <c r="T82" s="489" t="e">
        <f t="shared" si="175"/>
        <v>#REF!</v>
      </c>
      <c r="U82" s="489" t="e">
        <f>MAX(U$77:U$78)+IF($B$2="mil",1,0.0254)*DDR2Specs!$B$3</f>
        <v>#REF!</v>
      </c>
      <c r="V82" s="489" t="e">
        <f>MIN(U$77:U$78)+IF($B$2="mil",1,0.0254)*DDR2Specs!$C$3</f>
        <v>#REF!</v>
      </c>
      <c r="W82" s="21"/>
      <c r="X82" s="598" t="e">
        <f t="shared" si="176"/>
        <v>#REF!</v>
      </c>
      <c r="Y82" s="495" t="e">
        <f t="shared" si="177"/>
        <v>#REF!</v>
      </c>
      <c r="Z82" s="21"/>
      <c r="AA82" s="489">
        <f t="shared" si="178"/>
        <v>3681.5500000000006</v>
      </c>
      <c r="AB82" s="489" t="e">
        <f t="shared" si="179"/>
        <v>#REF!</v>
      </c>
      <c r="AC82" s="489" t="e">
        <f>MAX(AC$77:AC$78)+IF($B$2="mil",1,0.0254)*DDR2Specs!$E$3</f>
        <v>#REF!</v>
      </c>
      <c r="AD82" s="489" t="e">
        <f>MIN(AC$77:AC$78)+IF($B$2="mil",1,0.0254)*DDR2Specs!$F$3</f>
        <v>#REF!</v>
      </c>
      <c r="AE82" s="21"/>
      <c r="AF82" s="598" t="e">
        <f t="shared" si="180"/>
        <v>#REF!</v>
      </c>
      <c r="AG82" s="495" t="e">
        <f t="shared" si="181"/>
        <v>#REF!</v>
      </c>
      <c r="AH82" s="21"/>
      <c r="AI82" s="489">
        <f t="shared" si="182"/>
        <v>3681.5800000000008</v>
      </c>
      <c r="AJ82" s="489" t="e">
        <f t="shared" si="183"/>
        <v>#REF!</v>
      </c>
      <c r="AK82" s="489" t="e">
        <f>MAX(AK$77:AK$78)+IF($B$2="mil",1,0.0254)*DDR2Specs!$E$3</f>
        <v>#REF!</v>
      </c>
      <c r="AL82" s="489" t="e">
        <f>MIN(AK$77:AK$78)+IF($B$2="mil",1,0.0254)*DDR2Specs!$F$3</f>
        <v>#REF!</v>
      </c>
      <c r="AM82" s="21"/>
      <c r="AN82" s="598" t="e">
        <f t="shared" si="184"/>
        <v>#REF!</v>
      </c>
      <c r="AO82" s="495" t="e">
        <f t="shared" si="185"/>
        <v>#REF!</v>
      </c>
      <c r="AP82" s="21"/>
      <c r="AQ82" s="495" t="e">
        <f t="shared" si="186"/>
        <v>#REF!</v>
      </c>
      <c r="AR82" s="495" t="e">
        <f t="shared" si="187"/>
        <v>#REF!</v>
      </c>
      <c r="AS82" s="495" t="e">
        <f t="shared" si="188"/>
        <v>#REF!</v>
      </c>
      <c r="AT82" s="495" t="e">
        <f t="shared" ca="1" si="189"/>
        <v>#NAME?</v>
      </c>
      <c r="AU82" s="495" t="e">
        <f t="shared" si="190"/>
        <v>#REF!</v>
      </c>
      <c r="AV82" s="495" t="e">
        <f t="shared" si="191"/>
        <v>#REF!</v>
      </c>
      <c r="AW82" s="495" t="e">
        <f t="shared" si="192"/>
        <v>#REF!</v>
      </c>
      <c r="AX82" s="495" t="e">
        <f t="shared" si="193"/>
        <v>#REF!</v>
      </c>
      <c r="AY82" s="495" t="e">
        <f t="shared" si="194"/>
        <v>#REF!</v>
      </c>
      <c r="AZ82" s="493" t="e">
        <f t="shared" si="195"/>
        <v>#REF!</v>
      </c>
      <c r="BA82" s="495" t="e">
        <f t="shared" ca="1" si="196"/>
        <v>#NAME?</v>
      </c>
      <c r="BB82" s="495" t="e">
        <f t="shared" ca="1" si="197"/>
        <v>#NAME?</v>
      </c>
      <c r="BC82" s="495" t="e">
        <f t="shared" si="198"/>
        <v>#REF!</v>
      </c>
      <c r="BD82" s="495" t="e">
        <f t="shared" si="199"/>
        <v>#REF!</v>
      </c>
      <c r="BE82" s="495" t="e">
        <f t="shared" si="200"/>
        <v>#REF!</v>
      </c>
      <c r="BF82" s="495" t="e">
        <f t="shared" si="201"/>
        <v>#REF!</v>
      </c>
      <c r="BG82" s="21"/>
      <c r="BH82" s="554" t="e">
        <f t="shared" ca="1" si="202"/>
        <v>#REF!</v>
      </c>
      <c r="BI82" s="554"/>
      <c r="BJ82" s="554"/>
      <c r="BK82" s="3"/>
      <c r="BL82" s="3"/>
      <c r="BM82" s="3"/>
      <c r="BN82" s="3"/>
      <c r="BO82" s="3"/>
      <c r="BP82" s="3"/>
      <c r="BQ82" s="3"/>
      <c r="BR82" s="3"/>
      <c r="BS82" s="3"/>
      <c r="BT82" s="3"/>
      <c r="BU82" s="3"/>
      <c r="BV82" s="3"/>
      <c r="BW82" s="3"/>
      <c r="BX82" s="3"/>
    </row>
    <row r="83" spans="1:76">
      <c r="A83" s="633" t="s">
        <v>178</v>
      </c>
      <c r="B83" s="665" t="s">
        <v>500</v>
      </c>
      <c r="C83" s="658">
        <v>794.01574803149606</v>
      </c>
      <c r="D83" s="18"/>
      <c r="E83" s="621">
        <v>22.63</v>
      </c>
      <c r="F83" s="621">
        <v>0</v>
      </c>
      <c r="G83" s="622">
        <v>1290.31</v>
      </c>
      <c r="H83" s="622">
        <v>80</v>
      </c>
      <c r="I83" s="622">
        <v>790.77</v>
      </c>
      <c r="J83" s="622">
        <v>81.64</v>
      </c>
      <c r="K83" s="277">
        <v>40</v>
      </c>
      <c r="L83" s="622">
        <v>29.57</v>
      </c>
      <c r="M83" s="622">
        <v>1245.1600000000001</v>
      </c>
      <c r="N83" s="620">
        <v>0</v>
      </c>
      <c r="O83" s="620">
        <v>0</v>
      </c>
      <c r="P83" s="622">
        <v>64.760000000000005</v>
      </c>
      <c r="Q83" s="622">
        <v>64.790000000000006</v>
      </c>
      <c r="R83" s="69"/>
      <c r="S83" s="489">
        <f t="shared" si="174"/>
        <v>1392.94</v>
      </c>
      <c r="T83" s="489" t="e">
        <f t="shared" si="175"/>
        <v>#REF!</v>
      </c>
      <c r="U83" s="489" t="e">
        <f>MAX(U$77:U$78)+IF($B$2="mil",1,0.0254)*DDR2Specs!$B$3</f>
        <v>#REF!</v>
      </c>
      <c r="V83" s="489" t="e">
        <f>MIN(U$77:U$78)+IF($B$2="mil",1,0.0254)*DDR2Specs!$C$3</f>
        <v>#REF!</v>
      </c>
      <c r="W83" s="21"/>
      <c r="X83" s="598" t="e">
        <f t="shared" si="176"/>
        <v>#REF!</v>
      </c>
      <c r="Y83" s="495" t="e">
        <f t="shared" si="177"/>
        <v>#REF!</v>
      </c>
      <c r="Z83" s="21"/>
      <c r="AA83" s="489">
        <f t="shared" si="178"/>
        <v>3564.84</v>
      </c>
      <c r="AB83" s="489" t="e">
        <f t="shared" si="179"/>
        <v>#REF!</v>
      </c>
      <c r="AC83" s="489" t="e">
        <f>MAX(AC$77:AC$78)+IF($B$2="mil",1,0.0254)*DDR2Specs!$E$3</f>
        <v>#REF!</v>
      </c>
      <c r="AD83" s="489" t="e">
        <f>MIN(AC$77:AC$78)+IF($B$2="mil",1,0.0254)*DDR2Specs!$F$3</f>
        <v>#REF!</v>
      </c>
      <c r="AE83" s="21"/>
      <c r="AF83" s="598" t="e">
        <f t="shared" si="180"/>
        <v>#REF!</v>
      </c>
      <c r="AG83" s="495" t="e">
        <f t="shared" si="181"/>
        <v>#REF!</v>
      </c>
      <c r="AH83" s="21"/>
      <c r="AI83" s="489">
        <f t="shared" si="182"/>
        <v>3564.87</v>
      </c>
      <c r="AJ83" s="489" t="e">
        <f t="shared" si="183"/>
        <v>#REF!</v>
      </c>
      <c r="AK83" s="489" t="e">
        <f>MAX(AK$77:AK$78)+IF($B$2="mil",1,0.0254)*DDR2Specs!$E$3</f>
        <v>#REF!</v>
      </c>
      <c r="AL83" s="489" t="e">
        <f>MIN(AK$77:AK$78)+IF($B$2="mil",1,0.0254)*DDR2Specs!$F$3</f>
        <v>#REF!</v>
      </c>
      <c r="AM83" s="21"/>
      <c r="AN83" s="598" t="e">
        <f t="shared" si="184"/>
        <v>#REF!</v>
      </c>
      <c r="AO83" s="495" t="e">
        <f t="shared" si="185"/>
        <v>#REF!</v>
      </c>
      <c r="AP83" s="21"/>
      <c r="AQ83" s="495" t="e">
        <f t="shared" si="186"/>
        <v>#REF!</v>
      </c>
      <c r="AR83" s="495" t="e">
        <f t="shared" si="187"/>
        <v>#REF!</v>
      </c>
      <c r="AS83" s="495" t="e">
        <f t="shared" si="188"/>
        <v>#REF!</v>
      </c>
      <c r="AT83" s="495" t="e">
        <f t="shared" ca="1" si="189"/>
        <v>#NAME?</v>
      </c>
      <c r="AU83" s="495" t="e">
        <f t="shared" si="190"/>
        <v>#REF!</v>
      </c>
      <c r="AV83" s="495" t="e">
        <f t="shared" si="191"/>
        <v>#REF!</v>
      </c>
      <c r="AW83" s="495" t="e">
        <f t="shared" si="192"/>
        <v>#REF!</v>
      </c>
      <c r="AX83" s="495" t="e">
        <f t="shared" si="193"/>
        <v>#REF!</v>
      </c>
      <c r="AY83" s="495" t="e">
        <f t="shared" si="194"/>
        <v>#REF!</v>
      </c>
      <c r="AZ83" s="493" t="e">
        <f t="shared" si="195"/>
        <v>#REF!</v>
      </c>
      <c r="BA83" s="495" t="e">
        <f t="shared" ca="1" si="196"/>
        <v>#NAME?</v>
      </c>
      <c r="BB83" s="495" t="e">
        <f t="shared" ca="1" si="197"/>
        <v>#NAME?</v>
      </c>
      <c r="BC83" s="495" t="e">
        <f t="shared" si="198"/>
        <v>#REF!</v>
      </c>
      <c r="BD83" s="495" t="e">
        <f t="shared" si="199"/>
        <v>#REF!</v>
      </c>
      <c r="BE83" s="495" t="e">
        <f t="shared" si="200"/>
        <v>#REF!</v>
      </c>
      <c r="BF83" s="495" t="e">
        <f t="shared" si="201"/>
        <v>#REF!</v>
      </c>
      <c r="BG83" s="21"/>
      <c r="BH83" s="554" t="e">
        <f t="shared" ca="1" si="202"/>
        <v>#REF!</v>
      </c>
      <c r="BI83" s="554"/>
      <c r="BJ83" s="554"/>
      <c r="BK83" s="3"/>
      <c r="BL83" s="3"/>
      <c r="BM83" s="3"/>
      <c r="BN83" s="3"/>
      <c r="BO83" s="3"/>
      <c r="BP83" s="3"/>
      <c r="BQ83" s="3"/>
      <c r="BR83" s="3"/>
      <c r="BS83" s="3"/>
      <c r="BT83" s="3"/>
      <c r="BU83" s="3"/>
      <c r="BV83" s="3"/>
      <c r="BW83" s="3"/>
      <c r="BX83" s="3"/>
    </row>
    <row r="84" spans="1:76">
      <c r="A84" s="633" t="s">
        <v>179</v>
      </c>
      <c r="B84" s="665" t="s">
        <v>346</v>
      </c>
      <c r="C84" s="658">
        <v>766.88976377952758</v>
      </c>
      <c r="D84" s="18"/>
      <c r="E84" s="621">
        <v>22.63</v>
      </c>
      <c r="F84" s="621">
        <v>0</v>
      </c>
      <c r="G84" s="622">
        <v>1361.45</v>
      </c>
      <c r="H84" s="622">
        <v>40</v>
      </c>
      <c r="I84" s="622">
        <v>800.11</v>
      </c>
      <c r="J84" s="622">
        <v>44.57</v>
      </c>
      <c r="K84" s="277">
        <v>40</v>
      </c>
      <c r="L84" s="622">
        <v>85.78</v>
      </c>
      <c r="M84" s="622">
        <v>1160.23</v>
      </c>
      <c r="N84" s="620">
        <v>0</v>
      </c>
      <c r="O84" s="620">
        <v>0</v>
      </c>
      <c r="P84" s="622">
        <v>76.06</v>
      </c>
      <c r="Q84" s="622">
        <v>76.03</v>
      </c>
      <c r="R84" s="69"/>
      <c r="S84" s="489">
        <f t="shared" si="174"/>
        <v>1424.0800000000002</v>
      </c>
      <c r="T84" s="489" t="e">
        <f t="shared" si="175"/>
        <v>#REF!</v>
      </c>
      <c r="U84" s="489" t="e">
        <f>MAX(U$77:U$78)+IF($B$2="mil",1,0.0254)*DDR2Specs!$B$3</f>
        <v>#REF!</v>
      </c>
      <c r="V84" s="489" t="e">
        <f>MIN(U$77:U$78)+IF($B$2="mil",1,0.0254)*DDR2Specs!$C$3</f>
        <v>#REF!</v>
      </c>
      <c r="W84" s="21"/>
      <c r="X84" s="598" t="e">
        <f t="shared" si="176"/>
        <v>#REF!</v>
      </c>
      <c r="Y84" s="495" t="e">
        <f t="shared" si="177"/>
        <v>#REF!</v>
      </c>
      <c r="Z84" s="21"/>
      <c r="AA84" s="489">
        <f t="shared" si="178"/>
        <v>3590.8300000000004</v>
      </c>
      <c r="AB84" s="489" t="e">
        <f t="shared" si="179"/>
        <v>#REF!</v>
      </c>
      <c r="AC84" s="489" t="e">
        <f>MAX(AC$77:AC$78)+IF($B$2="mil",1,0.0254)*DDR2Specs!$E$3</f>
        <v>#REF!</v>
      </c>
      <c r="AD84" s="489" t="e">
        <f>MIN(AC$77:AC$78)+IF($B$2="mil",1,0.0254)*DDR2Specs!$F$3</f>
        <v>#REF!</v>
      </c>
      <c r="AE84" s="21"/>
      <c r="AF84" s="598" t="e">
        <f t="shared" si="180"/>
        <v>#REF!</v>
      </c>
      <c r="AG84" s="495" t="e">
        <f t="shared" si="181"/>
        <v>#REF!</v>
      </c>
      <c r="AH84" s="21"/>
      <c r="AI84" s="489">
        <f t="shared" si="182"/>
        <v>3590.8000000000006</v>
      </c>
      <c r="AJ84" s="489" t="e">
        <f t="shared" si="183"/>
        <v>#REF!</v>
      </c>
      <c r="AK84" s="489" t="e">
        <f>MAX(AK$77:AK$78)+IF($B$2="mil",1,0.0254)*DDR2Specs!$E$3</f>
        <v>#REF!</v>
      </c>
      <c r="AL84" s="489" t="e">
        <f>MIN(AK$77:AK$78)+IF($B$2="mil",1,0.0254)*DDR2Specs!$F$3</f>
        <v>#REF!</v>
      </c>
      <c r="AM84" s="21"/>
      <c r="AN84" s="598" t="e">
        <f t="shared" si="184"/>
        <v>#REF!</v>
      </c>
      <c r="AO84" s="495" t="e">
        <f t="shared" si="185"/>
        <v>#REF!</v>
      </c>
      <c r="AP84" s="21"/>
      <c r="AQ84" s="495" t="e">
        <f t="shared" si="186"/>
        <v>#REF!</v>
      </c>
      <c r="AR84" s="495" t="e">
        <f t="shared" si="187"/>
        <v>#REF!</v>
      </c>
      <c r="AS84" s="495" t="e">
        <f t="shared" si="188"/>
        <v>#REF!</v>
      </c>
      <c r="AT84" s="495" t="e">
        <f t="shared" ca="1" si="189"/>
        <v>#NAME?</v>
      </c>
      <c r="AU84" s="495" t="e">
        <f t="shared" si="190"/>
        <v>#REF!</v>
      </c>
      <c r="AV84" s="495" t="e">
        <f t="shared" si="191"/>
        <v>#REF!</v>
      </c>
      <c r="AW84" s="495" t="e">
        <f t="shared" si="192"/>
        <v>#REF!</v>
      </c>
      <c r="AX84" s="495" t="e">
        <f t="shared" si="193"/>
        <v>#REF!</v>
      </c>
      <c r="AY84" s="495" t="e">
        <f t="shared" si="194"/>
        <v>#REF!</v>
      </c>
      <c r="AZ84" s="493" t="e">
        <f t="shared" si="195"/>
        <v>#REF!</v>
      </c>
      <c r="BA84" s="495" t="e">
        <f t="shared" ca="1" si="196"/>
        <v>#NAME?</v>
      </c>
      <c r="BB84" s="495" t="e">
        <f t="shared" ca="1" si="197"/>
        <v>#NAME?</v>
      </c>
      <c r="BC84" s="495" t="e">
        <f t="shared" si="198"/>
        <v>#REF!</v>
      </c>
      <c r="BD84" s="495" t="e">
        <f t="shared" si="199"/>
        <v>#REF!</v>
      </c>
      <c r="BE84" s="495" t="e">
        <f t="shared" si="200"/>
        <v>#REF!</v>
      </c>
      <c r="BF84" s="495" t="e">
        <f t="shared" si="201"/>
        <v>#REF!</v>
      </c>
      <c r="BG84" s="21"/>
      <c r="BH84" s="554" t="e">
        <f t="shared" ca="1" si="202"/>
        <v>#REF!</v>
      </c>
      <c r="BI84" s="554"/>
      <c r="BJ84" s="554"/>
      <c r="BK84" s="3"/>
      <c r="BL84" s="3"/>
      <c r="BM84" s="3"/>
      <c r="BN84" s="3"/>
      <c r="BO84" s="3"/>
      <c r="BP84" s="3"/>
      <c r="BQ84" s="3"/>
      <c r="BR84" s="3"/>
      <c r="BS84" s="3"/>
      <c r="BT84" s="3"/>
      <c r="BU84" s="3"/>
      <c r="BV84" s="3"/>
      <c r="BW84" s="3"/>
      <c r="BX84" s="3"/>
    </row>
    <row r="85" spans="1:76">
      <c r="A85" s="633" t="s">
        <v>180</v>
      </c>
      <c r="B85" s="665" t="s">
        <v>501</v>
      </c>
      <c r="C85" s="658">
        <v>662.00787401574814</v>
      </c>
      <c r="D85" s="18"/>
      <c r="E85" s="621">
        <v>22.63</v>
      </c>
      <c r="F85" s="621">
        <v>0</v>
      </c>
      <c r="G85" s="622">
        <v>1495.31</v>
      </c>
      <c r="H85" s="622">
        <v>15</v>
      </c>
      <c r="I85" s="622">
        <v>771.34</v>
      </c>
      <c r="J85" s="622">
        <v>85.78</v>
      </c>
      <c r="K85" s="277">
        <v>40</v>
      </c>
      <c r="L85" s="622">
        <v>85.78</v>
      </c>
      <c r="M85" s="622">
        <v>1169.1199999999999</v>
      </c>
      <c r="N85" s="620">
        <v>0</v>
      </c>
      <c r="O85" s="620">
        <v>0</v>
      </c>
      <c r="P85" s="622">
        <v>25.06</v>
      </c>
      <c r="Q85" s="622">
        <v>25.09</v>
      </c>
      <c r="R85" s="69"/>
      <c r="S85" s="489">
        <f t="shared" si="174"/>
        <v>1532.94</v>
      </c>
      <c r="T85" s="489" t="e">
        <f t="shared" si="175"/>
        <v>#REF!</v>
      </c>
      <c r="U85" s="489" t="e">
        <f>MAX(U$77:U$78)+IF($B$2="mil",1,0.0254)*DDR2Specs!$B$3</f>
        <v>#REF!</v>
      </c>
      <c r="V85" s="489" t="e">
        <f>MIN(U$77:U$78)+IF($B$2="mil",1,0.0254)*DDR2Specs!$C$3</f>
        <v>#REF!</v>
      </c>
      <c r="W85" s="21"/>
      <c r="X85" s="598" t="e">
        <f t="shared" si="176"/>
        <v>#REF!</v>
      </c>
      <c r="Y85" s="495" t="e">
        <f t="shared" si="177"/>
        <v>#REF!</v>
      </c>
      <c r="Z85" s="21"/>
      <c r="AA85" s="489">
        <f t="shared" si="178"/>
        <v>3695.0200000000004</v>
      </c>
      <c r="AB85" s="489" t="e">
        <f t="shared" si="179"/>
        <v>#REF!</v>
      </c>
      <c r="AC85" s="489" t="e">
        <f>MAX(AC$77:AC$78)+IF($B$2="mil",1,0.0254)*DDR2Specs!$E$3</f>
        <v>#REF!</v>
      </c>
      <c r="AD85" s="489" t="e">
        <f>MIN(AC$77:AC$78)+IF($B$2="mil",1,0.0254)*DDR2Specs!$F$3</f>
        <v>#REF!</v>
      </c>
      <c r="AE85" s="21"/>
      <c r="AF85" s="598" t="e">
        <f t="shared" si="180"/>
        <v>#REF!</v>
      </c>
      <c r="AG85" s="495" t="e">
        <f t="shared" si="181"/>
        <v>#REF!</v>
      </c>
      <c r="AH85" s="21"/>
      <c r="AI85" s="489">
        <f t="shared" si="182"/>
        <v>3695.0500000000006</v>
      </c>
      <c r="AJ85" s="489" t="e">
        <f t="shared" si="183"/>
        <v>#REF!</v>
      </c>
      <c r="AK85" s="489" t="e">
        <f>MAX(AK$77:AK$78)+IF($B$2="mil",1,0.0254)*DDR2Specs!$E$3</f>
        <v>#REF!</v>
      </c>
      <c r="AL85" s="489" t="e">
        <f>MIN(AK$77:AK$78)+IF($B$2="mil",1,0.0254)*DDR2Specs!$F$3</f>
        <v>#REF!</v>
      </c>
      <c r="AM85" s="21"/>
      <c r="AN85" s="598" t="e">
        <f t="shared" si="184"/>
        <v>#REF!</v>
      </c>
      <c r="AO85" s="495" t="e">
        <f t="shared" si="185"/>
        <v>#REF!</v>
      </c>
      <c r="AP85" s="21"/>
      <c r="AQ85" s="495" t="e">
        <f t="shared" si="186"/>
        <v>#REF!</v>
      </c>
      <c r="AR85" s="495" t="e">
        <f t="shared" si="187"/>
        <v>#REF!</v>
      </c>
      <c r="AS85" s="495" t="e">
        <f t="shared" si="188"/>
        <v>#REF!</v>
      </c>
      <c r="AT85" s="495" t="e">
        <f t="shared" ca="1" si="189"/>
        <v>#NAME?</v>
      </c>
      <c r="AU85" s="495" t="e">
        <f t="shared" si="190"/>
        <v>#REF!</v>
      </c>
      <c r="AV85" s="495" t="e">
        <f t="shared" si="191"/>
        <v>#REF!</v>
      </c>
      <c r="AW85" s="495" t="e">
        <f t="shared" si="192"/>
        <v>#REF!</v>
      </c>
      <c r="AX85" s="495" t="e">
        <f t="shared" si="193"/>
        <v>#REF!</v>
      </c>
      <c r="AY85" s="495" t="e">
        <f t="shared" si="194"/>
        <v>#REF!</v>
      </c>
      <c r="AZ85" s="493" t="e">
        <f t="shared" si="195"/>
        <v>#REF!</v>
      </c>
      <c r="BA85" s="495" t="e">
        <f t="shared" ca="1" si="196"/>
        <v>#NAME?</v>
      </c>
      <c r="BB85" s="495" t="e">
        <f t="shared" ca="1" si="197"/>
        <v>#NAME?</v>
      </c>
      <c r="BC85" s="495" t="e">
        <f t="shared" si="198"/>
        <v>#REF!</v>
      </c>
      <c r="BD85" s="495" t="e">
        <f t="shared" si="199"/>
        <v>#REF!</v>
      </c>
      <c r="BE85" s="495" t="e">
        <f t="shared" si="200"/>
        <v>#REF!</v>
      </c>
      <c r="BF85" s="495" t="e">
        <f t="shared" si="201"/>
        <v>#REF!</v>
      </c>
      <c r="BG85" s="21"/>
      <c r="BH85" s="554" t="e">
        <f t="shared" ca="1" si="202"/>
        <v>#REF!</v>
      </c>
      <c r="BI85" s="554"/>
      <c r="BJ85" s="554"/>
      <c r="BK85" s="3"/>
      <c r="BL85" s="3"/>
      <c r="BM85" s="3"/>
      <c r="BN85" s="3"/>
      <c r="BO85" s="3"/>
      <c r="BP85" s="3"/>
      <c r="BQ85" s="3"/>
      <c r="BR85" s="3"/>
      <c r="BS85" s="3"/>
      <c r="BT85" s="3"/>
      <c r="BU85" s="3"/>
      <c r="BV85" s="3"/>
      <c r="BW85" s="3"/>
      <c r="BX85" s="3"/>
    </row>
    <row r="86" spans="1:76">
      <c r="A86" s="633" t="s">
        <v>181</v>
      </c>
      <c r="B86" s="665" t="s">
        <v>116</v>
      </c>
      <c r="C86" s="658">
        <v>655.43307086614175</v>
      </c>
      <c r="D86" s="18"/>
      <c r="E86" s="621">
        <v>22.63</v>
      </c>
      <c r="F86" s="621">
        <v>0</v>
      </c>
      <c r="G86" s="622">
        <v>1480.95</v>
      </c>
      <c r="H86" s="622">
        <v>30</v>
      </c>
      <c r="I86" s="622">
        <v>825.88</v>
      </c>
      <c r="J86" s="622">
        <v>44.57</v>
      </c>
      <c r="K86" s="277">
        <v>40</v>
      </c>
      <c r="L86" s="622">
        <v>44.57</v>
      </c>
      <c r="M86" s="622">
        <v>1219.02</v>
      </c>
      <c r="N86" s="620">
        <v>0</v>
      </c>
      <c r="O86" s="620">
        <v>0</v>
      </c>
      <c r="P86" s="622">
        <v>23.59</v>
      </c>
      <c r="Q86" s="622">
        <v>23.56</v>
      </c>
      <c r="R86" s="69"/>
      <c r="S86" s="489">
        <f t="shared" si="174"/>
        <v>1533.5800000000002</v>
      </c>
      <c r="T86" s="489" t="e">
        <f t="shared" si="175"/>
        <v>#REF!</v>
      </c>
      <c r="U86" s="489" t="e">
        <f>MAX(U$77:U$78)+IF($B$2="mil",1,0.0254)*DDR2Specs!$B$3</f>
        <v>#REF!</v>
      </c>
      <c r="V86" s="489" t="e">
        <f>MIN(U$77:U$78)+IF($B$2="mil",1,0.0254)*DDR2Specs!$C$3</f>
        <v>#REF!</v>
      </c>
      <c r="W86" s="21"/>
      <c r="X86" s="598" t="e">
        <f t="shared" si="176"/>
        <v>#REF!</v>
      </c>
      <c r="Y86" s="495" t="e">
        <f t="shared" si="177"/>
        <v>#REF!</v>
      </c>
      <c r="Z86" s="21"/>
      <c r="AA86" s="489">
        <f t="shared" si="178"/>
        <v>3701.2100000000005</v>
      </c>
      <c r="AB86" s="489" t="e">
        <f t="shared" si="179"/>
        <v>#REF!</v>
      </c>
      <c r="AC86" s="489" t="e">
        <f>MAX(AC$77:AC$78)+IF($B$2="mil",1,0.0254)*DDR2Specs!$E$3</f>
        <v>#REF!</v>
      </c>
      <c r="AD86" s="489" t="e">
        <f>MIN(AC$77:AC$78)+IF($B$2="mil",1,0.0254)*DDR2Specs!$F$3</f>
        <v>#REF!</v>
      </c>
      <c r="AE86" s="21"/>
      <c r="AF86" s="598" t="e">
        <f t="shared" si="180"/>
        <v>#REF!</v>
      </c>
      <c r="AG86" s="495" t="e">
        <f t="shared" si="181"/>
        <v>#REF!</v>
      </c>
      <c r="AH86" s="21"/>
      <c r="AI86" s="489">
        <f t="shared" si="182"/>
        <v>3701.1800000000003</v>
      </c>
      <c r="AJ86" s="489" t="e">
        <f t="shared" si="183"/>
        <v>#REF!</v>
      </c>
      <c r="AK86" s="489" t="e">
        <f>MAX(AK$77:AK$78)+IF($B$2="mil",1,0.0254)*DDR2Specs!$E$3</f>
        <v>#REF!</v>
      </c>
      <c r="AL86" s="489" t="e">
        <f>MIN(AK$77:AK$78)+IF($B$2="mil",1,0.0254)*DDR2Specs!$F$3</f>
        <v>#REF!</v>
      </c>
      <c r="AM86" s="21"/>
      <c r="AN86" s="598" t="e">
        <f t="shared" si="184"/>
        <v>#REF!</v>
      </c>
      <c r="AO86" s="495" t="e">
        <f t="shared" si="185"/>
        <v>#REF!</v>
      </c>
      <c r="AP86" s="21"/>
      <c r="AQ86" s="495" t="e">
        <f t="shared" si="186"/>
        <v>#REF!</v>
      </c>
      <c r="AR86" s="495" t="e">
        <f t="shared" si="187"/>
        <v>#REF!</v>
      </c>
      <c r="AS86" s="495" t="e">
        <f t="shared" si="188"/>
        <v>#REF!</v>
      </c>
      <c r="AT86" s="495" t="e">
        <f t="shared" ca="1" si="189"/>
        <v>#NAME?</v>
      </c>
      <c r="AU86" s="495" t="e">
        <f t="shared" si="190"/>
        <v>#REF!</v>
      </c>
      <c r="AV86" s="495" t="e">
        <f t="shared" si="191"/>
        <v>#REF!</v>
      </c>
      <c r="AW86" s="495" t="e">
        <f t="shared" si="192"/>
        <v>#REF!</v>
      </c>
      <c r="AX86" s="495" t="e">
        <f t="shared" si="193"/>
        <v>#REF!</v>
      </c>
      <c r="AY86" s="495" t="e">
        <f t="shared" si="194"/>
        <v>#REF!</v>
      </c>
      <c r="AZ86" s="493" t="e">
        <f t="shared" si="195"/>
        <v>#REF!</v>
      </c>
      <c r="BA86" s="495" t="e">
        <f t="shared" ca="1" si="196"/>
        <v>#NAME?</v>
      </c>
      <c r="BB86" s="495" t="e">
        <f t="shared" ca="1" si="197"/>
        <v>#NAME?</v>
      </c>
      <c r="BC86" s="495" t="e">
        <f t="shared" si="198"/>
        <v>#REF!</v>
      </c>
      <c r="BD86" s="495" t="e">
        <f t="shared" si="199"/>
        <v>#REF!</v>
      </c>
      <c r="BE86" s="495" t="e">
        <f t="shared" si="200"/>
        <v>#REF!</v>
      </c>
      <c r="BF86" s="495" t="e">
        <f t="shared" si="201"/>
        <v>#REF!</v>
      </c>
      <c r="BG86" s="21"/>
      <c r="BH86" s="554" t="e">
        <f t="shared" ca="1" si="202"/>
        <v>#REF!</v>
      </c>
      <c r="BI86" s="554"/>
      <c r="BJ86" s="554"/>
      <c r="BK86" s="3"/>
      <c r="BL86" s="3"/>
      <c r="BM86" s="3"/>
      <c r="BN86" s="3"/>
      <c r="BO86" s="3"/>
      <c r="BP86" s="3"/>
      <c r="BQ86" s="3"/>
      <c r="BR86" s="3"/>
      <c r="BS86" s="3"/>
      <c r="BT86" s="3"/>
      <c r="BU86" s="3"/>
      <c r="BV86" s="3"/>
      <c r="BW86" s="3"/>
      <c r="BX86" s="3"/>
    </row>
    <row r="87" spans="1:76">
      <c r="A87" s="666" t="s">
        <v>182</v>
      </c>
      <c r="B87" s="667" t="s">
        <v>520</v>
      </c>
      <c r="C87" s="658">
        <v>709.09448818897636</v>
      </c>
      <c r="D87" s="18"/>
      <c r="E87" s="621">
        <v>22.63</v>
      </c>
      <c r="F87" s="621">
        <v>0</v>
      </c>
      <c r="G87" s="622">
        <v>1389.07</v>
      </c>
      <c r="H87" s="622">
        <v>58</v>
      </c>
      <c r="I87" s="622">
        <v>780.83</v>
      </c>
      <c r="J87" s="622">
        <v>85.78</v>
      </c>
      <c r="K87" s="277">
        <v>40</v>
      </c>
      <c r="L87" s="622">
        <v>44.57</v>
      </c>
      <c r="M87" s="622">
        <v>1214.5899999999999</v>
      </c>
      <c r="N87" s="620">
        <v>0</v>
      </c>
      <c r="O87" s="620">
        <v>0</v>
      </c>
      <c r="P87" s="622">
        <v>72.97</v>
      </c>
      <c r="Q87" s="622">
        <v>70.47</v>
      </c>
      <c r="R87" s="69"/>
      <c r="S87" s="489">
        <f t="shared" si="174"/>
        <v>1469.7</v>
      </c>
      <c r="T87" s="489" t="e">
        <f t="shared" si="175"/>
        <v>#REF!</v>
      </c>
      <c r="U87" s="489" t="e">
        <f>MAX(U$77:U$78)+IF($B$2="mil",1,0.0254)*DDR2Specs!$B$3</f>
        <v>#REF!</v>
      </c>
      <c r="V87" s="489" t="e">
        <f>MIN(U$77:U$78)+IF($B$2="mil",1,0.0254)*DDR2Specs!$C$3</f>
        <v>#REF!</v>
      </c>
      <c r="W87" s="21"/>
      <c r="X87" s="598" t="e">
        <f t="shared" si="176"/>
        <v>#REF!</v>
      </c>
      <c r="Y87" s="495" t="e">
        <f t="shared" si="177"/>
        <v>#REF!</v>
      </c>
      <c r="Z87" s="21"/>
      <c r="AA87" s="489">
        <f t="shared" si="178"/>
        <v>3650.44</v>
      </c>
      <c r="AB87" s="489" t="e">
        <f t="shared" si="179"/>
        <v>#REF!</v>
      </c>
      <c r="AC87" s="489" t="e">
        <f>MAX(AC$77:AC$78)+IF($B$2="mil",1,0.0254)*DDR2Specs!$E$3</f>
        <v>#REF!</v>
      </c>
      <c r="AD87" s="489" t="e">
        <f>MIN(AC$77:AC$78)+IF($B$2="mil",1,0.0254)*DDR2Specs!$F$3</f>
        <v>#REF!</v>
      </c>
      <c r="AE87" s="21"/>
      <c r="AF87" s="598" t="e">
        <f t="shared" si="180"/>
        <v>#REF!</v>
      </c>
      <c r="AG87" s="495" t="e">
        <f t="shared" si="181"/>
        <v>#REF!</v>
      </c>
      <c r="AH87" s="21"/>
      <c r="AI87" s="489">
        <f t="shared" si="182"/>
        <v>3647.94</v>
      </c>
      <c r="AJ87" s="489" t="e">
        <f t="shared" si="183"/>
        <v>#REF!</v>
      </c>
      <c r="AK87" s="489" t="e">
        <f>MAX(AK$77:AK$78)+IF($B$2="mil",1,0.0254)*DDR2Specs!$E$3</f>
        <v>#REF!</v>
      </c>
      <c r="AL87" s="489" t="e">
        <f>MIN(AK$77:AK$78)+IF($B$2="mil",1,0.0254)*DDR2Specs!$F$3</f>
        <v>#REF!</v>
      </c>
      <c r="AM87" s="21"/>
      <c r="AN87" s="598" t="e">
        <f t="shared" si="184"/>
        <v>#REF!</v>
      </c>
      <c r="AO87" s="495" t="e">
        <f t="shared" si="185"/>
        <v>#REF!</v>
      </c>
      <c r="AP87" s="21"/>
      <c r="AQ87" s="495" t="e">
        <f t="shared" si="186"/>
        <v>#REF!</v>
      </c>
      <c r="AR87" s="495" t="e">
        <f t="shared" si="187"/>
        <v>#REF!</v>
      </c>
      <c r="AS87" s="495" t="e">
        <f t="shared" si="188"/>
        <v>#REF!</v>
      </c>
      <c r="AT87" s="495" t="e">
        <f t="shared" ca="1" si="189"/>
        <v>#NAME?</v>
      </c>
      <c r="AU87" s="495" t="e">
        <f t="shared" si="190"/>
        <v>#REF!</v>
      </c>
      <c r="AV87" s="495" t="e">
        <f t="shared" si="191"/>
        <v>#REF!</v>
      </c>
      <c r="AW87" s="495" t="e">
        <f t="shared" si="192"/>
        <v>#REF!</v>
      </c>
      <c r="AX87" s="495" t="e">
        <f t="shared" si="193"/>
        <v>#REF!</v>
      </c>
      <c r="AY87" s="495" t="e">
        <f t="shared" si="194"/>
        <v>#REF!</v>
      </c>
      <c r="AZ87" s="493" t="e">
        <f t="shared" si="195"/>
        <v>#REF!</v>
      </c>
      <c r="BA87" s="495" t="e">
        <f t="shared" ca="1" si="196"/>
        <v>#NAME?</v>
      </c>
      <c r="BB87" s="495" t="e">
        <f t="shared" ca="1" si="197"/>
        <v>#NAME?</v>
      </c>
      <c r="BC87" s="495" t="e">
        <f t="shared" si="198"/>
        <v>#REF!</v>
      </c>
      <c r="BD87" s="495" t="e">
        <f t="shared" si="199"/>
        <v>#REF!</v>
      </c>
      <c r="BE87" s="495" t="e">
        <f t="shared" si="200"/>
        <v>#REF!</v>
      </c>
      <c r="BF87" s="495" t="e">
        <f t="shared" si="201"/>
        <v>#REF!</v>
      </c>
      <c r="BG87" s="21"/>
      <c r="BH87" s="554" t="e">
        <f t="shared" ca="1" si="202"/>
        <v>#REF!</v>
      </c>
      <c r="BI87" s="554"/>
      <c r="BJ87" s="554"/>
      <c r="BK87" s="3"/>
      <c r="BL87" s="3"/>
      <c r="BM87" s="3"/>
      <c r="BN87" s="3"/>
      <c r="BO87" s="3"/>
      <c r="BP87" s="3"/>
      <c r="BQ87" s="3"/>
      <c r="BR87" s="3"/>
      <c r="BS87" s="3"/>
      <c r="BT87" s="3"/>
      <c r="BU87" s="3"/>
      <c r="BV87" s="3"/>
      <c r="BW87" s="3"/>
      <c r="BX87" s="3"/>
    </row>
    <row r="88" spans="1:76">
      <c r="A88" s="636" t="s">
        <v>204</v>
      </c>
      <c r="B88" s="668"/>
      <c r="C88" s="659"/>
      <c r="D88" s="62"/>
      <c r="E88" s="82"/>
      <c r="F88" s="82"/>
      <c r="G88" s="439"/>
      <c r="H88" s="295"/>
      <c r="I88" s="295"/>
      <c r="J88" s="295"/>
      <c r="K88" s="295"/>
      <c r="L88" s="295"/>
      <c r="M88" s="295"/>
      <c r="N88" s="295"/>
      <c r="O88" s="295"/>
      <c r="P88" s="295"/>
      <c r="Q88" s="295"/>
      <c r="R88" s="10"/>
      <c r="S88" s="82"/>
      <c r="T88" s="605"/>
      <c r="U88" s="605"/>
      <c r="V88" s="606"/>
      <c r="W88" s="606"/>
      <c r="X88" s="607"/>
      <c r="Y88" s="17"/>
      <c r="Z88" s="606"/>
      <c r="AA88" s="82"/>
      <c r="AB88" s="605"/>
      <c r="AC88" s="605"/>
      <c r="AD88" s="606"/>
      <c r="AE88" s="606"/>
      <c r="AF88" s="607"/>
      <c r="AG88" s="17"/>
      <c r="AH88" s="606"/>
      <c r="AI88" s="82"/>
      <c r="AJ88" s="605"/>
      <c r="AK88" s="605"/>
      <c r="AL88" s="606"/>
      <c r="AM88" s="606"/>
      <c r="AN88" s="607"/>
      <c r="AO88" s="17"/>
      <c r="AP88" s="606"/>
      <c r="AQ88" s="17"/>
      <c r="AR88" s="17"/>
      <c r="AS88" s="16"/>
      <c r="AT88" s="16"/>
      <c r="AU88" s="16"/>
      <c r="AV88" s="16"/>
      <c r="AW88" s="16"/>
      <c r="AX88" s="16"/>
      <c r="AY88" s="16"/>
      <c r="AZ88" s="16"/>
      <c r="BA88" s="16"/>
      <c r="BB88" s="16"/>
      <c r="BC88" s="16"/>
      <c r="BD88" s="16"/>
      <c r="BE88" s="16"/>
      <c r="BF88" s="16"/>
      <c r="BG88" s="83"/>
      <c r="BH88" s="554"/>
      <c r="BI88" s="554"/>
      <c r="BJ88" s="554"/>
      <c r="BK88" s="3"/>
      <c r="BL88" s="3"/>
      <c r="BM88" s="3"/>
      <c r="BN88" s="3"/>
      <c r="BO88" s="3"/>
      <c r="BP88" s="3"/>
      <c r="BQ88" s="3"/>
      <c r="BR88" s="3"/>
      <c r="BS88" s="3"/>
      <c r="BT88" s="3"/>
      <c r="BU88" s="3"/>
      <c r="BV88" s="3"/>
      <c r="BW88" s="3"/>
      <c r="BX88" s="3"/>
    </row>
    <row r="89" spans="1:76">
      <c r="A89" s="650" t="str">
        <f>'DDR2 Strobes - 2x16_1R SODIMM'!$A$42</f>
        <v>SA_DQS7</v>
      </c>
      <c r="B89" s="669" t="str">
        <f>'DDR2 Strobes - 2x16_1R SODIMM'!$B$42</f>
        <v>AA12</v>
      </c>
      <c r="C89" s="660"/>
      <c r="D89" s="53"/>
      <c r="E89" s="81"/>
      <c r="F89" s="81"/>
      <c r="G89" s="685"/>
      <c r="H89" s="686"/>
      <c r="I89" s="686"/>
      <c r="J89" s="686"/>
      <c r="K89" s="686"/>
      <c r="L89" s="686"/>
      <c r="M89" s="686"/>
      <c r="N89" s="686"/>
      <c r="O89" s="686"/>
      <c r="P89" s="686"/>
      <c r="Q89" s="686"/>
      <c r="R89" s="81"/>
      <c r="S89" s="81"/>
      <c r="T89" s="58"/>
      <c r="U89" s="58" t="e">
        <f>'DDR2 Strobes - 2x16_1R SODIMM'!$U$42</f>
        <v>#REF!</v>
      </c>
      <c r="V89" s="58"/>
      <c r="W89" s="58"/>
      <c r="X89" s="58"/>
      <c r="Y89" s="608"/>
      <c r="Z89" s="58"/>
      <c r="AA89" s="81"/>
      <c r="AB89" s="58"/>
      <c r="AC89" s="58" t="e">
        <f>'DDR2 Strobes - 2x16_1R SODIMM'!$AD$42</f>
        <v>#REF!</v>
      </c>
      <c r="AD89" s="58"/>
      <c r="AE89" s="58"/>
      <c r="AF89" s="58"/>
      <c r="AG89" s="608"/>
      <c r="AH89" s="58"/>
      <c r="AI89" s="81"/>
      <c r="AJ89" s="58"/>
      <c r="AK89" s="58" t="e">
        <f>'DDR2 Strobes - 2x16_1R SODIMM'!$AL$42</f>
        <v>#REF!</v>
      </c>
      <c r="AL89" s="58"/>
      <c r="AM89" s="58"/>
      <c r="AN89" s="58"/>
      <c r="AO89" s="608"/>
      <c r="AP89" s="58"/>
      <c r="AQ89" s="608"/>
      <c r="AR89" s="608"/>
      <c r="AS89" s="608"/>
      <c r="AT89" s="608"/>
      <c r="AU89" s="608"/>
      <c r="AV89" s="608"/>
      <c r="AW89" s="608"/>
      <c r="AX89" s="608"/>
      <c r="AY89" s="608"/>
      <c r="AZ89" s="608"/>
      <c r="BA89" s="608"/>
      <c r="BB89" s="608"/>
      <c r="BC89" s="608"/>
      <c r="BD89" s="608"/>
      <c r="BE89" s="608"/>
      <c r="BF89" s="608"/>
      <c r="BG89" s="58"/>
      <c r="BH89" s="554"/>
      <c r="BI89" s="554"/>
      <c r="BJ89" s="554"/>
      <c r="BK89" s="3"/>
      <c r="BL89" s="3"/>
      <c r="BM89" s="3"/>
      <c r="BN89" s="3"/>
      <c r="BO89" s="3"/>
      <c r="BP89" s="3"/>
      <c r="BQ89" s="3"/>
      <c r="BR89" s="3"/>
      <c r="BS89" s="3"/>
      <c r="BT89" s="3"/>
      <c r="BU89" s="3"/>
      <c r="BV89" s="3"/>
      <c r="BW89" s="3"/>
      <c r="BX89" s="3"/>
    </row>
    <row r="90" spans="1:76">
      <c r="A90" s="650" t="str">
        <f>'DDR2 Strobes - 2x16_1R SODIMM'!$A$43</f>
        <v>SA_DQS7#</v>
      </c>
      <c r="B90" s="669" t="str">
        <f>'DDR2 Strobes - 2x16_1R SODIMM'!$B$43</f>
        <v>AB12</v>
      </c>
      <c r="C90" s="660"/>
      <c r="D90" s="53"/>
      <c r="E90" s="81"/>
      <c r="F90" s="81"/>
      <c r="G90" s="685"/>
      <c r="H90" s="686"/>
      <c r="I90" s="686"/>
      <c r="J90" s="686"/>
      <c r="K90" s="686"/>
      <c r="L90" s="686"/>
      <c r="M90" s="686"/>
      <c r="N90" s="686"/>
      <c r="O90" s="686"/>
      <c r="P90" s="686"/>
      <c r="Q90" s="686"/>
      <c r="R90" s="81"/>
      <c r="S90" s="81"/>
      <c r="T90" s="603"/>
      <c r="U90" s="58" t="e">
        <f>'DDR2 Strobes - 2x16_1R SODIMM'!$U$43</f>
        <v>#REF!</v>
      </c>
      <c r="V90" s="58"/>
      <c r="W90" s="58"/>
      <c r="X90" s="58"/>
      <c r="Y90" s="608"/>
      <c r="Z90" s="58"/>
      <c r="AA90" s="602"/>
      <c r="AB90" s="603"/>
      <c r="AC90" s="58" t="e">
        <f>'DDR2 Strobes - 2x16_1R SODIMM'!$AD$43</f>
        <v>#REF!</v>
      </c>
      <c r="AD90" s="58"/>
      <c r="AE90" s="58"/>
      <c r="AF90" s="58"/>
      <c r="AG90" s="608"/>
      <c r="AH90" s="58"/>
      <c r="AI90" s="602"/>
      <c r="AJ90" s="603"/>
      <c r="AK90" s="58" t="e">
        <f>'DDR2 Strobes - 2x16_1R SODIMM'!$AL$43</f>
        <v>#REF!</v>
      </c>
      <c r="AL90" s="58"/>
      <c r="AM90" s="58"/>
      <c r="AN90" s="58"/>
      <c r="AO90" s="608"/>
      <c r="AP90" s="58"/>
      <c r="AQ90" s="608"/>
      <c r="AR90" s="608"/>
      <c r="AS90" s="609"/>
      <c r="AT90" s="609"/>
      <c r="AU90" s="609"/>
      <c r="AV90" s="609"/>
      <c r="AW90" s="609"/>
      <c r="AX90" s="609"/>
      <c r="AY90" s="609"/>
      <c r="AZ90" s="609"/>
      <c r="BA90" s="609"/>
      <c r="BB90" s="609"/>
      <c r="BC90" s="609"/>
      <c r="BD90" s="609"/>
      <c r="BE90" s="609"/>
      <c r="BF90" s="609"/>
      <c r="BG90" s="58"/>
      <c r="BH90" s="554"/>
      <c r="BI90" s="554"/>
      <c r="BJ90" s="554"/>
      <c r="BK90" s="3"/>
      <c r="BL90" s="3"/>
      <c r="BM90" s="3"/>
      <c r="BN90" s="3"/>
      <c r="BO90" s="3"/>
      <c r="BP90" s="3"/>
      <c r="BQ90" s="3"/>
      <c r="BR90" s="3"/>
      <c r="BS90" s="3"/>
      <c r="BT90" s="3"/>
      <c r="BU90" s="3"/>
      <c r="BV90" s="3"/>
      <c r="BW90" s="3"/>
      <c r="BX90" s="3"/>
    </row>
    <row r="91" spans="1:76">
      <c r="A91" s="633" t="s">
        <v>183</v>
      </c>
      <c r="B91" s="665" t="s">
        <v>502</v>
      </c>
      <c r="C91" s="658">
        <v>818.89763779527561</v>
      </c>
      <c r="D91" s="18"/>
      <c r="E91" s="621">
        <v>22.63</v>
      </c>
      <c r="F91" s="621">
        <v>0</v>
      </c>
      <c r="G91" s="622">
        <v>1786.25</v>
      </c>
      <c r="H91" s="622">
        <v>40</v>
      </c>
      <c r="I91" s="622">
        <v>766.14</v>
      </c>
      <c r="J91" s="622">
        <v>43.4</v>
      </c>
      <c r="K91" s="277">
        <v>40</v>
      </c>
      <c r="L91" s="622">
        <v>44.57</v>
      </c>
      <c r="M91" s="622">
        <v>1200.81</v>
      </c>
      <c r="N91" s="620">
        <v>0</v>
      </c>
      <c r="O91" s="620">
        <v>0</v>
      </c>
      <c r="P91" s="622">
        <v>96.8</v>
      </c>
      <c r="Q91" s="622">
        <v>96.77</v>
      </c>
      <c r="R91" s="69"/>
      <c r="S91" s="489">
        <f t="shared" ref="S91:S99" si="203" xml:space="preserve"> E91+F91+G91+H91</f>
        <v>1848.88</v>
      </c>
      <c r="T91" s="489" t="e">
        <f t="shared" ref="T91:T99" si="204">S91+IF($B$2="mil",1,0.0254)*C91</f>
        <v>#REF!</v>
      </c>
      <c r="U91" s="489" t="e">
        <f>MAX(U$89:U$90)+IF($B$2="mil",1,0.0254)*DDR2Specs!$B$3</f>
        <v>#REF!</v>
      </c>
      <c r="V91" s="489" t="e">
        <f>MIN(U$89:U$90)+IF($B$2="mil",1,0.0254)*DDR2Specs!$C$3</f>
        <v>#REF!</v>
      </c>
      <c r="W91" s="21"/>
      <c r="X91" s="598" t="e">
        <f t="shared" ref="X91:X99" si="205">IF($T91&lt;$U91,$U91-$T91,"Pass")</f>
        <v>#REF!</v>
      </c>
      <c r="Y91" s="495" t="e">
        <f t="shared" ref="Y91:Y99" si="206">IF($T91&gt;$V91,$T91-$V91,"Pass")</f>
        <v>#REF!</v>
      </c>
      <c r="Z91" s="21"/>
      <c r="AA91" s="489">
        <f t="shared" ref="AA91:AA99" si="207">SUM(E91:G91,I91:N91,P91)</f>
        <v>4000.6000000000004</v>
      </c>
      <c r="AB91" s="489" t="e">
        <f t="shared" ref="AB91:AB99" si="208">AA91+IF($B$2="mil",1,0.0254)*$C91</f>
        <v>#REF!</v>
      </c>
      <c r="AC91" s="489" t="e">
        <f>MAX(AC$89:AC$90)+IF($B$2="mil",1,0.0254)*DDR2Specs!$E$3</f>
        <v>#REF!</v>
      </c>
      <c r="AD91" s="489" t="e">
        <f>MIN(AC$89:AC$90)+IF($B$2="mil",1,0.0254)*DDR2Specs!$F$3</f>
        <v>#REF!</v>
      </c>
      <c r="AE91" s="21"/>
      <c r="AF91" s="598" t="e">
        <f t="shared" ref="AF91:AF99" si="209">IF($AB91&lt;$AC91,$AC91-$AB91,"Pass")</f>
        <v>#REF!</v>
      </c>
      <c r="AG91" s="495" t="e">
        <f t="shared" ref="AG91:AG99" si="210">IF($AB91&gt;$AD91,$AB91-$AD91,"Pass")</f>
        <v>#REF!</v>
      </c>
      <c r="AH91" s="21"/>
      <c r="AI91" s="489">
        <f t="shared" ref="AI91:AI99" si="211">SUM(E91:G91,I91:M91,O91,Q91)</f>
        <v>4000.57</v>
      </c>
      <c r="AJ91" s="489" t="e">
        <f t="shared" ref="AJ91:AJ99" si="212">AI91+IF($B$2="mil",1,0.0254)*$C91</f>
        <v>#REF!</v>
      </c>
      <c r="AK91" s="489" t="e">
        <f>MAX(AK$89:AK$90)+IF($B$2="mil",1,0.0254)*DDR2Specs!$E$3</f>
        <v>#REF!</v>
      </c>
      <c r="AL91" s="489" t="e">
        <f>MIN(AK$89:AK$90)+IF($B$2="mil",1,0.0254)*DDR2Specs!$F$3</f>
        <v>#REF!</v>
      </c>
      <c r="AM91" s="21"/>
      <c r="AN91" s="598" t="e">
        <f t="shared" ref="AN91:AN99" si="213">IF($AJ91&lt;$AK91,$AK91-$AJ91,"Pass")</f>
        <v>#REF!</v>
      </c>
      <c r="AO91" s="495" t="e">
        <f t="shared" ref="AO91:AO99" si="214">IF($AJ91&gt;$AL91,$AJ91-$AL91,"Pass")</f>
        <v>#REF!</v>
      </c>
      <c r="AP91" s="21"/>
      <c r="AQ91" s="495" t="e">
        <f t="shared" ref="AQ91:AQ99" si="215">IF($E91&lt;=IF($B$2="mil",1,0.0254)*50,"Pass",IF($B$2="mil",1,0.0254)*50-$E91)</f>
        <v>#REF!</v>
      </c>
      <c r="AR91" s="495" t="e">
        <f t="shared" ref="AR91:AR99" si="216">IF($F91&lt;=IF($B$2="mil",1,0.0254)*500,"Pass",IF($B$2="mil",1,0.0254)*500-$F91)</f>
        <v>#REF!</v>
      </c>
      <c r="AS91" s="495" t="e">
        <f t="shared" ref="AS91:AS99" si="217">IF($H91&lt;=IF($B$2="mil",1,0.0254)*250,"Pass",IF($B$2="mil",1,0.0254)*250-$H91)</f>
        <v>#REF!</v>
      </c>
      <c r="AT91" s="495" t="e">
        <f t="shared" ref="AT91:AT99" ca="1" si="218">CheckLength(IF($B$2="mil",1,0.0254)*750, IF($B$2="mil",1,0.0254)*125-J91, 0, I91,J91,0)</f>
        <v>#NAME?</v>
      </c>
      <c r="AU91" s="495" t="e">
        <f t="shared" ref="AU91:AU99" si="219">IF($J91&lt;=IF($B$2="mil",1,0.0254)*125,"Pass",IF($B$2="mil",1,0.0254)*125-$J91)</f>
        <v>#REF!</v>
      </c>
      <c r="AV91" s="495" t="e">
        <f t="shared" ref="AV91:AV99" si="220">IF($L91&lt;=IF($B$2="mil",1,0.0254)*125,"Pass",IF($B$2="mil",1,0.0254)*125-$L91)</f>
        <v>#REF!</v>
      </c>
      <c r="AW91" s="495" t="e">
        <f t="shared" ref="AW91:AW99" si="221">IF(($L91+$M91)&lt;=IF($B$2="mil",1,0.0254)*1275,"Pass",IF($B$2="mil",1,0.0254)*1275-($L91+H91))</f>
        <v>#REF!</v>
      </c>
      <c r="AX91" s="495" t="e">
        <f t="shared" ref="AX91:AX99" si="222">IF($N91&lt;=IF($B$2="mil",1,0.0254)*150,"Pass",IF($B$2="mil",1,0.0254)*150-$N91)</f>
        <v>#REF!</v>
      </c>
      <c r="AY91" s="495" t="e">
        <f t="shared" ref="AY91:AY99" si="223">IF($O91&lt;=IF($B$2="mil",1,0.0254)*150,"Pass",IF($B$2="mil",1,0.0254)*150-$O91)</f>
        <v>#REF!</v>
      </c>
      <c r="AZ91" s="493" t="e">
        <f t="shared" ref="AZ91:AZ99" si="224">IF(MAX(N91:O91)-MIN(N91:O91)&lt;=IF($B$2="mil",1,0.0254)*50,"Pass",MAX(N91:O91)-MIN(N91:O91)-IF($B$2="mil",1,0.0254)*50)</f>
        <v>#REF!</v>
      </c>
      <c r="BA91" s="495" t="e">
        <f t="shared" ref="BA91:BA99" ca="1" si="225">CheckLength2(IF($B$2="mil",1,0.0254)*200,$P91,N91,0)</f>
        <v>#NAME?</v>
      </c>
      <c r="BB91" s="495" t="e">
        <f t="shared" ref="BB91:BB99" ca="1" si="226">CheckLength2(IF($B$2="mil",1,0.0254)*200,$Q91,O91,0)</f>
        <v>#NAME?</v>
      </c>
      <c r="BC91" s="495" t="e">
        <f t="shared" ref="BC91:BC99" si="227">IF(AND($S91&gt;=IF($B$2="mil",1,0.0254)*500, $S91&lt;=IF($B$2="mil",1,0.0254)*4000),"Pass",IF($B$2="mil",1,0.0254)*4000-$S91)</f>
        <v>#REF!</v>
      </c>
      <c r="BD91" s="495" t="e">
        <f t="shared" ref="BD91:BD99" si="228">IF(AND($T91&gt;=IF($B$2="mil",1,0.0254)*500, $T91&lt;=IF($B$2="mil",1,0.0254)*4500),"Pass",IF($B$2="mil",1,0.0254)*4500-$T91)</f>
        <v>#REF!</v>
      </c>
      <c r="BE91" s="495" t="e">
        <f t="shared" ref="BE91:BE99" si="229">IF(AND($AA91&gt;=IF($B$2="mil",1,0.0254)*500, $AA91&lt;=IF($B$2="mil",1,0.0254)*5500),"Pass",IF($B$2="mil",1,0.0254)*5500-$AA91)</f>
        <v>#REF!</v>
      </c>
      <c r="BF91" s="495" t="e">
        <f t="shared" ref="BF91:BF99" si="230">IF(AND($AB91&gt;=IF($B$2="mil",1,0.0254)*500, $AB91&lt;=IF($B$2="mil",1,0.0254)*6000),"Pass",IF($B$2="mil",1,0.0254)*6000-$AB91)</f>
        <v>#REF!</v>
      </c>
      <c r="BG91" s="21"/>
      <c r="BH91" s="554" t="e">
        <f t="shared" ref="BH91:BH99" ca="1" si="231">IF(AND(AN91="Pass",AO91="Pass",AQ91="Pass",BD91="Pass",AS91="Pass",AR91="Pass",BC91="Pass",X91="Pass",Y91="Pass",BB91="Pass",AW91="Pass",AX91="Pass",AY91="Pass",AZ91="Pass",BA91="Pass",AV91="Pass",AU91="Pass",AT91="Pass",AF91="Pass",AG91="Pass",BE91="Pass",BF91="Pass"),"Pass","Fail")</f>
        <v>#REF!</v>
      </c>
      <c r="BI91" s="554" t="e">
        <f ca="1">IF(AND(BH91="Pass",BH92="Pass",BH93="Pass",BH94="Pass",BH95="Pass",BH96="Pass",BH97="Pass",BH98="Pass",BH99="Pass"),"Pass","Fail")</f>
        <v>#REF!</v>
      </c>
      <c r="BJ91" s="554"/>
      <c r="BK91" s="3"/>
      <c r="BL91" s="3"/>
      <c r="BM91" s="3"/>
      <c r="BN91" s="3"/>
      <c r="BO91" s="3"/>
      <c r="BP91" s="3"/>
      <c r="BQ91" s="3"/>
      <c r="BR91" s="3"/>
      <c r="BS91" s="3"/>
      <c r="BT91" s="3"/>
      <c r="BU91" s="3"/>
      <c r="BV91" s="3"/>
      <c r="BW91" s="3"/>
      <c r="BX91" s="3"/>
    </row>
    <row r="92" spans="1:76">
      <c r="A92" s="633" t="s">
        <v>184</v>
      </c>
      <c r="B92" s="665" t="s">
        <v>117</v>
      </c>
      <c r="C92" s="658">
        <v>680.03937007874015</v>
      </c>
      <c r="D92" s="18"/>
      <c r="E92" s="621">
        <v>22.63</v>
      </c>
      <c r="F92" s="621">
        <v>0</v>
      </c>
      <c r="G92" s="622">
        <v>1950.74</v>
      </c>
      <c r="H92" s="622">
        <v>20</v>
      </c>
      <c r="I92" s="622">
        <v>730.82</v>
      </c>
      <c r="J92" s="622">
        <v>44.57</v>
      </c>
      <c r="K92" s="277">
        <v>40</v>
      </c>
      <c r="L92" s="622">
        <v>42.23</v>
      </c>
      <c r="M92" s="622">
        <v>1211.22</v>
      </c>
      <c r="N92" s="620">
        <v>0</v>
      </c>
      <c r="O92" s="620">
        <v>0</v>
      </c>
      <c r="P92" s="622">
        <v>97.27</v>
      </c>
      <c r="Q92" s="622">
        <v>97.3</v>
      </c>
      <c r="R92" s="69"/>
      <c r="S92" s="489">
        <f t="shared" si="203"/>
        <v>1993.3700000000001</v>
      </c>
      <c r="T92" s="489" t="e">
        <f t="shared" si="204"/>
        <v>#REF!</v>
      </c>
      <c r="U92" s="489" t="e">
        <f>MAX(U$89:U$90)+IF($B$2="mil",1,0.0254)*DDR2Specs!$B$3</f>
        <v>#REF!</v>
      </c>
      <c r="V92" s="489" t="e">
        <f>MIN(U$89:U$90)+IF($B$2="mil",1,0.0254)*DDR2Specs!$C$3</f>
        <v>#REF!</v>
      </c>
      <c r="W92" s="21"/>
      <c r="X92" s="598" t="e">
        <f t="shared" si="205"/>
        <v>#REF!</v>
      </c>
      <c r="Y92" s="495" t="e">
        <f t="shared" si="206"/>
        <v>#REF!</v>
      </c>
      <c r="Z92" s="21"/>
      <c r="AA92" s="489">
        <f t="shared" si="207"/>
        <v>4139.4800000000005</v>
      </c>
      <c r="AB92" s="489" t="e">
        <f t="shared" si="208"/>
        <v>#REF!</v>
      </c>
      <c r="AC92" s="489" t="e">
        <f>MAX(AC$89:AC$90)+IF($B$2="mil",1,0.0254)*DDR2Specs!$E$3</f>
        <v>#REF!</v>
      </c>
      <c r="AD92" s="489" t="e">
        <f>MIN(AC$89:AC$90)+IF($B$2="mil",1,0.0254)*DDR2Specs!$F$3</f>
        <v>#REF!</v>
      </c>
      <c r="AE92" s="21"/>
      <c r="AF92" s="598" t="e">
        <f t="shared" si="209"/>
        <v>#REF!</v>
      </c>
      <c r="AG92" s="495" t="e">
        <f t="shared" si="210"/>
        <v>#REF!</v>
      </c>
      <c r="AH92" s="21"/>
      <c r="AI92" s="489">
        <f t="shared" si="211"/>
        <v>4139.51</v>
      </c>
      <c r="AJ92" s="489" t="e">
        <f t="shared" si="212"/>
        <v>#REF!</v>
      </c>
      <c r="AK92" s="489" t="e">
        <f>MAX(AK$89:AK$90)+IF($B$2="mil",1,0.0254)*DDR2Specs!$E$3</f>
        <v>#REF!</v>
      </c>
      <c r="AL92" s="489" t="e">
        <f>MIN(AK$89:AK$90)+IF($B$2="mil",1,0.0254)*DDR2Specs!$F$3</f>
        <v>#REF!</v>
      </c>
      <c r="AM92" s="21"/>
      <c r="AN92" s="598" t="e">
        <f t="shared" si="213"/>
        <v>#REF!</v>
      </c>
      <c r="AO92" s="495" t="e">
        <f t="shared" si="214"/>
        <v>#REF!</v>
      </c>
      <c r="AP92" s="21"/>
      <c r="AQ92" s="495" t="e">
        <f t="shared" si="215"/>
        <v>#REF!</v>
      </c>
      <c r="AR92" s="495" t="e">
        <f t="shared" si="216"/>
        <v>#REF!</v>
      </c>
      <c r="AS92" s="495" t="e">
        <f t="shared" si="217"/>
        <v>#REF!</v>
      </c>
      <c r="AT92" s="495" t="e">
        <f t="shared" ca="1" si="218"/>
        <v>#NAME?</v>
      </c>
      <c r="AU92" s="495" t="e">
        <f t="shared" si="219"/>
        <v>#REF!</v>
      </c>
      <c r="AV92" s="495" t="e">
        <f t="shared" si="220"/>
        <v>#REF!</v>
      </c>
      <c r="AW92" s="495" t="e">
        <f t="shared" si="221"/>
        <v>#REF!</v>
      </c>
      <c r="AX92" s="495" t="e">
        <f t="shared" si="222"/>
        <v>#REF!</v>
      </c>
      <c r="AY92" s="495" t="e">
        <f t="shared" si="223"/>
        <v>#REF!</v>
      </c>
      <c r="AZ92" s="493" t="e">
        <f t="shared" si="224"/>
        <v>#REF!</v>
      </c>
      <c r="BA92" s="495" t="e">
        <f t="shared" ca="1" si="225"/>
        <v>#NAME?</v>
      </c>
      <c r="BB92" s="495" t="e">
        <f t="shared" ca="1" si="226"/>
        <v>#NAME?</v>
      </c>
      <c r="BC92" s="495" t="e">
        <f t="shared" si="227"/>
        <v>#REF!</v>
      </c>
      <c r="BD92" s="495" t="e">
        <f t="shared" si="228"/>
        <v>#REF!</v>
      </c>
      <c r="BE92" s="495" t="e">
        <f t="shared" si="229"/>
        <v>#REF!</v>
      </c>
      <c r="BF92" s="495" t="e">
        <f t="shared" si="230"/>
        <v>#REF!</v>
      </c>
      <c r="BG92" s="21"/>
      <c r="BH92" s="554" t="e">
        <f t="shared" ca="1" si="231"/>
        <v>#REF!</v>
      </c>
      <c r="BI92" s="554"/>
      <c r="BJ92" s="554"/>
      <c r="BK92" s="3"/>
      <c r="BL92" s="3"/>
      <c r="BM92" s="3"/>
      <c r="BN92" s="3"/>
      <c r="BO92" s="3"/>
      <c r="BP92" s="3"/>
      <c r="BQ92" s="3"/>
      <c r="BR92" s="3"/>
      <c r="BS92" s="3"/>
      <c r="BT92" s="3"/>
      <c r="BU92" s="3"/>
      <c r="BV92" s="3"/>
      <c r="BW92" s="3"/>
      <c r="BX92" s="3"/>
    </row>
    <row r="93" spans="1:76">
      <c r="A93" s="633" t="s">
        <v>185</v>
      </c>
      <c r="B93" s="665" t="s">
        <v>503</v>
      </c>
      <c r="C93" s="658">
        <v>657.40157480314963</v>
      </c>
      <c r="D93" s="18"/>
      <c r="E93" s="621">
        <v>22.63</v>
      </c>
      <c r="F93" s="621">
        <v>0</v>
      </c>
      <c r="G93" s="622">
        <v>1955.96</v>
      </c>
      <c r="H93" s="622">
        <v>30</v>
      </c>
      <c r="I93" s="622">
        <v>810.43</v>
      </c>
      <c r="J93" s="622">
        <v>44.57</v>
      </c>
      <c r="K93" s="277">
        <v>40</v>
      </c>
      <c r="L93" s="622">
        <v>85.78</v>
      </c>
      <c r="M93" s="622">
        <v>1180.19</v>
      </c>
      <c r="N93" s="620">
        <v>0</v>
      </c>
      <c r="O93" s="620">
        <v>0</v>
      </c>
      <c r="P93" s="622">
        <v>24.24</v>
      </c>
      <c r="Q93" s="622">
        <v>24.27</v>
      </c>
      <c r="R93" s="69"/>
      <c r="S93" s="489">
        <f t="shared" si="203"/>
        <v>2008.5900000000001</v>
      </c>
      <c r="T93" s="489" t="e">
        <f t="shared" si="204"/>
        <v>#REF!</v>
      </c>
      <c r="U93" s="489" t="e">
        <f>MAX(U$89:U$90)+IF($B$2="mil",1,0.0254)*DDR2Specs!$B$3</f>
        <v>#REF!</v>
      </c>
      <c r="V93" s="489" t="e">
        <f>MIN(U$89:U$90)+IF($B$2="mil",1,0.0254)*DDR2Specs!$C$3</f>
        <v>#REF!</v>
      </c>
      <c r="W93" s="21"/>
      <c r="X93" s="598" t="e">
        <f t="shared" si="205"/>
        <v>#REF!</v>
      </c>
      <c r="Y93" s="495" t="e">
        <f t="shared" si="206"/>
        <v>#REF!</v>
      </c>
      <c r="Z93" s="21"/>
      <c r="AA93" s="489">
        <f t="shared" si="207"/>
        <v>4163.8</v>
      </c>
      <c r="AB93" s="489" t="e">
        <f t="shared" si="208"/>
        <v>#REF!</v>
      </c>
      <c r="AC93" s="489" t="e">
        <f>MAX(AC$89:AC$90)+IF($B$2="mil",1,0.0254)*DDR2Specs!$E$3</f>
        <v>#REF!</v>
      </c>
      <c r="AD93" s="489" t="e">
        <f>MIN(AC$89:AC$90)+IF($B$2="mil",1,0.0254)*DDR2Specs!$F$3</f>
        <v>#REF!</v>
      </c>
      <c r="AE93" s="21"/>
      <c r="AF93" s="598" t="e">
        <f t="shared" si="209"/>
        <v>#REF!</v>
      </c>
      <c r="AG93" s="495" t="e">
        <f t="shared" si="210"/>
        <v>#REF!</v>
      </c>
      <c r="AH93" s="21"/>
      <c r="AI93" s="489">
        <f t="shared" si="211"/>
        <v>4163.8300000000008</v>
      </c>
      <c r="AJ93" s="489" t="e">
        <f t="shared" si="212"/>
        <v>#REF!</v>
      </c>
      <c r="AK93" s="489" t="e">
        <f>MAX(AK$89:AK$90)+IF($B$2="mil",1,0.0254)*DDR2Specs!$E$3</f>
        <v>#REF!</v>
      </c>
      <c r="AL93" s="489" t="e">
        <f>MIN(AK$89:AK$90)+IF($B$2="mil",1,0.0254)*DDR2Specs!$F$3</f>
        <v>#REF!</v>
      </c>
      <c r="AM93" s="21"/>
      <c r="AN93" s="598" t="e">
        <f t="shared" si="213"/>
        <v>#REF!</v>
      </c>
      <c r="AO93" s="495" t="e">
        <f t="shared" si="214"/>
        <v>#REF!</v>
      </c>
      <c r="AP93" s="21"/>
      <c r="AQ93" s="495" t="e">
        <f t="shared" si="215"/>
        <v>#REF!</v>
      </c>
      <c r="AR93" s="495" t="e">
        <f t="shared" si="216"/>
        <v>#REF!</v>
      </c>
      <c r="AS93" s="495" t="e">
        <f t="shared" si="217"/>
        <v>#REF!</v>
      </c>
      <c r="AT93" s="495" t="e">
        <f t="shared" ca="1" si="218"/>
        <v>#NAME?</v>
      </c>
      <c r="AU93" s="495" t="e">
        <f t="shared" si="219"/>
        <v>#REF!</v>
      </c>
      <c r="AV93" s="495" t="e">
        <f t="shared" si="220"/>
        <v>#REF!</v>
      </c>
      <c r="AW93" s="495" t="e">
        <f t="shared" si="221"/>
        <v>#REF!</v>
      </c>
      <c r="AX93" s="495" t="e">
        <f t="shared" si="222"/>
        <v>#REF!</v>
      </c>
      <c r="AY93" s="495" t="e">
        <f t="shared" si="223"/>
        <v>#REF!</v>
      </c>
      <c r="AZ93" s="493" t="e">
        <f t="shared" si="224"/>
        <v>#REF!</v>
      </c>
      <c r="BA93" s="495" t="e">
        <f t="shared" ca="1" si="225"/>
        <v>#NAME?</v>
      </c>
      <c r="BB93" s="495" t="e">
        <f t="shared" ca="1" si="226"/>
        <v>#NAME?</v>
      </c>
      <c r="BC93" s="495" t="e">
        <f t="shared" si="227"/>
        <v>#REF!</v>
      </c>
      <c r="BD93" s="495" t="e">
        <f t="shared" si="228"/>
        <v>#REF!</v>
      </c>
      <c r="BE93" s="495" t="e">
        <f t="shared" si="229"/>
        <v>#REF!</v>
      </c>
      <c r="BF93" s="495" t="e">
        <f t="shared" si="230"/>
        <v>#REF!</v>
      </c>
      <c r="BG93" s="21"/>
      <c r="BH93" s="554" t="e">
        <f t="shared" ca="1" si="231"/>
        <v>#REF!</v>
      </c>
      <c r="BI93" s="554"/>
      <c r="BJ93" s="554"/>
      <c r="BK93" s="3"/>
      <c r="BL93" s="3"/>
      <c r="BM93" s="3"/>
      <c r="BN93" s="3"/>
      <c r="BO93" s="3"/>
      <c r="BP93" s="3"/>
      <c r="BQ93" s="3"/>
      <c r="BR93" s="3"/>
      <c r="BS93" s="3"/>
      <c r="BT93" s="3"/>
      <c r="BU93" s="3"/>
      <c r="BV93" s="3"/>
      <c r="BW93" s="3"/>
      <c r="BX93" s="3"/>
    </row>
    <row r="94" spans="1:76">
      <c r="A94" s="633" t="s">
        <v>186</v>
      </c>
      <c r="B94" s="665" t="s">
        <v>17</v>
      </c>
      <c r="C94" s="658">
        <v>678.70078740157487</v>
      </c>
      <c r="D94" s="18"/>
      <c r="E94" s="621">
        <v>22.63</v>
      </c>
      <c r="F94" s="621">
        <v>0</v>
      </c>
      <c r="G94" s="622">
        <v>1925.63</v>
      </c>
      <c r="H94" s="622">
        <v>45</v>
      </c>
      <c r="I94" s="622">
        <v>781.03</v>
      </c>
      <c r="J94" s="622">
        <v>85.78</v>
      </c>
      <c r="K94" s="277">
        <v>40</v>
      </c>
      <c r="L94" s="622">
        <v>44.57</v>
      </c>
      <c r="M94" s="622">
        <v>1217.74</v>
      </c>
      <c r="N94" s="620">
        <v>0</v>
      </c>
      <c r="O94" s="620">
        <v>0</v>
      </c>
      <c r="P94" s="622">
        <v>24.77</v>
      </c>
      <c r="Q94" s="622">
        <v>24.74</v>
      </c>
      <c r="R94" s="69"/>
      <c r="S94" s="489">
        <f t="shared" si="203"/>
        <v>1993.2600000000002</v>
      </c>
      <c r="T94" s="489" t="e">
        <f t="shared" si="204"/>
        <v>#REF!</v>
      </c>
      <c r="U94" s="489" t="e">
        <f>MAX(U$89:U$90)+IF($B$2="mil",1,0.0254)*DDR2Specs!$B$3</f>
        <v>#REF!</v>
      </c>
      <c r="V94" s="489" t="e">
        <f>MIN(U$89:U$90)+IF($B$2="mil",1,0.0254)*DDR2Specs!$C$3</f>
        <v>#REF!</v>
      </c>
      <c r="W94" s="21"/>
      <c r="X94" s="598" t="e">
        <f t="shared" si="205"/>
        <v>#REF!</v>
      </c>
      <c r="Y94" s="495" t="e">
        <f t="shared" si="206"/>
        <v>#REF!</v>
      </c>
      <c r="Z94" s="21"/>
      <c r="AA94" s="489">
        <f t="shared" si="207"/>
        <v>4142.1500000000005</v>
      </c>
      <c r="AB94" s="489" t="e">
        <f t="shared" si="208"/>
        <v>#REF!</v>
      </c>
      <c r="AC94" s="489" t="e">
        <f>MAX(AC$89:AC$90)+IF($B$2="mil",1,0.0254)*DDR2Specs!$E$3</f>
        <v>#REF!</v>
      </c>
      <c r="AD94" s="489" t="e">
        <f>MIN(AC$89:AC$90)+IF($B$2="mil",1,0.0254)*DDR2Specs!$F$3</f>
        <v>#REF!</v>
      </c>
      <c r="AE94" s="21"/>
      <c r="AF94" s="598" t="e">
        <f t="shared" si="209"/>
        <v>#REF!</v>
      </c>
      <c r="AG94" s="495" t="e">
        <f t="shared" si="210"/>
        <v>#REF!</v>
      </c>
      <c r="AH94" s="21"/>
      <c r="AI94" s="489">
        <f t="shared" si="211"/>
        <v>4142.12</v>
      </c>
      <c r="AJ94" s="489" t="e">
        <f t="shared" si="212"/>
        <v>#REF!</v>
      </c>
      <c r="AK94" s="489" t="e">
        <f>MAX(AK$89:AK$90)+IF($B$2="mil",1,0.0254)*DDR2Specs!$E$3</f>
        <v>#REF!</v>
      </c>
      <c r="AL94" s="489" t="e">
        <f>MIN(AK$89:AK$90)+IF($B$2="mil",1,0.0254)*DDR2Specs!$F$3</f>
        <v>#REF!</v>
      </c>
      <c r="AM94" s="21"/>
      <c r="AN94" s="598" t="e">
        <f t="shared" si="213"/>
        <v>#REF!</v>
      </c>
      <c r="AO94" s="495" t="e">
        <f t="shared" si="214"/>
        <v>#REF!</v>
      </c>
      <c r="AP94" s="21"/>
      <c r="AQ94" s="495" t="e">
        <f t="shared" si="215"/>
        <v>#REF!</v>
      </c>
      <c r="AR94" s="495" t="e">
        <f t="shared" si="216"/>
        <v>#REF!</v>
      </c>
      <c r="AS94" s="495" t="e">
        <f t="shared" si="217"/>
        <v>#REF!</v>
      </c>
      <c r="AT94" s="495" t="e">
        <f t="shared" ca="1" si="218"/>
        <v>#NAME?</v>
      </c>
      <c r="AU94" s="495" t="e">
        <f t="shared" si="219"/>
        <v>#REF!</v>
      </c>
      <c r="AV94" s="495" t="e">
        <f t="shared" si="220"/>
        <v>#REF!</v>
      </c>
      <c r="AW94" s="495" t="e">
        <f t="shared" si="221"/>
        <v>#REF!</v>
      </c>
      <c r="AX94" s="495" t="e">
        <f t="shared" si="222"/>
        <v>#REF!</v>
      </c>
      <c r="AY94" s="495" t="e">
        <f t="shared" si="223"/>
        <v>#REF!</v>
      </c>
      <c r="AZ94" s="493" t="e">
        <f t="shared" si="224"/>
        <v>#REF!</v>
      </c>
      <c r="BA94" s="495" t="e">
        <f t="shared" ca="1" si="225"/>
        <v>#NAME?</v>
      </c>
      <c r="BB94" s="495" t="e">
        <f t="shared" ca="1" si="226"/>
        <v>#NAME?</v>
      </c>
      <c r="BC94" s="495" t="e">
        <f t="shared" si="227"/>
        <v>#REF!</v>
      </c>
      <c r="BD94" s="495" t="e">
        <f t="shared" si="228"/>
        <v>#REF!</v>
      </c>
      <c r="BE94" s="495" t="e">
        <f t="shared" si="229"/>
        <v>#REF!</v>
      </c>
      <c r="BF94" s="495" t="e">
        <f t="shared" si="230"/>
        <v>#REF!</v>
      </c>
      <c r="BG94" s="21"/>
      <c r="BH94" s="554" t="e">
        <f t="shared" ca="1" si="231"/>
        <v>#REF!</v>
      </c>
      <c r="BI94" s="554"/>
      <c r="BJ94" s="554"/>
      <c r="BK94" s="3"/>
      <c r="BL94" s="3"/>
      <c r="BM94" s="3"/>
      <c r="BN94" s="3"/>
      <c r="BO94" s="3"/>
      <c r="BP94" s="3"/>
      <c r="BQ94" s="3"/>
      <c r="BR94" s="3"/>
      <c r="BS94" s="3"/>
      <c r="BT94" s="3"/>
      <c r="BU94" s="3"/>
      <c r="BV94" s="3"/>
      <c r="BW94" s="3"/>
      <c r="BX94" s="3"/>
    </row>
    <row r="95" spans="1:76">
      <c r="A95" s="633" t="s">
        <v>187</v>
      </c>
      <c r="B95" s="665" t="s">
        <v>504</v>
      </c>
      <c r="C95" s="658">
        <v>732.83464566929138</v>
      </c>
      <c r="D95" s="18"/>
      <c r="E95" s="621">
        <v>22.63</v>
      </c>
      <c r="F95" s="621">
        <v>0</v>
      </c>
      <c r="G95" s="622">
        <v>1870.63</v>
      </c>
      <c r="H95" s="622">
        <v>45</v>
      </c>
      <c r="I95" s="622">
        <v>800.24</v>
      </c>
      <c r="J95" s="622">
        <v>44.57</v>
      </c>
      <c r="K95" s="277">
        <v>40</v>
      </c>
      <c r="L95" s="622">
        <v>44.57</v>
      </c>
      <c r="M95" s="622">
        <v>1200.5</v>
      </c>
      <c r="N95" s="620">
        <v>0</v>
      </c>
      <c r="O95" s="620">
        <v>0</v>
      </c>
      <c r="P95" s="622">
        <v>64.319999999999993</v>
      </c>
      <c r="Q95" s="622">
        <v>64.349999999999994</v>
      </c>
      <c r="R95" s="69"/>
      <c r="S95" s="489">
        <f t="shared" si="203"/>
        <v>1938.2600000000002</v>
      </c>
      <c r="T95" s="489" t="e">
        <f t="shared" si="204"/>
        <v>#REF!</v>
      </c>
      <c r="U95" s="489" t="e">
        <f>MAX(U$89:U$90)+IF($B$2="mil",1,0.0254)*DDR2Specs!$B$3</f>
        <v>#REF!</v>
      </c>
      <c r="V95" s="489" t="e">
        <f>MIN(U$89:U$90)+IF($B$2="mil",1,0.0254)*DDR2Specs!$C$3</f>
        <v>#REF!</v>
      </c>
      <c r="W95" s="21"/>
      <c r="X95" s="598" t="e">
        <f t="shared" si="205"/>
        <v>#REF!</v>
      </c>
      <c r="Y95" s="495" t="e">
        <f t="shared" si="206"/>
        <v>#REF!</v>
      </c>
      <c r="Z95" s="21"/>
      <c r="AA95" s="489">
        <f t="shared" si="207"/>
        <v>4087.4600000000005</v>
      </c>
      <c r="AB95" s="489" t="e">
        <f t="shared" si="208"/>
        <v>#REF!</v>
      </c>
      <c r="AC95" s="489" t="e">
        <f>MAX(AC$89:AC$90)+IF($B$2="mil",1,0.0254)*DDR2Specs!$E$3</f>
        <v>#REF!</v>
      </c>
      <c r="AD95" s="489" t="e">
        <f>MIN(AC$89:AC$90)+IF($B$2="mil",1,0.0254)*DDR2Specs!$F$3</f>
        <v>#REF!</v>
      </c>
      <c r="AE95" s="21"/>
      <c r="AF95" s="598" t="e">
        <f t="shared" si="209"/>
        <v>#REF!</v>
      </c>
      <c r="AG95" s="495" t="e">
        <f t="shared" si="210"/>
        <v>#REF!</v>
      </c>
      <c r="AH95" s="21"/>
      <c r="AI95" s="489">
        <f t="shared" si="211"/>
        <v>4087.4900000000002</v>
      </c>
      <c r="AJ95" s="489" t="e">
        <f t="shared" si="212"/>
        <v>#REF!</v>
      </c>
      <c r="AK95" s="489" t="e">
        <f>MAX(AK$89:AK$90)+IF($B$2="mil",1,0.0254)*DDR2Specs!$E$3</f>
        <v>#REF!</v>
      </c>
      <c r="AL95" s="489" t="e">
        <f>MIN(AK$89:AK$90)+IF($B$2="mil",1,0.0254)*DDR2Specs!$F$3</f>
        <v>#REF!</v>
      </c>
      <c r="AM95" s="21"/>
      <c r="AN95" s="598" t="e">
        <f t="shared" si="213"/>
        <v>#REF!</v>
      </c>
      <c r="AO95" s="495" t="e">
        <f t="shared" si="214"/>
        <v>#REF!</v>
      </c>
      <c r="AP95" s="21"/>
      <c r="AQ95" s="495" t="e">
        <f t="shared" si="215"/>
        <v>#REF!</v>
      </c>
      <c r="AR95" s="495" t="e">
        <f t="shared" si="216"/>
        <v>#REF!</v>
      </c>
      <c r="AS95" s="495" t="e">
        <f t="shared" si="217"/>
        <v>#REF!</v>
      </c>
      <c r="AT95" s="495" t="e">
        <f t="shared" ca="1" si="218"/>
        <v>#NAME?</v>
      </c>
      <c r="AU95" s="495" t="e">
        <f t="shared" si="219"/>
        <v>#REF!</v>
      </c>
      <c r="AV95" s="495" t="e">
        <f t="shared" si="220"/>
        <v>#REF!</v>
      </c>
      <c r="AW95" s="495" t="e">
        <f t="shared" si="221"/>
        <v>#REF!</v>
      </c>
      <c r="AX95" s="495" t="e">
        <f t="shared" si="222"/>
        <v>#REF!</v>
      </c>
      <c r="AY95" s="495" t="e">
        <f t="shared" si="223"/>
        <v>#REF!</v>
      </c>
      <c r="AZ95" s="493" t="e">
        <f t="shared" si="224"/>
        <v>#REF!</v>
      </c>
      <c r="BA95" s="495" t="e">
        <f t="shared" ca="1" si="225"/>
        <v>#NAME?</v>
      </c>
      <c r="BB95" s="495" t="e">
        <f t="shared" ca="1" si="226"/>
        <v>#NAME?</v>
      </c>
      <c r="BC95" s="495" t="e">
        <f t="shared" si="227"/>
        <v>#REF!</v>
      </c>
      <c r="BD95" s="495" t="e">
        <f t="shared" si="228"/>
        <v>#REF!</v>
      </c>
      <c r="BE95" s="495" t="e">
        <f t="shared" si="229"/>
        <v>#REF!</v>
      </c>
      <c r="BF95" s="495" t="e">
        <f t="shared" si="230"/>
        <v>#REF!</v>
      </c>
      <c r="BG95" s="21"/>
      <c r="BH95" s="554" t="e">
        <f t="shared" ca="1" si="231"/>
        <v>#REF!</v>
      </c>
      <c r="BI95" s="554"/>
      <c r="BJ95" s="554"/>
      <c r="BK95" s="3"/>
      <c r="BL95" s="3"/>
      <c r="BM95" s="3"/>
      <c r="BN95" s="3"/>
      <c r="BO95" s="3"/>
      <c r="BP95" s="3"/>
      <c r="BQ95" s="3"/>
      <c r="BR95" s="3"/>
      <c r="BS95" s="3"/>
      <c r="BT95" s="3"/>
      <c r="BU95" s="3"/>
      <c r="BV95" s="3"/>
      <c r="BW95" s="3"/>
      <c r="BX95" s="3"/>
    </row>
    <row r="96" spans="1:76">
      <c r="A96" s="633" t="s">
        <v>188</v>
      </c>
      <c r="B96" s="665" t="s">
        <v>505</v>
      </c>
      <c r="C96" s="658">
        <v>573.50393700787401</v>
      </c>
      <c r="D96" s="18"/>
      <c r="E96" s="621">
        <v>22.63</v>
      </c>
      <c r="F96" s="621">
        <v>0</v>
      </c>
      <c r="G96" s="622">
        <v>2021.34</v>
      </c>
      <c r="H96" s="622">
        <v>50</v>
      </c>
      <c r="I96" s="622">
        <v>775.69</v>
      </c>
      <c r="J96" s="622">
        <v>85.78</v>
      </c>
      <c r="K96" s="277">
        <v>40</v>
      </c>
      <c r="L96" s="622">
        <v>85.78</v>
      </c>
      <c r="M96" s="622">
        <v>1151.04</v>
      </c>
      <c r="N96" s="620">
        <v>0</v>
      </c>
      <c r="O96" s="620">
        <v>0</v>
      </c>
      <c r="P96" s="622">
        <v>63.44</v>
      </c>
      <c r="Q96" s="622">
        <v>63.41</v>
      </c>
      <c r="R96" s="69"/>
      <c r="S96" s="489">
        <f t="shared" si="203"/>
        <v>2093.9700000000003</v>
      </c>
      <c r="T96" s="489" t="e">
        <f t="shared" si="204"/>
        <v>#REF!</v>
      </c>
      <c r="U96" s="489" t="e">
        <f>MAX(U$89:U$90)+IF($B$2="mil",1,0.0254)*DDR2Specs!$B$3</f>
        <v>#REF!</v>
      </c>
      <c r="V96" s="489" t="e">
        <f>MIN(U$89:U$90)+IF($B$2="mil",1,0.0254)*DDR2Specs!$C$3</f>
        <v>#REF!</v>
      </c>
      <c r="W96" s="21"/>
      <c r="X96" s="598" t="e">
        <f t="shared" si="205"/>
        <v>#REF!</v>
      </c>
      <c r="Y96" s="495" t="e">
        <f t="shared" si="206"/>
        <v>#REF!</v>
      </c>
      <c r="Z96" s="21"/>
      <c r="AA96" s="489">
        <f t="shared" si="207"/>
        <v>4245.7</v>
      </c>
      <c r="AB96" s="489" t="e">
        <f t="shared" si="208"/>
        <v>#REF!</v>
      </c>
      <c r="AC96" s="489" t="e">
        <f>MAX(AC$89:AC$90)+IF($B$2="mil",1,0.0254)*DDR2Specs!$E$3</f>
        <v>#REF!</v>
      </c>
      <c r="AD96" s="489" t="e">
        <f>MIN(AC$89:AC$90)+IF($B$2="mil",1,0.0254)*DDR2Specs!$F$3</f>
        <v>#REF!</v>
      </c>
      <c r="AE96" s="21"/>
      <c r="AF96" s="598" t="e">
        <f t="shared" si="209"/>
        <v>#REF!</v>
      </c>
      <c r="AG96" s="495" t="e">
        <f t="shared" si="210"/>
        <v>#REF!</v>
      </c>
      <c r="AH96" s="21"/>
      <c r="AI96" s="489">
        <f t="shared" si="211"/>
        <v>4245.67</v>
      </c>
      <c r="AJ96" s="489" t="e">
        <f t="shared" si="212"/>
        <v>#REF!</v>
      </c>
      <c r="AK96" s="489" t="e">
        <f>MAX(AK$89:AK$90)+IF($B$2="mil",1,0.0254)*DDR2Specs!$E$3</f>
        <v>#REF!</v>
      </c>
      <c r="AL96" s="489" t="e">
        <f>MIN(AK$89:AK$90)+IF($B$2="mil",1,0.0254)*DDR2Specs!$F$3</f>
        <v>#REF!</v>
      </c>
      <c r="AM96" s="21"/>
      <c r="AN96" s="598" t="e">
        <f t="shared" si="213"/>
        <v>#REF!</v>
      </c>
      <c r="AO96" s="495" t="e">
        <f t="shared" si="214"/>
        <v>#REF!</v>
      </c>
      <c r="AP96" s="21"/>
      <c r="AQ96" s="495" t="e">
        <f t="shared" si="215"/>
        <v>#REF!</v>
      </c>
      <c r="AR96" s="495" t="e">
        <f t="shared" si="216"/>
        <v>#REF!</v>
      </c>
      <c r="AS96" s="495" t="e">
        <f t="shared" si="217"/>
        <v>#REF!</v>
      </c>
      <c r="AT96" s="495" t="e">
        <f t="shared" ca="1" si="218"/>
        <v>#NAME?</v>
      </c>
      <c r="AU96" s="495" t="e">
        <f t="shared" si="219"/>
        <v>#REF!</v>
      </c>
      <c r="AV96" s="495" t="e">
        <f t="shared" si="220"/>
        <v>#REF!</v>
      </c>
      <c r="AW96" s="495" t="e">
        <f t="shared" si="221"/>
        <v>#REF!</v>
      </c>
      <c r="AX96" s="495" t="e">
        <f t="shared" si="222"/>
        <v>#REF!</v>
      </c>
      <c r="AY96" s="495" t="e">
        <f t="shared" si="223"/>
        <v>#REF!</v>
      </c>
      <c r="AZ96" s="493" t="e">
        <f t="shared" si="224"/>
        <v>#REF!</v>
      </c>
      <c r="BA96" s="495" t="e">
        <f t="shared" ca="1" si="225"/>
        <v>#NAME?</v>
      </c>
      <c r="BB96" s="495" t="e">
        <f t="shared" ca="1" si="226"/>
        <v>#NAME?</v>
      </c>
      <c r="BC96" s="495" t="e">
        <f t="shared" si="227"/>
        <v>#REF!</v>
      </c>
      <c r="BD96" s="495" t="e">
        <f t="shared" si="228"/>
        <v>#REF!</v>
      </c>
      <c r="BE96" s="495" t="e">
        <f t="shared" si="229"/>
        <v>#REF!</v>
      </c>
      <c r="BF96" s="495" t="e">
        <f t="shared" si="230"/>
        <v>#REF!</v>
      </c>
      <c r="BG96" s="21"/>
      <c r="BH96" s="554" t="e">
        <f t="shared" ca="1" si="231"/>
        <v>#REF!</v>
      </c>
      <c r="BI96" s="554"/>
      <c r="BJ96" s="554"/>
      <c r="BK96" s="3"/>
      <c r="BL96" s="3"/>
      <c r="BM96" s="3"/>
      <c r="BN96" s="3"/>
      <c r="BO96" s="3"/>
      <c r="BP96" s="3"/>
      <c r="BQ96" s="3"/>
      <c r="BR96" s="3"/>
      <c r="BS96" s="3"/>
      <c r="BT96" s="3"/>
      <c r="BU96" s="3"/>
      <c r="BV96" s="3"/>
      <c r="BW96" s="3"/>
      <c r="BX96" s="3"/>
    </row>
    <row r="97" spans="1:76">
      <c r="A97" s="633" t="s">
        <v>189</v>
      </c>
      <c r="B97" s="665" t="s">
        <v>342</v>
      </c>
      <c r="C97" s="658">
        <v>629.48818897637796</v>
      </c>
      <c r="D97" s="18"/>
      <c r="E97" s="621">
        <v>22.63</v>
      </c>
      <c r="F97" s="621">
        <v>0</v>
      </c>
      <c r="G97" s="622">
        <v>1980.95</v>
      </c>
      <c r="H97" s="622">
        <v>40</v>
      </c>
      <c r="I97" s="622">
        <v>802.08</v>
      </c>
      <c r="J97" s="622">
        <v>44.57</v>
      </c>
      <c r="K97" s="277">
        <v>40</v>
      </c>
      <c r="L97" s="622">
        <v>85.78</v>
      </c>
      <c r="M97" s="622">
        <v>1149.8900000000001</v>
      </c>
      <c r="N97" s="620">
        <v>0</v>
      </c>
      <c r="O97" s="620">
        <v>0</v>
      </c>
      <c r="P97" s="622">
        <v>64.260000000000005</v>
      </c>
      <c r="Q97" s="622">
        <v>64.290000000000006</v>
      </c>
      <c r="R97" s="69"/>
      <c r="S97" s="489">
        <f t="shared" si="203"/>
        <v>2043.5800000000002</v>
      </c>
      <c r="T97" s="489" t="e">
        <f t="shared" si="204"/>
        <v>#REF!</v>
      </c>
      <c r="U97" s="489" t="e">
        <f>MAX(U$89:U$90)+IF($B$2="mil",1,0.0254)*DDR2Specs!$B$3</f>
        <v>#REF!</v>
      </c>
      <c r="V97" s="489" t="e">
        <f>MIN(U$89:U$90)+IF($B$2="mil",1,0.0254)*DDR2Specs!$C$3</f>
        <v>#REF!</v>
      </c>
      <c r="W97" s="21"/>
      <c r="X97" s="598" t="e">
        <f t="shared" si="205"/>
        <v>#REF!</v>
      </c>
      <c r="Y97" s="495" t="e">
        <f t="shared" si="206"/>
        <v>#REF!</v>
      </c>
      <c r="Z97" s="21"/>
      <c r="AA97" s="489">
        <f t="shared" si="207"/>
        <v>4190.1600000000008</v>
      </c>
      <c r="AB97" s="489" t="e">
        <f t="shared" si="208"/>
        <v>#REF!</v>
      </c>
      <c r="AC97" s="489" t="e">
        <f>MAX(AC$89:AC$90)+IF($B$2="mil",1,0.0254)*DDR2Specs!$E$3</f>
        <v>#REF!</v>
      </c>
      <c r="AD97" s="489" t="e">
        <f>MIN(AC$89:AC$90)+IF($B$2="mil",1,0.0254)*DDR2Specs!$F$3</f>
        <v>#REF!</v>
      </c>
      <c r="AE97" s="21"/>
      <c r="AF97" s="598" t="e">
        <f t="shared" si="209"/>
        <v>#REF!</v>
      </c>
      <c r="AG97" s="495" t="e">
        <f t="shared" si="210"/>
        <v>#REF!</v>
      </c>
      <c r="AH97" s="21"/>
      <c r="AI97" s="489">
        <f t="shared" si="211"/>
        <v>4190.1900000000005</v>
      </c>
      <c r="AJ97" s="489" t="e">
        <f t="shared" si="212"/>
        <v>#REF!</v>
      </c>
      <c r="AK97" s="489" t="e">
        <f>MAX(AK$89:AK$90)+IF($B$2="mil",1,0.0254)*DDR2Specs!$E$3</f>
        <v>#REF!</v>
      </c>
      <c r="AL97" s="489" t="e">
        <f>MIN(AK$89:AK$90)+IF($B$2="mil",1,0.0254)*DDR2Specs!$F$3</f>
        <v>#REF!</v>
      </c>
      <c r="AM97" s="21"/>
      <c r="AN97" s="598" t="e">
        <f t="shared" si="213"/>
        <v>#REF!</v>
      </c>
      <c r="AO97" s="495" t="e">
        <f t="shared" si="214"/>
        <v>#REF!</v>
      </c>
      <c r="AP97" s="21"/>
      <c r="AQ97" s="495" t="e">
        <f t="shared" si="215"/>
        <v>#REF!</v>
      </c>
      <c r="AR97" s="495" t="e">
        <f t="shared" si="216"/>
        <v>#REF!</v>
      </c>
      <c r="AS97" s="495" t="e">
        <f t="shared" si="217"/>
        <v>#REF!</v>
      </c>
      <c r="AT97" s="495" t="e">
        <f t="shared" ca="1" si="218"/>
        <v>#NAME?</v>
      </c>
      <c r="AU97" s="495" t="e">
        <f t="shared" si="219"/>
        <v>#REF!</v>
      </c>
      <c r="AV97" s="495" t="e">
        <f t="shared" si="220"/>
        <v>#REF!</v>
      </c>
      <c r="AW97" s="495" t="e">
        <f t="shared" si="221"/>
        <v>#REF!</v>
      </c>
      <c r="AX97" s="495" t="e">
        <f t="shared" si="222"/>
        <v>#REF!</v>
      </c>
      <c r="AY97" s="495" t="e">
        <f t="shared" si="223"/>
        <v>#REF!</v>
      </c>
      <c r="AZ97" s="493" t="e">
        <f t="shared" si="224"/>
        <v>#REF!</v>
      </c>
      <c r="BA97" s="495" t="e">
        <f t="shared" ca="1" si="225"/>
        <v>#NAME?</v>
      </c>
      <c r="BB97" s="495" t="e">
        <f t="shared" ca="1" si="226"/>
        <v>#NAME?</v>
      </c>
      <c r="BC97" s="495" t="e">
        <f t="shared" si="227"/>
        <v>#REF!</v>
      </c>
      <c r="BD97" s="495" t="e">
        <f t="shared" si="228"/>
        <v>#REF!</v>
      </c>
      <c r="BE97" s="495" t="e">
        <f t="shared" si="229"/>
        <v>#REF!</v>
      </c>
      <c r="BF97" s="495" t="e">
        <f t="shared" si="230"/>
        <v>#REF!</v>
      </c>
      <c r="BG97" s="21"/>
      <c r="BH97" s="554" t="e">
        <f t="shared" ca="1" si="231"/>
        <v>#REF!</v>
      </c>
      <c r="BI97" s="554"/>
      <c r="BJ97" s="554"/>
      <c r="BK97" s="3"/>
      <c r="BL97" s="3"/>
      <c r="BM97" s="3"/>
      <c r="BN97" s="3"/>
      <c r="BO97" s="3"/>
      <c r="BP97" s="3"/>
      <c r="BQ97" s="3"/>
      <c r="BR97" s="3"/>
      <c r="BS97" s="3"/>
      <c r="BT97" s="3"/>
      <c r="BU97" s="3"/>
      <c r="BV97" s="3"/>
      <c r="BW97" s="3"/>
      <c r="BX97" s="3"/>
    </row>
    <row r="98" spans="1:76">
      <c r="A98" s="633" t="s">
        <v>190</v>
      </c>
      <c r="B98" s="665" t="s">
        <v>506</v>
      </c>
      <c r="C98" s="658">
        <v>637.44094488188978</v>
      </c>
      <c r="D98" s="18"/>
      <c r="E98" s="621">
        <v>22.63</v>
      </c>
      <c r="F98" s="621">
        <v>0</v>
      </c>
      <c r="G98" s="622">
        <v>1956.29</v>
      </c>
      <c r="H98" s="622">
        <v>50</v>
      </c>
      <c r="I98" s="622">
        <v>770.3</v>
      </c>
      <c r="J98" s="622">
        <v>85.78</v>
      </c>
      <c r="K98" s="277">
        <v>40</v>
      </c>
      <c r="L98" s="622">
        <v>44.57</v>
      </c>
      <c r="M98" s="622">
        <v>1201.22</v>
      </c>
      <c r="N98" s="620">
        <v>0</v>
      </c>
      <c r="O98" s="620">
        <v>0</v>
      </c>
      <c r="P98" s="622">
        <v>63.22</v>
      </c>
      <c r="Q98" s="622">
        <v>63.2</v>
      </c>
      <c r="R98" s="69"/>
      <c r="S98" s="489">
        <f t="shared" si="203"/>
        <v>2028.92</v>
      </c>
      <c r="T98" s="489" t="e">
        <f t="shared" si="204"/>
        <v>#REF!</v>
      </c>
      <c r="U98" s="489" t="e">
        <f>MAX(U$89:U$90)+IF($B$2="mil",1,0.0254)*DDR2Specs!$B$3</f>
        <v>#REF!</v>
      </c>
      <c r="V98" s="489" t="e">
        <f>MIN(U$89:U$90)+IF($B$2="mil",1,0.0254)*DDR2Specs!$C$3</f>
        <v>#REF!</v>
      </c>
      <c r="W98" s="21"/>
      <c r="X98" s="598" t="e">
        <f t="shared" si="205"/>
        <v>#REF!</v>
      </c>
      <c r="Y98" s="495" t="e">
        <f t="shared" si="206"/>
        <v>#REF!</v>
      </c>
      <c r="Z98" s="21"/>
      <c r="AA98" s="489">
        <f t="shared" si="207"/>
        <v>4184.0100000000011</v>
      </c>
      <c r="AB98" s="489" t="e">
        <f t="shared" si="208"/>
        <v>#REF!</v>
      </c>
      <c r="AC98" s="489" t="e">
        <f>MAX(AC$89:AC$90)+IF($B$2="mil",1,0.0254)*DDR2Specs!$E$3</f>
        <v>#REF!</v>
      </c>
      <c r="AD98" s="489" t="e">
        <f>MIN(AC$89:AC$90)+IF($B$2="mil",1,0.0254)*DDR2Specs!$F$3</f>
        <v>#REF!</v>
      </c>
      <c r="AE98" s="21"/>
      <c r="AF98" s="598" t="e">
        <f t="shared" si="209"/>
        <v>#REF!</v>
      </c>
      <c r="AG98" s="495" t="e">
        <f t="shared" si="210"/>
        <v>#REF!</v>
      </c>
      <c r="AH98" s="21"/>
      <c r="AI98" s="489">
        <f t="shared" si="211"/>
        <v>4183.9900000000007</v>
      </c>
      <c r="AJ98" s="489" t="e">
        <f t="shared" si="212"/>
        <v>#REF!</v>
      </c>
      <c r="AK98" s="489" t="e">
        <f>MAX(AK$89:AK$90)+IF($B$2="mil",1,0.0254)*DDR2Specs!$E$3</f>
        <v>#REF!</v>
      </c>
      <c r="AL98" s="489" t="e">
        <f>MIN(AK$89:AK$90)+IF($B$2="mil",1,0.0254)*DDR2Specs!$F$3</f>
        <v>#REF!</v>
      </c>
      <c r="AM98" s="21"/>
      <c r="AN98" s="598" t="e">
        <f t="shared" si="213"/>
        <v>#REF!</v>
      </c>
      <c r="AO98" s="495" t="e">
        <f t="shared" si="214"/>
        <v>#REF!</v>
      </c>
      <c r="AP98" s="21"/>
      <c r="AQ98" s="495" t="e">
        <f t="shared" si="215"/>
        <v>#REF!</v>
      </c>
      <c r="AR98" s="495" t="e">
        <f t="shared" si="216"/>
        <v>#REF!</v>
      </c>
      <c r="AS98" s="495" t="e">
        <f t="shared" si="217"/>
        <v>#REF!</v>
      </c>
      <c r="AT98" s="495" t="e">
        <f t="shared" ca="1" si="218"/>
        <v>#NAME?</v>
      </c>
      <c r="AU98" s="495" t="e">
        <f t="shared" si="219"/>
        <v>#REF!</v>
      </c>
      <c r="AV98" s="495" t="e">
        <f t="shared" si="220"/>
        <v>#REF!</v>
      </c>
      <c r="AW98" s="495" t="e">
        <f t="shared" si="221"/>
        <v>#REF!</v>
      </c>
      <c r="AX98" s="495" t="e">
        <f t="shared" si="222"/>
        <v>#REF!</v>
      </c>
      <c r="AY98" s="495" t="e">
        <f t="shared" si="223"/>
        <v>#REF!</v>
      </c>
      <c r="AZ98" s="493" t="e">
        <f t="shared" si="224"/>
        <v>#REF!</v>
      </c>
      <c r="BA98" s="495" t="e">
        <f t="shared" ca="1" si="225"/>
        <v>#NAME?</v>
      </c>
      <c r="BB98" s="495" t="e">
        <f t="shared" ca="1" si="226"/>
        <v>#NAME?</v>
      </c>
      <c r="BC98" s="495" t="e">
        <f t="shared" si="227"/>
        <v>#REF!</v>
      </c>
      <c r="BD98" s="495" t="e">
        <f t="shared" si="228"/>
        <v>#REF!</v>
      </c>
      <c r="BE98" s="495" t="e">
        <f t="shared" si="229"/>
        <v>#REF!</v>
      </c>
      <c r="BF98" s="495" t="e">
        <f t="shared" si="230"/>
        <v>#REF!</v>
      </c>
      <c r="BG98" s="21"/>
      <c r="BH98" s="554" t="e">
        <f t="shared" ca="1" si="231"/>
        <v>#REF!</v>
      </c>
      <c r="BI98" s="554"/>
      <c r="BJ98" s="554"/>
      <c r="BK98" s="3"/>
      <c r="BL98" s="3"/>
      <c r="BM98" s="3"/>
      <c r="BN98" s="3"/>
      <c r="BO98" s="3"/>
      <c r="BP98" s="3"/>
      <c r="BQ98" s="3"/>
      <c r="BR98" s="3"/>
      <c r="BS98" s="3"/>
      <c r="BT98" s="3"/>
      <c r="BU98" s="3"/>
      <c r="BV98" s="3"/>
      <c r="BW98" s="3"/>
      <c r="BX98" s="3"/>
    </row>
    <row r="99" spans="1:76">
      <c r="A99" s="666" t="s">
        <v>191</v>
      </c>
      <c r="B99" s="667" t="s">
        <v>115</v>
      </c>
      <c r="C99" s="658">
        <v>711.69291338582684</v>
      </c>
      <c r="D99" s="18"/>
      <c r="E99" s="621">
        <v>22.63</v>
      </c>
      <c r="F99" s="621">
        <v>0</v>
      </c>
      <c r="G99" s="622">
        <v>1930.8</v>
      </c>
      <c r="H99" s="622">
        <v>8</v>
      </c>
      <c r="I99" s="622">
        <v>760.87</v>
      </c>
      <c r="J99" s="622">
        <v>85.78</v>
      </c>
      <c r="K99" s="277">
        <v>40</v>
      </c>
      <c r="L99" s="622">
        <v>85.78</v>
      </c>
      <c r="M99" s="622">
        <v>1105.3</v>
      </c>
      <c r="N99" s="620">
        <v>0</v>
      </c>
      <c r="O99" s="620">
        <v>0</v>
      </c>
      <c r="P99" s="622">
        <v>75.430000000000007</v>
      </c>
      <c r="Q99" s="622">
        <v>76.930000000000007</v>
      </c>
      <c r="R99" s="69"/>
      <c r="S99" s="489">
        <f t="shared" si="203"/>
        <v>1961.43</v>
      </c>
      <c r="T99" s="489" t="e">
        <f t="shared" si="204"/>
        <v>#REF!</v>
      </c>
      <c r="U99" s="489" t="e">
        <f>MAX(U$89:U$90)+IF($B$2="mil",1,0.0254)*DDR2Specs!$B$3</f>
        <v>#REF!</v>
      </c>
      <c r="V99" s="489" t="e">
        <f>MIN(U$89:U$90)+IF($B$2="mil",1,0.0254)*DDR2Specs!$C$3</f>
        <v>#REF!</v>
      </c>
      <c r="W99" s="21"/>
      <c r="X99" s="598" t="e">
        <f t="shared" si="205"/>
        <v>#REF!</v>
      </c>
      <c r="Y99" s="495" t="e">
        <f t="shared" si="206"/>
        <v>#REF!</v>
      </c>
      <c r="Z99" s="21"/>
      <c r="AA99" s="489">
        <f t="shared" si="207"/>
        <v>4106.5900000000011</v>
      </c>
      <c r="AB99" s="489" t="e">
        <f t="shared" si="208"/>
        <v>#REF!</v>
      </c>
      <c r="AC99" s="489" t="e">
        <f>MAX(AC$89:AC$90)+IF($B$2="mil",1,0.0254)*DDR2Specs!$E$3</f>
        <v>#REF!</v>
      </c>
      <c r="AD99" s="489" t="e">
        <f>MIN(AC$89:AC$90)+IF($B$2="mil",1,0.0254)*DDR2Specs!$F$3</f>
        <v>#REF!</v>
      </c>
      <c r="AE99" s="21"/>
      <c r="AF99" s="598" t="e">
        <f t="shared" si="209"/>
        <v>#REF!</v>
      </c>
      <c r="AG99" s="495" t="e">
        <f t="shared" si="210"/>
        <v>#REF!</v>
      </c>
      <c r="AH99" s="21"/>
      <c r="AI99" s="489">
        <f t="shared" si="211"/>
        <v>4108.0900000000011</v>
      </c>
      <c r="AJ99" s="489" t="e">
        <f t="shared" si="212"/>
        <v>#REF!</v>
      </c>
      <c r="AK99" s="489" t="e">
        <f>MAX(AK$89:AK$90)+IF($B$2="mil",1,0.0254)*DDR2Specs!$E$3</f>
        <v>#REF!</v>
      </c>
      <c r="AL99" s="489" t="e">
        <f>MIN(AK$89:AK$90)+IF($B$2="mil",1,0.0254)*DDR2Specs!$F$3</f>
        <v>#REF!</v>
      </c>
      <c r="AM99" s="21"/>
      <c r="AN99" s="598" t="e">
        <f t="shared" si="213"/>
        <v>#REF!</v>
      </c>
      <c r="AO99" s="495" t="e">
        <f t="shared" si="214"/>
        <v>#REF!</v>
      </c>
      <c r="AP99" s="21"/>
      <c r="AQ99" s="495" t="e">
        <f t="shared" si="215"/>
        <v>#REF!</v>
      </c>
      <c r="AR99" s="495" t="e">
        <f t="shared" si="216"/>
        <v>#REF!</v>
      </c>
      <c r="AS99" s="495" t="e">
        <f t="shared" si="217"/>
        <v>#REF!</v>
      </c>
      <c r="AT99" s="495" t="e">
        <f t="shared" ca="1" si="218"/>
        <v>#NAME?</v>
      </c>
      <c r="AU99" s="495" t="e">
        <f t="shared" si="219"/>
        <v>#REF!</v>
      </c>
      <c r="AV99" s="495" t="e">
        <f t="shared" si="220"/>
        <v>#REF!</v>
      </c>
      <c r="AW99" s="495" t="e">
        <f t="shared" si="221"/>
        <v>#REF!</v>
      </c>
      <c r="AX99" s="495" t="e">
        <f t="shared" si="222"/>
        <v>#REF!</v>
      </c>
      <c r="AY99" s="495" t="e">
        <f t="shared" si="223"/>
        <v>#REF!</v>
      </c>
      <c r="AZ99" s="493" t="e">
        <f t="shared" si="224"/>
        <v>#REF!</v>
      </c>
      <c r="BA99" s="495" t="e">
        <f t="shared" ca="1" si="225"/>
        <v>#NAME?</v>
      </c>
      <c r="BB99" s="495" t="e">
        <f t="shared" ca="1" si="226"/>
        <v>#NAME?</v>
      </c>
      <c r="BC99" s="495" t="e">
        <f t="shared" si="227"/>
        <v>#REF!</v>
      </c>
      <c r="BD99" s="495" t="e">
        <f t="shared" si="228"/>
        <v>#REF!</v>
      </c>
      <c r="BE99" s="495" t="e">
        <f t="shared" si="229"/>
        <v>#REF!</v>
      </c>
      <c r="BF99" s="495" t="e">
        <f t="shared" si="230"/>
        <v>#REF!</v>
      </c>
      <c r="BG99" s="21"/>
      <c r="BH99" s="554" t="e">
        <f t="shared" ca="1" si="231"/>
        <v>#REF!</v>
      </c>
      <c r="BI99" s="554"/>
      <c r="BJ99" s="554"/>
      <c r="BK99" s="3"/>
      <c r="BL99" s="3"/>
      <c r="BM99" s="3"/>
      <c r="BN99" s="3"/>
      <c r="BO99" s="3"/>
      <c r="BP99" s="3"/>
      <c r="BQ99" s="3"/>
      <c r="BR99" s="3"/>
      <c r="BS99" s="3"/>
      <c r="BT99" s="3"/>
      <c r="BU99" s="3"/>
      <c r="BV99" s="3"/>
      <c r="BW99" s="3"/>
      <c r="BX99" s="3"/>
    </row>
    <row r="100" spans="1:76" ht="12.75" customHeight="1">
      <c r="A100" s="114"/>
      <c r="B100" s="487"/>
      <c r="C100" s="487"/>
      <c r="D100" s="84"/>
      <c r="E100" s="85"/>
      <c r="F100" s="85"/>
      <c r="G100" s="85"/>
      <c r="H100" s="85"/>
      <c r="I100" s="85"/>
      <c r="J100" s="85"/>
      <c r="K100" s="85"/>
      <c r="L100" s="85"/>
      <c r="M100" s="85"/>
      <c r="N100" s="85"/>
      <c r="O100" s="85"/>
      <c r="P100" s="85"/>
      <c r="Q100" s="85"/>
      <c r="R100" s="85"/>
      <c r="S100" s="611"/>
      <c r="T100" s="611"/>
      <c r="U100" s="611"/>
      <c r="V100" s="611"/>
      <c r="W100" s="611"/>
      <c r="X100" s="613"/>
      <c r="Y100" s="614"/>
      <c r="Z100" s="611"/>
      <c r="AA100" s="611"/>
      <c r="AB100" s="611"/>
      <c r="AC100" s="611"/>
      <c r="AD100" s="611"/>
      <c r="AE100" s="611"/>
      <c r="AF100" s="613"/>
      <c r="AG100" s="614"/>
      <c r="AH100" s="611"/>
      <c r="AI100" s="611"/>
      <c r="AJ100" s="611"/>
      <c r="AK100" s="611"/>
      <c r="AL100" s="611"/>
      <c r="AM100" s="611"/>
      <c r="AN100" s="613"/>
      <c r="AO100" s="614"/>
      <c r="AP100" s="611"/>
      <c r="AQ100" s="614"/>
      <c r="AR100" s="615"/>
      <c r="AS100" s="616"/>
      <c r="AT100" s="616"/>
      <c r="AU100" s="616"/>
      <c r="AV100" s="616"/>
      <c r="AW100" s="616"/>
      <c r="AX100" s="616"/>
      <c r="AY100" s="616"/>
      <c r="AZ100" s="616"/>
      <c r="BA100" s="616"/>
      <c r="BB100" s="616"/>
      <c r="BC100" s="616"/>
      <c r="BD100" s="616"/>
      <c r="BE100" s="616"/>
      <c r="BF100" s="616"/>
      <c r="BG100" s="21"/>
      <c r="BH100" s="554"/>
      <c r="BI100" s="554"/>
      <c r="BJ100" s="554"/>
      <c r="BK100" s="3"/>
      <c r="BL100" s="3"/>
      <c r="BM100" s="3"/>
      <c r="BN100" s="3"/>
      <c r="BO100" s="3"/>
      <c r="BP100" s="3"/>
      <c r="BQ100" s="3"/>
      <c r="BR100" s="3"/>
      <c r="BS100" s="3"/>
      <c r="BT100" s="3"/>
      <c r="BU100" s="3"/>
      <c r="BV100" s="3"/>
      <c r="BW100" s="3"/>
      <c r="BX100" s="3"/>
    </row>
    <row r="101" spans="1:76" ht="25.5">
      <c r="A101" s="48" t="s">
        <v>9</v>
      </c>
      <c r="B101" s="28"/>
      <c r="C101" s="24"/>
      <c r="D101" s="26"/>
      <c r="E101" s="24"/>
      <c r="F101" s="24"/>
      <c r="G101" s="26"/>
      <c r="H101" s="26"/>
      <c r="I101" s="26"/>
      <c r="J101" s="26"/>
      <c r="K101" s="26"/>
      <c r="L101" s="26"/>
      <c r="M101" s="26"/>
      <c r="N101" s="26"/>
      <c r="O101" s="26"/>
      <c r="P101" s="26"/>
      <c r="Q101" s="26"/>
      <c r="S101" s="26"/>
      <c r="T101" s="25"/>
      <c r="U101" s="24"/>
      <c r="V101" s="24"/>
      <c r="W101" s="24"/>
      <c r="X101" s="26"/>
      <c r="Y101" s="26"/>
      <c r="Z101" s="24"/>
      <c r="AA101" s="26"/>
      <c r="AB101" s="25"/>
      <c r="AC101" s="24"/>
      <c r="AD101" s="24"/>
      <c r="AE101" s="24"/>
      <c r="AF101" s="26"/>
      <c r="AG101" s="26"/>
      <c r="AH101" s="24"/>
      <c r="AI101" s="26"/>
      <c r="AJ101" s="25"/>
      <c r="AK101" s="24"/>
      <c r="AL101" s="24"/>
      <c r="AM101" s="24"/>
      <c r="AN101" s="26"/>
      <c r="AO101" s="26"/>
      <c r="AP101" s="24"/>
      <c r="AQ101" s="24"/>
      <c r="AR101" s="24"/>
      <c r="AS101" s="28"/>
      <c r="AT101" s="28"/>
      <c r="AU101" s="28"/>
      <c r="AV101" s="28"/>
      <c r="AW101" s="28"/>
      <c r="AX101" s="28"/>
      <c r="AY101" s="28"/>
      <c r="AZ101" s="28"/>
      <c r="BA101" s="28"/>
      <c r="BB101" s="28"/>
      <c r="BC101" s="28"/>
      <c r="BD101" s="28"/>
      <c r="BE101" s="28"/>
      <c r="BF101" s="28"/>
      <c r="BG101" s="28"/>
      <c r="BH101" s="28"/>
      <c r="BI101" s="28"/>
      <c r="BJ101" s="24"/>
      <c r="BK101" s="28"/>
      <c r="BL101" s="28"/>
      <c r="BM101" s="28"/>
      <c r="BN101" s="28"/>
      <c r="BO101" s="28"/>
      <c r="BP101" s="28"/>
      <c r="BQ101" s="24"/>
      <c r="BR101" s="28"/>
      <c r="BS101" s="28"/>
      <c r="BT101" s="28"/>
      <c r="BU101" s="24"/>
      <c r="BV101" s="28"/>
      <c r="BW101" s="28"/>
      <c r="BX101" s="28"/>
    </row>
    <row r="102" spans="1:76">
      <c r="A102" s="24"/>
      <c r="B102" s="28"/>
      <c r="C102" s="25"/>
      <c r="D102" s="26"/>
      <c r="E102" s="24"/>
      <c r="F102" s="24"/>
      <c r="G102" s="26"/>
      <c r="H102" s="26"/>
      <c r="I102" s="26"/>
      <c r="J102" s="26"/>
      <c r="K102" s="26"/>
      <c r="L102" s="26"/>
      <c r="M102" s="26"/>
      <c r="N102" s="26"/>
      <c r="O102" s="26"/>
      <c r="P102" s="26"/>
      <c r="Q102" s="26"/>
      <c r="S102" s="26"/>
      <c r="T102" s="25"/>
      <c r="U102" s="24"/>
      <c r="V102" s="24"/>
      <c r="W102" s="24"/>
      <c r="X102" s="26"/>
      <c r="Y102" s="26"/>
      <c r="Z102" s="24"/>
      <c r="AA102" s="26"/>
      <c r="AB102" s="25"/>
      <c r="AC102" s="24"/>
      <c r="AD102" s="24"/>
      <c r="AE102" s="24"/>
      <c r="AF102" s="26"/>
      <c r="AG102" s="26"/>
      <c r="AH102" s="24"/>
      <c r="AI102" s="577"/>
      <c r="AJ102" s="577"/>
      <c r="AK102" s="24"/>
      <c r="AL102" s="24"/>
      <c r="AM102" s="24"/>
      <c r="AN102" s="26"/>
      <c r="AO102" s="26"/>
      <c r="AP102" s="24"/>
      <c r="AQ102" s="24"/>
      <c r="AR102" s="24"/>
      <c r="AS102" s="28"/>
      <c r="AT102" s="28"/>
      <c r="AU102" s="28"/>
      <c r="AV102" s="28"/>
      <c r="AW102" s="28"/>
      <c r="AX102" s="28"/>
      <c r="AY102" s="28"/>
      <c r="AZ102" s="28"/>
      <c r="BA102" s="28"/>
      <c r="BB102" s="28"/>
      <c r="BC102" s="28"/>
      <c r="BD102" s="28"/>
      <c r="BE102" s="28"/>
      <c r="BF102" s="28"/>
      <c r="BG102" s="28"/>
      <c r="BH102" s="28"/>
      <c r="BI102" s="28"/>
      <c r="BJ102" s="24"/>
      <c r="BK102" s="28"/>
      <c r="BL102" s="28"/>
      <c r="BM102" s="28"/>
      <c r="BN102" s="28"/>
      <c r="BO102" s="28"/>
      <c r="BP102" s="28"/>
      <c r="BQ102" s="24"/>
      <c r="BR102" s="28"/>
      <c r="BS102" s="28"/>
      <c r="BT102" s="28"/>
      <c r="BU102" s="24"/>
      <c r="BV102" s="28"/>
      <c r="BW102" s="28"/>
      <c r="BX102" s="28"/>
    </row>
    <row r="103" spans="1:76">
      <c r="A103" s="24"/>
      <c r="B103" s="28"/>
      <c r="C103" s="25"/>
      <c r="D103" s="26"/>
      <c r="E103" s="24"/>
      <c r="F103" s="24"/>
      <c r="G103" s="26"/>
      <c r="H103" s="26"/>
      <c r="I103" s="26"/>
      <c r="J103" s="26"/>
      <c r="K103" s="26"/>
      <c r="L103" s="26"/>
      <c r="M103" s="26"/>
      <c r="N103" s="26"/>
      <c r="O103" s="26"/>
      <c r="P103" s="26"/>
      <c r="Q103" s="26"/>
      <c r="S103" s="26"/>
      <c r="T103" s="577"/>
      <c r="U103" s="24"/>
      <c r="V103" s="24"/>
      <c r="W103" s="24"/>
      <c r="X103" s="26"/>
      <c r="Y103" s="26"/>
      <c r="Z103" s="24"/>
      <c r="AA103" s="577"/>
      <c r="AB103" s="577"/>
      <c r="AC103" s="24"/>
      <c r="AD103" s="24"/>
      <c r="AE103" s="24"/>
      <c r="AF103" s="26"/>
      <c r="AG103" s="26"/>
      <c r="AH103" s="24"/>
      <c r="AI103" s="577"/>
      <c r="AJ103" s="577"/>
      <c r="AK103" s="24"/>
      <c r="AL103" s="24"/>
      <c r="AM103" s="24"/>
      <c r="AN103" s="26"/>
      <c r="AO103" s="26"/>
      <c r="AP103" s="24"/>
      <c r="AQ103" s="24"/>
      <c r="AR103" s="24"/>
      <c r="AS103" s="28"/>
      <c r="AT103" s="28"/>
      <c r="AU103" s="28"/>
      <c r="AV103" s="28"/>
      <c r="AW103" s="28"/>
      <c r="AX103" s="28"/>
      <c r="AY103" s="28"/>
      <c r="AZ103" s="28"/>
      <c r="BA103" s="28"/>
      <c r="BB103" s="28"/>
      <c r="BC103" s="28"/>
      <c r="BD103" s="28"/>
      <c r="BE103" s="28"/>
      <c r="BF103" s="28"/>
      <c r="BG103" s="28"/>
      <c r="BH103" s="28"/>
      <c r="BI103" s="28"/>
      <c r="BJ103" s="24"/>
      <c r="BK103" s="28"/>
      <c r="BL103" s="28"/>
      <c r="BM103" s="28"/>
      <c r="BN103" s="28"/>
      <c r="BO103" s="28"/>
      <c r="BP103" s="28"/>
      <c r="BQ103" s="24"/>
      <c r="BR103" s="28"/>
      <c r="BS103" s="28"/>
      <c r="BT103" s="28"/>
      <c r="BU103" s="24"/>
      <c r="BV103" s="28"/>
      <c r="BW103" s="28"/>
      <c r="BX103" s="28"/>
    </row>
    <row r="104" spans="1:76">
      <c r="A104" s="24"/>
      <c r="B104" s="28"/>
      <c r="C104" s="25"/>
      <c r="D104" s="26"/>
      <c r="E104" s="24"/>
      <c r="F104" s="24"/>
      <c r="G104" s="26"/>
      <c r="H104" s="26"/>
      <c r="I104" s="26"/>
      <c r="J104" s="26"/>
      <c r="K104" s="26"/>
      <c r="L104" s="26"/>
      <c r="M104" s="26"/>
      <c r="N104" s="26"/>
      <c r="O104" s="26"/>
      <c r="P104" s="26"/>
      <c r="Q104" s="26"/>
      <c r="S104" s="26"/>
      <c r="T104" s="577"/>
      <c r="U104" s="24"/>
      <c r="V104" s="24"/>
      <c r="W104" s="24"/>
      <c r="X104" s="26"/>
      <c r="Y104" s="26"/>
      <c r="Z104" s="24"/>
      <c r="AA104" s="577"/>
      <c r="AB104" s="577"/>
      <c r="AC104" s="24"/>
      <c r="AD104" s="24"/>
      <c r="AE104" s="24"/>
      <c r="AF104" s="26"/>
      <c r="AG104" s="26"/>
      <c r="AH104" s="24"/>
      <c r="AI104" s="577"/>
      <c r="AJ104" s="577"/>
      <c r="AK104" s="24"/>
      <c r="AL104" s="24"/>
      <c r="AM104" s="24"/>
      <c r="AN104" s="26"/>
      <c r="AO104" s="26"/>
      <c r="AP104" s="24"/>
      <c r="AQ104" s="24"/>
      <c r="AR104" s="24"/>
      <c r="AS104" s="28"/>
      <c r="AT104" s="28"/>
      <c r="AU104" s="28"/>
      <c r="AV104" s="28"/>
      <c r="AW104" s="28"/>
      <c r="AX104" s="28"/>
      <c r="AY104" s="28"/>
      <c r="AZ104" s="28"/>
      <c r="BA104" s="28"/>
      <c r="BB104" s="28"/>
      <c r="BC104" s="28"/>
      <c r="BD104" s="28"/>
      <c r="BE104" s="28"/>
      <c r="BF104" s="28"/>
      <c r="BG104" s="28"/>
      <c r="BH104" s="28"/>
      <c r="BI104" s="28"/>
      <c r="BJ104" s="24"/>
      <c r="BK104" s="28"/>
      <c r="BL104" s="28"/>
      <c r="BM104" s="28"/>
      <c r="BN104" s="28"/>
      <c r="BO104" s="28"/>
      <c r="BP104" s="28"/>
      <c r="BQ104" s="24"/>
      <c r="BR104" s="28"/>
      <c r="BS104" s="28"/>
      <c r="BT104" s="28"/>
      <c r="BU104" s="24"/>
      <c r="BV104" s="28"/>
      <c r="BW104" s="28"/>
      <c r="BX104" s="28"/>
    </row>
    <row r="105" spans="1:76">
      <c r="A105" s="24"/>
      <c r="B105" s="28"/>
      <c r="C105" s="25"/>
      <c r="D105" s="26"/>
      <c r="E105" s="24"/>
      <c r="F105" s="24"/>
      <c r="G105" s="26"/>
      <c r="H105" s="26"/>
      <c r="I105" s="26"/>
      <c r="J105" s="26"/>
      <c r="K105" s="26"/>
      <c r="L105" s="26"/>
      <c r="M105" s="26"/>
      <c r="N105" s="26"/>
      <c r="O105" s="26"/>
      <c r="P105" s="26"/>
      <c r="Q105" s="26"/>
      <c r="S105" s="26"/>
      <c r="T105" s="577"/>
      <c r="U105" s="24"/>
      <c r="V105" s="24"/>
      <c r="W105" s="24"/>
      <c r="X105" s="26"/>
      <c r="Y105" s="26"/>
      <c r="Z105" s="24"/>
      <c r="AA105" s="577"/>
      <c r="AB105" s="577"/>
      <c r="AC105" s="24"/>
      <c r="AD105" s="24"/>
      <c r="AE105" s="24"/>
      <c r="AF105" s="26"/>
      <c r="AG105" s="26"/>
      <c r="AH105" s="24"/>
      <c r="AI105" s="577"/>
      <c r="AJ105" s="577"/>
      <c r="AK105" s="24"/>
      <c r="AL105" s="24"/>
      <c r="AM105" s="24"/>
      <c r="AN105" s="26"/>
      <c r="AO105" s="26"/>
      <c r="AP105" s="24"/>
      <c r="AQ105" s="24"/>
      <c r="AR105" s="24"/>
      <c r="AS105" s="28"/>
      <c r="AT105" s="28"/>
      <c r="AU105" s="28"/>
      <c r="AV105" s="28"/>
      <c r="AW105" s="28"/>
      <c r="AX105" s="28"/>
      <c r="AY105" s="28"/>
      <c r="AZ105" s="28"/>
      <c r="BA105" s="28"/>
      <c r="BB105" s="28"/>
      <c r="BC105" s="28"/>
      <c r="BD105" s="28"/>
      <c r="BE105" s="28"/>
      <c r="BF105" s="28"/>
      <c r="BG105" s="28"/>
      <c r="BH105" s="28"/>
      <c r="BI105" s="28"/>
      <c r="BJ105" s="24"/>
      <c r="BK105" s="28"/>
      <c r="BL105" s="28"/>
      <c r="BM105" s="28"/>
      <c r="BN105" s="28"/>
      <c r="BO105" s="28"/>
      <c r="BP105" s="28"/>
      <c r="BQ105" s="24"/>
      <c r="BR105" s="28"/>
      <c r="BS105" s="28"/>
      <c r="BT105" s="28"/>
      <c r="BU105" s="24"/>
      <c r="BV105" s="28"/>
      <c r="BW105" s="28"/>
      <c r="BX105" s="28"/>
    </row>
    <row r="106" spans="1:76">
      <c r="A106" s="24"/>
      <c r="B106" s="28"/>
      <c r="C106" s="25"/>
      <c r="D106" s="26"/>
      <c r="E106" s="24"/>
      <c r="F106" s="24"/>
      <c r="G106" s="26"/>
      <c r="H106" s="3"/>
      <c r="I106" s="3"/>
      <c r="J106" s="3"/>
      <c r="K106" s="3"/>
      <c r="L106" s="3"/>
      <c r="M106" s="3"/>
      <c r="N106" s="3"/>
      <c r="O106" s="3"/>
      <c r="P106" s="3"/>
      <c r="Q106" s="3"/>
      <c r="S106" s="554"/>
      <c r="T106" s="577"/>
      <c r="U106" s="24"/>
      <c r="V106" s="24"/>
      <c r="W106" s="24"/>
      <c r="X106" s="26"/>
      <c r="Y106" s="26"/>
      <c r="Z106" s="24"/>
      <c r="AA106" s="577"/>
      <c r="AB106" s="577"/>
      <c r="AC106" s="24"/>
      <c r="AD106" s="24"/>
      <c r="AE106" s="24"/>
      <c r="AF106" s="26"/>
      <c r="AG106" s="26"/>
      <c r="AH106" s="24"/>
      <c r="AI106" s="577"/>
      <c r="AJ106" s="577"/>
      <c r="AK106" s="24"/>
      <c r="AL106" s="24"/>
      <c r="AM106" s="24"/>
      <c r="AN106" s="26"/>
      <c r="AO106" s="26"/>
      <c r="AP106" s="24"/>
      <c r="AQ106" s="24"/>
      <c r="AR106" s="24"/>
      <c r="AS106" s="28"/>
      <c r="AT106" s="28"/>
      <c r="AU106" s="28"/>
      <c r="AV106" s="28"/>
      <c r="AW106" s="28"/>
      <c r="AX106" s="28"/>
      <c r="AY106" s="28"/>
      <c r="AZ106" s="28"/>
      <c r="BA106" s="28"/>
      <c r="BB106" s="28"/>
      <c r="BC106" s="28"/>
      <c r="BD106" s="28"/>
      <c r="BE106" s="28"/>
      <c r="BF106" s="28"/>
      <c r="BG106" s="28"/>
      <c r="BH106" s="28"/>
      <c r="BI106" s="28"/>
      <c r="BJ106" s="24"/>
      <c r="BK106" s="28"/>
      <c r="BL106" s="28"/>
      <c r="BM106" s="28"/>
      <c r="BN106" s="28"/>
      <c r="BO106" s="28"/>
      <c r="BP106" s="28"/>
      <c r="BQ106" s="24"/>
      <c r="BR106" s="28"/>
      <c r="BS106" s="28"/>
      <c r="BT106" s="28"/>
      <c r="BU106" s="24"/>
      <c r="BV106" s="28"/>
      <c r="BW106" s="28"/>
      <c r="BX106" s="28"/>
    </row>
    <row r="107" spans="1:76">
      <c r="A107" s="24"/>
      <c r="B107" s="28"/>
      <c r="C107" s="25"/>
      <c r="D107" s="26"/>
      <c r="E107" s="24"/>
      <c r="F107" s="24"/>
      <c r="G107" s="26"/>
      <c r="H107" s="26"/>
      <c r="I107" s="26"/>
      <c r="J107" s="26"/>
      <c r="K107" s="26"/>
      <c r="L107" s="26"/>
      <c r="M107" s="26"/>
      <c r="N107" s="26"/>
      <c r="O107" s="26"/>
      <c r="P107" s="26"/>
      <c r="Q107" s="26"/>
      <c r="S107" s="26"/>
      <c r="T107" s="577"/>
      <c r="U107" s="24"/>
      <c r="V107" s="24"/>
      <c r="W107" s="24"/>
      <c r="X107" s="26"/>
      <c r="Y107" s="26"/>
      <c r="Z107" s="24"/>
      <c r="AA107" s="577"/>
      <c r="AB107" s="577"/>
      <c r="AC107" s="24"/>
      <c r="AD107" s="24"/>
      <c r="AE107" s="24"/>
      <c r="AF107" s="26"/>
      <c r="AG107" s="26"/>
      <c r="AH107" s="24"/>
      <c r="AI107" s="577"/>
      <c r="AJ107" s="577"/>
      <c r="AK107" s="24"/>
      <c r="AL107" s="24"/>
      <c r="AM107" s="24"/>
      <c r="AN107" s="26"/>
      <c r="AO107" s="26"/>
      <c r="AP107" s="24"/>
      <c r="AQ107" s="24"/>
      <c r="AR107" s="24"/>
      <c r="AS107" s="28"/>
      <c r="AT107" s="28"/>
      <c r="AU107" s="28"/>
      <c r="AV107" s="28"/>
      <c r="AW107" s="28"/>
      <c r="AX107" s="28"/>
      <c r="AY107" s="28"/>
      <c r="AZ107" s="28"/>
      <c r="BA107" s="28"/>
      <c r="BB107" s="28"/>
      <c r="BC107" s="28"/>
      <c r="BD107" s="28"/>
      <c r="BE107" s="28"/>
      <c r="BF107" s="28"/>
      <c r="BG107" s="28"/>
      <c r="BH107" s="28"/>
      <c r="BI107" s="28"/>
      <c r="BJ107" s="24"/>
      <c r="BK107" s="28"/>
      <c r="BL107" s="28"/>
      <c r="BM107" s="28"/>
      <c r="BN107" s="28"/>
      <c r="BO107" s="28"/>
      <c r="BP107" s="28"/>
      <c r="BQ107" s="24"/>
      <c r="BR107" s="28"/>
      <c r="BS107" s="28"/>
      <c r="BT107" s="28"/>
      <c r="BU107" s="24"/>
      <c r="BV107" s="28"/>
      <c r="BW107" s="28"/>
      <c r="BX107" s="28"/>
    </row>
    <row r="108" spans="1:76">
      <c r="A108" s="24"/>
      <c r="B108" s="28"/>
      <c r="C108" s="25"/>
      <c r="D108" s="26"/>
      <c r="E108" s="24"/>
      <c r="F108" s="24"/>
      <c r="G108" s="26"/>
      <c r="H108" s="26"/>
      <c r="I108" s="26"/>
      <c r="J108" s="26"/>
      <c r="K108" s="26"/>
      <c r="L108" s="26"/>
      <c r="M108" s="26"/>
      <c r="N108" s="26"/>
      <c r="O108" s="26"/>
      <c r="P108" s="26"/>
      <c r="Q108" s="26"/>
      <c r="S108" s="26"/>
      <c r="T108" s="577"/>
      <c r="U108" s="24"/>
      <c r="V108" s="24"/>
      <c r="W108" s="24"/>
      <c r="X108" s="26"/>
      <c r="Y108" s="26"/>
      <c r="Z108" s="24"/>
      <c r="AA108" s="577"/>
      <c r="AB108" s="577"/>
      <c r="AC108" s="24"/>
      <c r="AD108" s="24"/>
      <c r="AE108" s="24"/>
      <c r="AF108" s="26"/>
      <c r="AG108" s="26"/>
      <c r="AH108" s="24"/>
      <c r="AI108" s="577"/>
      <c r="AJ108" s="577"/>
      <c r="AK108" s="24"/>
      <c r="AL108" s="24"/>
      <c r="AM108" s="24"/>
      <c r="AN108" s="26"/>
      <c r="AO108" s="26"/>
      <c r="AP108" s="24"/>
      <c r="AQ108" s="24"/>
      <c r="AR108" s="24"/>
      <c r="AS108" s="28"/>
      <c r="AT108" s="28"/>
      <c r="AU108" s="28"/>
      <c r="AV108" s="28"/>
      <c r="AW108" s="28"/>
      <c r="AX108" s="28"/>
      <c r="AY108" s="28"/>
      <c r="AZ108" s="28"/>
      <c r="BA108" s="28"/>
      <c r="BB108" s="28"/>
      <c r="BC108" s="28"/>
      <c r="BD108" s="28"/>
      <c r="BE108" s="28"/>
      <c r="BF108" s="28"/>
      <c r="BG108" s="28"/>
      <c r="BH108" s="28"/>
      <c r="BI108" s="28"/>
      <c r="BJ108" s="24"/>
      <c r="BK108" s="28"/>
      <c r="BL108" s="28"/>
      <c r="BM108" s="28"/>
      <c r="BN108" s="28"/>
      <c r="BO108" s="28"/>
      <c r="BP108" s="28"/>
      <c r="BQ108" s="24"/>
      <c r="BR108" s="28"/>
      <c r="BS108" s="28"/>
      <c r="BT108" s="28"/>
      <c r="BU108" s="24"/>
      <c r="BV108" s="28"/>
      <c r="BW108" s="28"/>
      <c r="BX108" s="28"/>
    </row>
    <row r="109" spans="1:76">
      <c r="A109" s="24"/>
      <c r="B109" s="28"/>
      <c r="C109" s="25"/>
      <c r="D109" s="26"/>
      <c r="E109" s="24"/>
      <c r="F109" s="24"/>
      <c r="G109" s="26"/>
      <c r="H109" s="26"/>
      <c r="I109" s="26"/>
      <c r="J109" s="26"/>
      <c r="K109" s="26"/>
      <c r="L109" s="26"/>
      <c r="M109" s="26"/>
      <c r="N109" s="26"/>
      <c r="O109" s="26"/>
      <c r="P109" s="26"/>
      <c r="Q109" s="26"/>
      <c r="S109" s="26"/>
      <c r="T109" s="577"/>
      <c r="U109" s="24"/>
      <c r="V109" s="24"/>
      <c r="W109" s="24"/>
      <c r="X109" s="26"/>
      <c r="Y109" s="26"/>
      <c r="Z109" s="24"/>
      <c r="AA109" s="577"/>
      <c r="AB109" s="577"/>
      <c r="AC109" s="24"/>
      <c r="AD109" s="24"/>
      <c r="AE109" s="24"/>
      <c r="AF109" s="26"/>
      <c r="AG109" s="26"/>
      <c r="AH109" s="24"/>
      <c r="AI109" s="26"/>
      <c r="AJ109" s="25"/>
      <c r="AK109" s="24"/>
      <c r="AL109" s="24"/>
      <c r="AM109" s="24"/>
      <c r="AN109" s="26"/>
      <c r="AO109" s="26"/>
      <c r="AP109" s="24"/>
      <c r="AQ109" s="24"/>
      <c r="AR109" s="24"/>
      <c r="AS109" s="28"/>
      <c r="AT109" s="28"/>
      <c r="AU109" s="28"/>
      <c r="AV109" s="28"/>
      <c r="AW109" s="28"/>
      <c r="AX109" s="28"/>
      <c r="AY109" s="28"/>
      <c r="AZ109" s="28"/>
      <c r="BA109" s="28"/>
      <c r="BB109" s="28"/>
      <c r="BC109" s="28"/>
      <c r="BD109" s="28"/>
      <c r="BE109" s="28"/>
      <c r="BF109" s="28"/>
      <c r="BG109" s="28"/>
      <c r="BH109" s="28"/>
      <c r="BI109" s="28"/>
      <c r="BJ109" s="24"/>
      <c r="BK109" s="28"/>
      <c r="BL109" s="28"/>
      <c r="BM109" s="28"/>
      <c r="BN109" s="28"/>
      <c r="BO109" s="28"/>
      <c r="BP109" s="28"/>
      <c r="BQ109" s="24"/>
      <c r="BR109" s="28"/>
      <c r="BS109" s="28"/>
      <c r="BT109" s="28"/>
      <c r="BU109" s="24"/>
      <c r="BV109" s="28"/>
      <c r="BW109" s="28"/>
      <c r="BX109" s="28"/>
    </row>
    <row r="110" spans="1:76">
      <c r="A110" s="24"/>
      <c r="B110" s="28"/>
      <c r="C110" s="25"/>
      <c r="D110" s="26"/>
      <c r="E110" s="24"/>
      <c r="F110" s="24"/>
      <c r="G110" s="26"/>
      <c r="H110" s="26"/>
      <c r="I110" s="26"/>
      <c r="J110" s="26"/>
      <c r="K110" s="26"/>
      <c r="L110" s="26"/>
      <c r="M110" s="26"/>
      <c r="N110" s="26"/>
      <c r="O110" s="26"/>
      <c r="P110" s="26"/>
      <c r="Q110" s="26"/>
      <c r="S110" s="26"/>
      <c r="T110" s="577"/>
      <c r="U110" s="24"/>
      <c r="V110" s="24"/>
      <c r="W110" s="24"/>
      <c r="X110" s="26"/>
      <c r="Y110" s="26"/>
      <c r="Z110" s="24"/>
      <c r="AA110" s="577"/>
      <c r="AB110" s="577"/>
      <c r="AC110" s="24"/>
      <c r="AD110" s="24"/>
      <c r="AE110" s="24"/>
      <c r="AF110" s="26"/>
      <c r="AG110" s="26"/>
      <c r="AH110" s="24"/>
      <c r="AI110" s="26"/>
      <c r="AJ110" s="25"/>
      <c r="AK110" s="24"/>
      <c r="AL110" s="24"/>
      <c r="AM110" s="24"/>
      <c r="AN110" s="26"/>
      <c r="AO110" s="26"/>
      <c r="AP110" s="24"/>
      <c r="AQ110" s="24"/>
      <c r="AR110" s="24"/>
      <c r="AS110" s="28"/>
      <c r="AT110" s="28"/>
      <c r="AU110" s="28"/>
      <c r="AV110" s="28"/>
      <c r="AW110" s="28"/>
      <c r="AX110" s="28"/>
      <c r="AY110" s="28"/>
      <c r="AZ110" s="28"/>
      <c r="BA110" s="28"/>
      <c r="BB110" s="28"/>
      <c r="BC110" s="28"/>
      <c r="BD110" s="28"/>
      <c r="BE110" s="28"/>
      <c r="BF110" s="28"/>
      <c r="BG110" s="28"/>
      <c r="BH110" s="28"/>
      <c r="BI110" s="28"/>
      <c r="BJ110" s="24"/>
      <c r="BK110" s="28"/>
      <c r="BL110" s="28"/>
      <c r="BM110" s="28"/>
      <c r="BN110" s="28"/>
      <c r="BO110" s="28"/>
      <c r="BP110" s="28"/>
      <c r="BQ110" s="24"/>
      <c r="BR110" s="28"/>
      <c r="BS110" s="28"/>
      <c r="BT110" s="28"/>
      <c r="BU110" s="24"/>
      <c r="BV110" s="28"/>
      <c r="BW110" s="28"/>
      <c r="BX110" s="28"/>
    </row>
    <row r="111" spans="1:76">
      <c r="A111" s="24"/>
      <c r="B111" s="28"/>
      <c r="C111" s="25"/>
      <c r="D111" s="26"/>
      <c r="E111" s="24"/>
      <c r="F111" s="24"/>
      <c r="G111" s="26"/>
      <c r="H111" s="26"/>
      <c r="I111" s="26"/>
      <c r="J111" s="26"/>
      <c r="K111" s="26"/>
      <c r="L111" s="26"/>
      <c r="M111" s="26"/>
      <c r="N111" s="26"/>
      <c r="O111" s="26"/>
      <c r="P111" s="26"/>
      <c r="Q111" s="26"/>
      <c r="S111" s="26"/>
      <c r="T111" s="25"/>
      <c r="U111" s="24"/>
      <c r="V111" s="24"/>
      <c r="W111" s="24"/>
      <c r="X111" s="26"/>
      <c r="Y111" s="26"/>
      <c r="Z111" s="24"/>
      <c r="AA111" s="26"/>
      <c r="AB111" s="25"/>
      <c r="AC111" s="24"/>
      <c r="AD111" s="24"/>
      <c r="AE111" s="24"/>
      <c r="AF111" s="26"/>
      <c r="AG111" s="26"/>
      <c r="AH111" s="24"/>
      <c r="AI111" s="26"/>
      <c r="AJ111" s="25"/>
      <c r="AK111" s="24"/>
      <c r="AL111" s="24"/>
      <c r="AM111" s="24"/>
      <c r="AN111" s="26"/>
      <c r="AO111" s="26"/>
      <c r="AP111" s="24"/>
      <c r="AQ111" s="24"/>
      <c r="AR111" s="24"/>
      <c r="AS111" s="28"/>
      <c r="AT111" s="28"/>
      <c r="AU111" s="28"/>
      <c r="AV111" s="28"/>
      <c r="AW111" s="28"/>
      <c r="AX111" s="28"/>
      <c r="AY111" s="28"/>
      <c r="AZ111" s="28"/>
      <c r="BA111" s="28"/>
      <c r="BB111" s="28"/>
      <c r="BC111" s="28"/>
      <c r="BD111" s="28"/>
      <c r="BE111" s="28"/>
      <c r="BF111" s="28"/>
      <c r="BG111" s="28"/>
      <c r="BH111" s="28"/>
      <c r="BI111" s="28"/>
      <c r="BJ111" s="24"/>
      <c r="BK111" s="28"/>
      <c r="BL111" s="28"/>
      <c r="BM111" s="28"/>
      <c r="BN111" s="28"/>
      <c r="BO111" s="28"/>
      <c r="BP111" s="28"/>
      <c r="BQ111" s="24"/>
      <c r="BR111" s="28"/>
      <c r="BS111" s="28"/>
      <c r="BT111" s="28"/>
      <c r="BU111" s="24"/>
      <c r="BV111" s="28"/>
      <c r="BW111" s="28"/>
      <c r="BX111" s="28"/>
    </row>
    <row r="112" spans="1:76">
      <c r="A112" s="24"/>
      <c r="B112" s="28"/>
      <c r="C112" s="25"/>
      <c r="D112" s="26"/>
      <c r="E112" s="24"/>
      <c r="F112" s="24"/>
      <c r="G112" s="26"/>
      <c r="H112" s="26"/>
      <c r="I112" s="26"/>
      <c r="J112" s="26"/>
      <c r="K112" s="26"/>
      <c r="L112" s="26"/>
      <c r="M112" s="26"/>
      <c r="N112" s="26"/>
      <c r="O112" s="26"/>
      <c r="P112" s="26"/>
      <c r="Q112" s="26"/>
      <c r="S112" s="26"/>
      <c r="T112" s="25"/>
      <c r="U112" s="24"/>
      <c r="V112" s="24"/>
      <c r="W112" s="24"/>
      <c r="X112" s="26"/>
      <c r="Y112" s="26"/>
      <c r="Z112" s="24"/>
      <c r="AA112" s="26"/>
      <c r="AB112" s="25"/>
      <c r="AC112" s="24"/>
      <c r="AD112" s="24"/>
      <c r="AE112" s="24"/>
      <c r="AF112" s="26"/>
      <c r="AG112" s="26"/>
      <c r="AH112" s="24"/>
      <c r="AI112" s="26"/>
      <c r="AJ112" s="25"/>
      <c r="AK112" s="24"/>
      <c r="AL112" s="24"/>
      <c r="AM112" s="24"/>
      <c r="AN112" s="26"/>
      <c r="AO112" s="26"/>
      <c r="AP112" s="24"/>
      <c r="AQ112" s="24"/>
      <c r="AR112" s="24"/>
      <c r="AS112" s="28"/>
      <c r="AT112" s="28"/>
      <c r="AU112" s="28"/>
      <c r="AV112" s="28"/>
      <c r="AW112" s="28"/>
      <c r="AX112" s="28"/>
      <c r="AY112" s="28"/>
      <c r="AZ112" s="28"/>
      <c r="BA112" s="28"/>
      <c r="BB112" s="28"/>
      <c r="BC112" s="28"/>
      <c r="BD112" s="28"/>
      <c r="BE112" s="28"/>
      <c r="BF112" s="28"/>
      <c r="BG112" s="28"/>
      <c r="BH112" s="28"/>
      <c r="BI112" s="28"/>
      <c r="BJ112" s="24"/>
      <c r="BK112" s="28"/>
      <c r="BL112" s="28"/>
      <c r="BM112" s="28"/>
      <c r="BN112" s="28"/>
      <c r="BO112" s="28"/>
      <c r="BP112" s="28"/>
      <c r="BQ112" s="24"/>
      <c r="BR112" s="28"/>
      <c r="BS112" s="28"/>
      <c r="BT112" s="28"/>
      <c r="BU112" s="24"/>
      <c r="BV112" s="28"/>
      <c r="BW112" s="28"/>
      <c r="BX112" s="28"/>
    </row>
    <row r="113" spans="1:76">
      <c r="A113" s="24"/>
      <c r="B113" s="28"/>
      <c r="C113" s="25"/>
      <c r="D113" s="26"/>
      <c r="E113" s="24"/>
      <c r="F113" s="24"/>
      <c r="G113" s="26"/>
      <c r="H113" s="26"/>
      <c r="I113" s="26"/>
      <c r="J113" s="26"/>
      <c r="K113" s="26"/>
      <c r="L113" s="26"/>
      <c r="M113" s="26"/>
      <c r="N113" s="26"/>
      <c r="O113" s="26"/>
      <c r="P113" s="26"/>
      <c r="Q113" s="26"/>
      <c r="S113" s="26"/>
      <c r="T113" s="25"/>
      <c r="U113" s="24"/>
      <c r="V113" s="24"/>
      <c r="W113" s="24"/>
      <c r="X113" s="26"/>
      <c r="Y113" s="26"/>
      <c r="Z113" s="24"/>
      <c r="AA113" s="26"/>
      <c r="AB113" s="25"/>
      <c r="AC113" s="24"/>
      <c r="AD113" s="24"/>
      <c r="AE113" s="24"/>
      <c r="AF113" s="26"/>
      <c r="AG113" s="26"/>
      <c r="AH113" s="24"/>
      <c r="AI113" s="26"/>
      <c r="AJ113" s="25"/>
      <c r="AK113" s="24"/>
      <c r="AL113" s="24"/>
      <c r="AM113" s="24"/>
      <c r="AN113" s="26"/>
      <c r="AO113" s="26"/>
      <c r="AP113" s="24"/>
      <c r="AQ113" s="24"/>
      <c r="AR113" s="24"/>
      <c r="AS113" s="28"/>
      <c r="AT113" s="28"/>
      <c r="AU113" s="28"/>
      <c r="AV113" s="28"/>
      <c r="AW113" s="28"/>
      <c r="AX113" s="28"/>
      <c r="AY113" s="28"/>
      <c r="AZ113" s="28"/>
      <c r="BA113" s="28"/>
      <c r="BB113" s="28"/>
      <c r="BC113" s="28"/>
      <c r="BD113" s="28"/>
      <c r="BE113" s="28"/>
      <c r="BF113" s="28"/>
      <c r="BG113" s="28"/>
      <c r="BH113" s="28"/>
      <c r="BI113" s="28"/>
      <c r="BJ113" s="24"/>
      <c r="BK113" s="28"/>
      <c r="BL113" s="28"/>
      <c r="BM113" s="28"/>
      <c r="BN113" s="28"/>
      <c r="BO113" s="28"/>
      <c r="BP113" s="28"/>
      <c r="BQ113" s="24"/>
      <c r="BR113" s="28"/>
      <c r="BS113" s="28"/>
      <c r="BT113" s="28"/>
      <c r="BU113" s="24"/>
      <c r="BV113" s="28"/>
      <c r="BW113" s="28"/>
      <c r="BX113" s="28"/>
    </row>
    <row r="114" spans="1:76">
      <c r="A114" s="24"/>
      <c r="B114" s="28"/>
      <c r="C114" s="25"/>
      <c r="D114" s="26"/>
      <c r="E114" s="24"/>
      <c r="F114" s="24"/>
      <c r="G114" s="26"/>
      <c r="H114" s="26"/>
      <c r="I114" s="26"/>
      <c r="J114" s="26"/>
      <c r="K114" s="26"/>
      <c r="L114" s="26"/>
      <c r="M114" s="26"/>
      <c r="N114" s="26"/>
      <c r="O114" s="26"/>
      <c r="P114" s="26"/>
      <c r="Q114" s="26"/>
      <c r="S114" s="26"/>
      <c r="T114" s="25"/>
      <c r="U114" s="24"/>
      <c r="V114" s="24"/>
      <c r="W114" s="24"/>
      <c r="X114" s="26"/>
      <c r="Y114" s="26"/>
      <c r="Z114" s="24"/>
      <c r="AA114" s="26"/>
      <c r="AB114" s="25"/>
      <c r="AC114" s="24"/>
      <c r="AD114" s="24"/>
      <c r="AE114" s="24"/>
      <c r="AF114" s="26"/>
      <c r="AG114" s="26"/>
      <c r="AH114" s="24"/>
      <c r="AI114" s="26"/>
      <c r="AJ114" s="25"/>
      <c r="AK114" s="24"/>
      <c r="AL114" s="24"/>
      <c r="AM114" s="24"/>
      <c r="AN114" s="26"/>
      <c r="AO114" s="26"/>
      <c r="AP114" s="24"/>
      <c r="AQ114" s="24"/>
      <c r="AR114" s="24"/>
      <c r="AS114" s="28"/>
      <c r="AT114" s="28"/>
      <c r="AU114" s="28"/>
      <c r="AV114" s="28"/>
      <c r="AW114" s="28"/>
      <c r="AX114" s="28"/>
      <c r="AY114" s="28"/>
      <c r="AZ114" s="28"/>
      <c r="BA114" s="28"/>
      <c r="BB114" s="28"/>
      <c r="BC114" s="28"/>
      <c r="BD114" s="28"/>
      <c r="BE114" s="28"/>
      <c r="BF114" s="28"/>
      <c r="BG114" s="28"/>
      <c r="BH114" s="28"/>
      <c r="BI114" s="28"/>
      <c r="BJ114" s="24"/>
      <c r="BK114" s="28"/>
      <c r="BL114" s="28"/>
      <c r="BM114" s="28"/>
      <c r="BN114" s="28"/>
      <c r="BO114" s="28"/>
      <c r="BP114" s="28"/>
      <c r="BQ114" s="24"/>
      <c r="BR114" s="28"/>
      <c r="BS114" s="28"/>
      <c r="BT114" s="28"/>
      <c r="BU114" s="24"/>
      <c r="BV114" s="28"/>
      <c r="BW114" s="28"/>
      <c r="BX114" s="28"/>
    </row>
    <row r="115" spans="1:76">
      <c r="A115" s="24"/>
      <c r="B115" s="28"/>
      <c r="C115" s="25"/>
      <c r="D115" s="26"/>
      <c r="E115" s="24"/>
      <c r="F115" s="24"/>
      <c r="G115" s="26"/>
      <c r="H115" s="26"/>
      <c r="I115" s="26"/>
      <c r="J115" s="26"/>
      <c r="K115" s="26"/>
      <c r="L115" s="26"/>
      <c r="M115" s="26"/>
      <c r="N115" s="26"/>
      <c r="O115" s="26"/>
      <c r="P115" s="26"/>
      <c r="Q115" s="26"/>
      <c r="S115" s="26"/>
      <c r="T115" s="25"/>
      <c r="U115" s="24"/>
      <c r="V115" s="24"/>
      <c r="W115" s="24"/>
      <c r="X115" s="26"/>
      <c r="Y115" s="26"/>
      <c r="Z115" s="24"/>
      <c r="AA115" s="26"/>
      <c r="AB115" s="25"/>
      <c r="AC115" s="24"/>
      <c r="AD115" s="24"/>
      <c r="AE115" s="24"/>
      <c r="AF115" s="26"/>
      <c r="AG115" s="26"/>
      <c r="AH115" s="24"/>
      <c r="AI115" s="26"/>
      <c r="AJ115" s="25"/>
      <c r="AK115" s="24"/>
      <c r="AL115" s="24"/>
      <c r="AM115" s="24"/>
      <c r="AN115" s="26"/>
      <c r="AO115" s="26"/>
      <c r="AP115" s="24"/>
      <c r="AQ115" s="24"/>
      <c r="AR115" s="24"/>
      <c r="AS115" s="28"/>
      <c r="AT115" s="28"/>
      <c r="AU115" s="28"/>
      <c r="AV115" s="28"/>
      <c r="AW115" s="28"/>
      <c r="AX115" s="28"/>
      <c r="AY115" s="28"/>
      <c r="AZ115" s="28"/>
      <c r="BA115" s="28"/>
      <c r="BB115" s="28"/>
      <c r="BC115" s="28"/>
      <c r="BD115" s="28"/>
      <c r="BE115" s="28"/>
      <c r="BF115" s="28"/>
      <c r="BG115" s="28"/>
      <c r="BH115" s="28"/>
      <c r="BI115" s="28"/>
      <c r="BJ115" s="24"/>
      <c r="BK115" s="28"/>
      <c r="BL115" s="28"/>
      <c r="BM115" s="28"/>
      <c r="BN115" s="28"/>
      <c r="BO115" s="28"/>
      <c r="BP115" s="28"/>
      <c r="BQ115" s="24"/>
      <c r="BR115" s="28"/>
      <c r="BS115" s="28"/>
      <c r="BT115" s="28"/>
      <c r="BU115" s="24"/>
      <c r="BV115" s="28"/>
      <c r="BW115" s="28"/>
      <c r="BX115" s="28"/>
    </row>
    <row r="116" spans="1:76">
      <c r="A116" s="24"/>
      <c r="B116" s="28"/>
      <c r="C116" s="25"/>
      <c r="D116" s="26"/>
      <c r="E116" s="24"/>
      <c r="F116" s="24"/>
      <c r="G116" s="26"/>
      <c r="H116" s="26"/>
      <c r="I116" s="26"/>
      <c r="J116" s="26"/>
      <c r="K116" s="26"/>
      <c r="L116" s="26"/>
      <c r="M116" s="26"/>
      <c r="N116" s="26"/>
      <c r="O116" s="26"/>
      <c r="P116" s="26"/>
      <c r="Q116" s="26"/>
      <c r="S116" s="26"/>
      <c r="T116" s="25"/>
      <c r="U116" s="24"/>
      <c r="V116" s="24"/>
      <c r="W116" s="24"/>
      <c r="X116" s="26"/>
      <c r="Y116" s="26"/>
      <c r="Z116" s="24"/>
      <c r="AA116" s="26"/>
      <c r="AB116" s="25"/>
      <c r="AC116" s="24"/>
      <c r="AD116" s="24"/>
      <c r="AE116" s="24"/>
      <c r="AF116" s="26"/>
      <c r="AG116" s="26"/>
      <c r="AH116" s="24"/>
      <c r="AI116" s="26"/>
      <c r="AJ116" s="25"/>
      <c r="AK116" s="24"/>
      <c r="AL116" s="24"/>
      <c r="AM116" s="24"/>
      <c r="AN116" s="26"/>
      <c r="AO116" s="26"/>
      <c r="AP116" s="24"/>
      <c r="AQ116" s="24"/>
      <c r="AR116" s="24"/>
      <c r="AS116" s="28"/>
      <c r="AT116" s="28"/>
      <c r="AU116" s="28"/>
      <c r="AV116" s="28"/>
      <c r="AW116" s="28"/>
      <c r="AX116" s="28"/>
      <c r="AY116" s="28"/>
      <c r="AZ116" s="28"/>
      <c r="BA116" s="28"/>
      <c r="BB116" s="28"/>
      <c r="BC116" s="28"/>
      <c r="BD116" s="28"/>
      <c r="BE116" s="28"/>
      <c r="BF116" s="28"/>
      <c r="BG116" s="28"/>
      <c r="BH116" s="28"/>
      <c r="BI116" s="28"/>
      <c r="BJ116" s="24"/>
      <c r="BK116" s="28"/>
      <c r="BL116" s="28"/>
      <c r="BM116" s="28"/>
      <c r="BN116" s="28"/>
      <c r="BO116" s="28"/>
      <c r="BP116" s="28"/>
      <c r="BQ116" s="24"/>
      <c r="BR116" s="28"/>
      <c r="BS116" s="28"/>
      <c r="BT116" s="28"/>
      <c r="BU116" s="24"/>
      <c r="BV116" s="28"/>
      <c r="BW116" s="28"/>
      <c r="BX116" s="28"/>
    </row>
    <row r="117" spans="1:76">
      <c r="A117" s="24"/>
      <c r="B117" s="28"/>
      <c r="C117" s="25"/>
      <c r="D117" s="26"/>
      <c r="E117" s="24"/>
      <c r="F117" s="24"/>
      <c r="G117" s="26"/>
      <c r="H117" s="26"/>
      <c r="I117" s="26"/>
      <c r="J117" s="26"/>
      <c r="K117" s="26"/>
      <c r="L117" s="26"/>
      <c r="M117" s="26"/>
      <c r="N117" s="26"/>
      <c r="O117" s="26"/>
      <c r="P117" s="26"/>
      <c r="Q117" s="26"/>
      <c r="S117" s="26"/>
      <c r="T117" s="25"/>
      <c r="U117" s="24"/>
      <c r="V117" s="24"/>
      <c r="W117" s="24"/>
      <c r="X117" s="26"/>
      <c r="Y117" s="26"/>
      <c r="Z117" s="24"/>
      <c r="AA117" s="26"/>
      <c r="AB117" s="25"/>
      <c r="AC117" s="24"/>
      <c r="AD117" s="24"/>
      <c r="AE117" s="24"/>
      <c r="AF117" s="26"/>
      <c r="AG117" s="26"/>
      <c r="AH117" s="24"/>
      <c r="AI117" s="26"/>
      <c r="AJ117" s="25"/>
      <c r="AK117" s="24"/>
      <c r="AL117" s="24"/>
      <c r="AM117" s="24"/>
      <c r="AN117" s="26"/>
      <c r="AO117" s="26"/>
      <c r="AP117" s="24"/>
      <c r="AQ117" s="24"/>
      <c r="AR117" s="24"/>
      <c r="AS117" s="28"/>
      <c r="AT117" s="28"/>
      <c r="AU117" s="28"/>
      <c r="AV117" s="28"/>
      <c r="AW117" s="28"/>
      <c r="AX117" s="28"/>
      <c r="AY117" s="28"/>
      <c r="AZ117" s="28"/>
      <c r="BA117" s="28"/>
      <c r="BB117" s="28"/>
      <c r="BC117" s="28"/>
      <c r="BD117" s="28"/>
      <c r="BE117" s="28"/>
      <c r="BF117" s="28"/>
      <c r="BG117" s="28"/>
      <c r="BH117" s="28"/>
      <c r="BI117" s="28"/>
      <c r="BJ117" s="24"/>
      <c r="BK117" s="28"/>
      <c r="BL117" s="28"/>
      <c r="BM117" s="28"/>
      <c r="BN117" s="28"/>
      <c r="BO117" s="28"/>
      <c r="BP117" s="28"/>
      <c r="BQ117" s="24"/>
      <c r="BR117" s="28"/>
      <c r="BS117" s="28"/>
      <c r="BT117" s="28"/>
      <c r="BU117" s="24"/>
      <c r="BV117" s="28"/>
      <c r="BW117" s="28"/>
      <c r="BX117" s="28"/>
    </row>
    <row r="118" spans="1:76">
      <c r="A118" s="24"/>
      <c r="B118" s="28"/>
      <c r="C118" s="25"/>
      <c r="D118" s="26"/>
      <c r="E118" s="24"/>
      <c r="F118" s="24"/>
      <c r="G118" s="26"/>
      <c r="H118" s="26"/>
      <c r="I118" s="26"/>
      <c r="J118" s="26"/>
      <c r="K118" s="26"/>
      <c r="L118" s="26"/>
      <c r="M118" s="26"/>
      <c r="N118" s="26"/>
      <c r="O118" s="26"/>
      <c r="P118" s="26"/>
      <c r="Q118" s="26"/>
      <c r="S118" s="26"/>
      <c r="T118" s="25"/>
      <c r="U118" s="24"/>
      <c r="V118" s="24"/>
      <c r="W118" s="24"/>
      <c r="X118" s="26"/>
      <c r="Y118" s="26"/>
      <c r="Z118" s="24"/>
      <c r="AA118" s="26"/>
      <c r="AB118" s="25"/>
      <c r="AC118" s="24"/>
      <c r="AD118" s="24"/>
      <c r="AE118" s="24"/>
      <c r="AF118" s="26"/>
      <c r="AG118" s="26"/>
      <c r="AH118" s="24"/>
      <c r="AI118" s="26"/>
      <c r="AJ118" s="25"/>
      <c r="AK118" s="24"/>
      <c r="AL118" s="24"/>
      <c r="AM118" s="24"/>
      <c r="AN118" s="26"/>
      <c r="AO118" s="26"/>
      <c r="AP118" s="24"/>
      <c r="AQ118" s="24"/>
      <c r="AR118" s="24"/>
      <c r="AS118" s="28"/>
      <c r="AT118" s="28"/>
      <c r="AU118" s="28"/>
      <c r="AV118" s="28"/>
      <c r="AW118" s="28"/>
      <c r="AX118" s="28"/>
      <c r="AY118" s="28"/>
      <c r="AZ118" s="28"/>
      <c r="BA118" s="28"/>
      <c r="BB118" s="28"/>
      <c r="BC118" s="28"/>
      <c r="BD118" s="28"/>
      <c r="BE118" s="28"/>
      <c r="BF118" s="28"/>
      <c r="BG118" s="28"/>
      <c r="BH118" s="28"/>
      <c r="BI118" s="28"/>
      <c r="BJ118" s="24"/>
      <c r="BK118" s="28"/>
      <c r="BL118" s="28"/>
      <c r="BM118" s="28"/>
      <c r="BN118" s="28"/>
      <c r="BO118" s="28"/>
      <c r="BP118" s="28"/>
      <c r="BQ118" s="24"/>
      <c r="BR118" s="28"/>
      <c r="BS118" s="28"/>
      <c r="BT118" s="28"/>
      <c r="BU118" s="24"/>
      <c r="BV118" s="28"/>
      <c r="BW118" s="28"/>
      <c r="BX118" s="28"/>
    </row>
    <row r="119" spans="1:76">
      <c r="A119" s="24"/>
      <c r="B119" s="28"/>
      <c r="C119" s="25"/>
      <c r="D119" s="26"/>
      <c r="E119" s="24"/>
      <c r="F119" s="24"/>
      <c r="G119" s="26"/>
      <c r="H119" s="26"/>
      <c r="I119" s="26"/>
      <c r="J119" s="26"/>
      <c r="K119" s="26"/>
      <c r="L119" s="26"/>
      <c r="M119" s="26"/>
      <c r="N119" s="26"/>
      <c r="O119" s="26"/>
      <c r="P119" s="26"/>
      <c r="Q119" s="26"/>
      <c r="S119" s="26"/>
      <c r="T119" s="25"/>
      <c r="U119" s="24"/>
      <c r="V119" s="24"/>
      <c r="W119" s="24"/>
      <c r="X119" s="26"/>
      <c r="Y119" s="26"/>
      <c r="Z119" s="24"/>
      <c r="AA119" s="26"/>
      <c r="AB119" s="25"/>
      <c r="AC119" s="24"/>
      <c r="AD119" s="24"/>
      <c r="AE119" s="24"/>
      <c r="AF119" s="26"/>
      <c r="AG119" s="26"/>
      <c r="AH119" s="24"/>
      <c r="AI119" s="26"/>
      <c r="AJ119" s="25"/>
      <c r="AK119" s="24"/>
      <c r="AL119" s="24"/>
      <c r="AM119" s="24"/>
      <c r="AN119" s="26"/>
      <c r="AO119" s="26"/>
      <c r="AP119" s="24"/>
      <c r="AQ119" s="24"/>
      <c r="AR119" s="24"/>
      <c r="AS119" s="28"/>
      <c r="AT119" s="28"/>
      <c r="AU119" s="28"/>
      <c r="AV119" s="28"/>
      <c r="AW119" s="28"/>
      <c r="AX119" s="28"/>
      <c r="AY119" s="28"/>
      <c r="AZ119" s="28"/>
      <c r="BA119" s="28"/>
      <c r="BB119" s="28"/>
      <c r="BC119" s="28"/>
      <c r="BD119" s="28"/>
      <c r="BE119" s="28"/>
      <c r="BF119" s="28"/>
      <c r="BG119" s="28"/>
      <c r="BH119" s="28"/>
      <c r="BI119" s="28"/>
      <c r="BJ119" s="24"/>
      <c r="BK119" s="28"/>
      <c r="BL119" s="28"/>
      <c r="BM119" s="28"/>
      <c r="BN119" s="28"/>
      <c r="BO119" s="28"/>
      <c r="BP119" s="28"/>
      <c r="BQ119" s="24"/>
      <c r="BR119" s="28"/>
      <c r="BS119" s="28"/>
      <c r="BT119" s="28"/>
      <c r="BU119" s="24"/>
      <c r="BV119" s="28"/>
      <c r="BW119" s="28"/>
      <c r="BX119" s="28"/>
    </row>
    <row r="120" spans="1:76">
      <c r="A120" s="24"/>
      <c r="B120" s="28"/>
      <c r="C120" s="25"/>
      <c r="D120" s="26"/>
      <c r="E120" s="24"/>
      <c r="F120" s="24"/>
      <c r="G120" s="26"/>
      <c r="H120" s="26"/>
      <c r="I120" s="26"/>
      <c r="J120" s="26"/>
      <c r="K120" s="26"/>
      <c r="L120" s="26"/>
      <c r="M120" s="26"/>
      <c r="N120" s="26"/>
      <c r="O120" s="26"/>
      <c r="P120" s="26"/>
      <c r="Q120" s="26"/>
      <c r="S120" s="26"/>
      <c r="T120" s="25"/>
      <c r="U120" s="24"/>
      <c r="V120" s="24"/>
      <c r="W120" s="24"/>
      <c r="X120" s="26"/>
      <c r="Y120" s="26"/>
      <c r="Z120" s="24"/>
      <c r="AA120" s="26"/>
      <c r="AB120" s="25"/>
      <c r="AC120" s="24"/>
      <c r="AD120" s="24"/>
      <c r="AE120" s="24"/>
      <c r="AF120" s="26"/>
      <c r="AG120" s="26"/>
      <c r="AH120" s="24"/>
      <c r="AI120" s="26"/>
      <c r="AJ120" s="25"/>
      <c r="AK120" s="24"/>
      <c r="AL120" s="24"/>
      <c r="AM120" s="24"/>
      <c r="AN120" s="26"/>
      <c r="AO120" s="26"/>
      <c r="AP120" s="24"/>
      <c r="AQ120" s="24"/>
      <c r="AR120" s="24"/>
      <c r="AS120" s="28"/>
      <c r="AT120" s="28"/>
      <c r="AU120" s="28"/>
      <c r="AV120" s="28"/>
      <c r="AW120" s="28"/>
      <c r="AX120" s="28"/>
      <c r="AY120" s="28"/>
      <c r="AZ120" s="28"/>
      <c r="BA120" s="28"/>
      <c r="BB120" s="28"/>
      <c r="BC120" s="28"/>
      <c r="BD120" s="28"/>
      <c r="BE120" s="28"/>
      <c r="BF120" s="28"/>
      <c r="BG120" s="28"/>
      <c r="BH120" s="28"/>
      <c r="BI120" s="28"/>
      <c r="BJ120" s="24"/>
      <c r="BK120" s="28"/>
      <c r="BL120" s="28"/>
      <c r="BM120" s="28"/>
      <c r="BN120" s="28"/>
      <c r="BO120" s="28"/>
      <c r="BP120" s="28"/>
      <c r="BQ120" s="24"/>
      <c r="BR120" s="28"/>
      <c r="BS120" s="28"/>
      <c r="BT120" s="28"/>
      <c r="BU120" s="24"/>
      <c r="BV120" s="28"/>
      <c r="BW120" s="28"/>
      <c r="BX120" s="28"/>
    </row>
    <row r="121" spans="1:76">
      <c r="A121" s="24"/>
      <c r="B121" s="28"/>
      <c r="C121" s="25"/>
      <c r="D121" s="26"/>
      <c r="E121" s="24"/>
      <c r="F121" s="24"/>
      <c r="G121" s="26"/>
      <c r="H121" s="26"/>
      <c r="I121" s="26"/>
      <c r="J121" s="26"/>
      <c r="K121" s="26"/>
      <c r="L121" s="26"/>
      <c r="M121" s="26"/>
      <c r="N121" s="26"/>
      <c r="O121" s="26"/>
      <c r="P121" s="26"/>
      <c r="Q121" s="26"/>
      <c r="S121" s="26"/>
      <c r="T121" s="25"/>
      <c r="U121" s="24"/>
      <c r="V121" s="24"/>
      <c r="W121" s="24"/>
      <c r="X121" s="26"/>
      <c r="Y121" s="26"/>
      <c r="Z121" s="24"/>
      <c r="AA121" s="26"/>
      <c r="AB121" s="25"/>
      <c r="AC121" s="24"/>
      <c r="AD121" s="24"/>
      <c r="AE121" s="24"/>
      <c r="AF121" s="26"/>
      <c r="AG121" s="26"/>
      <c r="AH121" s="24"/>
      <c r="AI121" s="26"/>
      <c r="AJ121" s="25"/>
      <c r="AK121" s="24"/>
      <c r="AL121" s="24"/>
      <c r="AM121" s="24"/>
      <c r="AN121" s="26"/>
      <c r="AO121" s="26"/>
      <c r="AP121" s="24"/>
      <c r="AQ121" s="24"/>
      <c r="AR121" s="24"/>
      <c r="AS121" s="28"/>
      <c r="AT121" s="28"/>
      <c r="AU121" s="28"/>
      <c r="AV121" s="28"/>
      <c r="AW121" s="28"/>
      <c r="AX121" s="28"/>
      <c r="AY121" s="28"/>
      <c r="AZ121" s="28"/>
      <c r="BA121" s="28"/>
      <c r="BB121" s="28"/>
      <c r="BC121" s="28"/>
      <c r="BD121" s="28"/>
      <c r="BE121" s="28"/>
      <c r="BF121" s="28"/>
      <c r="BG121" s="28"/>
      <c r="BH121" s="28"/>
      <c r="BI121" s="28"/>
      <c r="BJ121" s="24"/>
      <c r="BK121" s="28"/>
      <c r="BL121" s="28"/>
      <c r="BM121" s="28"/>
      <c r="BN121" s="28"/>
      <c r="BO121" s="28"/>
      <c r="BP121" s="28"/>
      <c r="BQ121" s="24"/>
      <c r="BR121" s="28"/>
      <c r="BS121" s="28"/>
      <c r="BT121" s="28"/>
      <c r="BU121" s="24"/>
      <c r="BV121" s="28"/>
      <c r="BW121" s="28"/>
      <c r="BX121" s="28"/>
    </row>
    <row r="122" spans="1:76">
      <c r="A122" s="24"/>
      <c r="B122" s="28"/>
      <c r="C122" s="25"/>
      <c r="D122" s="26"/>
      <c r="E122" s="24"/>
      <c r="F122" s="24"/>
      <c r="G122" s="26"/>
      <c r="H122" s="26"/>
      <c r="I122" s="26"/>
      <c r="J122" s="26"/>
      <c r="K122" s="26"/>
      <c r="L122" s="26"/>
      <c r="M122" s="26"/>
      <c r="N122" s="26"/>
      <c r="O122" s="26"/>
      <c r="P122" s="26"/>
      <c r="Q122" s="26"/>
      <c r="S122" s="26"/>
      <c r="T122" s="25"/>
      <c r="U122" s="24"/>
      <c r="V122" s="24"/>
      <c r="W122" s="24"/>
      <c r="X122" s="26"/>
      <c r="Y122" s="26"/>
      <c r="Z122" s="24"/>
      <c r="AA122" s="26"/>
      <c r="AB122" s="25"/>
      <c r="AC122" s="24"/>
      <c r="AD122" s="24"/>
      <c r="AE122" s="24"/>
      <c r="AF122" s="26"/>
      <c r="AG122" s="26"/>
      <c r="AH122" s="24"/>
      <c r="AI122" s="26"/>
      <c r="AJ122" s="25"/>
      <c r="AK122" s="24"/>
      <c r="AL122" s="24"/>
      <c r="AM122" s="24"/>
      <c r="AN122" s="26"/>
      <c r="AO122" s="26"/>
      <c r="AP122" s="24"/>
      <c r="AQ122" s="24"/>
      <c r="AR122" s="24"/>
      <c r="AS122" s="28"/>
      <c r="AT122" s="28"/>
      <c r="AU122" s="28"/>
      <c r="AV122" s="28"/>
      <c r="AW122" s="28"/>
      <c r="AX122" s="28"/>
      <c r="AY122" s="28"/>
      <c r="AZ122" s="28"/>
      <c r="BA122" s="28"/>
      <c r="BB122" s="28"/>
      <c r="BC122" s="28"/>
      <c r="BD122" s="28"/>
      <c r="BE122" s="28"/>
      <c r="BF122" s="28"/>
      <c r="BG122" s="28"/>
      <c r="BH122" s="28"/>
      <c r="BI122" s="28"/>
      <c r="BJ122" s="24"/>
      <c r="BK122" s="28"/>
      <c r="BL122" s="28"/>
      <c r="BM122" s="28"/>
      <c r="BN122" s="28"/>
      <c r="BO122" s="28"/>
      <c r="BP122" s="28"/>
      <c r="BQ122" s="24"/>
      <c r="BR122" s="28"/>
      <c r="BS122" s="28"/>
      <c r="BT122" s="28"/>
      <c r="BU122" s="24"/>
      <c r="BV122" s="28"/>
      <c r="BW122" s="28"/>
      <c r="BX122" s="28"/>
    </row>
    <row r="123" spans="1:76">
      <c r="A123" s="24"/>
      <c r="B123" s="28"/>
      <c r="C123" s="25"/>
      <c r="D123" s="26"/>
      <c r="E123" s="24"/>
      <c r="F123" s="24"/>
      <c r="G123" s="26"/>
      <c r="H123" s="26"/>
      <c r="I123" s="26"/>
      <c r="J123" s="26"/>
      <c r="K123" s="26"/>
      <c r="L123" s="26"/>
      <c r="M123" s="26"/>
      <c r="N123" s="26"/>
      <c r="O123" s="26"/>
      <c r="P123" s="26"/>
      <c r="Q123" s="26"/>
      <c r="S123" s="26"/>
      <c r="T123" s="25"/>
      <c r="U123" s="24"/>
      <c r="V123" s="24"/>
      <c r="W123" s="24"/>
      <c r="X123" s="26"/>
      <c r="Y123" s="26"/>
      <c r="Z123" s="24"/>
      <c r="AA123" s="26"/>
      <c r="AB123" s="25"/>
      <c r="AC123" s="24"/>
      <c r="AD123" s="24"/>
      <c r="AE123" s="24"/>
      <c r="AF123" s="26"/>
      <c r="AG123" s="26"/>
      <c r="AH123" s="24"/>
      <c r="AI123" s="26"/>
      <c r="AJ123" s="25"/>
      <c r="AK123" s="24"/>
      <c r="AL123" s="24"/>
      <c r="AM123" s="24"/>
      <c r="AN123" s="26"/>
      <c r="AO123" s="26"/>
      <c r="AP123" s="24"/>
      <c r="AQ123" s="24"/>
      <c r="AR123" s="24"/>
      <c r="AS123" s="28"/>
      <c r="AT123" s="28"/>
      <c r="AU123" s="28"/>
      <c r="AV123" s="28"/>
      <c r="AW123" s="28"/>
      <c r="AX123" s="28"/>
      <c r="AY123" s="28"/>
      <c r="AZ123" s="28"/>
      <c r="BA123" s="28"/>
      <c r="BB123" s="28"/>
      <c r="BC123" s="28"/>
      <c r="BD123" s="28"/>
      <c r="BE123" s="28"/>
      <c r="BF123" s="28"/>
      <c r="BG123" s="28"/>
      <c r="BH123" s="28"/>
      <c r="BI123" s="28"/>
      <c r="BJ123" s="24"/>
      <c r="BK123" s="28"/>
      <c r="BL123" s="28"/>
      <c r="BM123" s="28"/>
      <c r="BN123" s="28"/>
      <c r="BO123" s="28"/>
      <c r="BP123" s="28"/>
      <c r="BQ123" s="24"/>
      <c r="BR123" s="28"/>
      <c r="BS123" s="28"/>
      <c r="BT123" s="28"/>
      <c r="BU123" s="24"/>
      <c r="BV123" s="28"/>
      <c r="BW123" s="28"/>
      <c r="BX123" s="28"/>
    </row>
    <row r="124" spans="1:76">
      <c r="A124" s="24"/>
      <c r="B124" s="28"/>
      <c r="C124" s="25"/>
      <c r="D124" s="26"/>
      <c r="E124" s="24"/>
      <c r="F124" s="24"/>
      <c r="G124" s="26"/>
      <c r="H124" s="26"/>
      <c r="I124" s="26"/>
      <c r="J124" s="26"/>
      <c r="K124" s="26"/>
      <c r="L124" s="26"/>
      <c r="M124" s="26"/>
      <c r="N124" s="26"/>
      <c r="O124" s="26"/>
      <c r="P124" s="26"/>
      <c r="Q124" s="26"/>
      <c r="S124" s="26"/>
      <c r="T124" s="25"/>
      <c r="U124" s="24"/>
      <c r="V124" s="24"/>
      <c r="W124" s="24"/>
      <c r="X124" s="26"/>
      <c r="Y124" s="26"/>
      <c r="Z124" s="24"/>
      <c r="AA124" s="26"/>
      <c r="AB124" s="25"/>
      <c r="AC124" s="24"/>
      <c r="AD124" s="24"/>
      <c r="AE124" s="24"/>
      <c r="AF124" s="26"/>
      <c r="AG124" s="26"/>
      <c r="AH124" s="24"/>
      <c r="AI124" s="26"/>
      <c r="AJ124" s="25"/>
      <c r="AK124" s="24"/>
      <c r="AL124" s="24"/>
      <c r="AM124" s="24"/>
      <c r="AN124" s="26"/>
      <c r="AO124" s="26"/>
      <c r="AP124" s="24"/>
      <c r="AQ124" s="24"/>
      <c r="AR124" s="24"/>
      <c r="AS124" s="28"/>
      <c r="AT124" s="28"/>
      <c r="AU124" s="28"/>
      <c r="AV124" s="28"/>
      <c r="AW124" s="28"/>
      <c r="AX124" s="28"/>
      <c r="AY124" s="28"/>
      <c r="AZ124" s="28"/>
      <c r="BA124" s="28"/>
      <c r="BB124" s="28"/>
      <c r="BC124" s="28"/>
      <c r="BD124" s="28"/>
      <c r="BE124" s="28"/>
      <c r="BF124" s="28"/>
      <c r="BG124" s="28"/>
      <c r="BH124" s="28"/>
      <c r="BI124" s="28"/>
      <c r="BJ124" s="24"/>
      <c r="BK124" s="28"/>
      <c r="BL124" s="28"/>
      <c r="BM124" s="28"/>
      <c r="BN124" s="28"/>
      <c r="BO124" s="28"/>
      <c r="BP124" s="28"/>
      <c r="BQ124" s="24"/>
      <c r="BR124" s="28"/>
      <c r="BS124" s="28"/>
      <c r="BT124" s="28"/>
      <c r="BU124" s="24"/>
      <c r="BV124" s="28"/>
      <c r="BW124" s="28"/>
      <c r="BX124" s="28"/>
    </row>
    <row r="125" spans="1:76">
      <c r="A125" s="24"/>
      <c r="B125" s="28"/>
      <c r="C125" s="25"/>
      <c r="D125" s="26"/>
      <c r="E125" s="24"/>
      <c r="F125" s="24"/>
      <c r="G125" s="26"/>
      <c r="H125" s="26"/>
      <c r="I125" s="26"/>
      <c r="J125" s="26"/>
      <c r="K125" s="26"/>
      <c r="L125" s="26"/>
      <c r="M125" s="26"/>
      <c r="N125" s="26"/>
      <c r="O125" s="26"/>
      <c r="P125" s="26"/>
      <c r="Q125" s="26"/>
      <c r="S125" s="26"/>
      <c r="T125" s="25"/>
      <c r="U125" s="24"/>
      <c r="V125" s="24"/>
      <c r="W125" s="24"/>
      <c r="X125" s="26"/>
      <c r="Y125" s="26"/>
      <c r="Z125" s="24"/>
      <c r="AA125" s="26"/>
      <c r="AB125" s="25"/>
      <c r="AC125" s="24"/>
      <c r="AD125" s="24"/>
      <c r="AE125" s="24"/>
      <c r="AF125" s="26"/>
      <c r="AG125" s="26"/>
      <c r="AH125" s="24"/>
      <c r="AI125" s="26"/>
      <c r="AJ125" s="25"/>
      <c r="AK125" s="24"/>
      <c r="AL125" s="24"/>
      <c r="AM125" s="24"/>
      <c r="AN125" s="26"/>
      <c r="AO125" s="26"/>
      <c r="AP125" s="24"/>
      <c r="AQ125" s="24"/>
      <c r="AR125" s="24"/>
      <c r="AS125" s="28"/>
      <c r="AT125" s="28"/>
      <c r="AU125" s="28"/>
      <c r="AV125" s="28"/>
      <c r="AW125" s="28"/>
      <c r="AX125" s="28"/>
      <c r="AY125" s="28"/>
      <c r="AZ125" s="28"/>
      <c r="BA125" s="28"/>
      <c r="BB125" s="28"/>
      <c r="BC125" s="28"/>
      <c r="BD125" s="28"/>
      <c r="BE125" s="28"/>
      <c r="BF125" s="28"/>
      <c r="BG125" s="28"/>
      <c r="BH125" s="28"/>
      <c r="BI125" s="28"/>
      <c r="BJ125" s="24"/>
      <c r="BK125" s="28"/>
      <c r="BL125" s="28"/>
      <c r="BM125" s="28"/>
      <c r="BN125" s="28"/>
      <c r="BO125" s="28"/>
      <c r="BP125" s="28"/>
      <c r="BQ125" s="24"/>
      <c r="BR125" s="28"/>
      <c r="BS125" s="28"/>
      <c r="BT125" s="28"/>
      <c r="BU125" s="24"/>
      <c r="BV125" s="28"/>
      <c r="BW125" s="28"/>
      <c r="BX125" s="28"/>
    </row>
    <row r="126" spans="1:76">
      <c r="A126" s="24"/>
      <c r="B126" s="28"/>
      <c r="C126" s="25"/>
      <c r="D126" s="26"/>
      <c r="E126" s="24"/>
      <c r="F126" s="24"/>
      <c r="G126" s="26"/>
      <c r="H126" s="26"/>
      <c r="I126" s="26"/>
      <c r="J126" s="26"/>
      <c r="K126" s="26"/>
      <c r="L126" s="26"/>
      <c r="M126" s="26"/>
      <c r="N126" s="26"/>
      <c r="O126" s="26"/>
      <c r="P126" s="26"/>
      <c r="Q126" s="26"/>
      <c r="S126" s="26"/>
      <c r="T126" s="25"/>
      <c r="U126" s="24"/>
      <c r="V126" s="24"/>
      <c r="W126" s="24"/>
      <c r="X126" s="26"/>
      <c r="Y126" s="26"/>
      <c r="Z126" s="24"/>
      <c r="AA126" s="26"/>
      <c r="AB126" s="25"/>
      <c r="AC126" s="24"/>
      <c r="AD126" s="24"/>
      <c r="AE126" s="24"/>
      <c r="AF126" s="26"/>
      <c r="AG126" s="26"/>
      <c r="AH126" s="24"/>
      <c r="AI126" s="26"/>
      <c r="AJ126" s="25"/>
      <c r="AK126" s="24"/>
      <c r="AL126" s="24"/>
      <c r="AM126" s="24"/>
      <c r="AN126" s="26"/>
      <c r="AO126" s="26"/>
      <c r="AP126" s="24"/>
      <c r="AQ126" s="24"/>
      <c r="AR126" s="24"/>
      <c r="AS126" s="28"/>
      <c r="AT126" s="28"/>
      <c r="AU126" s="28"/>
      <c r="AV126" s="28"/>
      <c r="AW126" s="28"/>
      <c r="AX126" s="28"/>
      <c r="AY126" s="28"/>
      <c r="AZ126" s="28"/>
      <c r="BA126" s="28"/>
      <c r="BB126" s="28"/>
      <c r="BC126" s="28"/>
      <c r="BD126" s="28"/>
      <c r="BE126" s="28"/>
      <c r="BF126" s="28"/>
      <c r="BG126" s="28"/>
      <c r="BH126" s="28"/>
      <c r="BI126" s="28"/>
      <c r="BJ126" s="24"/>
      <c r="BK126" s="28"/>
      <c r="BL126" s="28"/>
      <c r="BM126" s="28"/>
      <c r="BN126" s="28"/>
      <c r="BO126" s="28"/>
      <c r="BP126" s="28"/>
      <c r="BQ126" s="24"/>
      <c r="BR126" s="28"/>
      <c r="BS126" s="28"/>
      <c r="BT126" s="28"/>
      <c r="BU126" s="24"/>
      <c r="BV126" s="28"/>
      <c r="BW126" s="28"/>
      <c r="BX126" s="28"/>
    </row>
    <row r="127" spans="1:76">
      <c r="A127" s="24"/>
      <c r="B127" s="28"/>
      <c r="C127" s="25"/>
      <c r="D127" s="26"/>
      <c r="E127" s="24"/>
      <c r="F127" s="24"/>
      <c r="G127" s="26"/>
      <c r="H127" s="26"/>
      <c r="I127" s="26"/>
      <c r="J127" s="26"/>
      <c r="K127" s="26"/>
      <c r="L127" s="26"/>
      <c r="M127" s="26"/>
      <c r="N127" s="26"/>
      <c r="O127" s="26"/>
      <c r="P127" s="26"/>
      <c r="Q127" s="26"/>
      <c r="S127" s="26"/>
      <c r="T127" s="25"/>
      <c r="U127" s="24"/>
      <c r="V127" s="24"/>
      <c r="W127" s="24"/>
      <c r="X127" s="26"/>
      <c r="Y127" s="26"/>
      <c r="Z127" s="24"/>
      <c r="AA127" s="26"/>
      <c r="AB127" s="25"/>
      <c r="AC127" s="24"/>
      <c r="AD127" s="24"/>
      <c r="AE127" s="24"/>
      <c r="AF127" s="26"/>
      <c r="AG127" s="26"/>
      <c r="AH127" s="24"/>
      <c r="AI127" s="26"/>
      <c r="AJ127" s="25"/>
      <c r="AK127" s="24"/>
      <c r="AL127" s="24"/>
      <c r="AM127" s="24"/>
      <c r="AN127" s="26"/>
      <c r="AO127" s="26"/>
      <c r="AP127" s="24"/>
      <c r="AQ127" s="24"/>
      <c r="AR127" s="24"/>
      <c r="AS127" s="28"/>
      <c r="AT127" s="28"/>
      <c r="AU127" s="28"/>
      <c r="AV127" s="28"/>
      <c r="AW127" s="28"/>
      <c r="AX127" s="28"/>
      <c r="AY127" s="28"/>
      <c r="AZ127" s="28"/>
      <c r="BA127" s="28"/>
      <c r="BB127" s="28"/>
      <c r="BC127" s="28"/>
      <c r="BD127" s="28"/>
      <c r="BE127" s="28"/>
      <c r="BF127" s="28"/>
      <c r="BG127" s="28"/>
      <c r="BH127" s="28"/>
      <c r="BI127" s="28"/>
      <c r="BJ127" s="24"/>
      <c r="BK127" s="28"/>
      <c r="BL127" s="28"/>
      <c r="BM127" s="28"/>
      <c r="BN127" s="28"/>
      <c r="BO127" s="28"/>
      <c r="BP127" s="28"/>
      <c r="BQ127" s="24"/>
      <c r="BR127" s="28"/>
      <c r="BS127" s="28"/>
      <c r="BT127" s="28"/>
      <c r="BU127" s="24"/>
      <c r="BV127" s="28"/>
      <c r="BW127" s="28"/>
      <c r="BX127" s="28"/>
    </row>
    <row r="128" spans="1:76">
      <c r="A128" s="24"/>
      <c r="B128" s="28"/>
      <c r="C128" s="25"/>
      <c r="D128" s="26"/>
      <c r="E128" s="24"/>
      <c r="F128" s="24"/>
      <c r="G128" s="26"/>
      <c r="H128" s="26"/>
      <c r="I128" s="26"/>
      <c r="J128" s="26"/>
      <c r="K128" s="26"/>
      <c r="L128" s="26"/>
      <c r="M128" s="26"/>
      <c r="N128" s="26"/>
      <c r="O128" s="26"/>
      <c r="P128" s="26"/>
      <c r="Q128" s="26"/>
      <c r="S128" s="26"/>
      <c r="T128" s="25"/>
      <c r="U128" s="24"/>
      <c r="V128" s="24"/>
      <c r="W128" s="24"/>
      <c r="X128" s="26"/>
      <c r="Y128" s="26"/>
      <c r="Z128" s="24"/>
      <c r="AA128" s="26"/>
      <c r="AB128" s="25"/>
      <c r="AC128" s="24"/>
      <c r="AD128" s="24"/>
      <c r="AE128" s="24"/>
      <c r="AF128" s="26"/>
      <c r="AG128" s="26"/>
      <c r="AH128" s="24"/>
      <c r="AI128" s="26"/>
      <c r="AJ128" s="25"/>
      <c r="AK128" s="24"/>
      <c r="AL128" s="24"/>
      <c r="AM128" s="24"/>
      <c r="AN128" s="26"/>
      <c r="AO128" s="26"/>
      <c r="AP128" s="24"/>
      <c r="AQ128" s="24"/>
      <c r="AR128" s="24"/>
      <c r="AS128" s="28"/>
      <c r="AT128" s="28"/>
      <c r="AU128" s="28"/>
      <c r="AV128" s="28"/>
      <c r="AW128" s="28"/>
      <c r="AX128" s="28"/>
      <c r="AY128" s="28"/>
      <c r="AZ128" s="28"/>
      <c r="BA128" s="28"/>
      <c r="BB128" s="28"/>
      <c r="BC128" s="28"/>
      <c r="BD128" s="28"/>
      <c r="BE128" s="28"/>
      <c r="BF128" s="28"/>
      <c r="BG128" s="28"/>
      <c r="BH128" s="28"/>
      <c r="BI128" s="28"/>
      <c r="BJ128" s="24"/>
      <c r="BK128" s="28"/>
      <c r="BL128" s="28"/>
      <c r="BM128" s="28"/>
      <c r="BN128" s="28"/>
      <c r="BO128" s="28"/>
      <c r="BP128" s="28"/>
      <c r="BQ128" s="24"/>
      <c r="BR128" s="28"/>
      <c r="BS128" s="28"/>
      <c r="BT128" s="28"/>
      <c r="BU128" s="24"/>
      <c r="BV128" s="28"/>
      <c r="BW128" s="28"/>
      <c r="BX128" s="28"/>
    </row>
    <row r="129" spans="1:76">
      <c r="A129" s="24"/>
      <c r="B129" s="28"/>
      <c r="C129" s="25"/>
      <c r="D129" s="26"/>
      <c r="E129" s="24"/>
      <c r="F129" s="24"/>
      <c r="G129" s="26"/>
      <c r="H129" s="26"/>
      <c r="I129" s="26"/>
      <c r="J129" s="26"/>
      <c r="K129" s="26"/>
      <c r="L129" s="26"/>
      <c r="M129" s="26"/>
      <c r="N129" s="26"/>
      <c r="O129" s="26"/>
      <c r="P129" s="26"/>
      <c r="Q129" s="26"/>
      <c r="S129" s="26"/>
      <c r="T129" s="25"/>
      <c r="U129" s="24"/>
      <c r="V129" s="24"/>
      <c r="W129" s="24"/>
      <c r="X129" s="26"/>
      <c r="Y129" s="26"/>
      <c r="Z129" s="24"/>
      <c r="AA129" s="26"/>
      <c r="AB129" s="25"/>
      <c r="AC129" s="24"/>
      <c r="AD129" s="24"/>
      <c r="AE129" s="24"/>
      <c r="AF129" s="26"/>
      <c r="AG129" s="26"/>
      <c r="AH129" s="24"/>
      <c r="AI129" s="26"/>
      <c r="AJ129" s="25"/>
      <c r="AK129" s="24"/>
      <c r="AL129" s="24"/>
      <c r="AM129" s="24"/>
      <c r="AN129" s="26"/>
      <c r="AO129" s="26"/>
      <c r="AP129" s="24"/>
      <c r="AQ129" s="24"/>
      <c r="AR129" s="24"/>
      <c r="AS129" s="28"/>
      <c r="AT129" s="28"/>
      <c r="AU129" s="28"/>
      <c r="AV129" s="28"/>
      <c r="AW129" s="28"/>
      <c r="AX129" s="28"/>
      <c r="AY129" s="28"/>
      <c r="AZ129" s="28"/>
      <c r="BA129" s="28"/>
      <c r="BB129" s="28"/>
      <c r="BC129" s="28"/>
      <c r="BD129" s="28"/>
      <c r="BE129" s="28"/>
      <c r="BF129" s="28"/>
      <c r="BG129" s="28"/>
      <c r="BH129" s="28"/>
      <c r="BI129" s="28"/>
      <c r="BJ129" s="24"/>
      <c r="BK129" s="28"/>
      <c r="BL129" s="28"/>
      <c r="BM129" s="28"/>
      <c r="BN129" s="28"/>
      <c r="BO129" s="28"/>
      <c r="BP129" s="28"/>
      <c r="BQ129" s="24"/>
      <c r="BR129" s="28"/>
      <c r="BS129" s="28"/>
      <c r="BT129" s="28"/>
      <c r="BU129" s="24"/>
      <c r="BV129" s="28"/>
      <c r="BW129" s="28"/>
      <c r="BX129" s="28"/>
    </row>
    <row r="130" spans="1:76">
      <c r="A130" s="24"/>
      <c r="B130" s="28"/>
      <c r="C130" s="25"/>
      <c r="D130" s="26"/>
      <c r="E130" s="24"/>
      <c r="F130" s="24"/>
      <c r="G130" s="26"/>
      <c r="H130" s="26"/>
      <c r="I130" s="26"/>
      <c r="J130" s="26"/>
      <c r="K130" s="26"/>
      <c r="L130" s="26"/>
      <c r="M130" s="26"/>
      <c r="N130" s="26"/>
      <c r="O130" s="26"/>
      <c r="P130" s="26"/>
      <c r="Q130" s="26"/>
      <c r="S130" s="26"/>
      <c r="T130" s="25"/>
      <c r="U130" s="24"/>
      <c r="V130" s="24"/>
      <c r="W130" s="24"/>
      <c r="X130" s="26"/>
      <c r="Y130" s="26"/>
      <c r="Z130" s="24"/>
      <c r="AA130" s="26"/>
      <c r="AB130" s="25"/>
      <c r="AC130" s="24"/>
      <c r="AD130" s="24"/>
      <c r="AE130" s="24"/>
      <c r="AF130" s="26"/>
      <c r="AG130" s="26"/>
      <c r="AH130" s="24"/>
      <c r="AI130" s="26"/>
      <c r="AJ130" s="25"/>
      <c r="AK130" s="24"/>
      <c r="AL130" s="24"/>
      <c r="AM130" s="24"/>
      <c r="AN130" s="26"/>
      <c r="AO130" s="26"/>
      <c r="AP130" s="24"/>
      <c r="AQ130" s="24"/>
      <c r="AR130" s="24"/>
      <c r="AS130" s="28"/>
      <c r="AT130" s="28"/>
      <c r="AU130" s="28"/>
      <c r="AV130" s="28"/>
      <c r="AW130" s="28"/>
      <c r="AX130" s="28"/>
      <c r="AY130" s="28"/>
      <c r="AZ130" s="28"/>
      <c r="BA130" s="28"/>
      <c r="BB130" s="28"/>
      <c r="BC130" s="28"/>
      <c r="BD130" s="28"/>
      <c r="BE130" s="28"/>
      <c r="BF130" s="28"/>
      <c r="BG130" s="28"/>
      <c r="BH130" s="28"/>
      <c r="BI130" s="28"/>
      <c r="BJ130" s="24"/>
      <c r="BK130" s="28"/>
      <c r="BL130" s="28"/>
      <c r="BM130" s="28"/>
      <c r="BN130" s="28"/>
      <c r="BO130" s="28"/>
      <c r="BP130" s="28"/>
      <c r="BQ130" s="24"/>
      <c r="BR130" s="28"/>
      <c r="BS130" s="28"/>
      <c r="BT130" s="28"/>
      <c r="BU130" s="24"/>
      <c r="BV130" s="28"/>
      <c r="BW130" s="28"/>
      <c r="BX130" s="28"/>
    </row>
    <row r="131" spans="1:76">
      <c r="A131" s="24"/>
      <c r="B131" s="28"/>
      <c r="C131" s="25"/>
      <c r="D131" s="26"/>
      <c r="E131" s="24"/>
      <c r="F131" s="24"/>
      <c r="G131" s="26"/>
      <c r="H131" s="26"/>
      <c r="I131" s="26"/>
      <c r="J131" s="26"/>
      <c r="K131" s="26"/>
      <c r="L131" s="26"/>
      <c r="M131" s="26"/>
      <c r="N131" s="26"/>
      <c r="O131" s="26"/>
      <c r="P131" s="26"/>
      <c r="Q131" s="26"/>
      <c r="S131" s="26"/>
      <c r="T131" s="25"/>
      <c r="U131" s="24"/>
      <c r="V131" s="24"/>
      <c r="W131" s="24"/>
      <c r="X131" s="26"/>
      <c r="Y131" s="26"/>
      <c r="Z131" s="24"/>
      <c r="AA131" s="26"/>
      <c r="AB131" s="25"/>
      <c r="AC131" s="24"/>
      <c r="AD131" s="24"/>
      <c r="AE131" s="24"/>
      <c r="AF131" s="26"/>
      <c r="AG131" s="26"/>
      <c r="AH131" s="24"/>
      <c r="AI131" s="26"/>
      <c r="AJ131" s="25"/>
      <c r="AK131" s="24"/>
      <c r="AL131" s="24"/>
      <c r="AM131" s="24"/>
      <c r="AN131" s="26"/>
      <c r="AO131" s="26"/>
      <c r="AP131" s="24"/>
      <c r="AQ131" s="24"/>
      <c r="AR131" s="24"/>
      <c r="AS131" s="28"/>
      <c r="AT131" s="28"/>
      <c r="AU131" s="28"/>
      <c r="AV131" s="28"/>
      <c r="AW131" s="28"/>
      <c r="AX131" s="28"/>
      <c r="AY131" s="28"/>
      <c r="AZ131" s="28"/>
      <c r="BA131" s="28"/>
      <c r="BB131" s="28"/>
      <c r="BC131" s="28"/>
      <c r="BD131" s="28"/>
      <c r="BE131" s="28"/>
      <c r="BF131" s="28"/>
      <c r="BG131" s="28"/>
      <c r="BH131" s="28"/>
      <c r="BI131" s="28"/>
      <c r="BJ131" s="24"/>
      <c r="BK131" s="28"/>
      <c r="BL131" s="28"/>
      <c r="BM131" s="28"/>
      <c r="BN131" s="28"/>
      <c r="BO131" s="28"/>
      <c r="BP131" s="28"/>
      <c r="BQ131" s="24"/>
      <c r="BR131" s="28"/>
      <c r="BS131" s="28"/>
      <c r="BT131" s="28"/>
      <c r="BU131" s="24"/>
      <c r="BV131" s="28"/>
      <c r="BW131" s="28"/>
      <c r="BX131" s="28"/>
    </row>
    <row r="132" spans="1:76">
      <c r="A132" s="24"/>
      <c r="B132" s="28"/>
      <c r="C132" s="25"/>
      <c r="D132" s="26"/>
      <c r="E132" s="24"/>
      <c r="F132" s="24"/>
      <c r="G132" s="26"/>
      <c r="H132" s="26"/>
      <c r="I132" s="26"/>
      <c r="J132" s="26"/>
      <c r="K132" s="26"/>
      <c r="L132" s="26"/>
      <c r="M132" s="26"/>
      <c r="N132" s="26"/>
      <c r="O132" s="26"/>
      <c r="P132" s="26"/>
      <c r="Q132" s="26"/>
      <c r="S132" s="26"/>
      <c r="T132" s="25"/>
      <c r="U132" s="24"/>
      <c r="V132" s="24"/>
      <c r="W132" s="24"/>
      <c r="X132" s="26"/>
      <c r="Y132" s="26"/>
      <c r="Z132" s="24"/>
      <c r="AA132" s="26"/>
      <c r="AB132" s="25"/>
      <c r="AC132" s="24"/>
      <c r="AD132" s="24"/>
      <c r="AE132" s="24"/>
      <c r="AF132" s="26"/>
      <c r="AG132" s="26"/>
      <c r="AH132" s="24"/>
      <c r="AI132" s="26"/>
      <c r="AJ132" s="25"/>
      <c r="AK132" s="24"/>
      <c r="AL132" s="24"/>
      <c r="AM132" s="24"/>
      <c r="AN132" s="26"/>
      <c r="AO132" s="26"/>
      <c r="AP132" s="24"/>
      <c r="AQ132" s="24"/>
      <c r="AR132" s="24"/>
      <c r="AS132" s="28"/>
      <c r="AT132" s="28"/>
      <c r="AU132" s="28"/>
      <c r="AV132" s="28"/>
      <c r="AW132" s="28"/>
      <c r="AX132" s="28"/>
      <c r="AY132" s="28"/>
      <c r="AZ132" s="28"/>
      <c r="BA132" s="28"/>
      <c r="BB132" s="28"/>
      <c r="BC132" s="28"/>
      <c r="BD132" s="28"/>
      <c r="BE132" s="28"/>
      <c r="BF132" s="28"/>
      <c r="BG132" s="28"/>
      <c r="BH132" s="28"/>
      <c r="BI132" s="28"/>
      <c r="BJ132" s="24"/>
      <c r="BK132" s="28"/>
      <c r="BL132" s="28"/>
      <c r="BM132" s="28"/>
      <c r="BN132" s="28"/>
      <c r="BO132" s="28"/>
      <c r="BP132" s="28"/>
      <c r="BQ132" s="24"/>
      <c r="BR132" s="28"/>
      <c r="BS132" s="28"/>
      <c r="BT132" s="28"/>
      <c r="BU132" s="24"/>
      <c r="BV132" s="28"/>
      <c r="BW132" s="28"/>
      <c r="BX132" s="28"/>
    </row>
    <row r="133" spans="1:76">
      <c r="A133" s="24"/>
      <c r="B133" s="28"/>
      <c r="C133" s="25"/>
      <c r="D133" s="26"/>
      <c r="E133" s="24"/>
      <c r="F133" s="24"/>
      <c r="G133" s="26"/>
      <c r="H133" s="26"/>
      <c r="I133" s="26"/>
      <c r="J133" s="26"/>
      <c r="K133" s="26"/>
      <c r="L133" s="26"/>
      <c r="M133" s="26"/>
      <c r="N133" s="26"/>
      <c r="O133" s="26"/>
      <c r="P133" s="26"/>
      <c r="Q133" s="26"/>
      <c r="S133" s="26"/>
      <c r="T133" s="25"/>
      <c r="U133" s="24"/>
      <c r="V133" s="24"/>
      <c r="W133" s="24"/>
      <c r="X133" s="26"/>
      <c r="Y133" s="26"/>
      <c r="Z133" s="24"/>
      <c r="AA133" s="26"/>
      <c r="AB133" s="25"/>
      <c r="AC133" s="24"/>
      <c r="AD133" s="24"/>
      <c r="AE133" s="24"/>
      <c r="AF133" s="26"/>
      <c r="AG133" s="26"/>
      <c r="AH133" s="24"/>
      <c r="AI133" s="26"/>
      <c r="AJ133" s="25"/>
      <c r="AK133" s="24"/>
      <c r="AL133" s="24"/>
      <c r="AM133" s="24"/>
      <c r="AN133" s="26"/>
      <c r="AO133" s="26"/>
      <c r="AP133" s="24"/>
      <c r="AQ133" s="24"/>
      <c r="AR133" s="24"/>
      <c r="AS133" s="28"/>
      <c r="AT133" s="28"/>
      <c r="AU133" s="28"/>
      <c r="AV133" s="28"/>
      <c r="AW133" s="28"/>
      <c r="AX133" s="28"/>
      <c r="AY133" s="28"/>
      <c r="AZ133" s="28"/>
      <c r="BA133" s="28"/>
      <c r="BB133" s="28"/>
      <c r="BC133" s="28"/>
      <c r="BD133" s="28"/>
      <c r="BE133" s="28"/>
      <c r="BF133" s="28"/>
      <c r="BG133" s="28"/>
      <c r="BH133" s="28"/>
      <c r="BI133" s="28"/>
      <c r="BJ133" s="24"/>
      <c r="BK133" s="28"/>
      <c r="BL133" s="28"/>
      <c r="BM133" s="28"/>
      <c r="BN133" s="28"/>
      <c r="BO133" s="28"/>
      <c r="BP133" s="28"/>
      <c r="BQ133" s="24"/>
      <c r="BR133" s="28"/>
      <c r="BS133" s="28"/>
      <c r="BT133" s="28"/>
      <c r="BU133" s="24"/>
      <c r="BV133" s="28"/>
      <c r="BW133" s="28"/>
      <c r="BX133" s="28"/>
    </row>
    <row r="134" spans="1:76">
      <c r="A134" s="24"/>
      <c r="B134" s="28"/>
      <c r="C134" s="25"/>
      <c r="D134" s="26"/>
      <c r="E134" s="24"/>
      <c r="F134" s="24"/>
      <c r="G134" s="26"/>
      <c r="H134" s="26"/>
      <c r="I134" s="26"/>
      <c r="J134" s="26"/>
      <c r="K134" s="26"/>
      <c r="L134" s="26"/>
      <c r="M134" s="26"/>
      <c r="N134" s="26"/>
      <c r="O134" s="26"/>
      <c r="P134" s="26"/>
      <c r="Q134" s="26"/>
      <c r="S134" s="26"/>
      <c r="T134" s="25"/>
      <c r="U134" s="24"/>
      <c r="V134" s="24"/>
      <c r="W134" s="24"/>
      <c r="X134" s="26"/>
      <c r="Y134" s="26"/>
      <c r="Z134" s="24"/>
      <c r="AA134" s="26"/>
      <c r="AB134" s="25"/>
      <c r="AC134" s="24"/>
      <c r="AD134" s="24"/>
      <c r="AE134" s="24"/>
      <c r="AF134" s="26"/>
      <c r="AG134" s="26"/>
      <c r="AH134" s="24"/>
      <c r="AI134" s="26"/>
      <c r="AJ134" s="25"/>
      <c r="AK134" s="24"/>
      <c r="AL134" s="24"/>
      <c r="AM134" s="24"/>
      <c r="AN134" s="26"/>
      <c r="AO134" s="26"/>
      <c r="AP134" s="24"/>
      <c r="AQ134" s="24"/>
      <c r="AR134" s="24"/>
      <c r="AS134" s="28"/>
      <c r="AT134" s="28"/>
      <c r="AU134" s="28"/>
      <c r="AV134" s="28"/>
      <c r="AW134" s="28"/>
      <c r="AX134" s="28"/>
      <c r="AY134" s="28"/>
      <c r="AZ134" s="28"/>
      <c r="BA134" s="28"/>
      <c r="BB134" s="28"/>
      <c r="BC134" s="28"/>
      <c r="BD134" s="28"/>
      <c r="BE134" s="28"/>
      <c r="BF134" s="28"/>
      <c r="BG134" s="28"/>
      <c r="BH134" s="28"/>
      <c r="BI134" s="28"/>
      <c r="BJ134" s="24"/>
      <c r="BK134" s="28"/>
      <c r="BL134" s="28"/>
      <c r="BM134" s="28"/>
      <c r="BN134" s="28"/>
      <c r="BO134" s="28"/>
      <c r="BP134" s="28"/>
      <c r="BQ134" s="24"/>
      <c r="BR134" s="28"/>
      <c r="BS134" s="28"/>
      <c r="BT134" s="28"/>
      <c r="BU134" s="24"/>
      <c r="BV134" s="28"/>
      <c r="BW134" s="28"/>
      <c r="BX134" s="28"/>
    </row>
    <row r="135" spans="1:76">
      <c r="A135" s="24"/>
      <c r="B135" s="28"/>
      <c r="C135" s="25"/>
      <c r="D135" s="26"/>
      <c r="E135" s="24"/>
      <c r="F135" s="24"/>
      <c r="G135" s="26"/>
      <c r="H135" s="26"/>
      <c r="I135" s="26"/>
      <c r="J135" s="26"/>
      <c r="K135" s="26"/>
      <c r="L135" s="26"/>
      <c r="M135" s="26"/>
      <c r="N135" s="26"/>
      <c r="O135" s="26"/>
      <c r="P135" s="26"/>
      <c r="Q135" s="26"/>
      <c r="S135" s="26"/>
      <c r="T135" s="25"/>
      <c r="U135" s="24"/>
      <c r="V135" s="24"/>
      <c r="W135" s="24"/>
      <c r="X135" s="26"/>
      <c r="Y135" s="26"/>
      <c r="Z135" s="24"/>
      <c r="AA135" s="26"/>
      <c r="AB135" s="25"/>
      <c r="AC135" s="24"/>
      <c r="AD135" s="24"/>
      <c r="AE135" s="24"/>
      <c r="AF135" s="26"/>
      <c r="AG135" s="26"/>
      <c r="AH135" s="24"/>
      <c r="AI135" s="26"/>
      <c r="AJ135" s="25"/>
      <c r="AK135" s="24"/>
      <c r="AL135" s="24"/>
      <c r="AM135" s="24"/>
      <c r="AN135" s="26"/>
      <c r="AO135" s="26"/>
      <c r="AP135" s="24"/>
      <c r="AQ135" s="24"/>
      <c r="AR135" s="24"/>
      <c r="AS135" s="28"/>
      <c r="AT135" s="28"/>
      <c r="AU135" s="28"/>
      <c r="AV135" s="28"/>
      <c r="AW135" s="28"/>
      <c r="AX135" s="28"/>
      <c r="AY135" s="28"/>
      <c r="AZ135" s="28"/>
      <c r="BA135" s="28"/>
      <c r="BB135" s="28"/>
      <c r="BC135" s="28"/>
      <c r="BD135" s="28"/>
      <c r="BE135" s="28"/>
      <c r="BF135" s="28"/>
      <c r="BG135" s="28"/>
      <c r="BH135" s="28"/>
      <c r="BI135" s="28"/>
      <c r="BJ135" s="24"/>
      <c r="BK135" s="28"/>
      <c r="BL135" s="28"/>
      <c r="BM135" s="28"/>
      <c r="BN135" s="28"/>
      <c r="BO135" s="28"/>
      <c r="BP135" s="28"/>
      <c r="BQ135" s="24"/>
      <c r="BR135" s="28"/>
      <c r="BS135" s="28"/>
      <c r="BT135" s="28"/>
      <c r="BU135" s="24"/>
      <c r="BV135" s="28"/>
      <c r="BW135" s="28"/>
      <c r="BX135" s="28"/>
    </row>
    <row r="136" spans="1:76">
      <c r="A136" s="24"/>
      <c r="B136" s="28"/>
      <c r="C136" s="25"/>
      <c r="D136" s="26"/>
      <c r="E136" s="24"/>
      <c r="F136" s="24"/>
      <c r="G136" s="26"/>
      <c r="H136" s="26"/>
      <c r="I136" s="26"/>
      <c r="J136" s="26"/>
      <c r="K136" s="26"/>
      <c r="L136" s="26"/>
      <c r="M136" s="26"/>
      <c r="N136" s="26"/>
      <c r="O136" s="26"/>
      <c r="P136" s="26"/>
      <c r="Q136" s="26"/>
      <c r="S136" s="26"/>
      <c r="T136" s="25"/>
      <c r="U136" s="24"/>
      <c r="V136" s="24"/>
      <c r="W136" s="24"/>
      <c r="X136" s="26"/>
      <c r="Y136" s="26"/>
      <c r="Z136" s="24"/>
      <c r="AA136" s="26"/>
      <c r="AB136" s="25"/>
      <c r="AC136" s="24"/>
      <c r="AD136" s="24"/>
      <c r="AE136" s="24"/>
      <c r="AF136" s="26"/>
      <c r="AG136" s="26"/>
      <c r="AH136" s="24"/>
      <c r="AI136" s="26"/>
      <c r="AJ136" s="25"/>
      <c r="AK136" s="24"/>
      <c r="AL136" s="24"/>
      <c r="AM136" s="24"/>
      <c r="AN136" s="26"/>
      <c r="AO136" s="26"/>
      <c r="AP136" s="24"/>
      <c r="AQ136" s="24"/>
      <c r="AR136" s="24"/>
      <c r="AS136" s="28"/>
      <c r="AT136" s="28"/>
      <c r="AU136" s="28"/>
      <c r="AV136" s="28"/>
      <c r="AW136" s="28"/>
      <c r="AX136" s="28"/>
      <c r="AY136" s="28"/>
      <c r="AZ136" s="28"/>
      <c r="BA136" s="28"/>
      <c r="BB136" s="28"/>
      <c r="BC136" s="28"/>
      <c r="BD136" s="28"/>
      <c r="BE136" s="28"/>
      <c r="BF136" s="28"/>
      <c r="BG136" s="28"/>
      <c r="BH136" s="28"/>
      <c r="BI136" s="28"/>
      <c r="BJ136" s="24"/>
      <c r="BK136" s="28"/>
      <c r="BL136" s="28"/>
      <c r="BM136" s="28"/>
      <c r="BN136" s="28"/>
      <c r="BO136" s="28"/>
      <c r="BP136" s="28"/>
      <c r="BQ136" s="24"/>
      <c r="BR136" s="28"/>
      <c r="BS136" s="28"/>
      <c r="BT136" s="28"/>
      <c r="BU136" s="24"/>
      <c r="BV136" s="28"/>
      <c r="BW136" s="28"/>
      <c r="BX136" s="28"/>
    </row>
    <row r="137" spans="1:76">
      <c r="A137" s="24"/>
      <c r="B137" s="28"/>
      <c r="C137" s="25"/>
      <c r="D137" s="26"/>
      <c r="E137" s="24"/>
      <c r="F137" s="24"/>
      <c r="G137" s="26"/>
      <c r="H137" s="26"/>
      <c r="I137" s="26"/>
      <c r="J137" s="26"/>
      <c r="K137" s="26"/>
      <c r="L137" s="26"/>
      <c r="M137" s="26"/>
      <c r="N137" s="26"/>
      <c r="O137" s="26"/>
      <c r="P137" s="26"/>
      <c r="Q137" s="26"/>
      <c r="S137" s="26"/>
      <c r="T137" s="25"/>
      <c r="U137" s="24"/>
      <c r="V137" s="24"/>
      <c r="W137" s="24"/>
      <c r="X137" s="26"/>
      <c r="Y137" s="26"/>
      <c r="Z137" s="24"/>
      <c r="AA137" s="26"/>
      <c r="AB137" s="25"/>
      <c r="AC137" s="24"/>
      <c r="AD137" s="24"/>
      <c r="AE137" s="24"/>
      <c r="AF137" s="26"/>
      <c r="AG137" s="26"/>
      <c r="AH137" s="24"/>
      <c r="AI137" s="26"/>
      <c r="AJ137" s="25"/>
      <c r="AK137" s="24"/>
      <c r="AL137" s="24"/>
      <c r="AM137" s="24"/>
      <c r="AN137" s="26"/>
      <c r="AO137" s="26"/>
      <c r="AP137" s="24"/>
      <c r="AQ137" s="24"/>
      <c r="AR137" s="24"/>
      <c r="AS137" s="28"/>
      <c r="AT137" s="28"/>
      <c r="AU137" s="28"/>
      <c r="AV137" s="28"/>
      <c r="AW137" s="28"/>
      <c r="AX137" s="28"/>
      <c r="AY137" s="28"/>
      <c r="AZ137" s="28"/>
      <c r="BA137" s="28"/>
      <c r="BB137" s="28"/>
      <c r="BC137" s="28"/>
      <c r="BD137" s="28"/>
      <c r="BE137" s="28"/>
      <c r="BF137" s="28"/>
      <c r="BG137" s="28"/>
      <c r="BH137" s="28"/>
      <c r="BI137" s="28"/>
      <c r="BJ137" s="24"/>
      <c r="BK137" s="28"/>
      <c r="BL137" s="28"/>
      <c r="BM137" s="28"/>
      <c r="BN137" s="28"/>
      <c r="BO137" s="28"/>
      <c r="BP137" s="28"/>
      <c r="BQ137" s="24"/>
      <c r="BR137" s="28"/>
      <c r="BS137" s="28"/>
      <c r="BT137" s="28"/>
      <c r="BU137" s="24"/>
      <c r="BV137" s="28"/>
      <c r="BW137" s="28"/>
      <c r="BX137" s="28"/>
    </row>
    <row r="138" spans="1:76">
      <c r="A138" s="24"/>
      <c r="B138" s="28"/>
      <c r="C138" s="25"/>
      <c r="D138" s="26"/>
      <c r="E138" s="24"/>
      <c r="F138" s="24"/>
      <c r="G138" s="26"/>
      <c r="H138" s="26"/>
      <c r="I138" s="26"/>
      <c r="J138" s="26"/>
      <c r="K138" s="26"/>
      <c r="L138" s="26"/>
      <c r="M138" s="26"/>
      <c r="N138" s="26"/>
      <c r="O138" s="26"/>
      <c r="P138" s="26"/>
      <c r="Q138" s="26"/>
      <c r="S138" s="26"/>
      <c r="T138" s="25"/>
      <c r="U138" s="24"/>
      <c r="V138" s="24"/>
      <c r="W138" s="24"/>
      <c r="X138" s="26"/>
      <c r="Y138" s="26"/>
      <c r="Z138" s="24"/>
      <c r="AA138" s="26"/>
      <c r="AB138" s="25"/>
      <c r="AC138" s="24"/>
      <c r="AD138" s="24"/>
      <c r="AE138" s="24"/>
      <c r="AF138" s="26"/>
      <c r="AG138" s="26"/>
      <c r="AH138" s="24"/>
      <c r="AI138" s="26"/>
      <c r="AJ138" s="25"/>
      <c r="AK138" s="24"/>
      <c r="AL138" s="24"/>
      <c r="AM138" s="24"/>
      <c r="AN138" s="26"/>
      <c r="AO138" s="26"/>
      <c r="AP138" s="24"/>
      <c r="AQ138" s="24"/>
      <c r="AR138" s="24"/>
      <c r="AS138" s="28"/>
      <c r="AT138" s="28"/>
      <c r="AU138" s="28"/>
      <c r="AV138" s="28"/>
      <c r="AW138" s="28"/>
      <c r="AX138" s="28"/>
      <c r="AY138" s="28"/>
      <c r="AZ138" s="28"/>
      <c r="BA138" s="28"/>
      <c r="BB138" s="28"/>
      <c r="BC138" s="28"/>
      <c r="BD138" s="28"/>
      <c r="BE138" s="28"/>
      <c r="BF138" s="28"/>
      <c r="BG138" s="28"/>
      <c r="BH138" s="28"/>
      <c r="BI138" s="28"/>
      <c r="BJ138" s="24"/>
      <c r="BK138" s="28"/>
      <c r="BL138" s="28"/>
      <c r="BM138" s="28"/>
      <c r="BN138" s="28"/>
      <c r="BO138" s="28"/>
      <c r="BP138" s="28"/>
      <c r="BQ138" s="24"/>
      <c r="BR138" s="28"/>
      <c r="BS138" s="28"/>
      <c r="BT138" s="28"/>
      <c r="BU138" s="24"/>
      <c r="BV138" s="28"/>
      <c r="BW138" s="28"/>
      <c r="BX138" s="28"/>
    </row>
    <row r="139" spans="1:76">
      <c r="A139" s="24"/>
      <c r="B139" s="28"/>
      <c r="C139" s="25"/>
      <c r="D139" s="26"/>
      <c r="E139" s="24"/>
      <c r="F139" s="24"/>
      <c r="G139" s="26"/>
      <c r="H139" s="26"/>
      <c r="I139" s="26"/>
      <c r="J139" s="26"/>
      <c r="K139" s="26"/>
      <c r="L139" s="26"/>
      <c r="M139" s="26"/>
      <c r="N139" s="26"/>
      <c r="O139" s="26"/>
      <c r="P139" s="26"/>
      <c r="Q139" s="26"/>
      <c r="S139" s="26"/>
      <c r="T139" s="25"/>
      <c r="U139" s="24"/>
      <c r="V139" s="24"/>
      <c r="W139" s="24"/>
      <c r="X139" s="26"/>
      <c r="Y139" s="26"/>
      <c r="Z139" s="24"/>
      <c r="AA139" s="26"/>
      <c r="AB139" s="25"/>
      <c r="AC139" s="24"/>
      <c r="AD139" s="24"/>
      <c r="AE139" s="24"/>
      <c r="AF139" s="26"/>
      <c r="AG139" s="26"/>
      <c r="AH139" s="24"/>
      <c r="AI139" s="26"/>
      <c r="AJ139" s="25"/>
      <c r="AK139" s="24"/>
      <c r="AL139" s="24"/>
      <c r="AM139" s="24"/>
      <c r="AN139" s="26"/>
      <c r="AO139" s="26"/>
      <c r="AP139" s="24"/>
      <c r="AQ139" s="24"/>
      <c r="AR139" s="24"/>
      <c r="AS139" s="28"/>
      <c r="AT139" s="28"/>
      <c r="AU139" s="28"/>
      <c r="AV139" s="28"/>
      <c r="AW139" s="28"/>
      <c r="AX139" s="28"/>
      <c r="AY139" s="28"/>
      <c r="AZ139" s="28"/>
      <c r="BA139" s="28"/>
      <c r="BB139" s="28"/>
      <c r="BC139" s="28"/>
      <c r="BD139" s="28"/>
      <c r="BE139" s="28"/>
      <c r="BF139" s="28"/>
      <c r="BG139" s="28"/>
      <c r="BH139" s="28"/>
      <c r="BI139" s="28"/>
      <c r="BJ139" s="24"/>
      <c r="BK139" s="28"/>
      <c r="BL139" s="28"/>
      <c r="BM139" s="28"/>
      <c r="BN139" s="28"/>
      <c r="BO139" s="28"/>
      <c r="BP139" s="28"/>
      <c r="BQ139" s="24"/>
      <c r="BR139" s="28"/>
      <c r="BS139" s="28"/>
      <c r="BT139" s="28"/>
      <c r="BU139" s="24"/>
      <c r="BV139" s="28"/>
      <c r="BW139" s="28"/>
      <c r="BX139" s="28"/>
    </row>
    <row r="140" spans="1:76">
      <c r="A140" s="24"/>
      <c r="B140" s="28"/>
      <c r="C140" s="25"/>
      <c r="D140" s="26"/>
      <c r="E140" s="24"/>
      <c r="F140" s="24"/>
      <c r="G140" s="26"/>
      <c r="H140" s="26"/>
      <c r="I140" s="26"/>
      <c r="J140" s="26"/>
      <c r="K140" s="26"/>
      <c r="L140" s="26"/>
      <c r="M140" s="26"/>
      <c r="N140" s="26"/>
      <c r="O140" s="26"/>
      <c r="P140" s="26"/>
      <c r="Q140" s="26"/>
      <c r="S140" s="26"/>
      <c r="T140" s="25"/>
      <c r="U140" s="24"/>
      <c r="V140" s="24"/>
      <c r="W140" s="24"/>
      <c r="X140" s="26"/>
      <c r="Y140" s="26"/>
      <c r="Z140" s="24"/>
      <c r="AA140" s="26"/>
      <c r="AB140" s="25"/>
      <c r="AC140" s="24"/>
      <c r="AD140" s="24"/>
      <c r="AE140" s="24"/>
      <c r="AF140" s="26"/>
      <c r="AG140" s="26"/>
      <c r="AH140" s="24"/>
      <c r="AI140" s="26"/>
      <c r="AJ140" s="25"/>
      <c r="AK140" s="24"/>
      <c r="AL140" s="24"/>
      <c r="AM140" s="24"/>
      <c r="AN140" s="26"/>
      <c r="AO140" s="26"/>
      <c r="AP140" s="24"/>
      <c r="AQ140" s="24"/>
      <c r="AR140" s="24"/>
      <c r="AS140" s="28"/>
      <c r="AT140" s="28"/>
      <c r="AU140" s="28"/>
      <c r="AV140" s="28"/>
      <c r="AW140" s="28"/>
      <c r="AX140" s="28"/>
      <c r="AY140" s="28"/>
      <c r="AZ140" s="28"/>
      <c r="BA140" s="28"/>
      <c r="BB140" s="28"/>
      <c r="BC140" s="28"/>
      <c r="BD140" s="28"/>
      <c r="BE140" s="28"/>
      <c r="BF140" s="28"/>
      <c r="BG140" s="28"/>
      <c r="BH140" s="28"/>
      <c r="BI140" s="28"/>
      <c r="BJ140" s="24"/>
      <c r="BK140" s="28"/>
      <c r="BL140" s="28"/>
      <c r="BM140" s="28"/>
      <c r="BN140" s="28"/>
      <c r="BO140" s="28"/>
      <c r="BP140" s="28"/>
      <c r="BQ140" s="24"/>
      <c r="BR140" s="28"/>
      <c r="BS140" s="28"/>
      <c r="BT140" s="28"/>
      <c r="BU140" s="24"/>
      <c r="BV140" s="28"/>
      <c r="BW140" s="28"/>
      <c r="BX140" s="28"/>
    </row>
    <row r="141" spans="1:76">
      <c r="A141" s="24"/>
      <c r="B141" s="28"/>
      <c r="C141" s="25"/>
      <c r="D141" s="26"/>
      <c r="E141" s="24"/>
      <c r="F141" s="24"/>
      <c r="G141" s="26"/>
      <c r="H141" s="26"/>
      <c r="I141" s="26"/>
      <c r="J141" s="26"/>
      <c r="K141" s="26"/>
      <c r="L141" s="26"/>
      <c r="M141" s="26"/>
      <c r="N141" s="26"/>
      <c r="O141" s="26"/>
      <c r="P141" s="26"/>
      <c r="Q141" s="26"/>
      <c r="S141" s="26"/>
      <c r="T141" s="25"/>
      <c r="U141" s="24"/>
      <c r="V141" s="24"/>
      <c r="W141" s="24"/>
      <c r="X141" s="26"/>
      <c r="Y141" s="26"/>
      <c r="Z141" s="24"/>
      <c r="AA141" s="26"/>
      <c r="AB141" s="25"/>
      <c r="AC141" s="24"/>
      <c r="AD141" s="24"/>
      <c r="AE141" s="24"/>
      <c r="AF141" s="26"/>
      <c r="AG141" s="26"/>
      <c r="AH141" s="24"/>
      <c r="AI141" s="26"/>
      <c r="AJ141" s="25"/>
      <c r="AK141" s="24"/>
      <c r="AL141" s="24"/>
      <c r="AM141" s="24"/>
      <c r="AN141" s="26"/>
      <c r="AO141" s="26"/>
      <c r="AP141" s="24"/>
      <c r="AQ141" s="24"/>
      <c r="AR141" s="24"/>
      <c r="AS141" s="28"/>
      <c r="AT141" s="28"/>
      <c r="AU141" s="28"/>
      <c r="AV141" s="28"/>
      <c r="AW141" s="28"/>
      <c r="AX141" s="28"/>
      <c r="AY141" s="28"/>
      <c r="AZ141" s="28"/>
      <c r="BA141" s="28"/>
      <c r="BB141" s="28"/>
      <c r="BC141" s="28"/>
      <c r="BD141" s="28"/>
      <c r="BE141" s="28"/>
      <c r="BF141" s="28"/>
      <c r="BG141" s="28"/>
      <c r="BH141" s="28"/>
      <c r="BI141" s="28"/>
      <c r="BJ141" s="24"/>
      <c r="BK141" s="28"/>
      <c r="BL141" s="28"/>
      <c r="BM141" s="28"/>
      <c r="BN141" s="28"/>
      <c r="BO141" s="28"/>
      <c r="BP141" s="28"/>
      <c r="BQ141" s="24"/>
      <c r="BR141" s="28"/>
      <c r="BS141" s="28"/>
      <c r="BT141" s="28"/>
      <c r="BU141" s="24"/>
      <c r="BV141" s="28"/>
      <c r="BW141" s="28"/>
      <c r="BX141" s="28"/>
    </row>
    <row r="142" spans="1:76">
      <c r="A142" s="24"/>
      <c r="B142" s="28"/>
      <c r="C142" s="25"/>
      <c r="D142" s="26"/>
      <c r="E142" s="24"/>
      <c r="F142" s="24"/>
      <c r="G142" s="26"/>
      <c r="H142" s="26"/>
      <c r="I142" s="26"/>
      <c r="J142" s="26"/>
      <c r="K142" s="26"/>
      <c r="L142" s="26"/>
      <c r="M142" s="26"/>
      <c r="N142" s="26"/>
      <c r="O142" s="26"/>
      <c r="P142" s="26"/>
      <c r="Q142" s="26"/>
      <c r="S142" s="26"/>
      <c r="T142" s="25"/>
      <c r="U142" s="24"/>
      <c r="V142" s="24"/>
      <c r="W142" s="24"/>
      <c r="X142" s="26"/>
      <c r="Y142" s="26"/>
      <c r="Z142" s="24"/>
      <c r="AA142" s="26"/>
      <c r="AB142" s="25"/>
      <c r="AC142" s="24"/>
      <c r="AD142" s="24"/>
      <c r="AE142" s="24"/>
      <c r="AF142" s="26"/>
      <c r="AG142" s="26"/>
      <c r="AH142" s="24"/>
      <c r="AI142" s="26"/>
      <c r="AJ142" s="25"/>
      <c r="AK142" s="24"/>
      <c r="AL142" s="24"/>
      <c r="AM142" s="24"/>
      <c r="AN142" s="26"/>
      <c r="AO142" s="26"/>
      <c r="AP142" s="24"/>
      <c r="AQ142" s="24"/>
      <c r="AR142" s="24"/>
      <c r="AS142" s="28"/>
      <c r="AT142" s="28"/>
      <c r="AU142" s="28"/>
      <c r="AV142" s="28"/>
      <c r="AW142" s="28"/>
      <c r="AX142" s="28"/>
      <c r="AY142" s="28"/>
      <c r="AZ142" s="28"/>
      <c r="BA142" s="28"/>
      <c r="BB142" s="28"/>
      <c r="BC142" s="28"/>
      <c r="BD142" s="28"/>
      <c r="BE142" s="28"/>
      <c r="BF142" s="28"/>
      <c r="BG142" s="28"/>
      <c r="BH142" s="28"/>
      <c r="BI142" s="28"/>
      <c r="BJ142" s="24"/>
      <c r="BK142" s="28"/>
      <c r="BL142" s="28"/>
      <c r="BM142" s="28"/>
      <c r="BN142" s="28"/>
      <c r="BO142" s="28"/>
      <c r="BP142" s="28"/>
      <c r="BQ142" s="24"/>
      <c r="BR142" s="28"/>
      <c r="BS142" s="28"/>
      <c r="BT142" s="28"/>
      <c r="BU142" s="24"/>
      <c r="BV142" s="28"/>
      <c r="BW142" s="28"/>
      <c r="BX142" s="28"/>
    </row>
    <row r="143" spans="1:76">
      <c r="A143" s="24"/>
      <c r="B143" s="28"/>
      <c r="C143" s="25"/>
      <c r="D143" s="26"/>
      <c r="E143" s="24"/>
      <c r="F143" s="24"/>
      <c r="G143" s="26"/>
      <c r="H143" s="26"/>
      <c r="I143" s="26"/>
      <c r="J143" s="26"/>
      <c r="K143" s="26"/>
      <c r="L143" s="26"/>
      <c r="M143" s="26"/>
      <c r="N143" s="26"/>
      <c r="O143" s="26"/>
      <c r="P143" s="26"/>
      <c r="Q143" s="26"/>
      <c r="S143" s="26"/>
      <c r="T143" s="25"/>
      <c r="U143" s="24"/>
      <c r="V143" s="24"/>
      <c r="W143" s="24"/>
      <c r="X143" s="26"/>
      <c r="Y143" s="26"/>
      <c r="Z143" s="24"/>
      <c r="AA143" s="26"/>
      <c r="AB143" s="25"/>
      <c r="AC143" s="24"/>
      <c r="AD143" s="24"/>
      <c r="AE143" s="24"/>
      <c r="AF143" s="26"/>
      <c r="AG143" s="26"/>
      <c r="AH143" s="24"/>
      <c r="AI143" s="26"/>
      <c r="AJ143" s="25"/>
      <c r="AK143" s="24"/>
      <c r="AL143" s="24"/>
      <c r="AM143" s="24"/>
      <c r="AN143" s="26"/>
      <c r="AO143" s="26"/>
      <c r="AP143" s="24"/>
      <c r="AQ143" s="24"/>
      <c r="AR143" s="24"/>
      <c r="AS143" s="28"/>
      <c r="AT143" s="28"/>
      <c r="AU143" s="28"/>
      <c r="AV143" s="28"/>
      <c r="AW143" s="28"/>
      <c r="AX143" s="28"/>
      <c r="AY143" s="28"/>
      <c r="AZ143" s="28"/>
      <c r="BA143" s="28"/>
      <c r="BB143" s="28"/>
      <c r="BC143" s="28"/>
      <c r="BD143" s="28"/>
      <c r="BE143" s="28"/>
      <c r="BF143" s="28"/>
      <c r="BG143" s="28"/>
      <c r="BH143" s="28"/>
      <c r="BI143" s="28"/>
      <c r="BJ143" s="24"/>
      <c r="BK143" s="28"/>
      <c r="BL143" s="28"/>
      <c r="BM143" s="28"/>
      <c r="BN143" s="28"/>
      <c r="BO143" s="28"/>
      <c r="BP143" s="28"/>
      <c r="BQ143" s="24"/>
      <c r="BR143" s="28"/>
      <c r="BS143" s="28"/>
      <c r="BT143" s="28"/>
      <c r="BU143" s="24"/>
      <c r="BV143" s="28"/>
      <c r="BW143" s="28"/>
      <c r="BX143" s="28"/>
    </row>
    <row r="144" spans="1:76">
      <c r="A144" s="24"/>
      <c r="B144" s="28"/>
      <c r="C144" s="25"/>
      <c r="D144" s="26"/>
      <c r="E144" s="24"/>
      <c r="F144" s="24"/>
      <c r="G144" s="26"/>
      <c r="H144" s="26"/>
      <c r="I144" s="26"/>
      <c r="J144" s="26"/>
      <c r="K144" s="26"/>
      <c r="L144" s="26"/>
      <c r="M144" s="26"/>
      <c r="N144" s="26"/>
      <c r="O144" s="26"/>
      <c r="P144" s="26"/>
      <c r="Q144" s="26"/>
      <c r="S144" s="26"/>
      <c r="T144" s="25"/>
      <c r="U144" s="24"/>
      <c r="V144" s="24"/>
      <c r="W144" s="24"/>
      <c r="X144" s="26"/>
      <c r="Y144" s="26"/>
      <c r="Z144" s="24"/>
      <c r="AA144" s="26"/>
      <c r="AB144" s="25"/>
      <c r="AC144" s="24"/>
      <c r="AD144" s="24"/>
      <c r="AE144" s="24"/>
      <c r="AF144" s="26"/>
      <c r="AG144" s="26"/>
      <c r="AH144" s="24"/>
      <c r="AI144" s="26"/>
      <c r="AJ144" s="25"/>
      <c r="AK144" s="24"/>
      <c r="AL144" s="24"/>
      <c r="AM144" s="24"/>
      <c r="AN144" s="26"/>
      <c r="AO144" s="26"/>
      <c r="AP144" s="24"/>
      <c r="AQ144" s="24"/>
      <c r="AR144" s="24"/>
      <c r="AS144" s="28"/>
      <c r="AT144" s="28"/>
      <c r="AU144" s="28"/>
      <c r="AV144" s="28"/>
      <c r="AW144" s="28"/>
      <c r="AX144" s="28"/>
      <c r="AY144" s="28"/>
      <c r="AZ144" s="28"/>
      <c r="BA144" s="28"/>
      <c r="BB144" s="28"/>
      <c r="BC144" s="28"/>
      <c r="BD144" s="28"/>
      <c r="BE144" s="28"/>
      <c r="BF144" s="28"/>
      <c r="BG144" s="28"/>
      <c r="BH144" s="28"/>
      <c r="BI144" s="28"/>
      <c r="BJ144" s="24"/>
      <c r="BK144" s="28"/>
      <c r="BL144" s="28"/>
      <c r="BM144" s="28"/>
      <c r="BN144" s="28"/>
      <c r="BO144" s="28"/>
      <c r="BP144" s="28"/>
      <c r="BQ144" s="24"/>
      <c r="BR144" s="28"/>
      <c r="BS144" s="28"/>
      <c r="BT144" s="28"/>
      <c r="BU144" s="24"/>
      <c r="BV144" s="28"/>
      <c r="BW144" s="28"/>
      <c r="BX144" s="28"/>
    </row>
    <row r="145" spans="1:76">
      <c r="A145" s="24"/>
      <c r="B145" s="28"/>
      <c r="C145" s="25"/>
      <c r="D145" s="26"/>
      <c r="E145" s="24"/>
      <c r="F145" s="24"/>
      <c r="G145" s="26"/>
      <c r="H145" s="26"/>
      <c r="I145" s="26"/>
      <c r="J145" s="26"/>
      <c r="K145" s="26"/>
      <c r="L145" s="26"/>
      <c r="M145" s="26"/>
      <c r="N145" s="26"/>
      <c r="O145" s="26"/>
      <c r="P145" s="26"/>
      <c r="Q145" s="26"/>
      <c r="S145" s="26"/>
      <c r="T145" s="25"/>
      <c r="U145" s="24"/>
      <c r="V145" s="24"/>
      <c r="W145" s="24"/>
      <c r="X145" s="26"/>
      <c r="Y145" s="26"/>
      <c r="Z145" s="24"/>
      <c r="AA145" s="26"/>
      <c r="AB145" s="25"/>
      <c r="AC145" s="24"/>
      <c r="AD145" s="24"/>
      <c r="AE145" s="24"/>
      <c r="AF145" s="26"/>
      <c r="AG145" s="26"/>
      <c r="AH145" s="24"/>
      <c r="AI145" s="26"/>
      <c r="AJ145" s="25"/>
      <c r="AK145" s="24"/>
      <c r="AL145" s="24"/>
      <c r="AM145" s="24"/>
      <c r="AN145" s="26"/>
      <c r="AO145" s="26"/>
      <c r="AP145" s="24"/>
      <c r="AQ145" s="24"/>
      <c r="AR145" s="24"/>
      <c r="AS145" s="28"/>
      <c r="AT145" s="28"/>
      <c r="AU145" s="28"/>
      <c r="AV145" s="28"/>
      <c r="AW145" s="28"/>
      <c r="AX145" s="28"/>
      <c r="AY145" s="28"/>
      <c r="AZ145" s="28"/>
      <c r="BA145" s="28"/>
      <c r="BB145" s="28"/>
      <c r="BC145" s="28"/>
      <c r="BD145" s="28"/>
      <c r="BE145" s="28"/>
      <c r="BF145" s="28"/>
      <c r="BG145" s="28"/>
      <c r="BH145" s="28"/>
      <c r="BI145" s="28"/>
      <c r="BJ145" s="24"/>
      <c r="BK145" s="28"/>
      <c r="BL145" s="28"/>
      <c r="BM145" s="28"/>
      <c r="BN145" s="28"/>
      <c r="BO145" s="28"/>
      <c r="BP145" s="28"/>
      <c r="BQ145" s="24"/>
      <c r="BR145" s="28"/>
      <c r="BS145" s="28"/>
      <c r="BT145" s="28"/>
      <c r="BU145" s="24"/>
      <c r="BV145" s="28"/>
      <c r="BW145" s="28"/>
      <c r="BX145" s="28"/>
    </row>
    <row r="146" spans="1:76">
      <c r="A146" s="24"/>
      <c r="B146" s="28"/>
      <c r="C146" s="25"/>
      <c r="D146" s="26"/>
      <c r="E146" s="24"/>
      <c r="F146" s="24"/>
      <c r="G146" s="26"/>
      <c r="H146" s="26"/>
      <c r="I146" s="26"/>
      <c r="J146" s="26"/>
      <c r="K146" s="26"/>
      <c r="L146" s="26"/>
      <c r="M146" s="26"/>
      <c r="N146" s="26"/>
      <c r="O146" s="26"/>
      <c r="P146" s="26"/>
      <c r="Q146" s="26"/>
      <c r="S146" s="26"/>
      <c r="T146" s="25"/>
      <c r="U146" s="24"/>
      <c r="V146" s="24"/>
      <c r="W146" s="24"/>
      <c r="X146" s="26"/>
      <c r="Y146" s="26"/>
      <c r="Z146" s="24"/>
      <c r="AA146" s="26"/>
      <c r="AB146" s="25"/>
      <c r="AC146" s="24"/>
      <c r="AD146" s="24"/>
      <c r="AE146" s="24"/>
      <c r="AF146" s="26"/>
      <c r="AG146" s="26"/>
      <c r="AH146" s="24"/>
      <c r="AI146" s="26"/>
      <c r="AJ146" s="25"/>
      <c r="AK146" s="24"/>
      <c r="AL146" s="24"/>
      <c r="AM146" s="24"/>
      <c r="AN146" s="26"/>
      <c r="AO146" s="26"/>
      <c r="AP146" s="24"/>
      <c r="AQ146" s="24"/>
      <c r="AR146" s="24"/>
      <c r="AS146" s="28"/>
      <c r="AT146" s="28"/>
      <c r="AU146" s="28"/>
      <c r="AV146" s="28"/>
      <c r="AW146" s="28"/>
      <c r="AX146" s="28"/>
      <c r="AY146" s="28"/>
      <c r="AZ146" s="28"/>
      <c r="BA146" s="28"/>
      <c r="BB146" s="28"/>
      <c r="BC146" s="28"/>
      <c r="BD146" s="28"/>
      <c r="BE146" s="28"/>
      <c r="BF146" s="28"/>
      <c r="BG146" s="28"/>
      <c r="BH146" s="28"/>
      <c r="BI146" s="28"/>
      <c r="BJ146" s="24"/>
      <c r="BK146" s="28"/>
      <c r="BL146" s="28"/>
      <c r="BM146" s="28"/>
      <c r="BN146" s="28"/>
      <c r="BO146" s="28"/>
      <c r="BP146" s="28"/>
      <c r="BQ146" s="24"/>
      <c r="BR146" s="28"/>
      <c r="BS146" s="28"/>
      <c r="BT146" s="28"/>
      <c r="BU146" s="24"/>
      <c r="BV146" s="28"/>
      <c r="BW146" s="28"/>
      <c r="BX146" s="28"/>
    </row>
    <row r="147" spans="1:76">
      <c r="A147" s="24"/>
      <c r="B147" s="28"/>
      <c r="C147" s="25"/>
      <c r="D147" s="26"/>
      <c r="E147" s="24"/>
      <c r="F147" s="24"/>
      <c r="G147" s="26"/>
      <c r="H147" s="26"/>
      <c r="I147" s="26"/>
      <c r="J147" s="26"/>
      <c r="K147" s="26"/>
      <c r="L147" s="26"/>
      <c r="M147" s="26"/>
      <c r="N147" s="26"/>
      <c r="O147" s="26"/>
      <c r="P147" s="26"/>
      <c r="Q147" s="26"/>
      <c r="S147" s="26"/>
      <c r="T147" s="25"/>
      <c r="U147" s="24"/>
      <c r="V147" s="24"/>
      <c r="W147" s="24"/>
      <c r="X147" s="26"/>
      <c r="Y147" s="26"/>
      <c r="Z147" s="24"/>
      <c r="AA147" s="26"/>
      <c r="AB147" s="25"/>
      <c r="AC147" s="24"/>
      <c r="AD147" s="24"/>
      <c r="AE147" s="24"/>
      <c r="AF147" s="26"/>
      <c r="AG147" s="26"/>
      <c r="AH147" s="24"/>
      <c r="AI147" s="26"/>
      <c r="AJ147" s="25"/>
      <c r="AK147" s="24"/>
      <c r="AL147" s="24"/>
      <c r="AM147" s="24"/>
      <c r="AN147" s="26"/>
      <c r="AO147" s="26"/>
      <c r="AP147" s="24"/>
      <c r="AQ147" s="24"/>
      <c r="AR147" s="24"/>
      <c r="AS147" s="28"/>
      <c r="AT147" s="28"/>
      <c r="AU147" s="28"/>
      <c r="AV147" s="28"/>
      <c r="AW147" s="28"/>
      <c r="AX147" s="28"/>
      <c r="AY147" s="28"/>
      <c r="AZ147" s="28"/>
      <c r="BA147" s="28"/>
      <c r="BB147" s="28"/>
      <c r="BC147" s="28"/>
      <c r="BD147" s="28"/>
      <c r="BE147" s="28"/>
      <c r="BF147" s="28"/>
      <c r="BG147" s="28"/>
      <c r="BH147" s="28"/>
      <c r="BI147" s="28"/>
      <c r="BJ147" s="24"/>
      <c r="BK147" s="28"/>
      <c r="BL147" s="28"/>
      <c r="BM147" s="28"/>
      <c r="BN147" s="28"/>
      <c r="BO147" s="28"/>
      <c r="BP147" s="28"/>
      <c r="BQ147" s="24"/>
      <c r="BR147" s="28"/>
      <c r="BS147" s="28"/>
      <c r="BT147" s="28"/>
      <c r="BU147" s="24"/>
      <c r="BV147" s="28"/>
      <c r="BW147" s="28"/>
      <c r="BX147" s="28"/>
    </row>
    <row r="148" spans="1:76">
      <c r="A148" s="24"/>
      <c r="B148" s="28"/>
      <c r="C148" s="25"/>
      <c r="D148" s="26"/>
      <c r="E148" s="24"/>
      <c r="F148" s="24"/>
      <c r="G148" s="26"/>
      <c r="H148" s="26"/>
      <c r="I148" s="26"/>
      <c r="J148" s="26"/>
      <c r="K148" s="26"/>
      <c r="L148" s="26"/>
      <c r="M148" s="26"/>
      <c r="N148" s="26"/>
      <c r="O148" s="26"/>
      <c r="P148" s="26"/>
      <c r="Q148" s="26"/>
      <c r="S148" s="26"/>
      <c r="T148" s="25"/>
      <c r="U148" s="24"/>
      <c r="V148" s="24"/>
      <c r="W148" s="24"/>
      <c r="X148" s="26"/>
      <c r="Y148" s="26"/>
      <c r="Z148" s="24"/>
      <c r="AA148" s="26"/>
      <c r="AB148" s="25"/>
      <c r="AC148" s="24"/>
      <c r="AD148" s="24"/>
      <c r="AE148" s="24"/>
      <c r="AF148" s="26"/>
      <c r="AG148" s="26"/>
      <c r="AH148" s="24"/>
      <c r="AI148" s="26"/>
      <c r="AJ148" s="25"/>
      <c r="AK148" s="24"/>
      <c r="AL148" s="24"/>
      <c r="AM148" s="24"/>
      <c r="AN148" s="26"/>
      <c r="AO148" s="26"/>
      <c r="AP148" s="24"/>
      <c r="AQ148" s="24"/>
      <c r="AR148" s="24"/>
      <c r="AS148" s="28"/>
      <c r="AT148" s="28"/>
      <c r="AU148" s="28"/>
      <c r="AV148" s="28"/>
      <c r="AW148" s="28"/>
      <c r="AX148" s="28"/>
      <c r="AY148" s="28"/>
      <c r="AZ148" s="28"/>
      <c r="BA148" s="28"/>
      <c r="BB148" s="28"/>
      <c r="BC148" s="28"/>
      <c r="BD148" s="28"/>
      <c r="BE148" s="28"/>
      <c r="BF148" s="28"/>
      <c r="BG148" s="28"/>
      <c r="BH148" s="28"/>
      <c r="BI148" s="28"/>
      <c r="BJ148" s="24"/>
      <c r="BK148" s="28"/>
      <c r="BL148" s="28"/>
      <c r="BM148" s="28"/>
      <c r="BN148" s="28"/>
      <c r="BO148" s="28"/>
      <c r="BP148" s="28"/>
      <c r="BQ148" s="24"/>
      <c r="BR148" s="28"/>
      <c r="BS148" s="28"/>
      <c r="BT148" s="28"/>
      <c r="BU148" s="24"/>
      <c r="BV148" s="28"/>
      <c r="BW148" s="28"/>
      <c r="BX148" s="28"/>
    </row>
    <row r="149" spans="1:76">
      <c r="A149" s="24"/>
      <c r="B149" s="28"/>
      <c r="C149" s="25"/>
      <c r="D149" s="26"/>
      <c r="E149" s="24"/>
      <c r="F149" s="24"/>
      <c r="G149" s="26"/>
      <c r="H149" s="26"/>
      <c r="I149" s="26"/>
      <c r="J149" s="26"/>
      <c r="K149" s="26"/>
      <c r="L149" s="26"/>
      <c r="M149" s="26"/>
      <c r="N149" s="26"/>
      <c r="O149" s="26"/>
      <c r="P149" s="26"/>
      <c r="Q149" s="26"/>
      <c r="S149" s="26"/>
      <c r="T149" s="25"/>
      <c r="U149" s="24"/>
      <c r="V149" s="24"/>
      <c r="W149" s="24"/>
      <c r="X149" s="26"/>
      <c r="Y149" s="26"/>
      <c r="Z149" s="24"/>
      <c r="AA149" s="26"/>
      <c r="AB149" s="25"/>
      <c r="AC149" s="24"/>
      <c r="AD149" s="24"/>
      <c r="AE149" s="24"/>
      <c r="AF149" s="26"/>
      <c r="AG149" s="26"/>
      <c r="AH149" s="24"/>
      <c r="AI149" s="26"/>
      <c r="AJ149" s="25"/>
      <c r="AK149" s="24"/>
      <c r="AL149" s="24"/>
      <c r="AM149" s="24"/>
      <c r="AN149" s="26"/>
      <c r="AO149" s="26"/>
      <c r="AP149" s="24"/>
      <c r="AQ149" s="24"/>
      <c r="AR149" s="24"/>
      <c r="AS149" s="28"/>
      <c r="AT149" s="28"/>
      <c r="AU149" s="28"/>
      <c r="AV149" s="28"/>
      <c r="AW149" s="28"/>
      <c r="AX149" s="28"/>
      <c r="AY149" s="28"/>
      <c r="AZ149" s="28"/>
      <c r="BA149" s="28"/>
      <c r="BB149" s="28"/>
      <c r="BC149" s="28"/>
      <c r="BD149" s="28"/>
      <c r="BE149" s="28"/>
      <c r="BF149" s="28"/>
      <c r="BG149" s="28"/>
      <c r="BH149" s="28"/>
      <c r="BI149" s="28"/>
      <c r="BJ149" s="24"/>
      <c r="BK149" s="28"/>
      <c r="BL149" s="28"/>
      <c r="BM149" s="28"/>
      <c r="BN149" s="28"/>
      <c r="BO149" s="28"/>
      <c r="BP149" s="28"/>
      <c r="BQ149" s="24"/>
      <c r="BR149" s="28"/>
      <c r="BS149" s="28"/>
      <c r="BT149" s="28"/>
      <c r="BU149" s="24"/>
      <c r="BV149" s="28"/>
      <c r="BW149" s="28"/>
      <c r="BX149" s="28"/>
    </row>
    <row r="150" spans="1:76">
      <c r="A150" s="24"/>
      <c r="B150" s="28"/>
      <c r="C150" s="25"/>
      <c r="D150" s="26"/>
      <c r="E150" s="24"/>
      <c r="F150" s="24"/>
      <c r="G150" s="26"/>
      <c r="H150" s="26"/>
      <c r="I150" s="26"/>
      <c r="J150" s="26"/>
      <c r="K150" s="26"/>
      <c r="L150" s="26"/>
      <c r="M150" s="26"/>
      <c r="N150" s="26"/>
      <c r="O150" s="26"/>
      <c r="P150" s="26"/>
      <c r="Q150" s="26"/>
      <c r="S150" s="26"/>
      <c r="T150" s="25"/>
      <c r="U150" s="24"/>
      <c r="V150" s="24"/>
      <c r="W150" s="24"/>
      <c r="X150" s="26"/>
      <c r="Y150" s="26"/>
      <c r="Z150" s="24"/>
      <c r="AA150" s="26"/>
      <c r="AB150" s="25"/>
      <c r="AC150" s="24"/>
      <c r="AD150" s="24"/>
      <c r="AE150" s="24"/>
      <c r="AF150" s="26"/>
      <c r="AG150" s="26"/>
      <c r="AH150" s="24"/>
      <c r="AI150" s="26"/>
      <c r="AJ150" s="25"/>
      <c r="AK150" s="24"/>
      <c r="AL150" s="24"/>
      <c r="AM150" s="24"/>
      <c r="AN150" s="26"/>
      <c r="AO150" s="26"/>
      <c r="AP150" s="24"/>
      <c r="AQ150" s="24"/>
      <c r="AR150" s="24"/>
      <c r="AS150" s="28"/>
      <c r="AT150" s="28"/>
      <c r="AU150" s="28"/>
      <c r="AV150" s="28"/>
      <c r="AW150" s="28"/>
      <c r="AX150" s="28"/>
      <c r="AY150" s="28"/>
      <c r="AZ150" s="28"/>
      <c r="BA150" s="28"/>
      <c r="BB150" s="28"/>
      <c r="BC150" s="28"/>
      <c r="BD150" s="28"/>
      <c r="BE150" s="28"/>
      <c r="BF150" s="28"/>
      <c r="BG150" s="28"/>
      <c r="BH150" s="28"/>
      <c r="BI150" s="28"/>
      <c r="BJ150" s="24"/>
      <c r="BK150" s="28"/>
      <c r="BL150" s="28"/>
      <c r="BM150" s="28"/>
      <c r="BN150" s="28"/>
      <c r="BO150" s="28"/>
      <c r="BP150" s="28"/>
      <c r="BQ150" s="24"/>
      <c r="BR150" s="28"/>
      <c r="BS150" s="28"/>
      <c r="BT150" s="28"/>
      <c r="BU150" s="24"/>
      <c r="BV150" s="28"/>
      <c r="BW150" s="28"/>
      <c r="BX150" s="28"/>
    </row>
    <row r="151" spans="1:76">
      <c r="A151" s="24"/>
      <c r="B151" s="28"/>
      <c r="C151" s="25"/>
      <c r="D151" s="26"/>
      <c r="E151" s="24"/>
      <c r="F151" s="24"/>
      <c r="G151" s="26"/>
      <c r="H151" s="26"/>
      <c r="I151" s="26"/>
      <c r="J151" s="26"/>
      <c r="K151" s="26"/>
      <c r="L151" s="26"/>
      <c r="M151" s="26"/>
      <c r="N151" s="26"/>
      <c r="O151" s="26"/>
      <c r="P151" s="26"/>
      <c r="Q151" s="26"/>
      <c r="S151" s="26"/>
      <c r="T151" s="25"/>
      <c r="U151" s="24"/>
      <c r="V151" s="24"/>
      <c r="W151" s="24"/>
      <c r="X151" s="26"/>
      <c r="Y151" s="26"/>
      <c r="Z151" s="24"/>
      <c r="AA151" s="26"/>
      <c r="AB151" s="25"/>
      <c r="AC151" s="24"/>
      <c r="AD151" s="24"/>
      <c r="AE151" s="24"/>
      <c r="AF151" s="26"/>
      <c r="AG151" s="26"/>
      <c r="AH151" s="24"/>
      <c r="AI151" s="26"/>
      <c r="AJ151" s="25"/>
      <c r="AK151" s="24"/>
      <c r="AL151" s="24"/>
      <c r="AM151" s="24"/>
      <c r="AN151" s="26"/>
      <c r="AO151" s="26"/>
      <c r="AP151" s="24"/>
      <c r="AQ151" s="24"/>
      <c r="AR151" s="24"/>
      <c r="AS151" s="28"/>
      <c r="AT151" s="28"/>
      <c r="AU151" s="28"/>
      <c r="AV151" s="28"/>
      <c r="AW151" s="28"/>
      <c r="AX151" s="28"/>
      <c r="AY151" s="28"/>
      <c r="AZ151" s="28"/>
      <c r="BA151" s="28"/>
      <c r="BB151" s="28"/>
      <c r="BC151" s="28"/>
      <c r="BD151" s="28"/>
      <c r="BE151" s="28"/>
      <c r="BF151" s="28"/>
      <c r="BG151" s="28"/>
      <c r="BH151" s="28"/>
      <c r="BI151" s="28"/>
      <c r="BJ151" s="24"/>
      <c r="BK151" s="28"/>
      <c r="BL151" s="28"/>
      <c r="BM151" s="28"/>
      <c r="BN151" s="28"/>
      <c r="BO151" s="28"/>
      <c r="BP151" s="28"/>
      <c r="BQ151" s="24"/>
      <c r="BR151" s="28"/>
      <c r="BS151" s="28"/>
      <c r="BT151" s="28"/>
      <c r="BU151" s="24"/>
      <c r="BV151" s="28"/>
      <c r="BW151" s="28"/>
      <c r="BX151" s="28"/>
    </row>
    <row r="152" spans="1:76">
      <c r="A152" s="24"/>
      <c r="B152" s="28"/>
      <c r="C152" s="25"/>
      <c r="D152" s="26"/>
      <c r="E152" s="24"/>
      <c r="F152" s="24"/>
      <c r="G152" s="26"/>
      <c r="H152" s="26"/>
      <c r="I152" s="26"/>
      <c r="J152" s="26"/>
      <c r="K152" s="26"/>
      <c r="L152" s="26"/>
      <c r="M152" s="26"/>
      <c r="N152" s="26"/>
      <c r="O152" s="26"/>
      <c r="P152" s="26"/>
      <c r="Q152" s="26"/>
      <c r="S152" s="26"/>
      <c r="T152" s="25"/>
      <c r="U152" s="24"/>
      <c r="V152" s="24"/>
      <c r="W152" s="24"/>
      <c r="X152" s="26"/>
      <c r="Y152" s="26"/>
      <c r="Z152" s="24"/>
      <c r="AA152" s="26"/>
      <c r="AB152" s="25"/>
      <c r="AC152" s="24"/>
      <c r="AD152" s="24"/>
      <c r="AE152" s="24"/>
      <c r="AF152" s="26"/>
      <c r="AG152" s="26"/>
      <c r="AH152" s="24"/>
      <c r="AI152" s="26"/>
      <c r="AJ152" s="25"/>
      <c r="AK152" s="24"/>
      <c r="AL152" s="24"/>
      <c r="AM152" s="24"/>
      <c r="AN152" s="26"/>
      <c r="AO152" s="26"/>
      <c r="AP152" s="24"/>
      <c r="AQ152" s="24"/>
      <c r="AR152" s="24"/>
      <c r="AS152" s="28"/>
      <c r="AT152" s="28"/>
      <c r="AU152" s="28"/>
      <c r="AV152" s="28"/>
      <c r="AW152" s="28"/>
      <c r="AX152" s="28"/>
      <c r="AY152" s="28"/>
      <c r="AZ152" s="28"/>
      <c r="BA152" s="28"/>
      <c r="BB152" s="28"/>
      <c r="BC152" s="28"/>
      <c r="BD152" s="28"/>
      <c r="BE152" s="28"/>
      <c r="BF152" s="28"/>
      <c r="BG152" s="28"/>
      <c r="BH152" s="28"/>
      <c r="BI152" s="28"/>
      <c r="BJ152" s="24"/>
      <c r="BK152" s="28"/>
      <c r="BL152" s="28"/>
      <c r="BM152" s="28"/>
      <c r="BN152" s="28"/>
      <c r="BO152" s="28"/>
      <c r="BP152" s="28"/>
      <c r="BQ152" s="24"/>
      <c r="BR152" s="28"/>
      <c r="BS152" s="28"/>
      <c r="BT152" s="28"/>
      <c r="BU152" s="24"/>
      <c r="BV152" s="28"/>
      <c r="BW152" s="28"/>
      <c r="BX152" s="28"/>
    </row>
    <row r="153" spans="1:76">
      <c r="A153" s="24"/>
      <c r="B153" s="28"/>
      <c r="C153" s="25"/>
      <c r="D153" s="26"/>
      <c r="E153" s="24"/>
      <c r="F153" s="24"/>
      <c r="G153" s="26"/>
      <c r="H153" s="26"/>
      <c r="I153" s="26"/>
      <c r="J153" s="26"/>
      <c r="K153" s="26"/>
      <c r="L153" s="26"/>
      <c r="M153" s="26"/>
      <c r="N153" s="26"/>
      <c r="O153" s="26"/>
      <c r="P153" s="26"/>
      <c r="Q153" s="26"/>
      <c r="S153" s="26"/>
      <c r="T153" s="25"/>
      <c r="U153" s="24"/>
      <c r="V153" s="24"/>
      <c r="W153" s="24"/>
      <c r="X153" s="26"/>
      <c r="Y153" s="26"/>
      <c r="Z153" s="24"/>
      <c r="AA153" s="26"/>
      <c r="AB153" s="25"/>
      <c r="AC153" s="24"/>
      <c r="AD153" s="24"/>
      <c r="AE153" s="24"/>
      <c r="AF153" s="26"/>
      <c r="AG153" s="26"/>
      <c r="AH153" s="24"/>
      <c r="AI153" s="26"/>
      <c r="AJ153" s="25"/>
      <c r="AK153" s="24"/>
      <c r="AL153" s="24"/>
      <c r="AM153" s="24"/>
      <c r="AN153" s="26"/>
      <c r="AO153" s="26"/>
      <c r="AP153" s="24"/>
      <c r="AQ153" s="24"/>
      <c r="AR153" s="24"/>
      <c r="AS153" s="28"/>
      <c r="AT153" s="28"/>
      <c r="AU153" s="28"/>
      <c r="AV153" s="28"/>
      <c r="AW153" s="28"/>
      <c r="AX153" s="28"/>
      <c r="AY153" s="28"/>
      <c r="AZ153" s="28"/>
      <c r="BA153" s="28"/>
      <c r="BB153" s="28"/>
      <c r="BC153" s="28"/>
      <c r="BD153" s="28"/>
      <c r="BE153" s="28"/>
      <c r="BF153" s="28"/>
      <c r="BG153" s="28"/>
      <c r="BH153" s="28"/>
      <c r="BI153" s="28"/>
      <c r="BJ153" s="24"/>
      <c r="BK153" s="28"/>
      <c r="BL153" s="28"/>
      <c r="BM153" s="28"/>
      <c r="BN153" s="28"/>
      <c r="BO153" s="28"/>
      <c r="BP153" s="28"/>
      <c r="BQ153" s="24"/>
      <c r="BR153" s="28"/>
      <c r="BS153" s="28"/>
      <c r="BT153" s="28"/>
      <c r="BU153" s="24"/>
      <c r="BV153" s="28"/>
      <c r="BW153" s="28"/>
      <c r="BX153" s="28"/>
    </row>
    <row r="154" spans="1:76">
      <c r="A154" s="24"/>
      <c r="B154" s="28"/>
      <c r="C154" s="25"/>
      <c r="D154" s="26"/>
      <c r="E154" s="24"/>
      <c r="F154" s="24"/>
      <c r="G154" s="26"/>
      <c r="H154" s="26"/>
      <c r="I154" s="26"/>
      <c r="J154" s="26"/>
      <c r="K154" s="26"/>
      <c r="L154" s="26"/>
      <c r="M154" s="26"/>
      <c r="N154" s="26"/>
      <c r="O154" s="26"/>
      <c r="P154" s="26"/>
      <c r="Q154" s="26"/>
      <c r="S154" s="26"/>
      <c r="T154" s="25"/>
      <c r="U154" s="24"/>
      <c r="V154" s="24"/>
      <c r="W154" s="24"/>
      <c r="X154" s="26"/>
      <c r="Y154" s="26"/>
      <c r="Z154" s="24"/>
      <c r="AA154" s="26"/>
      <c r="AB154" s="25"/>
      <c r="AC154" s="24"/>
      <c r="AD154" s="24"/>
      <c r="AE154" s="24"/>
      <c r="AF154" s="26"/>
      <c r="AG154" s="26"/>
      <c r="AH154" s="24"/>
      <c r="AI154" s="26"/>
      <c r="AJ154" s="25"/>
      <c r="AK154" s="24"/>
      <c r="AL154" s="24"/>
      <c r="AM154" s="24"/>
      <c r="AN154" s="26"/>
      <c r="AO154" s="26"/>
      <c r="AP154" s="24"/>
      <c r="AQ154" s="24"/>
      <c r="AR154" s="24"/>
      <c r="AS154" s="28"/>
      <c r="AT154" s="28"/>
      <c r="AU154" s="28"/>
      <c r="AV154" s="28"/>
      <c r="AW154" s="28"/>
      <c r="AX154" s="28"/>
      <c r="AY154" s="28"/>
      <c r="AZ154" s="28"/>
      <c r="BA154" s="28"/>
      <c r="BB154" s="28"/>
      <c r="BC154" s="28"/>
      <c r="BD154" s="28"/>
      <c r="BE154" s="28"/>
      <c r="BF154" s="28"/>
      <c r="BG154" s="28"/>
      <c r="BH154" s="28"/>
      <c r="BI154" s="28"/>
      <c r="BJ154" s="24"/>
      <c r="BK154" s="28"/>
      <c r="BL154" s="28"/>
      <c r="BM154" s="28"/>
      <c r="BN154" s="28"/>
      <c r="BO154" s="28"/>
      <c r="BP154" s="28"/>
      <c r="BQ154" s="24"/>
      <c r="BR154" s="28"/>
      <c r="BS154" s="28"/>
      <c r="BT154" s="28"/>
      <c r="BU154" s="24"/>
      <c r="BV154" s="28"/>
      <c r="BW154" s="28"/>
      <c r="BX154" s="28"/>
    </row>
    <row r="155" spans="1:76">
      <c r="A155" s="24"/>
      <c r="B155" s="28"/>
      <c r="C155" s="25"/>
      <c r="D155" s="26"/>
      <c r="E155" s="24"/>
      <c r="F155" s="24"/>
      <c r="G155" s="26"/>
      <c r="H155" s="26"/>
      <c r="I155" s="26"/>
      <c r="J155" s="26"/>
      <c r="K155" s="26"/>
      <c r="L155" s="26"/>
      <c r="M155" s="26"/>
      <c r="N155" s="26"/>
      <c r="O155" s="26"/>
      <c r="P155" s="26"/>
      <c r="Q155" s="26"/>
      <c r="S155" s="26"/>
      <c r="T155" s="25"/>
      <c r="U155" s="24"/>
      <c r="V155" s="24"/>
      <c r="W155" s="24"/>
      <c r="X155" s="26"/>
      <c r="Y155" s="26"/>
      <c r="Z155" s="24"/>
      <c r="AA155" s="26"/>
      <c r="AB155" s="25"/>
      <c r="AC155" s="24"/>
      <c r="AD155" s="24"/>
      <c r="AE155" s="24"/>
      <c r="AF155" s="26"/>
      <c r="AG155" s="26"/>
      <c r="AH155" s="24"/>
      <c r="AI155" s="26"/>
      <c r="AJ155" s="25"/>
      <c r="AK155" s="24"/>
      <c r="AL155" s="24"/>
      <c r="AM155" s="24"/>
      <c r="AN155" s="26"/>
      <c r="AO155" s="26"/>
      <c r="AP155" s="24"/>
      <c r="AQ155" s="24"/>
      <c r="AR155" s="24"/>
      <c r="AS155" s="28"/>
      <c r="AT155" s="28"/>
      <c r="AU155" s="28"/>
      <c r="AV155" s="28"/>
      <c r="AW155" s="28"/>
      <c r="AX155" s="28"/>
      <c r="AY155" s="28"/>
      <c r="AZ155" s="28"/>
      <c r="BA155" s="28"/>
      <c r="BB155" s="28"/>
      <c r="BC155" s="28"/>
      <c r="BD155" s="28"/>
      <c r="BE155" s="28"/>
      <c r="BF155" s="28"/>
      <c r="BG155" s="28"/>
      <c r="BH155" s="28"/>
      <c r="BI155" s="28"/>
      <c r="BJ155" s="24"/>
      <c r="BK155" s="28"/>
      <c r="BL155" s="28"/>
      <c r="BM155" s="28"/>
      <c r="BN155" s="28"/>
      <c r="BO155" s="28"/>
      <c r="BP155" s="28"/>
      <c r="BQ155" s="24"/>
      <c r="BR155" s="28"/>
      <c r="BS155" s="28"/>
      <c r="BT155" s="28"/>
      <c r="BU155" s="24"/>
      <c r="BV155" s="28"/>
      <c r="BW155" s="28"/>
      <c r="BX155" s="28"/>
    </row>
    <row r="156" spans="1:76">
      <c r="A156" s="24"/>
      <c r="B156" s="28"/>
      <c r="C156" s="25"/>
      <c r="D156" s="26"/>
      <c r="E156" s="24"/>
      <c r="F156" s="24"/>
      <c r="G156" s="26"/>
      <c r="H156" s="26"/>
      <c r="I156" s="26"/>
      <c r="J156" s="26"/>
      <c r="K156" s="26"/>
      <c r="L156" s="26"/>
      <c r="M156" s="26"/>
      <c r="N156" s="26"/>
      <c r="O156" s="26"/>
      <c r="P156" s="26"/>
      <c r="Q156" s="26"/>
      <c r="S156" s="26"/>
      <c r="T156" s="25"/>
      <c r="U156" s="24"/>
      <c r="V156" s="24"/>
      <c r="W156" s="24"/>
      <c r="X156" s="26"/>
      <c r="Y156" s="26"/>
      <c r="Z156" s="24"/>
      <c r="AA156" s="26"/>
      <c r="AB156" s="25"/>
      <c r="AC156" s="24"/>
      <c r="AD156" s="24"/>
      <c r="AE156" s="24"/>
      <c r="AF156" s="26"/>
      <c r="AG156" s="26"/>
      <c r="AH156" s="24"/>
      <c r="AI156" s="26"/>
      <c r="AJ156" s="25"/>
      <c r="AK156" s="24"/>
      <c r="AL156" s="24"/>
      <c r="AM156" s="24"/>
      <c r="AN156" s="26"/>
      <c r="AO156" s="26"/>
      <c r="AP156" s="24"/>
      <c r="AQ156" s="24"/>
      <c r="AR156" s="24"/>
      <c r="AS156" s="28"/>
      <c r="AT156" s="28"/>
      <c r="AU156" s="28"/>
      <c r="AV156" s="28"/>
      <c r="AW156" s="28"/>
      <c r="AX156" s="28"/>
      <c r="AY156" s="28"/>
      <c r="AZ156" s="28"/>
      <c r="BA156" s="28"/>
      <c r="BB156" s="28"/>
      <c r="BC156" s="28"/>
      <c r="BD156" s="28"/>
      <c r="BE156" s="28"/>
      <c r="BF156" s="28"/>
      <c r="BG156" s="28"/>
      <c r="BH156" s="28"/>
      <c r="BI156" s="28"/>
      <c r="BJ156" s="24"/>
      <c r="BK156" s="28"/>
      <c r="BL156" s="28"/>
      <c r="BM156" s="28"/>
      <c r="BN156" s="28"/>
      <c r="BO156" s="28"/>
      <c r="BP156" s="28"/>
      <c r="BQ156" s="24"/>
      <c r="BR156" s="28"/>
      <c r="BS156" s="28"/>
      <c r="BT156" s="28"/>
      <c r="BU156" s="24"/>
      <c r="BV156" s="28"/>
      <c r="BW156" s="28"/>
      <c r="BX156" s="28"/>
    </row>
    <row r="157" spans="1:76">
      <c r="A157" s="24"/>
      <c r="B157" s="28"/>
      <c r="C157" s="25"/>
      <c r="D157" s="26"/>
      <c r="E157" s="24"/>
      <c r="F157" s="24"/>
      <c r="G157" s="26"/>
      <c r="H157" s="26"/>
      <c r="I157" s="26"/>
      <c r="J157" s="26"/>
      <c r="K157" s="26"/>
      <c r="L157" s="26"/>
      <c r="M157" s="26"/>
      <c r="N157" s="26"/>
      <c r="O157" s="26"/>
      <c r="P157" s="26"/>
      <c r="Q157" s="26"/>
      <c r="S157" s="26"/>
      <c r="T157" s="25"/>
      <c r="U157" s="24"/>
      <c r="V157" s="24"/>
      <c r="W157" s="24"/>
      <c r="X157" s="26"/>
      <c r="Y157" s="26"/>
      <c r="Z157" s="24"/>
      <c r="AA157" s="26"/>
      <c r="AB157" s="25"/>
      <c r="AC157" s="24"/>
      <c r="AD157" s="24"/>
      <c r="AE157" s="24"/>
      <c r="AF157" s="26"/>
      <c r="AG157" s="26"/>
      <c r="AH157" s="24"/>
      <c r="AI157" s="26"/>
      <c r="AJ157" s="25"/>
      <c r="AK157" s="24"/>
      <c r="AL157" s="24"/>
      <c r="AM157" s="24"/>
      <c r="AN157" s="26"/>
      <c r="AO157" s="26"/>
      <c r="AP157" s="24"/>
      <c r="AQ157" s="24"/>
      <c r="AR157" s="24"/>
      <c r="AS157" s="28"/>
      <c r="AT157" s="28"/>
      <c r="AU157" s="28"/>
      <c r="AV157" s="28"/>
      <c r="AW157" s="28"/>
      <c r="AX157" s="28"/>
      <c r="AY157" s="28"/>
      <c r="AZ157" s="28"/>
      <c r="BA157" s="28"/>
      <c r="BB157" s="28"/>
      <c r="BC157" s="28"/>
      <c r="BD157" s="28"/>
      <c r="BE157" s="28"/>
      <c r="BF157" s="28"/>
      <c r="BG157" s="28"/>
      <c r="BH157" s="28"/>
      <c r="BI157" s="28"/>
      <c r="BJ157" s="24"/>
      <c r="BK157" s="28"/>
      <c r="BL157" s="28"/>
      <c r="BM157" s="28"/>
      <c r="BN157" s="28"/>
      <c r="BO157" s="28"/>
      <c r="BP157" s="28"/>
      <c r="BQ157" s="24"/>
      <c r="BR157" s="28"/>
      <c r="BS157" s="28"/>
      <c r="BT157" s="28"/>
      <c r="BU157" s="24"/>
      <c r="BV157" s="28"/>
      <c r="BW157" s="28"/>
      <c r="BX157" s="28"/>
    </row>
    <row r="158" spans="1:76">
      <c r="A158" s="24"/>
      <c r="B158" s="28"/>
      <c r="C158" s="25"/>
      <c r="D158" s="26"/>
      <c r="E158" s="24"/>
      <c r="F158" s="24"/>
      <c r="G158" s="26"/>
      <c r="H158" s="26"/>
      <c r="I158" s="26"/>
      <c r="J158" s="26"/>
      <c r="K158" s="26"/>
      <c r="L158" s="26"/>
      <c r="M158" s="26"/>
      <c r="N158" s="26"/>
      <c r="O158" s="26"/>
      <c r="P158" s="26"/>
      <c r="Q158" s="26"/>
      <c r="S158" s="26"/>
      <c r="T158" s="25"/>
      <c r="U158" s="24"/>
      <c r="V158" s="24"/>
      <c r="W158" s="24"/>
      <c r="X158" s="26"/>
      <c r="Y158" s="26"/>
      <c r="Z158" s="24"/>
      <c r="AA158" s="26"/>
      <c r="AB158" s="25"/>
      <c r="AC158" s="24"/>
      <c r="AD158" s="24"/>
      <c r="AE158" s="24"/>
      <c r="AF158" s="26"/>
      <c r="AG158" s="26"/>
      <c r="AH158" s="24"/>
      <c r="AI158" s="26"/>
      <c r="AJ158" s="25"/>
      <c r="AK158" s="24"/>
      <c r="AL158" s="24"/>
      <c r="AM158" s="24"/>
      <c r="AN158" s="26"/>
      <c r="AO158" s="26"/>
      <c r="AP158" s="24"/>
      <c r="AQ158" s="24"/>
      <c r="AR158" s="24"/>
      <c r="AS158" s="28"/>
      <c r="AT158" s="28"/>
      <c r="AU158" s="28"/>
      <c r="AV158" s="28"/>
      <c r="AW158" s="28"/>
      <c r="AX158" s="28"/>
      <c r="AY158" s="28"/>
      <c r="AZ158" s="28"/>
      <c r="BA158" s="28"/>
      <c r="BB158" s="28"/>
      <c r="BC158" s="28"/>
      <c r="BD158" s="28"/>
      <c r="BE158" s="28"/>
      <c r="BF158" s="28"/>
      <c r="BG158" s="28"/>
      <c r="BH158" s="28"/>
      <c r="BI158" s="28"/>
      <c r="BJ158" s="24"/>
      <c r="BK158" s="28"/>
      <c r="BL158" s="28"/>
      <c r="BM158" s="28"/>
      <c r="BN158" s="28"/>
      <c r="BO158" s="28"/>
      <c r="BP158" s="28"/>
      <c r="BQ158" s="24"/>
      <c r="BR158" s="28"/>
      <c r="BS158" s="28"/>
      <c r="BT158" s="28"/>
      <c r="BU158" s="24"/>
      <c r="BV158" s="28"/>
      <c r="BW158" s="28"/>
      <c r="BX158" s="28"/>
    </row>
    <row r="159" spans="1:76">
      <c r="A159" s="24"/>
      <c r="B159" s="28"/>
      <c r="C159" s="25"/>
      <c r="D159" s="26"/>
      <c r="E159" s="24"/>
      <c r="F159" s="24"/>
      <c r="G159" s="26"/>
      <c r="H159" s="26"/>
      <c r="I159" s="26"/>
      <c r="J159" s="26"/>
      <c r="K159" s="26"/>
      <c r="L159" s="26"/>
      <c r="M159" s="26"/>
      <c r="N159" s="26"/>
      <c r="O159" s="26"/>
      <c r="P159" s="26"/>
      <c r="Q159" s="26"/>
      <c r="S159" s="26"/>
      <c r="T159" s="25"/>
      <c r="U159" s="24"/>
      <c r="V159" s="24"/>
      <c r="W159" s="24"/>
      <c r="X159" s="26"/>
      <c r="Y159" s="26"/>
      <c r="Z159" s="24"/>
      <c r="AA159" s="26"/>
      <c r="AB159" s="25"/>
      <c r="AC159" s="24"/>
      <c r="AD159" s="24"/>
      <c r="AE159" s="24"/>
      <c r="AF159" s="26"/>
      <c r="AG159" s="26"/>
      <c r="AH159" s="24"/>
      <c r="AI159" s="26"/>
      <c r="AJ159" s="25"/>
      <c r="AK159" s="24"/>
      <c r="AL159" s="24"/>
      <c r="AM159" s="24"/>
      <c r="AN159" s="26"/>
      <c r="AO159" s="26"/>
      <c r="AP159" s="24"/>
      <c r="AQ159" s="24"/>
      <c r="AR159" s="24"/>
      <c r="AS159" s="28"/>
      <c r="AT159" s="28"/>
      <c r="AU159" s="28"/>
      <c r="AV159" s="28"/>
      <c r="AW159" s="28"/>
      <c r="AX159" s="28"/>
      <c r="AY159" s="28"/>
      <c r="AZ159" s="28"/>
      <c r="BA159" s="28"/>
      <c r="BB159" s="28"/>
      <c r="BC159" s="28"/>
      <c r="BD159" s="28"/>
      <c r="BE159" s="28"/>
      <c r="BF159" s="28"/>
      <c r="BG159" s="28"/>
      <c r="BH159" s="28"/>
      <c r="BI159" s="28"/>
      <c r="BJ159" s="24"/>
      <c r="BK159" s="28"/>
      <c r="BL159" s="28"/>
      <c r="BM159" s="28"/>
      <c r="BN159" s="28"/>
      <c r="BO159" s="28"/>
      <c r="BP159" s="28"/>
      <c r="BQ159" s="24"/>
      <c r="BR159" s="28"/>
      <c r="BS159" s="28"/>
      <c r="BT159" s="28"/>
      <c r="BU159" s="24"/>
      <c r="BV159" s="28"/>
      <c r="BW159" s="28"/>
      <c r="BX159" s="28"/>
    </row>
    <row r="160" spans="1:76">
      <c r="A160" s="24"/>
      <c r="B160" s="28"/>
      <c r="C160" s="25"/>
      <c r="D160" s="26"/>
      <c r="E160" s="24"/>
      <c r="F160" s="24"/>
      <c r="G160" s="26"/>
      <c r="H160" s="26"/>
      <c r="I160" s="26"/>
      <c r="J160" s="26"/>
      <c r="K160" s="26"/>
      <c r="L160" s="26"/>
      <c r="M160" s="26"/>
      <c r="N160" s="26"/>
      <c r="O160" s="26"/>
      <c r="P160" s="26"/>
      <c r="Q160" s="26"/>
      <c r="S160" s="26"/>
      <c r="T160" s="25"/>
      <c r="U160" s="24"/>
      <c r="V160" s="24"/>
      <c r="W160" s="24"/>
      <c r="X160" s="26"/>
      <c r="Y160" s="26"/>
      <c r="Z160" s="24"/>
      <c r="AA160" s="26"/>
      <c r="AB160" s="25"/>
      <c r="AC160" s="24"/>
      <c r="AD160" s="24"/>
      <c r="AE160" s="24"/>
      <c r="AF160" s="26"/>
      <c r="AG160" s="26"/>
      <c r="AH160" s="24"/>
      <c r="AI160" s="26"/>
      <c r="AJ160" s="25"/>
      <c r="AK160" s="24"/>
      <c r="AL160" s="24"/>
      <c r="AM160" s="24"/>
      <c r="AN160" s="26"/>
      <c r="AO160" s="26"/>
      <c r="AP160" s="24"/>
      <c r="AQ160" s="24"/>
      <c r="AR160" s="24"/>
      <c r="AS160" s="28"/>
      <c r="AT160" s="28"/>
      <c r="AU160" s="28"/>
      <c r="AV160" s="28"/>
      <c r="AW160" s="28"/>
      <c r="AX160" s="28"/>
      <c r="AY160" s="28"/>
      <c r="AZ160" s="28"/>
      <c r="BA160" s="28"/>
      <c r="BB160" s="28"/>
      <c r="BC160" s="28"/>
      <c r="BD160" s="28"/>
      <c r="BE160" s="28"/>
      <c r="BF160" s="28"/>
      <c r="BG160" s="28"/>
      <c r="BH160" s="28"/>
      <c r="BI160" s="28"/>
      <c r="BJ160" s="24"/>
      <c r="BK160" s="28"/>
      <c r="BL160" s="28"/>
      <c r="BM160" s="28"/>
      <c r="BN160" s="28"/>
      <c r="BO160" s="28"/>
      <c r="BP160" s="28"/>
      <c r="BQ160" s="24"/>
      <c r="BR160" s="28"/>
      <c r="BS160" s="28"/>
      <c r="BT160" s="28"/>
      <c r="BU160" s="24"/>
      <c r="BV160" s="28"/>
      <c r="BW160" s="28"/>
      <c r="BX160" s="28"/>
    </row>
    <row r="161" spans="1:76">
      <c r="A161" s="24"/>
      <c r="B161" s="28"/>
      <c r="C161" s="25"/>
      <c r="D161" s="26"/>
      <c r="E161" s="24"/>
      <c r="F161" s="24"/>
      <c r="G161" s="26"/>
      <c r="H161" s="26"/>
      <c r="I161" s="26"/>
      <c r="J161" s="26"/>
      <c r="K161" s="26"/>
      <c r="L161" s="26"/>
      <c r="M161" s="26"/>
      <c r="N161" s="26"/>
      <c r="O161" s="26"/>
      <c r="P161" s="26"/>
      <c r="Q161" s="26"/>
      <c r="S161" s="26"/>
      <c r="T161" s="25"/>
      <c r="U161" s="24"/>
      <c r="V161" s="24"/>
      <c r="W161" s="24"/>
      <c r="X161" s="26"/>
      <c r="Y161" s="26"/>
      <c r="Z161" s="24"/>
      <c r="AA161" s="26"/>
      <c r="AB161" s="25"/>
      <c r="AC161" s="24"/>
      <c r="AD161" s="24"/>
      <c r="AE161" s="24"/>
      <c r="AF161" s="26"/>
      <c r="AG161" s="26"/>
      <c r="AH161" s="24"/>
      <c r="AI161" s="26"/>
      <c r="AJ161" s="25"/>
      <c r="AK161" s="24"/>
      <c r="AL161" s="24"/>
      <c r="AM161" s="24"/>
      <c r="AN161" s="26"/>
      <c r="AO161" s="26"/>
      <c r="AP161" s="24"/>
      <c r="AQ161" s="24"/>
      <c r="AR161" s="24"/>
      <c r="AS161" s="28"/>
      <c r="AT161" s="28"/>
      <c r="AU161" s="28"/>
      <c r="AV161" s="28"/>
      <c r="AW161" s="28"/>
      <c r="AX161" s="28"/>
      <c r="AY161" s="28"/>
      <c r="AZ161" s="28"/>
      <c r="BA161" s="28"/>
      <c r="BB161" s="28"/>
      <c r="BC161" s="28"/>
      <c r="BD161" s="28"/>
      <c r="BE161" s="28"/>
      <c r="BF161" s="28"/>
      <c r="BG161" s="28"/>
      <c r="BH161" s="28"/>
      <c r="BI161" s="28"/>
      <c r="BJ161" s="24"/>
      <c r="BK161" s="28"/>
      <c r="BL161" s="28"/>
      <c r="BM161" s="28"/>
      <c r="BN161" s="28"/>
      <c r="BO161" s="28"/>
      <c r="BP161" s="28"/>
      <c r="BQ161" s="24"/>
      <c r="BR161" s="28"/>
      <c r="BS161" s="28"/>
      <c r="BT161" s="28"/>
      <c r="BU161" s="24"/>
      <c r="BV161" s="28"/>
      <c r="BW161" s="28"/>
      <c r="BX161" s="28"/>
    </row>
    <row r="162" spans="1:76">
      <c r="A162" s="24"/>
      <c r="B162" s="28"/>
      <c r="C162" s="25"/>
      <c r="D162" s="26"/>
      <c r="E162" s="24"/>
      <c r="F162" s="24"/>
      <c r="G162" s="26"/>
      <c r="H162" s="26"/>
      <c r="I162" s="26"/>
      <c r="J162" s="26"/>
      <c r="K162" s="26"/>
      <c r="L162" s="26"/>
      <c r="M162" s="26"/>
      <c r="N162" s="26"/>
      <c r="O162" s="26"/>
      <c r="P162" s="26"/>
      <c r="Q162" s="26"/>
      <c r="S162" s="26"/>
      <c r="T162" s="25"/>
      <c r="U162" s="24"/>
      <c r="V162" s="24"/>
      <c r="W162" s="24"/>
      <c r="X162" s="26"/>
      <c r="Y162" s="26"/>
      <c r="Z162" s="24"/>
      <c r="AA162" s="26"/>
      <c r="AB162" s="25"/>
      <c r="AC162" s="24"/>
      <c r="AD162" s="24"/>
      <c r="AE162" s="24"/>
      <c r="AF162" s="26"/>
      <c r="AG162" s="26"/>
      <c r="AH162" s="24"/>
      <c r="AI162" s="26"/>
      <c r="AJ162" s="25"/>
      <c r="AK162" s="24"/>
      <c r="AL162" s="24"/>
      <c r="AM162" s="24"/>
      <c r="AN162" s="26"/>
      <c r="AO162" s="26"/>
      <c r="AP162" s="24"/>
      <c r="AQ162" s="24"/>
      <c r="AR162" s="24"/>
      <c r="AS162" s="28"/>
      <c r="AT162" s="28"/>
      <c r="AU162" s="28"/>
      <c r="AV162" s="28"/>
      <c r="AW162" s="28"/>
      <c r="AX162" s="28"/>
      <c r="AY162" s="28"/>
      <c r="AZ162" s="28"/>
      <c r="BA162" s="28"/>
      <c r="BB162" s="28"/>
      <c r="BC162" s="28"/>
      <c r="BD162" s="28"/>
      <c r="BE162" s="28"/>
      <c r="BF162" s="28"/>
      <c r="BG162" s="28"/>
      <c r="BH162" s="28"/>
      <c r="BI162" s="28"/>
      <c r="BJ162" s="24"/>
      <c r="BK162" s="28"/>
      <c r="BL162" s="28"/>
      <c r="BM162" s="28"/>
      <c r="BN162" s="28"/>
      <c r="BO162" s="28"/>
      <c r="BP162" s="28"/>
      <c r="BQ162" s="24"/>
      <c r="BR162" s="28"/>
      <c r="BS162" s="28"/>
      <c r="BT162" s="28"/>
      <c r="BU162" s="24"/>
      <c r="BV162" s="28"/>
      <c r="BW162" s="28"/>
      <c r="BX162" s="28"/>
    </row>
    <row r="163" spans="1:76">
      <c r="A163" s="24"/>
      <c r="B163" s="28"/>
      <c r="C163" s="25"/>
      <c r="D163" s="26"/>
      <c r="E163" s="24"/>
      <c r="F163" s="24"/>
      <c r="G163" s="26"/>
      <c r="H163" s="26"/>
      <c r="I163" s="26"/>
      <c r="J163" s="26"/>
      <c r="K163" s="26"/>
      <c r="L163" s="26"/>
      <c r="M163" s="26"/>
      <c r="N163" s="26"/>
      <c r="O163" s="26"/>
      <c r="P163" s="26"/>
      <c r="Q163" s="26"/>
      <c r="S163" s="26"/>
      <c r="T163" s="25"/>
      <c r="U163" s="24"/>
      <c r="V163" s="24"/>
      <c r="W163" s="24"/>
      <c r="X163" s="26"/>
      <c r="Y163" s="26"/>
      <c r="Z163" s="24"/>
      <c r="AA163" s="26"/>
      <c r="AB163" s="25"/>
      <c r="AC163" s="24"/>
      <c r="AD163" s="24"/>
      <c r="AE163" s="24"/>
      <c r="AF163" s="26"/>
      <c r="AG163" s="26"/>
      <c r="AH163" s="24"/>
      <c r="AI163" s="26"/>
      <c r="AJ163" s="25"/>
      <c r="AK163" s="24"/>
      <c r="AL163" s="24"/>
      <c r="AM163" s="24"/>
      <c r="AN163" s="26"/>
      <c r="AO163" s="26"/>
      <c r="AP163" s="24"/>
      <c r="AQ163" s="24"/>
      <c r="AR163" s="24"/>
      <c r="AS163" s="28"/>
      <c r="AT163" s="28"/>
      <c r="AU163" s="28"/>
      <c r="AV163" s="28"/>
      <c r="AW163" s="28"/>
      <c r="AX163" s="28"/>
      <c r="AY163" s="28"/>
      <c r="AZ163" s="28"/>
      <c r="BA163" s="28"/>
      <c r="BB163" s="28"/>
      <c r="BC163" s="28"/>
      <c r="BD163" s="28"/>
      <c r="BE163" s="28"/>
      <c r="BF163" s="28"/>
      <c r="BG163" s="28"/>
      <c r="BH163" s="28"/>
      <c r="BI163" s="28"/>
      <c r="BJ163" s="24"/>
      <c r="BK163" s="28"/>
      <c r="BL163" s="28"/>
      <c r="BM163" s="28"/>
      <c r="BN163" s="28"/>
      <c r="BO163" s="28"/>
      <c r="BP163" s="28"/>
      <c r="BQ163" s="24"/>
      <c r="BR163" s="28"/>
      <c r="BS163" s="28"/>
      <c r="BT163" s="28"/>
      <c r="BU163" s="24"/>
      <c r="BV163" s="28"/>
      <c r="BW163" s="28"/>
      <c r="BX163" s="28"/>
    </row>
    <row r="164" spans="1:76">
      <c r="A164" s="24"/>
      <c r="B164" s="28"/>
      <c r="C164" s="25"/>
      <c r="D164" s="26"/>
      <c r="E164" s="24"/>
      <c r="F164" s="24"/>
      <c r="G164" s="26"/>
      <c r="H164" s="26"/>
      <c r="I164" s="26"/>
      <c r="J164" s="26"/>
      <c r="K164" s="26"/>
      <c r="L164" s="26"/>
      <c r="M164" s="26"/>
      <c r="N164" s="26"/>
      <c r="O164" s="26"/>
      <c r="P164" s="26"/>
      <c r="Q164" s="26"/>
      <c r="S164" s="26"/>
      <c r="T164" s="25"/>
      <c r="U164" s="24"/>
      <c r="V164" s="24"/>
      <c r="W164" s="24"/>
      <c r="X164" s="26"/>
      <c r="Y164" s="26"/>
      <c r="Z164" s="24"/>
      <c r="AA164" s="26"/>
      <c r="AB164" s="25"/>
      <c r="AC164" s="24"/>
      <c r="AD164" s="24"/>
      <c r="AE164" s="24"/>
      <c r="AF164" s="26"/>
      <c r="AG164" s="26"/>
      <c r="AH164" s="24"/>
      <c r="AI164" s="26"/>
      <c r="AJ164" s="25"/>
      <c r="AK164" s="24"/>
      <c r="AL164" s="24"/>
      <c r="AM164" s="24"/>
      <c r="AN164" s="26"/>
      <c r="AO164" s="26"/>
      <c r="AP164" s="24"/>
      <c r="AQ164" s="24"/>
      <c r="AR164" s="24"/>
      <c r="AS164" s="28"/>
      <c r="AT164" s="28"/>
      <c r="AU164" s="28"/>
      <c r="AV164" s="28"/>
      <c r="AW164" s="28"/>
      <c r="AX164" s="28"/>
      <c r="AY164" s="28"/>
      <c r="AZ164" s="28"/>
      <c r="BA164" s="28"/>
      <c r="BB164" s="28"/>
      <c r="BC164" s="28"/>
      <c r="BD164" s="28"/>
      <c r="BE164" s="28"/>
      <c r="BF164" s="28"/>
      <c r="BG164" s="28"/>
      <c r="BH164" s="28"/>
      <c r="BI164" s="28"/>
      <c r="BJ164" s="24"/>
      <c r="BK164" s="28"/>
      <c r="BL164" s="28"/>
      <c r="BM164" s="28"/>
      <c r="BN164" s="28"/>
      <c r="BO164" s="28"/>
      <c r="BP164" s="28"/>
      <c r="BQ164" s="24"/>
      <c r="BR164" s="28"/>
      <c r="BS164" s="28"/>
      <c r="BT164" s="28"/>
      <c r="BU164" s="24"/>
      <c r="BV164" s="28"/>
      <c r="BW164" s="28"/>
      <c r="BX164" s="28"/>
    </row>
    <row r="165" spans="1:76">
      <c r="A165" s="24"/>
      <c r="B165" s="28"/>
      <c r="C165" s="25"/>
      <c r="D165" s="26"/>
      <c r="E165" s="24"/>
      <c r="F165" s="24"/>
      <c r="G165" s="26"/>
      <c r="H165" s="26"/>
      <c r="I165" s="26"/>
      <c r="J165" s="26"/>
      <c r="K165" s="26"/>
      <c r="L165" s="26"/>
      <c r="M165" s="26"/>
      <c r="N165" s="26"/>
      <c r="O165" s="26"/>
      <c r="P165" s="26"/>
      <c r="Q165" s="26"/>
      <c r="S165" s="26"/>
      <c r="T165" s="25"/>
      <c r="U165" s="24"/>
      <c r="V165" s="24"/>
      <c r="W165" s="24"/>
      <c r="X165" s="26"/>
      <c r="Y165" s="26"/>
      <c r="Z165" s="24"/>
      <c r="AA165" s="26"/>
      <c r="AB165" s="25"/>
      <c r="AC165" s="24"/>
      <c r="AD165" s="24"/>
      <c r="AE165" s="24"/>
      <c r="AF165" s="26"/>
      <c r="AG165" s="26"/>
      <c r="AH165" s="24"/>
      <c r="AI165" s="26"/>
      <c r="AJ165" s="25"/>
      <c r="AK165" s="24"/>
      <c r="AL165" s="24"/>
      <c r="AM165" s="24"/>
      <c r="AN165" s="26"/>
      <c r="AO165" s="26"/>
      <c r="AP165" s="24"/>
      <c r="AQ165" s="24"/>
      <c r="AR165" s="24"/>
      <c r="AS165" s="28"/>
      <c r="AT165" s="28"/>
      <c r="AU165" s="28"/>
      <c r="AV165" s="28"/>
      <c r="AW165" s="28"/>
      <c r="AX165" s="28"/>
      <c r="AY165" s="28"/>
      <c r="AZ165" s="28"/>
      <c r="BA165" s="28"/>
      <c r="BB165" s="28"/>
      <c r="BC165" s="28"/>
      <c r="BD165" s="28"/>
      <c r="BE165" s="28"/>
      <c r="BF165" s="28"/>
      <c r="BG165" s="28"/>
      <c r="BH165" s="28"/>
      <c r="BI165" s="28"/>
      <c r="BJ165" s="24"/>
      <c r="BK165" s="28"/>
      <c r="BL165" s="28"/>
      <c r="BM165" s="28"/>
      <c r="BN165" s="28"/>
      <c r="BO165" s="28"/>
      <c r="BP165" s="28"/>
      <c r="BQ165" s="24"/>
      <c r="BR165" s="28"/>
      <c r="BS165" s="28"/>
      <c r="BT165" s="28"/>
      <c r="BU165" s="24"/>
      <c r="BV165" s="28"/>
      <c r="BW165" s="28"/>
      <c r="BX165" s="28"/>
    </row>
    <row r="166" spans="1:76">
      <c r="A166" s="24"/>
      <c r="B166" s="28"/>
      <c r="C166" s="25"/>
      <c r="D166" s="26"/>
      <c r="E166" s="24"/>
      <c r="F166" s="24"/>
      <c r="G166" s="26"/>
      <c r="H166" s="26"/>
      <c r="I166" s="26"/>
      <c r="J166" s="26"/>
      <c r="K166" s="26"/>
      <c r="L166" s="26"/>
      <c r="M166" s="26"/>
      <c r="N166" s="26"/>
      <c r="O166" s="26"/>
      <c r="P166" s="26"/>
      <c r="Q166" s="26"/>
      <c r="S166" s="26"/>
      <c r="T166" s="25"/>
      <c r="U166" s="24"/>
      <c r="V166" s="24"/>
      <c r="W166" s="24"/>
      <c r="X166" s="26"/>
      <c r="Y166" s="26"/>
      <c r="Z166" s="24"/>
      <c r="AA166" s="26"/>
      <c r="AB166" s="25"/>
      <c r="AC166" s="24"/>
      <c r="AD166" s="24"/>
      <c r="AE166" s="24"/>
      <c r="AF166" s="26"/>
      <c r="AG166" s="26"/>
      <c r="AH166" s="24"/>
      <c r="AI166" s="26"/>
      <c r="AJ166" s="25"/>
      <c r="AK166" s="24"/>
      <c r="AL166" s="24"/>
      <c r="AM166" s="24"/>
      <c r="AN166" s="26"/>
      <c r="AO166" s="26"/>
      <c r="AP166" s="24"/>
      <c r="AQ166" s="24"/>
      <c r="AR166" s="24"/>
      <c r="AS166" s="28"/>
      <c r="AT166" s="28"/>
      <c r="AU166" s="28"/>
      <c r="AV166" s="28"/>
      <c r="AW166" s="28"/>
      <c r="AX166" s="28"/>
      <c r="AY166" s="28"/>
      <c r="AZ166" s="28"/>
      <c r="BA166" s="28"/>
      <c r="BB166" s="28"/>
      <c r="BC166" s="28"/>
      <c r="BD166" s="28"/>
      <c r="BE166" s="28"/>
      <c r="BF166" s="28"/>
      <c r="BG166" s="28"/>
      <c r="BH166" s="28"/>
      <c r="BI166" s="28"/>
      <c r="BJ166" s="24"/>
      <c r="BK166" s="28"/>
      <c r="BL166" s="28"/>
      <c r="BM166" s="28"/>
      <c r="BN166" s="28"/>
      <c r="BO166" s="28"/>
      <c r="BP166" s="28"/>
      <c r="BQ166" s="24"/>
      <c r="BR166" s="28"/>
      <c r="BS166" s="28"/>
      <c r="BT166" s="28"/>
      <c r="BU166" s="24"/>
      <c r="BV166" s="28"/>
      <c r="BW166" s="28"/>
      <c r="BX166" s="28"/>
    </row>
    <row r="167" spans="1:76">
      <c r="A167" s="24"/>
      <c r="B167" s="28"/>
      <c r="C167" s="25"/>
      <c r="D167" s="26"/>
      <c r="E167" s="24"/>
      <c r="F167" s="24"/>
      <c r="G167" s="26"/>
      <c r="H167" s="26"/>
      <c r="I167" s="26"/>
      <c r="J167" s="26"/>
      <c r="K167" s="26"/>
      <c r="L167" s="26"/>
      <c r="M167" s="26"/>
      <c r="N167" s="26"/>
      <c r="O167" s="26"/>
      <c r="P167" s="26"/>
      <c r="Q167" s="26"/>
      <c r="S167" s="26"/>
      <c r="T167" s="25"/>
      <c r="U167" s="24"/>
      <c r="V167" s="24"/>
      <c r="W167" s="24"/>
      <c r="X167" s="26"/>
      <c r="Y167" s="26"/>
      <c r="Z167" s="24"/>
      <c r="AA167" s="26"/>
      <c r="AB167" s="25"/>
      <c r="AC167" s="24"/>
      <c r="AD167" s="24"/>
      <c r="AE167" s="24"/>
      <c r="AF167" s="26"/>
      <c r="AG167" s="26"/>
      <c r="AH167" s="24"/>
      <c r="AI167" s="26"/>
      <c r="AJ167" s="25"/>
      <c r="AK167" s="24"/>
      <c r="AL167" s="24"/>
      <c r="AM167" s="24"/>
      <c r="AN167" s="26"/>
      <c r="AO167" s="26"/>
      <c r="AP167" s="24"/>
      <c r="AQ167" s="24"/>
      <c r="AR167" s="24"/>
      <c r="AS167" s="28"/>
      <c r="AT167" s="28"/>
      <c r="AU167" s="28"/>
      <c r="AV167" s="28"/>
      <c r="AW167" s="28"/>
      <c r="AX167" s="28"/>
      <c r="AY167" s="28"/>
      <c r="AZ167" s="28"/>
      <c r="BA167" s="28"/>
      <c r="BB167" s="28"/>
      <c r="BC167" s="28"/>
      <c r="BD167" s="28"/>
      <c r="BE167" s="28"/>
      <c r="BF167" s="28"/>
      <c r="BG167" s="28"/>
      <c r="BH167" s="28"/>
      <c r="BI167" s="28"/>
      <c r="BJ167" s="24"/>
      <c r="BK167" s="28"/>
      <c r="BL167" s="28"/>
      <c r="BM167" s="28"/>
      <c r="BN167" s="28"/>
      <c r="BO167" s="28"/>
      <c r="BP167" s="28"/>
      <c r="BQ167" s="24"/>
      <c r="BR167" s="28"/>
      <c r="BS167" s="28"/>
      <c r="BT167" s="28"/>
      <c r="BU167" s="24"/>
      <c r="BV167" s="28"/>
      <c r="BW167" s="28"/>
      <c r="BX167" s="28"/>
    </row>
    <row r="168" spans="1:76">
      <c r="A168" s="24"/>
      <c r="B168" s="28"/>
      <c r="C168" s="25"/>
      <c r="D168" s="26"/>
      <c r="E168" s="24"/>
      <c r="F168" s="24"/>
      <c r="G168" s="26"/>
      <c r="H168" s="26"/>
      <c r="I168" s="26"/>
      <c r="J168" s="26"/>
      <c r="K168" s="26"/>
      <c r="L168" s="26"/>
      <c r="M168" s="26"/>
      <c r="N168" s="26"/>
      <c r="O168" s="26"/>
      <c r="P168" s="26"/>
      <c r="Q168" s="26"/>
      <c r="S168" s="26"/>
      <c r="T168" s="25"/>
      <c r="U168" s="24"/>
      <c r="V168" s="24"/>
      <c r="W168" s="24"/>
      <c r="X168" s="26"/>
      <c r="Y168" s="26"/>
      <c r="Z168" s="24"/>
      <c r="AA168" s="26"/>
      <c r="AB168" s="25"/>
      <c r="AC168" s="24"/>
      <c r="AD168" s="24"/>
      <c r="AE168" s="24"/>
      <c r="AF168" s="26"/>
      <c r="AG168" s="26"/>
      <c r="AH168" s="24"/>
      <c r="AI168" s="26"/>
      <c r="AJ168" s="25"/>
      <c r="AK168" s="24"/>
      <c r="AL168" s="24"/>
      <c r="AM168" s="24"/>
      <c r="AN168" s="26"/>
      <c r="AO168" s="26"/>
      <c r="AP168" s="24"/>
      <c r="AQ168" s="24"/>
      <c r="AR168" s="24"/>
      <c r="AS168" s="28"/>
      <c r="AT168" s="28"/>
      <c r="AU168" s="28"/>
      <c r="AV168" s="28"/>
      <c r="AW168" s="28"/>
      <c r="AX168" s="28"/>
      <c r="AY168" s="28"/>
      <c r="AZ168" s="28"/>
      <c r="BA168" s="28"/>
      <c r="BB168" s="28"/>
      <c r="BC168" s="28"/>
      <c r="BD168" s="28"/>
      <c r="BE168" s="28"/>
      <c r="BF168" s="28"/>
      <c r="BG168" s="28"/>
      <c r="BH168" s="28"/>
      <c r="BI168" s="28"/>
      <c r="BJ168" s="24"/>
      <c r="BK168" s="28"/>
      <c r="BL168" s="28"/>
      <c r="BM168" s="28"/>
      <c r="BN168" s="28"/>
      <c r="BO168" s="28"/>
      <c r="BP168" s="28"/>
      <c r="BQ168" s="24"/>
      <c r="BR168" s="28"/>
      <c r="BS168" s="28"/>
      <c r="BT168" s="28"/>
      <c r="BU168" s="24"/>
      <c r="BV168" s="28"/>
      <c r="BW168" s="28"/>
      <c r="BX168" s="28"/>
    </row>
    <row r="169" spans="1:76">
      <c r="A169" s="24"/>
      <c r="B169" s="28"/>
      <c r="C169" s="25"/>
      <c r="D169" s="26"/>
      <c r="E169" s="24"/>
      <c r="F169" s="24"/>
      <c r="G169" s="26"/>
      <c r="H169" s="26"/>
      <c r="I169" s="26"/>
      <c r="J169" s="26"/>
      <c r="K169" s="26"/>
      <c r="L169" s="26"/>
      <c r="M169" s="26"/>
      <c r="N169" s="26"/>
      <c r="O169" s="26"/>
      <c r="P169" s="26"/>
      <c r="Q169" s="26"/>
      <c r="S169" s="26"/>
      <c r="T169" s="25"/>
      <c r="U169" s="24"/>
      <c r="V169" s="24"/>
      <c r="W169" s="24"/>
      <c r="X169" s="26"/>
      <c r="Y169" s="26"/>
      <c r="Z169" s="24"/>
      <c r="AA169" s="26"/>
      <c r="AB169" s="25"/>
      <c r="AC169" s="24"/>
      <c r="AD169" s="24"/>
      <c r="AE169" s="24"/>
      <c r="AF169" s="26"/>
      <c r="AG169" s="26"/>
      <c r="AH169" s="24"/>
      <c r="AI169" s="26"/>
      <c r="AJ169" s="25"/>
      <c r="AK169" s="24"/>
      <c r="AL169" s="24"/>
      <c r="AM169" s="24"/>
      <c r="AN169" s="26"/>
      <c r="AO169" s="26"/>
      <c r="AP169" s="24"/>
      <c r="AQ169" s="24"/>
      <c r="AR169" s="24"/>
      <c r="AS169" s="28"/>
      <c r="AT169" s="28"/>
      <c r="AU169" s="28"/>
      <c r="AV169" s="28"/>
      <c r="AW169" s="28"/>
      <c r="AX169" s="28"/>
      <c r="AY169" s="28"/>
      <c r="AZ169" s="28"/>
      <c r="BA169" s="28"/>
      <c r="BB169" s="28"/>
      <c r="BC169" s="28"/>
      <c r="BD169" s="28"/>
      <c r="BE169" s="28"/>
      <c r="BF169" s="28"/>
      <c r="BG169" s="28"/>
      <c r="BH169" s="28"/>
      <c r="BI169" s="28"/>
      <c r="BJ169" s="24"/>
      <c r="BK169" s="28"/>
      <c r="BL169" s="28"/>
      <c r="BM169" s="28"/>
      <c r="BN169" s="28"/>
      <c r="BO169" s="28"/>
      <c r="BP169" s="28"/>
      <c r="BQ169" s="24"/>
      <c r="BR169" s="28"/>
      <c r="BS169" s="28"/>
      <c r="BT169" s="28"/>
      <c r="BU169" s="24"/>
      <c r="BV169" s="28"/>
      <c r="BW169" s="28"/>
      <c r="BX169" s="28"/>
    </row>
    <row r="170" spans="1:76">
      <c r="A170" s="24"/>
      <c r="B170" s="28"/>
      <c r="C170" s="25"/>
      <c r="D170" s="26"/>
      <c r="E170" s="24"/>
      <c r="F170" s="24"/>
      <c r="G170" s="26"/>
      <c r="H170" s="26"/>
      <c r="I170" s="26"/>
      <c r="J170" s="26"/>
      <c r="K170" s="26"/>
      <c r="L170" s="26"/>
      <c r="M170" s="26"/>
      <c r="N170" s="26"/>
      <c r="O170" s="26"/>
      <c r="P170" s="26"/>
      <c r="Q170" s="26"/>
      <c r="S170" s="26"/>
      <c r="T170" s="25"/>
      <c r="U170" s="24"/>
      <c r="V170" s="24"/>
      <c r="W170" s="24"/>
      <c r="X170" s="26"/>
      <c r="Y170" s="26"/>
      <c r="Z170" s="24"/>
      <c r="AA170" s="26"/>
      <c r="AB170" s="25"/>
      <c r="AC170" s="24"/>
      <c r="AD170" s="24"/>
      <c r="AE170" s="24"/>
      <c r="AF170" s="26"/>
      <c r="AG170" s="26"/>
      <c r="AH170" s="24"/>
      <c r="AI170" s="26"/>
      <c r="AJ170" s="25"/>
      <c r="AK170" s="24"/>
      <c r="AL170" s="24"/>
      <c r="AM170" s="24"/>
      <c r="AN170" s="26"/>
      <c r="AO170" s="26"/>
      <c r="AP170" s="24"/>
      <c r="AQ170" s="24"/>
      <c r="AR170" s="24"/>
      <c r="AS170" s="28"/>
      <c r="AT170" s="28"/>
      <c r="AU170" s="28"/>
      <c r="AV170" s="28"/>
      <c r="AW170" s="28"/>
      <c r="AX170" s="28"/>
      <c r="AY170" s="28"/>
      <c r="AZ170" s="28"/>
      <c r="BA170" s="28"/>
      <c r="BB170" s="28"/>
      <c r="BC170" s="28"/>
      <c r="BD170" s="28"/>
      <c r="BE170" s="28"/>
      <c r="BF170" s="28"/>
      <c r="BG170" s="28"/>
      <c r="BH170" s="28"/>
      <c r="BI170" s="28"/>
      <c r="BJ170" s="24"/>
      <c r="BK170" s="28"/>
      <c r="BL170" s="28"/>
      <c r="BM170" s="28"/>
      <c r="BN170" s="28"/>
      <c r="BO170" s="28"/>
      <c r="BP170" s="28"/>
      <c r="BQ170" s="24"/>
      <c r="BR170" s="28"/>
      <c r="BS170" s="28"/>
      <c r="BT170" s="28"/>
      <c r="BU170" s="24"/>
      <c r="BV170" s="28"/>
      <c r="BW170" s="28"/>
      <c r="BX170" s="28"/>
    </row>
    <row r="171" spans="1:76">
      <c r="A171" s="24"/>
      <c r="B171" s="28"/>
      <c r="C171" s="25"/>
      <c r="D171" s="26"/>
      <c r="E171" s="24"/>
      <c r="F171" s="24"/>
      <c r="G171" s="26"/>
      <c r="H171" s="26"/>
      <c r="I171" s="26"/>
      <c r="J171" s="26"/>
      <c r="K171" s="26"/>
      <c r="L171" s="26"/>
      <c r="M171" s="26"/>
      <c r="N171" s="26"/>
      <c r="O171" s="26"/>
      <c r="P171" s="26"/>
      <c r="Q171" s="26"/>
      <c r="S171" s="26"/>
      <c r="T171" s="25"/>
      <c r="U171" s="24"/>
      <c r="V171" s="24"/>
      <c r="W171" s="24"/>
      <c r="X171" s="26"/>
      <c r="Y171" s="26"/>
      <c r="Z171" s="24"/>
      <c r="AA171" s="26"/>
      <c r="AB171" s="25"/>
      <c r="AC171" s="24"/>
      <c r="AD171" s="24"/>
      <c r="AE171" s="24"/>
      <c r="AF171" s="26"/>
      <c r="AG171" s="26"/>
      <c r="AH171" s="24"/>
      <c r="AI171" s="26"/>
      <c r="AJ171" s="25"/>
      <c r="AK171" s="24"/>
      <c r="AL171" s="24"/>
      <c r="AM171" s="24"/>
      <c r="AN171" s="26"/>
      <c r="AO171" s="26"/>
      <c r="AP171" s="24"/>
      <c r="AQ171" s="24"/>
      <c r="AR171" s="24"/>
      <c r="AS171" s="28"/>
      <c r="AT171" s="28"/>
      <c r="AU171" s="28"/>
      <c r="AV171" s="28"/>
      <c r="AW171" s="28"/>
      <c r="AX171" s="28"/>
      <c r="AY171" s="28"/>
      <c r="AZ171" s="28"/>
      <c r="BA171" s="28"/>
      <c r="BB171" s="28"/>
      <c r="BC171" s="28"/>
      <c r="BD171" s="28"/>
      <c r="BE171" s="28"/>
      <c r="BF171" s="28"/>
      <c r="BG171" s="28"/>
      <c r="BH171" s="28"/>
      <c r="BI171" s="28"/>
      <c r="BJ171" s="24"/>
      <c r="BK171" s="28"/>
      <c r="BL171" s="28"/>
      <c r="BM171" s="28"/>
      <c r="BN171" s="28"/>
      <c r="BO171" s="28"/>
      <c r="BP171" s="28"/>
      <c r="BQ171" s="24"/>
      <c r="BR171" s="28"/>
      <c r="BS171" s="28"/>
      <c r="BT171" s="28"/>
      <c r="BU171" s="24"/>
      <c r="BV171" s="28"/>
      <c r="BW171" s="28"/>
      <c r="BX171" s="28"/>
    </row>
    <row r="172" spans="1:76">
      <c r="A172" s="24"/>
      <c r="B172" s="28"/>
      <c r="C172" s="25"/>
      <c r="D172" s="26"/>
      <c r="E172" s="24"/>
      <c r="F172" s="24"/>
      <c r="G172" s="26"/>
      <c r="H172" s="26"/>
      <c r="I172" s="26"/>
      <c r="J172" s="26"/>
      <c r="K172" s="26"/>
      <c r="L172" s="26"/>
      <c r="M172" s="26"/>
      <c r="N172" s="26"/>
      <c r="O172" s="26"/>
      <c r="P172" s="26"/>
      <c r="Q172" s="26"/>
      <c r="S172" s="26"/>
      <c r="T172" s="25"/>
      <c r="U172" s="24"/>
      <c r="V172" s="24"/>
      <c r="W172" s="24"/>
      <c r="X172" s="26"/>
      <c r="Y172" s="26"/>
      <c r="Z172" s="24"/>
      <c r="AA172" s="26"/>
      <c r="AB172" s="25"/>
      <c r="AC172" s="24"/>
      <c r="AD172" s="24"/>
      <c r="AE172" s="24"/>
      <c r="AF172" s="26"/>
      <c r="AG172" s="26"/>
      <c r="AH172" s="24"/>
      <c r="AI172" s="26"/>
      <c r="AJ172" s="25"/>
      <c r="AK172" s="24"/>
      <c r="AL172" s="24"/>
      <c r="AM172" s="24"/>
      <c r="AN172" s="26"/>
      <c r="AO172" s="26"/>
      <c r="AP172" s="24"/>
      <c r="AQ172" s="24"/>
      <c r="AR172" s="24"/>
      <c r="AS172" s="28"/>
      <c r="AT172" s="28"/>
      <c r="AU172" s="28"/>
      <c r="AV172" s="28"/>
      <c r="AW172" s="28"/>
      <c r="AX172" s="28"/>
      <c r="AY172" s="28"/>
      <c r="AZ172" s="28"/>
      <c r="BA172" s="28"/>
      <c r="BB172" s="28"/>
      <c r="BC172" s="28"/>
      <c r="BD172" s="28"/>
      <c r="BE172" s="28"/>
      <c r="BF172" s="28"/>
      <c r="BG172" s="28"/>
      <c r="BH172" s="28"/>
      <c r="BI172" s="28"/>
      <c r="BJ172" s="24"/>
      <c r="BK172" s="28"/>
      <c r="BL172" s="28"/>
      <c r="BM172" s="28"/>
      <c r="BN172" s="28"/>
      <c r="BO172" s="28"/>
      <c r="BP172" s="28"/>
      <c r="BQ172" s="24"/>
      <c r="BR172" s="28"/>
      <c r="BS172" s="28"/>
      <c r="BT172" s="28"/>
      <c r="BU172" s="24"/>
      <c r="BV172" s="28"/>
      <c r="BW172" s="28"/>
      <c r="BX172" s="28"/>
    </row>
    <row r="173" spans="1:76">
      <c r="A173" s="24"/>
      <c r="B173" s="28"/>
      <c r="C173" s="25"/>
      <c r="D173" s="26"/>
      <c r="E173" s="24"/>
      <c r="F173" s="24"/>
      <c r="G173" s="26"/>
      <c r="H173" s="26"/>
      <c r="I173" s="26"/>
      <c r="J173" s="26"/>
      <c r="K173" s="26"/>
      <c r="L173" s="26"/>
      <c r="M173" s="26"/>
      <c r="N173" s="26"/>
      <c r="O173" s="26"/>
      <c r="P173" s="26"/>
      <c r="Q173" s="26"/>
      <c r="S173" s="26"/>
      <c r="T173" s="25"/>
      <c r="U173" s="24"/>
      <c r="V173" s="24"/>
      <c r="W173" s="24"/>
      <c r="X173" s="26"/>
      <c r="Y173" s="26"/>
      <c r="Z173" s="24"/>
      <c r="AA173" s="26"/>
      <c r="AB173" s="25"/>
      <c r="AC173" s="24"/>
      <c r="AD173" s="24"/>
      <c r="AE173" s="24"/>
      <c r="AF173" s="26"/>
      <c r="AG173" s="26"/>
      <c r="AH173" s="24"/>
      <c r="AI173" s="26"/>
      <c r="AJ173" s="25"/>
      <c r="AK173" s="24"/>
      <c r="AL173" s="24"/>
      <c r="AM173" s="24"/>
      <c r="AN173" s="26"/>
      <c r="AO173" s="26"/>
      <c r="AP173" s="24"/>
      <c r="AQ173" s="24"/>
      <c r="AR173" s="24"/>
      <c r="AS173" s="28"/>
      <c r="AT173" s="28"/>
      <c r="AU173" s="28"/>
      <c r="AV173" s="28"/>
      <c r="AW173" s="28"/>
      <c r="AX173" s="28"/>
      <c r="AY173" s="28"/>
      <c r="AZ173" s="28"/>
      <c r="BA173" s="28"/>
      <c r="BB173" s="28"/>
      <c r="BC173" s="28"/>
      <c r="BD173" s="28"/>
      <c r="BE173" s="28"/>
      <c r="BF173" s="28"/>
      <c r="BG173" s="28"/>
      <c r="BH173" s="28"/>
      <c r="BI173" s="28"/>
      <c r="BJ173" s="24"/>
      <c r="BK173" s="28"/>
      <c r="BL173" s="28"/>
      <c r="BM173" s="28"/>
      <c r="BN173" s="28"/>
      <c r="BO173" s="28"/>
      <c r="BP173" s="28"/>
      <c r="BQ173" s="24"/>
      <c r="BR173" s="28"/>
      <c r="BS173" s="28"/>
      <c r="BT173" s="28"/>
      <c r="BU173" s="24"/>
      <c r="BV173" s="28"/>
      <c r="BW173" s="28"/>
      <c r="BX173" s="28"/>
    </row>
    <row r="174" spans="1:76">
      <c r="A174" s="24"/>
      <c r="B174" s="28"/>
      <c r="C174" s="25"/>
      <c r="D174" s="26"/>
      <c r="E174" s="24"/>
      <c r="F174" s="24"/>
      <c r="G174" s="26"/>
      <c r="H174" s="26"/>
      <c r="I174" s="26"/>
      <c r="J174" s="26"/>
      <c r="K174" s="26"/>
      <c r="L174" s="26"/>
      <c r="M174" s="26"/>
      <c r="N174" s="26"/>
      <c r="O174" s="26"/>
      <c r="P174" s="26"/>
      <c r="Q174" s="26"/>
      <c r="S174" s="26"/>
      <c r="T174" s="25"/>
      <c r="U174" s="24"/>
      <c r="V174" s="24"/>
      <c r="W174" s="24"/>
      <c r="X174" s="26"/>
      <c r="Y174" s="26"/>
      <c r="Z174" s="24"/>
      <c r="AA174" s="26"/>
      <c r="AB174" s="25"/>
      <c r="AC174" s="24"/>
      <c r="AD174" s="24"/>
      <c r="AE174" s="24"/>
      <c r="AF174" s="26"/>
      <c r="AG174" s="26"/>
      <c r="AH174" s="24"/>
      <c r="AI174" s="26"/>
      <c r="AJ174" s="25"/>
      <c r="AK174" s="24"/>
      <c r="AL174" s="24"/>
      <c r="AM174" s="24"/>
      <c r="AN174" s="26"/>
      <c r="AO174" s="26"/>
      <c r="AP174" s="24"/>
      <c r="AQ174" s="24"/>
      <c r="AR174" s="24"/>
      <c r="AS174" s="28"/>
      <c r="AT174" s="28"/>
      <c r="AU174" s="28"/>
      <c r="AV174" s="28"/>
      <c r="AW174" s="28"/>
      <c r="AX174" s="28"/>
      <c r="AY174" s="28"/>
      <c r="AZ174" s="28"/>
      <c r="BA174" s="28"/>
      <c r="BB174" s="28"/>
      <c r="BC174" s="28"/>
      <c r="BD174" s="28"/>
      <c r="BE174" s="28"/>
      <c r="BF174" s="28"/>
      <c r="BG174" s="28"/>
      <c r="BH174" s="28"/>
      <c r="BI174" s="28"/>
      <c r="BJ174" s="24"/>
      <c r="BK174" s="28"/>
      <c r="BL174" s="28"/>
      <c r="BM174" s="28"/>
      <c r="BN174" s="28"/>
      <c r="BO174" s="28"/>
      <c r="BP174" s="28"/>
      <c r="BQ174" s="24"/>
      <c r="BR174" s="28"/>
      <c r="BS174" s="28"/>
      <c r="BT174" s="28"/>
      <c r="BU174" s="24"/>
      <c r="BV174" s="28"/>
      <c r="BW174" s="28"/>
      <c r="BX174" s="28"/>
    </row>
    <row r="175" spans="1:76">
      <c r="A175" s="24"/>
      <c r="B175" s="28"/>
      <c r="C175" s="25"/>
      <c r="D175" s="26"/>
      <c r="E175" s="24"/>
      <c r="F175" s="24"/>
      <c r="G175" s="26"/>
      <c r="H175" s="26"/>
      <c r="I175" s="26"/>
      <c r="J175" s="26"/>
      <c r="K175" s="26"/>
      <c r="L175" s="26"/>
      <c r="M175" s="26"/>
      <c r="N175" s="26"/>
      <c r="O175" s="26"/>
      <c r="P175" s="26"/>
      <c r="Q175" s="26"/>
      <c r="S175" s="26"/>
      <c r="T175" s="25"/>
      <c r="U175" s="24"/>
      <c r="V175" s="24"/>
      <c r="W175" s="24"/>
      <c r="X175" s="26"/>
      <c r="Y175" s="26"/>
      <c r="Z175" s="24"/>
      <c r="AA175" s="26"/>
      <c r="AB175" s="25"/>
      <c r="AC175" s="24"/>
      <c r="AD175" s="24"/>
      <c r="AE175" s="24"/>
      <c r="AF175" s="26"/>
      <c r="AG175" s="26"/>
      <c r="AH175" s="24"/>
      <c r="AI175" s="26"/>
      <c r="AJ175" s="25"/>
      <c r="AK175" s="24"/>
      <c r="AL175" s="24"/>
      <c r="AM175" s="24"/>
      <c r="AN175" s="26"/>
      <c r="AO175" s="26"/>
      <c r="AP175" s="24"/>
      <c r="AQ175" s="24"/>
      <c r="AR175" s="24"/>
      <c r="AS175" s="28"/>
      <c r="AT175" s="28"/>
      <c r="AU175" s="28"/>
      <c r="AV175" s="28"/>
      <c r="AW175" s="28"/>
      <c r="AX175" s="28"/>
      <c r="AY175" s="28"/>
      <c r="AZ175" s="28"/>
      <c r="BA175" s="28"/>
      <c r="BB175" s="28"/>
      <c r="BC175" s="28"/>
      <c r="BD175" s="28"/>
      <c r="BE175" s="28"/>
      <c r="BF175" s="28"/>
      <c r="BG175" s="28"/>
      <c r="BH175" s="28"/>
      <c r="BI175" s="28"/>
      <c r="BJ175" s="24"/>
      <c r="BK175" s="28"/>
      <c r="BL175" s="28"/>
      <c r="BM175" s="28"/>
      <c r="BN175" s="28"/>
      <c r="BO175" s="28"/>
      <c r="BP175" s="28"/>
      <c r="BQ175" s="24"/>
      <c r="BR175" s="28"/>
      <c r="BS175" s="28"/>
      <c r="BT175" s="28"/>
      <c r="BU175" s="24"/>
      <c r="BV175" s="28"/>
      <c r="BW175" s="28"/>
      <c r="BX175" s="28"/>
    </row>
    <row r="176" spans="1:76">
      <c r="A176" s="24"/>
      <c r="B176" s="28"/>
      <c r="C176" s="25"/>
      <c r="D176" s="26"/>
      <c r="E176" s="24"/>
      <c r="F176" s="24"/>
      <c r="G176" s="26"/>
      <c r="H176" s="26"/>
      <c r="I176" s="26"/>
      <c r="J176" s="26"/>
      <c r="K176" s="26"/>
      <c r="L176" s="26"/>
      <c r="M176" s="26"/>
      <c r="N176" s="26"/>
      <c r="O176" s="26"/>
      <c r="P176" s="26"/>
      <c r="Q176" s="26"/>
      <c r="S176" s="26"/>
      <c r="T176" s="25"/>
      <c r="U176" s="24"/>
      <c r="V176" s="24"/>
      <c r="W176" s="24"/>
      <c r="X176" s="26"/>
      <c r="Y176" s="26"/>
      <c r="Z176" s="24"/>
      <c r="AA176" s="26"/>
      <c r="AB176" s="25"/>
      <c r="AC176" s="24"/>
      <c r="AD176" s="24"/>
      <c r="AE176" s="24"/>
      <c r="AF176" s="26"/>
      <c r="AG176" s="26"/>
      <c r="AH176" s="24"/>
      <c r="AI176" s="26"/>
      <c r="AJ176" s="25"/>
      <c r="AK176" s="24"/>
      <c r="AL176" s="24"/>
      <c r="AM176" s="24"/>
      <c r="AN176" s="26"/>
      <c r="AO176" s="26"/>
      <c r="AP176" s="24"/>
      <c r="AQ176" s="24"/>
      <c r="AR176" s="24"/>
      <c r="AS176" s="28"/>
      <c r="AT176" s="28"/>
      <c r="AU176" s="28"/>
      <c r="AV176" s="28"/>
      <c r="AW176" s="28"/>
      <c r="AX176" s="28"/>
      <c r="AY176" s="28"/>
      <c r="AZ176" s="28"/>
      <c r="BA176" s="28"/>
      <c r="BB176" s="28"/>
      <c r="BC176" s="28"/>
      <c r="BD176" s="28"/>
      <c r="BE176" s="28"/>
      <c r="BF176" s="28"/>
      <c r="BG176" s="28"/>
      <c r="BH176" s="28"/>
      <c r="BI176" s="28"/>
      <c r="BJ176" s="24"/>
      <c r="BK176" s="28"/>
      <c r="BL176" s="28"/>
      <c r="BM176" s="28"/>
      <c r="BN176" s="28"/>
      <c r="BO176" s="28"/>
      <c r="BP176" s="28"/>
      <c r="BQ176" s="24"/>
      <c r="BR176" s="28"/>
      <c r="BS176" s="28"/>
      <c r="BT176" s="28"/>
      <c r="BU176" s="24"/>
      <c r="BV176" s="28"/>
      <c r="BW176" s="28"/>
      <c r="BX176" s="28"/>
    </row>
    <row r="177" spans="1:76">
      <c r="A177" s="24"/>
      <c r="B177" s="28"/>
      <c r="C177" s="25"/>
      <c r="D177" s="26"/>
      <c r="E177" s="24"/>
      <c r="F177" s="24"/>
      <c r="G177" s="26"/>
      <c r="H177" s="26"/>
      <c r="I177" s="26"/>
      <c r="J177" s="26"/>
      <c r="K177" s="26"/>
      <c r="L177" s="26"/>
      <c r="M177" s="26"/>
      <c r="N177" s="26"/>
      <c r="O177" s="26"/>
      <c r="P177" s="26"/>
      <c r="Q177" s="26"/>
      <c r="S177" s="26"/>
      <c r="T177" s="25"/>
      <c r="U177" s="24"/>
      <c r="V177" s="24"/>
      <c r="W177" s="24"/>
      <c r="X177" s="26"/>
      <c r="Y177" s="26"/>
      <c r="Z177" s="24"/>
      <c r="AA177" s="26"/>
      <c r="AB177" s="25"/>
      <c r="AC177" s="24"/>
      <c r="AD177" s="24"/>
      <c r="AE177" s="24"/>
      <c r="AF177" s="26"/>
      <c r="AG177" s="26"/>
      <c r="AH177" s="24"/>
      <c r="AI177" s="26"/>
      <c r="AJ177" s="25"/>
      <c r="AK177" s="24"/>
      <c r="AL177" s="24"/>
      <c r="AM177" s="24"/>
      <c r="AN177" s="26"/>
      <c r="AO177" s="26"/>
      <c r="AP177" s="24"/>
      <c r="AQ177" s="24"/>
      <c r="AR177" s="24"/>
      <c r="AS177" s="28"/>
      <c r="AT177" s="28"/>
      <c r="AU177" s="28"/>
      <c r="AV177" s="28"/>
      <c r="AW177" s="28"/>
      <c r="AX177" s="28"/>
      <c r="AY177" s="28"/>
      <c r="AZ177" s="28"/>
      <c r="BA177" s="28"/>
      <c r="BB177" s="28"/>
      <c r="BC177" s="28"/>
      <c r="BD177" s="28"/>
      <c r="BE177" s="28"/>
      <c r="BF177" s="28"/>
      <c r="BG177" s="28"/>
      <c r="BH177" s="28"/>
      <c r="BI177" s="28"/>
      <c r="BJ177" s="24"/>
      <c r="BK177" s="28"/>
      <c r="BL177" s="28"/>
      <c r="BM177" s="28"/>
      <c r="BN177" s="28"/>
      <c r="BO177" s="28"/>
      <c r="BP177" s="28"/>
      <c r="BQ177" s="24"/>
      <c r="BR177" s="28"/>
      <c r="BS177" s="28"/>
      <c r="BT177" s="28"/>
      <c r="BU177" s="24"/>
      <c r="BV177" s="28"/>
      <c r="BW177" s="28"/>
      <c r="BX177" s="28"/>
    </row>
    <row r="178" spans="1:76">
      <c r="A178" s="24"/>
      <c r="B178" s="28"/>
      <c r="C178" s="25"/>
      <c r="D178" s="26"/>
      <c r="E178" s="24"/>
      <c r="F178" s="24"/>
      <c r="G178" s="26"/>
      <c r="H178" s="26"/>
      <c r="I178" s="26"/>
      <c r="J178" s="26"/>
      <c r="K178" s="26"/>
      <c r="L178" s="26"/>
      <c r="M178" s="26"/>
      <c r="N178" s="26"/>
      <c r="O178" s="26"/>
      <c r="P178" s="26"/>
      <c r="Q178" s="26"/>
      <c r="S178" s="26"/>
      <c r="T178" s="25"/>
      <c r="U178" s="24"/>
      <c r="V178" s="24"/>
      <c r="W178" s="24"/>
      <c r="X178" s="26"/>
      <c r="Y178" s="26"/>
      <c r="Z178" s="24"/>
      <c r="AA178" s="26"/>
      <c r="AB178" s="25"/>
      <c r="AC178" s="24"/>
      <c r="AD178" s="24"/>
      <c r="AE178" s="24"/>
      <c r="AF178" s="26"/>
      <c r="AG178" s="26"/>
      <c r="AH178" s="24"/>
      <c r="AI178" s="26"/>
      <c r="AJ178" s="25"/>
      <c r="AK178" s="24"/>
      <c r="AL178" s="24"/>
      <c r="AM178" s="24"/>
      <c r="AN178" s="26"/>
      <c r="AO178" s="26"/>
      <c r="AP178" s="24"/>
      <c r="AQ178" s="24"/>
      <c r="AR178" s="24"/>
      <c r="AS178" s="28"/>
      <c r="AT178" s="28"/>
      <c r="AU178" s="28"/>
      <c r="AV178" s="28"/>
      <c r="AW178" s="28"/>
      <c r="AX178" s="28"/>
      <c r="AY178" s="28"/>
      <c r="AZ178" s="28"/>
      <c r="BA178" s="28"/>
      <c r="BB178" s="28"/>
      <c r="BC178" s="28"/>
      <c r="BD178" s="28"/>
      <c r="BE178" s="28"/>
      <c r="BF178" s="28"/>
      <c r="BG178" s="28"/>
      <c r="BH178" s="28"/>
      <c r="BI178" s="28"/>
      <c r="BJ178" s="24"/>
      <c r="BK178" s="28"/>
      <c r="BL178" s="28"/>
      <c r="BM178" s="28"/>
      <c r="BN178" s="28"/>
      <c r="BO178" s="28"/>
      <c r="BP178" s="28"/>
      <c r="BQ178" s="24"/>
      <c r="BR178" s="28"/>
      <c r="BS178" s="28"/>
      <c r="BT178" s="28"/>
      <c r="BU178" s="24"/>
      <c r="BV178" s="28"/>
      <c r="BW178" s="28"/>
      <c r="BX178" s="28"/>
    </row>
    <row r="179" spans="1:76">
      <c r="A179" s="24"/>
      <c r="B179" s="28"/>
      <c r="C179" s="25"/>
      <c r="D179" s="26"/>
      <c r="E179" s="24"/>
      <c r="F179" s="24"/>
      <c r="G179" s="26"/>
      <c r="H179" s="26"/>
      <c r="I179" s="26"/>
      <c r="J179" s="26"/>
      <c r="K179" s="26"/>
      <c r="L179" s="26"/>
      <c r="M179" s="26"/>
      <c r="N179" s="26"/>
      <c r="O179" s="26"/>
      <c r="P179" s="26"/>
      <c r="Q179" s="26"/>
      <c r="S179" s="26"/>
      <c r="T179" s="25"/>
      <c r="U179" s="24"/>
      <c r="V179" s="24"/>
      <c r="W179" s="24"/>
      <c r="X179" s="26"/>
      <c r="Y179" s="26"/>
      <c r="Z179" s="24"/>
      <c r="AA179" s="26"/>
      <c r="AB179" s="25"/>
      <c r="AC179" s="24"/>
      <c r="AD179" s="24"/>
      <c r="AE179" s="24"/>
      <c r="AF179" s="26"/>
      <c r="AG179" s="26"/>
      <c r="AH179" s="24"/>
      <c r="AI179" s="26"/>
      <c r="AJ179" s="25"/>
      <c r="AK179" s="24"/>
      <c r="AL179" s="24"/>
      <c r="AM179" s="24"/>
      <c r="AN179" s="26"/>
      <c r="AO179" s="26"/>
      <c r="AP179" s="24"/>
      <c r="AQ179" s="24"/>
      <c r="AR179" s="24"/>
      <c r="AS179" s="28"/>
      <c r="AT179" s="28"/>
      <c r="AU179" s="28"/>
      <c r="AV179" s="28"/>
      <c r="AW179" s="28"/>
      <c r="AX179" s="28"/>
      <c r="AY179" s="28"/>
      <c r="AZ179" s="28"/>
      <c r="BA179" s="28"/>
      <c r="BB179" s="28"/>
      <c r="BC179" s="28"/>
      <c r="BD179" s="28"/>
      <c r="BE179" s="28"/>
      <c r="BF179" s="28"/>
      <c r="BG179" s="28"/>
      <c r="BH179" s="28"/>
      <c r="BI179" s="28"/>
      <c r="BJ179" s="24"/>
      <c r="BK179" s="28"/>
      <c r="BL179" s="28"/>
      <c r="BM179" s="28"/>
      <c r="BN179" s="28"/>
      <c r="BO179" s="28"/>
      <c r="BP179" s="28"/>
      <c r="BQ179" s="24"/>
      <c r="BR179" s="28"/>
      <c r="BS179" s="28"/>
      <c r="BT179" s="28"/>
      <c r="BU179" s="24"/>
      <c r="BV179" s="28"/>
      <c r="BW179" s="28"/>
      <c r="BX179" s="28"/>
    </row>
    <row r="180" spans="1:76">
      <c r="A180" s="24"/>
      <c r="B180" s="28"/>
      <c r="C180" s="25"/>
      <c r="D180" s="26"/>
      <c r="E180" s="24"/>
      <c r="F180" s="24"/>
      <c r="G180" s="26"/>
      <c r="H180" s="26"/>
      <c r="I180" s="26"/>
      <c r="J180" s="26"/>
      <c r="K180" s="26"/>
      <c r="L180" s="26"/>
      <c r="M180" s="26"/>
      <c r="N180" s="26"/>
      <c r="O180" s="26"/>
      <c r="P180" s="26"/>
      <c r="Q180" s="26"/>
      <c r="S180" s="26"/>
      <c r="T180" s="25"/>
      <c r="U180" s="24"/>
      <c r="V180" s="24"/>
      <c r="W180" s="24"/>
      <c r="X180" s="26"/>
      <c r="Y180" s="26"/>
      <c r="Z180" s="24"/>
      <c r="AA180" s="26"/>
      <c r="AB180" s="25"/>
      <c r="AC180" s="24"/>
      <c r="AD180" s="24"/>
      <c r="AE180" s="24"/>
      <c r="AF180" s="26"/>
      <c r="AG180" s="26"/>
      <c r="AH180" s="24"/>
      <c r="AI180" s="26"/>
      <c r="AJ180" s="25"/>
      <c r="AK180" s="24"/>
      <c r="AL180" s="24"/>
      <c r="AM180" s="24"/>
      <c r="AN180" s="26"/>
      <c r="AO180" s="26"/>
      <c r="AP180" s="24"/>
      <c r="AQ180" s="24"/>
      <c r="AR180" s="24"/>
      <c r="AS180" s="28"/>
      <c r="AT180" s="28"/>
      <c r="AU180" s="28"/>
      <c r="AV180" s="28"/>
      <c r="AW180" s="28"/>
      <c r="AX180" s="28"/>
      <c r="AY180" s="28"/>
      <c r="AZ180" s="28"/>
      <c r="BA180" s="28"/>
      <c r="BB180" s="28"/>
      <c r="BC180" s="28"/>
      <c r="BD180" s="28"/>
      <c r="BE180" s="28"/>
      <c r="BF180" s="28"/>
      <c r="BG180" s="28"/>
      <c r="BH180" s="28"/>
      <c r="BI180" s="28"/>
      <c r="BJ180" s="24"/>
      <c r="BK180" s="28"/>
      <c r="BL180" s="28"/>
      <c r="BM180" s="28"/>
      <c r="BN180" s="28"/>
      <c r="BO180" s="28"/>
      <c r="BP180" s="28"/>
      <c r="BQ180" s="24"/>
      <c r="BR180" s="28"/>
      <c r="BS180" s="28"/>
      <c r="BT180" s="28"/>
      <c r="BU180" s="24"/>
      <c r="BV180" s="28"/>
      <c r="BW180" s="28"/>
      <c r="BX180" s="28"/>
    </row>
    <row r="181" spans="1:76">
      <c r="A181" s="24"/>
      <c r="B181" s="28"/>
      <c r="C181" s="25"/>
      <c r="D181" s="26"/>
      <c r="E181" s="24"/>
      <c r="F181" s="24"/>
      <c r="G181" s="26"/>
      <c r="H181" s="26"/>
      <c r="I181" s="26"/>
      <c r="J181" s="26"/>
      <c r="K181" s="26"/>
      <c r="L181" s="26"/>
      <c r="M181" s="26"/>
      <c r="N181" s="26"/>
      <c r="O181" s="26"/>
      <c r="P181" s="26"/>
      <c r="Q181" s="26"/>
      <c r="S181" s="26"/>
      <c r="T181" s="25"/>
      <c r="U181" s="24"/>
      <c r="V181" s="24"/>
      <c r="W181" s="24"/>
      <c r="X181" s="26"/>
      <c r="Y181" s="26"/>
      <c r="Z181" s="24"/>
      <c r="AA181" s="26"/>
      <c r="AB181" s="25"/>
      <c r="AC181" s="24"/>
      <c r="AD181" s="24"/>
      <c r="AE181" s="24"/>
      <c r="AF181" s="26"/>
      <c r="AG181" s="26"/>
      <c r="AH181" s="24"/>
      <c r="AI181" s="26"/>
      <c r="AJ181" s="25"/>
      <c r="AK181" s="24"/>
      <c r="AL181" s="24"/>
      <c r="AM181" s="24"/>
      <c r="AN181" s="26"/>
      <c r="AO181" s="26"/>
      <c r="AP181" s="24"/>
      <c r="AQ181" s="24"/>
      <c r="AR181" s="24"/>
      <c r="AS181" s="28"/>
      <c r="AT181" s="28"/>
      <c r="AU181" s="28"/>
      <c r="AV181" s="28"/>
      <c r="AW181" s="28"/>
      <c r="AX181" s="28"/>
      <c r="AY181" s="28"/>
      <c r="AZ181" s="28"/>
      <c r="BA181" s="28"/>
      <c r="BB181" s="28"/>
      <c r="BC181" s="28"/>
      <c r="BD181" s="28"/>
      <c r="BE181" s="28"/>
      <c r="BF181" s="28"/>
      <c r="BG181" s="28"/>
      <c r="BH181" s="28"/>
      <c r="BI181" s="28"/>
      <c r="BJ181" s="24"/>
      <c r="BK181" s="28"/>
      <c r="BL181" s="28"/>
      <c r="BM181" s="28"/>
      <c r="BN181" s="28"/>
      <c r="BO181" s="28"/>
      <c r="BP181" s="28"/>
      <c r="BQ181" s="24"/>
      <c r="BR181" s="28"/>
      <c r="BS181" s="28"/>
      <c r="BT181" s="28"/>
      <c r="BU181" s="24"/>
      <c r="BV181" s="28"/>
      <c r="BW181" s="28"/>
      <c r="BX181" s="28"/>
    </row>
    <row r="182" spans="1:76">
      <c r="A182" s="24"/>
      <c r="B182" s="28"/>
      <c r="C182" s="25"/>
      <c r="D182" s="26"/>
      <c r="E182" s="24"/>
      <c r="F182" s="24"/>
      <c r="G182" s="26"/>
      <c r="H182" s="26"/>
      <c r="I182" s="26"/>
      <c r="J182" s="26"/>
      <c r="K182" s="26"/>
      <c r="L182" s="26"/>
      <c r="M182" s="26"/>
      <c r="N182" s="26"/>
      <c r="O182" s="26"/>
      <c r="P182" s="26"/>
      <c r="Q182" s="26"/>
      <c r="S182" s="26"/>
      <c r="T182" s="25"/>
      <c r="U182" s="24"/>
      <c r="V182" s="24"/>
      <c r="W182" s="24"/>
      <c r="X182" s="26"/>
      <c r="Y182" s="26"/>
      <c r="Z182" s="24"/>
      <c r="AA182" s="26"/>
      <c r="AB182" s="25"/>
      <c r="AC182" s="24"/>
      <c r="AD182" s="24"/>
      <c r="AE182" s="24"/>
      <c r="AF182" s="26"/>
      <c r="AG182" s="26"/>
      <c r="AH182" s="24"/>
      <c r="AI182" s="26"/>
      <c r="AJ182" s="25"/>
      <c r="AK182" s="24"/>
      <c r="AL182" s="24"/>
      <c r="AM182" s="24"/>
      <c r="AN182" s="26"/>
      <c r="AO182" s="26"/>
      <c r="AP182" s="24"/>
      <c r="AQ182" s="24"/>
      <c r="AR182" s="24"/>
      <c r="AS182" s="28"/>
      <c r="AT182" s="28"/>
      <c r="AU182" s="28"/>
      <c r="AV182" s="28"/>
      <c r="AW182" s="28"/>
      <c r="AX182" s="28"/>
      <c r="AY182" s="28"/>
      <c r="AZ182" s="28"/>
      <c r="BA182" s="28"/>
      <c r="BB182" s="28"/>
      <c r="BC182" s="28"/>
      <c r="BD182" s="28"/>
      <c r="BE182" s="28"/>
      <c r="BF182" s="28"/>
      <c r="BG182" s="28"/>
      <c r="BH182" s="28"/>
      <c r="BI182" s="28"/>
      <c r="BJ182" s="24"/>
      <c r="BK182" s="28"/>
      <c r="BL182" s="28"/>
      <c r="BM182" s="28"/>
      <c r="BN182" s="28"/>
      <c r="BO182" s="28"/>
      <c r="BP182" s="28"/>
      <c r="BQ182" s="24"/>
      <c r="BR182" s="28"/>
      <c r="BS182" s="28"/>
      <c r="BT182" s="28"/>
      <c r="BU182" s="24"/>
      <c r="BV182" s="28"/>
      <c r="BW182" s="28"/>
      <c r="BX182" s="28"/>
    </row>
    <row r="183" spans="1:76">
      <c r="A183" s="24"/>
      <c r="B183" s="28"/>
      <c r="C183" s="25"/>
      <c r="D183" s="26"/>
      <c r="E183" s="24"/>
      <c r="F183" s="24"/>
      <c r="G183" s="26"/>
      <c r="H183" s="26"/>
      <c r="I183" s="26"/>
      <c r="J183" s="26"/>
      <c r="K183" s="26"/>
      <c r="L183" s="26"/>
      <c r="M183" s="26"/>
      <c r="N183" s="26"/>
      <c r="O183" s="26"/>
      <c r="P183" s="26"/>
      <c r="Q183" s="26"/>
      <c r="S183" s="26"/>
      <c r="T183" s="25"/>
      <c r="U183" s="24"/>
      <c r="V183" s="24"/>
      <c r="W183" s="24"/>
      <c r="X183" s="26"/>
      <c r="Y183" s="26"/>
      <c r="Z183" s="24"/>
      <c r="AA183" s="26"/>
      <c r="AB183" s="25"/>
      <c r="AC183" s="24"/>
      <c r="AD183" s="24"/>
      <c r="AE183" s="24"/>
      <c r="AF183" s="26"/>
      <c r="AG183" s="26"/>
      <c r="AH183" s="24"/>
      <c r="AI183" s="26"/>
      <c r="AJ183" s="25"/>
      <c r="AK183" s="24"/>
      <c r="AL183" s="24"/>
      <c r="AM183" s="24"/>
      <c r="AN183" s="26"/>
      <c r="AO183" s="26"/>
      <c r="AP183" s="24"/>
      <c r="AQ183" s="24"/>
      <c r="AR183" s="24"/>
      <c r="AS183" s="28"/>
      <c r="AT183" s="28"/>
      <c r="AU183" s="28"/>
      <c r="AV183" s="28"/>
      <c r="AW183" s="28"/>
      <c r="AX183" s="28"/>
      <c r="AY183" s="28"/>
      <c r="AZ183" s="28"/>
      <c r="BA183" s="28"/>
      <c r="BB183" s="28"/>
      <c r="BC183" s="28"/>
      <c r="BD183" s="28"/>
      <c r="BE183" s="28"/>
      <c r="BF183" s="28"/>
      <c r="BG183" s="28"/>
      <c r="BH183" s="28"/>
      <c r="BI183" s="28"/>
      <c r="BJ183" s="24"/>
      <c r="BK183" s="28"/>
      <c r="BL183" s="28"/>
      <c r="BM183" s="28"/>
      <c r="BN183" s="28"/>
      <c r="BO183" s="28"/>
      <c r="BP183" s="28"/>
      <c r="BQ183" s="24"/>
      <c r="BR183" s="28"/>
      <c r="BS183" s="28"/>
      <c r="BT183" s="28"/>
      <c r="BU183" s="24"/>
      <c r="BV183" s="28"/>
      <c r="BW183" s="28"/>
      <c r="BX183" s="28"/>
    </row>
    <row r="184" spans="1:76">
      <c r="A184" s="24"/>
      <c r="B184" s="28"/>
      <c r="C184" s="25"/>
      <c r="D184" s="26"/>
      <c r="E184" s="24"/>
      <c r="F184" s="24"/>
      <c r="G184" s="26"/>
      <c r="H184" s="26"/>
      <c r="I184" s="26"/>
      <c r="J184" s="26"/>
      <c r="K184" s="26"/>
      <c r="L184" s="26"/>
      <c r="M184" s="26"/>
      <c r="N184" s="26"/>
      <c r="O184" s="26"/>
      <c r="P184" s="26"/>
      <c r="Q184" s="26"/>
      <c r="S184" s="26"/>
      <c r="T184" s="25"/>
      <c r="U184" s="24"/>
      <c r="V184" s="24"/>
      <c r="W184" s="24"/>
      <c r="X184" s="26"/>
      <c r="Y184" s="26"/>
      <c r="Z184" s="24"/>
      <c r="AA184" s="26"/>
      <c r="AB184" s="25"/>
      <c r="AC184" s="24"/>
      <c r="AD184" s="24"/>
      <c r="AE184" s="24"/>
      <c r="AF184" s="26"/>
      <c r="AG184" s="26"/>
      <c r="AH184" s="24"/>
      <c r="AI184" s="26"/>
      <c r="AJ184" s="25"/>
      <c r="AK184" s="24"/>
      <c r="AL184" s="24"/>
      <c r="AM184" s="24"/>
      <c r="AN184" s="26"/>
      <c r="AO184" s="26"/>
      <c r="AP184" s="24"/>
      <c r="AQ184" s="24"/>
      <c r="AR184" s="24"/>
      <c r="AS184" s="28"/>
      <c r="AT184" s="28"/>
      <c r="AU184" s="28"/>
      <c r="AV184" s="28"/>
      <c r="AW184" s="28"/>
      <c r="AX184" s="28"/>
      <c r="AY184" s="28"/>
      <c r="AZ184" s="28"/>
      <c r="BA184" s="28"/>
      <c r="BB184" s="28"/>
      <c r="BC184" s="28"/>
      <c r="BD184" s="28"/>
      <c r="BE184" s="28"/>
      <c r="BF184" s="28"/>
      <c r="BG184" s="28"/>
      <c r="BH184" s="28"/>
      <c r="BI184" s="28"/>
      <c r="BJ184" s="24"/>
      <c r="BK184" s="28"/>
      <c r="BL184" s="28"/>
      <c r="BM184" s="28"/>
      <c r="BN184" s="28"/>
      <c r="BO184" s="28"/>
      <c r="BP184" s="28"/>
      <c r="BQ184" s="24"/>
      <c r="BR184" s="28"/>
      <c r="BS184" s="28"/>
      <c r="BT184" s="28"/>
      <c r="BU184" s="24"/>
      <c r="BV184" s="28"/>
      <c r="BW184" s="28"/>
      <c r="BX184" s="28"/>
    </row>
    <row r="185" spans="1:76">
      <c r="A185" s="24"/>
      <c r="B185" s="28"/>
      <c r="C185" s="25"/>
      <c r="D185" s="26"/>
      <c r="E185" s="24"/>
      <c r="F185" s="24"/>
      <c r="G185" s="26"/>
      <c r="H185" s="26"/>
      <c r="I185" s="26"/>
      <c r="J185" s="26"/>
      <c r="K185" s="26"/>
      <c r="L185" s="26"/>
      <c r="M185" s="26"/>
      <c r="N185" s="26"/>
      <c r="O185" s="26"/>
      <c r="P185" s="26"/>
      <c r="Q185" s="26"/>
      <c r="S185" s="26"/>
      <c r="T185" s="25"/>
      <c r="U185" s="24"/>
      <c r="V185" s="24"/>
      <c r="W185" s="24"/>
      <c r="X185" s="26"/>
      <c r="Y185" s="26"/>
      <c r="Z185" s="24"/>
      <c r="AA185" s="26"/>
      <c r="AB185" s="25"/>
      <c r="AC185" s="24"/>
      <c r="AD185" s="24"/>
      <c r="AE185" s="24"/>
      <c r="AF185" s="26"/>
      <c r="AG185" s="26"/>
      <c r="AH185" s="24"/>
      <c r="AI185" s="26"/>
      <c r="AJ185" s="25"/>
      <c r="AK185" s="24"/>
      <c r="AL185" s="24"/>
      <c r="AM185" s="24"/>
      <c r="AN185" s="26"/>
      <c r="AO185" s="26"/>
      <c r="AP185" s="24"/>
      <c r="AQ185" s="24"/>
      <c r="AR185" s="24"/>
      <c r="AS185" s="28"/>
      <c r="AT185" s="28"/>
      <c r="AU185" s="28"/>
      <c r="AV185" s="28"/>
      <c r="AW185" s="28"/>
      <c r="AX185" s="28"/>
      <c r="AY185" s="28"/>
      <c r="AZ185" s="28"/>
      <c r="BA185" s="28"/>
      <c r="BB185" s="28"/>
      <c r="BC185" s="28"/>
      <c r="BD185" s="28"/>
      <c r="BE185" s="28"/>
      <c r="BF185" s="28"/>
      <c r="BG185" s="28"/>
      <c r="BH185" s="28"/>
      <c r="BI185" s="28"/>
      <c r="BJ185" s="24"/>
      <c r="BK185" s="28"/>
      <c r="BL185" s="28"/>
      <c r="BM185" s="28"/>
      <c r="BN185" s="28"/>
      <c r="BO185" s="28"/>
      <c r="BP185" s="28"/>
      <c r="BQ185" s="24"/>
      <c r="BR185" s="28"/>
      <c r="BS185" s="28"/>
      <c r="BT185" s="28"/>
      <c r="BU185" s="24"/>
      <c r="BV185" s="28"/>
      <c r="BW185" s="28"/>
      <c r="BX185" s="28"/>
    </row>
    <row r="186" spans="1:76">
      <c r="A186" s="24"/>
      <c r="B186" s="28"/>
      <c r="C186" s="25"/>
      <c r="D186" s="26"/>
      <c r="E186" s="24"/>
      <c r="F186" s="24"/>
      <c r="G186" s="26"/>
      <c r="H186" s="26"/>
      <c r="I186" s="26"/>
      <c r="J186" s="26"/>
      <c r="K186" s="26"/>
      <c r="L186" s="26"/>
      <c r="M186" s="26"/>
      <c r="N186" s="26"/>
      <c r="O186" s="26"/>
      <c r="P186" s="26"/>
      <c r="Q186" s="26"/>
      <c r="S186" s="26"/>
      <c r="T186" s="25"/>
      <c r="U186" s="24"/>
      <c r="V186" s="24"/>
      <c r="W186" s="24"/>
      <c r="X186" s="26"/>
      <c r="Y186" s="26"/>
      <c r="Z186" s="24"/>
      <c r="AA186" s="26"/>
      <c r="AB186" s="25"/>
      <c r="AC186" s="24"/>
      <c r="AD186" s="24"/>
      <c r="AE186" s="24"/>
      <c r="AF186" s="26"/>
      <c r="AG186" s="26"/>
      <c r="AH186" s="24"/>
      <c r="AI186" s="26"/>
      <c r="AJ186" s="25"/>
      <c r="AK186" s="24"/>
      <c r="AL186" s="24"/>
      <c r="AM186" s="24"/>
      <c r="AN186" s="26"/>
      <c r="AO186" s="26"/>
      <c r="AP186" s="24"/>
      <c r="AQ186" s="24"/>
      <c r="AR186" s="24"/>
      <c r="AS186" s="28"/>
      <c r="AT186" s="28"/>
      <c r="AU186" s="28"/>
      <c r="AV186" s="28"/>
      <c r="AW186" s="28"/>
      <c r="AX186" s="28"/>
      <c r="AY186" s="28"/>
      <c r="AZ186" s="28"/>
      <c r="BA186" s="28"/>
      <c r="BB186" s="28"/>
      <c r="BC186" s="28"/>
      <c r="BD186" s="28"/>
      <c r="BE186" s="28"/>
      <c r="BF186" s="28"/>
      <c r="BG186" s="28"/>
      <c r="BH186" s="28"/>
      <c r="BI186" s="28"/>
      <c r="BJ186" s="24"/>
      <c r="BK186" s="28"/>
      <c r="BL186" s="28"/>
      <c r="BM186" s="28"/>
      <c r="BN186" s="28"/>
      <c r="BO186" s="28"/>
      <c r="BP186" s="28"/>
      <c r="BQ186" s="24"/>
      <c r="BR186" s="28"/>
      <c r="BS186" s="28"/>
      <c r="BT186" s="28"/>
      <c r="BU186" s="24"/>
      <c r="BV186" s="28"/>
      <c r="BW186" s="28"/>
      <c r="BX186" s="28"/>
    </row>
    <row r="187" spans="1:76">
      <c r="A187" s="24"/>
      <c r="B187" s="28"/>
      <c r="C187" s="25"/>
      <c r="D187" s="26"/>
      <c r="E187" s="24"/>
      <c r="F187" s="24"/>
      <c r="G187" s="26"/>
      <c r="H187" s="26"/>
      <c r="I187" s="26"/>
      <c r="J187" s="26"/>
      <c r="K187" s="26"/>
      <c r="L187" s="26"/>
      <c r="M187" s="26"/>
      <c r="N187" s="26"/>
      <c r="O187" s="26"/>
      <c r="P187" s="26"/>
      <c r="Q187" s="26"/>
      <c r="S187" s="26"/>
      <c r="T187" s="25"/>
      <c r="U187" s="24"/>
      <c r="V187" s="24"/>
      <c r="W187" s="24"/>
      <c r="X187" s="26"/>
      <c r="Y187" s="26"/>
      <c r="Z187" s="24"/>
      <c r="AA187" s="26"/>
      <c r="AB187" s="25"/>
      <c r="AC187" s="24"/>
      <c r="AD187" s="24"/>
      <c r="AE187" s="24"/>
      <c r="AF187" s="26"/>
      <c r="AG187" s="26"/>
      <c r="AH187" s="24"/>
      <c r="AI187" s="26"/>
      <c r="AJ187" s="25"/>
      <c r="AK187" s="24"/>
      <c r="AL187" s="24"/>
      <c r="AM187" s="24"/>
      <c r="AN187" s="26"/>
      <c r="AO187" s="26"/>
      <c r="AP187" s="24"/>
      <c r="AQ187" s="24"/>
      <c r="AR187" s="24"/>
      <c r="AS187" s="28"/>
      <c r="AT187" s="28"/>
      <c r="AU187" s="28"/>
      <c r="AV187" s="28"/>
      <c r="AW187" s="28"/>
      <c r="AX187" s="28"/>
      <c r="AY187" s="28"/>
      <c r="AZ187" s="28"/>
      <c r="BA187" s="28"/>
      <c r="BB187" s="28"/>
      <c r="BC187" s="28"/>
      <c r="BD187" s="28"/>
      <c r="BE187" s="28"/>
      <c r="BF187" s="28"/>
      <c r="BG187" s="28"/>
      <c r="BH187" s="28"/>
      <c r="BI187" s="28"/>
      <c r="BJ187" s="24"/>
      <c r="BK187" s="28"/>
      <c r="BL187" s="28"/>
      <c r="BM187" s="28"/>
      <c r="BN187" s="28"/>
      <c r="BO187" s="28"/>
      <c r="BP187" s="28"/>
      <c r="BQ187" s="24"/>
      <c r="BR187" s="28"/>
      <c r="BS187" s="28"/>
      <c r="BT187" s="28"/>
      <c r="BU187" s="24"/>
      <c r="BV187" s="28"/>
      <c r="BW187" s="28"/>
      <c r="BX187" s="28"/>
    </row>
    <row r="188" spans="1:76">
      <c r="A188" s="24"/>
      <c r="B188" s="28"/>
      <c r="C188" s="25"/>
      <c r="D188" s="26"/>
      <c r="E188" s="24"/>
      <c r="F188" s="24"/>
      <c r="G188" s="26"/>
      <c r="H188" s="26"/>
      <c r="I188" s="26"/>
      <c r="J188" s="26"/>
      <c r="K188" s="26"/>
      <c r="L188" s="26"/>
      <c r="M188" s="26"/>
      <c r="N188" s="26"/>
      <c r="O188" s="26"/>
      <c r="P188" s="26"/>
      <c r="Q188" s="26"/>
      <c r="S188" s="26"/>
      <c r="T188" s="25"/>
      <c r="U188" s="24"/>
      <c r="V188" s="24"/>
      <c r="W188" s="24"/>
      <c r="X188" s="26"/>
      <c r="Y188" s="26"/>
      <c r="Z188" s="24"/>
      <c r="AA188" s="26"/>
      <c r="AB188" s="25"/>
      <c r="AC188" s="24"/>
      <c r="AD188" s="24"/>
      <c r="AE188" s="24"/>
      <c r="AF188" s="26"/>
      <c r="AG188" s="26"/>
      <c r="AH188" s="24"/>
      <c r="AI188" s="26"/>
      <c r="AJ188" s="25"/>
      <c r="AK188" s="24"/>
      <c r="AL188" s="24"/>
      <c r="AM188" s="24"/>
      <c r="AN188" s="26"/>
      <c r="AO188" s="26"/>
      <c r="AP188" s="24"/>
      <c r="AQ188" s="24"/>
      <c r="AR188" s="24"/>
      <c r="AS188" s="28"/>
      <c r="AT188" s="28"/>
      <c r="AU188" s="28"/>
      <c r="AV188" s="28"/>
      <c r="AW188" s="28"/>
      <c r="AX188" s="28"/>
      <c r="AY188" s="28"/>
      <c r="AZ188" s="28"/>
      <c r="BA188" s="28"/>
      <c r="BB188" s="28"/>
      <c r="BC188" s="28"/>
      <c r="BD188" s="28"/>
      <c r="BE188" s="28"/>
      <c r="BF188" s="28"/>
      <c r="BG188" s="28"/>
      <c r="BH188" s="28"/>
      <c r="BI188" s="28"/>
      <c r="BJ188" s="24"/>
      <c r="BK188" s="28"/>
      <c r="BL188" s="28"/>
      <c r="BM188" s="28"/>
      <c r="BN188" s="28"/>
      <c r="BO188" s="28"/>
      <c r="BP188" s="28"/>
      <c r="BQ188" s="24"/>
      <c r="BR188" s="28"/>
      <c r="BS188" s="28"/>
      <c r="BT188" s="28"/>
      <c r="BU188" s="24"/>
      <c r="BV188" s="28"/>
      <c r="BW188" s="28"/>
      <c r="BX188" s="28"/>
    </row>
    <row r="189" spans="1:76">
      <c r="A189" s="24"/>
      <c r="B189" s="28"/>
      <c r="C189" s="25"/>
      <c r="D189" s="26"/>
      <c r="E189" s="24"/>
      <c r="F189" s="24"/>
      <c r="G189" s="26"/>
      <c r="H189" s="26"/>
      <c r="I189" s="26"/>
      <c r="J189" s="26"/>
      <c r="K189" s="26"/>
      <c r="L189" s="26"/>
      <c r="M189" s="26"/>
      <c r="N189" s="26"/>
      <c r="O189" s="26"/>
      <c r="P189" s="26"/>
      <c r="Q189" s="26"/>
      <c r="S189" s="26"/>
      <c r="T189" s="25"/>
      <c r="U189" s="24"/>
      <c r="V189" s="24"/>
      <c r="W189" s="24"/>
      <c r="X189" s="26"/>
      <c r="Y189" s="26"/>
      <c r="Z189" s="24"/>
      <c r="AA189" s="26"/>
      <c r="AB189" s="25"/>
      <c r="AC189" s="24"/>
      <c r="AD189" s="24"/>
      <c r="AE189" s="24"/>
      <c r="AF189" s="26"/>
      <c r="AG189" s="26"/>
      <c r="AH189" s="24"/>
      <c r="AI189" s="26"/>
      <c r="AJ189" s="25"/>
      <c r="AK189" s="24"/>
      <c r="AL189" s="24"/>
      <c r="AM189" s="24"/>
      <c r="AN189" s="26"/>
      <c r="AO189" s="26"/>
      <c r="AP189" s="24"/>
      <c r="AQ189" s="24"/>
      <c r="AR189" s="24"/>
      <c r="AS189" s="28"/>
      <c r="AT189" s="28"/>
      <c r="AU189" s="28"/>
      <c r="AV189" s="28"/>
      <c r="AW189" s="28"/>
      <c r="AX189" s="28"/>
      <c r="AY189" s="28"/>
      <c r="AZ189" s="28"/>
      <c r="BA189" s="28"/>
      <c r="BB189" s="28"/>
      <c r="BC189" s="28"/>
      <c r="BD189" s="28"/>
      <c r="BE189" s="28"/>
      <c r="BF189" s="28"/>
      <c r="BG189" s="28"/>
      <c r="BH189" s="28"/>
      <c r="BI189" s="28"/>
      <c r="BJ189" s="24"/>
      <c r="BK189" s="28"/>
      <c r="BL189" s="28"/>
      <c r="BM189" s="28"/>
      <c r="BN189" s="28"/>
      <c r="BO189" s="28"/>
      <c r="BP189" s="28"/>
      <c r="BQ189" s="24"/>
      <c r="BR189" s="28"/>
      <c r="BS189" s="28"/>
      <c r="BT189" s="28"/>
      <c r="BU189" s="24"/>
      <c r="BV189" s="28"/>
      <c r="BW189" s="28"/>
      <c r="BX189" s="28"/>
    </row>
    <row r="190" spans="1:76">
      <c r="A190" s="24"/>
      <c r="B190" s="28"/>
      <c r="C190" s="25"/>
      <c r="D190" s="26"/>
      <c r="E190" s="24"/>
      <c r="F190" s="24"/>
      <c r="G190" s="26"/>
      <c r="H190" s="26"/>
      <c r="I190" s="26"/>
      <c r="J190" s="26"/>
      <c r="K190" s="26"/>
      <c r="L190" s="26"/>
      <c r="M190" s="26"/>
      <c r="N190" s="26"/>
      <c r="O190" s="26"/>
      <c r="P190" s="26"/>
      <c r="Q190" s="26"/>
      <c r="S190" s="26"/>
      <c r="T190" s="25"/>
      <c r="U190" s="24"/>
      <c r="V190" s="24"/>
      <c r="W190" s="24"/>
      <c r="X190" s="26"/>
      <c r="Y190" s="26"/>
      <c r="Z190" s="24"/>
      <c r="AA190" s="26"/>
      <c r="AB190" s="25"/>
      <c r="AC190" s="24"/>
      <c r="AD190" s="24"/>
      <c r="AE190" s="24"/>
      <c r="AF190" s="26"/>
      <c r="AG190" s="26"/>
      <c r="AH190" s="24"/>
      <c r="AI190" s="26"/>
      <c r="AJ190" s="25"/>
      <c r="AK190" s="24"/>
      <c r="AL190" s="24"/>
      <c r="AM190" s="24"/>
      <c r="AN190" s="26"/>
      <c r="AO190" s="26"/>
      <c r="AP190" s="24"/>
      <c r="AQ190" s="24"/>
      <c r="AR190" s="24"/>
      <c r="AS190" s="28"/>
      <c r="AT190" s="28"/>
      <c r="AU190" s="28"/>
      <c r="AV190" s="28"/>
      <c r="AW190" s="28"/>
      <c r="AX190" s="28"/>
      <c r="AY190" s="28"/>
      <c r="AZ190" s="28"/>
      <c r="BA190" s="28"/>
      <c r="BB190" s="28"/>
      <c r="BC190" s="28"/>
      <c r="BD190" s="28"/>
      <c r="BE190" s="28"/>
      <c r="BF190" s="28"/>
      <c r="BG190" s="28"/>
      <c r="BH190" s="28"/>
      <c r="BI190" s="28"/>
      <c r="BJ190" s="24"/>
      <c r="BK190" s="28"/>
      <c r="BL190" s="28"/>
      <c r="BM190" s="28"/>
      <c r="BN190" s="28"/>
      <c r="BO190" s="28"/>
      <c r="BP190" s="28"/>
      <c r="BQ190" s="24"/>
      <c r="BR190" s="28"/>
      <c r="BS190" s="28"/>
      <c r="BT190" s="28"/>
      <c r="BU190" s="24"/>
      <c r="BV190" s="28"/>
      <c r="BW190" s="28"/>
      <c r="BX190" s="28"/>
    </row>
    <row r="191" spans="1:76">
      <c r="A191" s="24"/>
      <c r="B191" s="28"/>
      <c r="C191" s="25"/>
      <c r="D191" s="26"/>
      <c r="E191" s="24"/>
      <c r="F191" s="24"/>
      <c r="G191" s="26"/>
      <c r="H191" s="26"/>
      <c r="I191" s="26"/>
      <c r="J191" s="26"/>
      <c r="K191" s="26"/>
      <c r="L191" s="26"/>
      <c r="M191" s="26"/>
      <c r="N191" s="26"/>
      <c r="O191" s="26"/>
      <c r="P191" s="26"/>
      <c r="Q191" s="26"/>
      <c r="S191" s="26"/>
      <c r="T191" s="25"/>
      <c r="U191" s="24"/>
      <c r="V191" s="24"/>
      <c r="W191" s="24"/>
      <c r="X191" s="26"/>
      <c r="Y191" s="26"/>
      <c r="Z191" s="24"/>
      <c r="AA191" s="26"/>
      <c r="AB191" s="25"/>
      <c r="AC191" s="24"/>
      <c r="AD191" s="24"/>
      <c r="AE191" s="24"/>
      <c r="AF191" s="26"/>
      <c r="AG191" s="26"/>
      <c r="AH191" s="24"/>
      <c r="AI191" s="26"/>
      <c r="AJ191" s="25"/>
      <c r="AK191" s="24"/>
      <c r="AL191" s="24"/>
      <c r="AM191" s="24"/>
      <c r="AN191" s="26"/>
      <c r="AO191" s="26"/>
      <c r="AP191" s="24"/>
      <c r="AQ191" s="24"/>
      <c r="AR191" s="24"/>
      <c r="AS191" s="28"/>
      <c r="AT191" s="28"/>
      <c r="AU191" s="28"/>
      <c r="AV191" s="28"/>
      <c r="AW191" s="28"/>
      <c r="AX191" s="28"/>
      <c r="AY191" s="28"/>
      <c r="AZ191" s="28"/>
      <c r="BA191" s="28"/>
      <c r="BB191" s="28"/>
      <c r="BC191" s="28"/>
      <c r="BD191" s="28"/>
      <c r="BE191" s="28"/>
      <c r="BF191" s="28"/>
      <c r="BG191" s="28"/>
      <c r="BH191" s="28"/>
      <c r="BI191" s="28"/>
      <c r="BJ191" s="24"/>
      <c r="BK191" s="28"/>
      <c r="BL191" s="28"/>
      <c r="BM191" s="28"/>
      <c r="BN191" s="28"/>
      <c r="BO191" s="28"/>
      <c r="BP191" s="28"/>
      <c r="BQ191" s="24"/>
      <c r="BR191" s="28"/>
      <c r="BS191" s="28"/>
      <c r="BT191" s="28"/>
      <c r="BU191" s="24"/>
      <c r="BV191" s="28"/>
      <c r="BW191" s="28"/>
      <c r="BX191" s="28"/>
    </row>
    <row r="192" spans="1:76">
      <c r="A192" s="24"/>
      <c r="B192" s="28"/>
      <c r="C192" s="25"/>
      <c r="D192" s="26"/>
      <c r="E192" s="24"/>
      <c r="F192" s="24"/>
      <c r="G192" s="26"/>
      <c r="H192" s="26"/>
      <c r="I192" s="26"/>
      <c r="J192" s="26"/>
      <c r="K192" s="26"/>
      <c r="L192" s="26"/>
      <c r="M192" s="26"/>
      <c r="N192" s="26"/>
      <c r="O192" s="26"/>
      <c r="P192" s="26"/>
      <c r="Q192" s="26"/>
      <c r="S192" s="26"/>
      <c r="T192" s="25"/>
      <c r="U192" s="24"/>
      <c r="V192" s="24"/>
      <c r="W192" s="24"/>
      <c r="X192" s="26"/>
      <c r="Y192" s="26"/>
      <c r="Z192" s="24"/>
      <c r="AA192" s="26"/>
      <c r="AB192" s="25"/>
      <c r="AC192" s="24"/>
      <c r="AD192" s="24"/>
      <c r="AE192" s="24"/>
      <c r="AF192" s="26"/>
      <c r="AG192" s="26"/>
      <c r="AH192" s="24"/>
      <c r="AI192" s="26"/>
      <c r="AJ192" s="25"/>
      <c r="AK192" s="24"/>
      <c r="AL192" s="24"/>
      <c r="AM192" s="24"/>
      <c r="AN192" s="26"/>
      <c r="AO192" s="26"/>
      <c r="AP192" s="24"/>
      <c r="AQ192" s="24"/>
      <c r="AR192" s="24"/>
      <c r="AS192" s="28"/>
      <c r="AT192" s="28"/>
      <c r="AU192" s="28"/>
      <c r="AV192" s="28"/>
      <c r="AW192" s="28"/>
      <c r="AX192" s="28"/>
      <c r="AY192" s="28"/>
      <c r="AZ192" s="28"/>
      <c r="BA192" s="28"/>
      <c r="BB192" s="28"/>
      <c r="BC192" s="28"/>
      <c r="BD192" s="28"/>
      <c r="BE192" s="28"/>
      <c r="BF192" s="28"/>
      <c r="BG192" s="28"/>
      <c r="BH192" s="28"/>
      <c r="BI192" s="28"/>
      <c r="BJ192" s="24"/>
      <c r="BK192" s="28"/>
      <c r="BL192" s="28"/>
      <c r="BM192" s="28"/>
      <c r="BN192" s="28"/>
      <c r="BO192" s="28"/>
      <c r="BP192" s="28"/>
      <c r="BQ192" s="24"/>
      <c r="BR192" s="28"/>
      <c r="BS192" s="28"/>
      <c r="BT192" s="28"/>
      <c r="BU192" s="24"/>
      <c r="BV192" s="28"/>
      <c r="BW192" s="28"/>
      <c r="BX192" s="28"/>
    </row>
    <row r="193" spans="1:76">
      <c r="A193" s="24"/>
      <c r="B193" s="28"/>
      <c r="C193" s="25"/>
      <c r="D193" s="26"/>
      <c r="E193" s="24"/>
      <c r="F193" s="24"/>
      <c r="G193" s="26"/>
      <c r="H193" s="26"/>
      <c r="I193" s="26"/>
      <c r="J193" s="26"/>
      <c r="K193" s="26"/>
      <c r="L193" s="26"/>
      <c r="M193" s="26"/>
      <c r="N193" s="26"/>
      <c r="O193" s="26"/>
      <c r="P193" s="26"/>
      <c r="Q193" s="26"/>
      <c r="S193" s="26"/>
      <c r="T193" s="25"/>
      <c r="U193" s="24"/>
      <c r="V193" s="24"/>
      <c r="W193" s="24"/>
      <c r="X193" s="26"/>
      <c r="Y193" s="26"/>
      <c r="Z193" s="24"/>
      <c r="AA193" s="26"/>
      <c r="AB193" s="25"/>
      <c r="AC193" s="24"/>
      <c r="AD193" s="24"/>
      <c r="AE193" s="24"/>
      <c r="AF193" s="26"/>
      <c r="AG193" s="26"/>
      <c r="AH193" s="24"/>
      <c r="AI193" s="26"/>
      <c r="AJ193" s="25"/>
      <c r="AK193" s="24"/>
      <c r="AL193" s="24"/>
      <c r="AM193" s="24"/>
      <c r="AN193" s="26"/>
      <c r="AO193" s="26"/>
      <c r="AP193" s="24"/>
      <c r="AQ193" s="24"/>
      <c r="AR193" s="24"/>
      <c r="AS193" s="28"/>
      <c r="AT193" s="28"/>
      <c r="AU193" s="28"/>
      <c r="AV193" s="28"/>
      <c r="AW193" s="28"/>
      <c r="AX193" s="28"/>
      <c r="AY193" s="28"/>
      <c r="AZ193" s="28"/>
      <c r="BA193" s="28"/>
      <c r="BB193" s="28"/>
      <c r="BC193" s="28"/>
      <c r="BD193" s="28"/>
      <c r="BE193" s="28"/>
      <c r="BF193" s="28"/>
      <c r="BG193" s="28"/>
      <c r="BH193" s="28"/>
      <c r="BI193" s="28"/>
      <c r="BJ193" s="24"/>
      <c r="BK193" s="28"/>
      <c r="BL193" s="28"/>
      <c r="BM193" s="28"/>
      <c r="BN193" s="28"/>
      <c r="BO193" s="28"/>
      <c r="BP193" s="28"/>
      <c r="BQ193" s="24"/>
      <c r="BR193" s="28"/>
      <c r="BS193" s="28"/>
      <c r="BT193" s="28"/>
      <c r="BU193" s="24"/>
      <c r="BV193" s="28"/>
      <c r="BW193" s="28"/>
      <c r="BX193" s="28"/>
    </row>
    <row r="194" spans="1:76">
      <c r="A194" s="24"/>
      <c r="B194" s="28"/>
      <c r="C194" s="25"/>
      <c r="D194" s="26"/>
      <c r="E194" s="24"/>
      <c r="F194" s="24"/>
      <c r="G194" s="26"/>
      <c r="H194" s="26"/>
      <c r="I194" s="26"/>
      <c r="J194" s="26"/>
      <c r="K194" s="26"/>
      <c r="L194" s="26"/>
      <c r="M194" s="26"/>
      <c r="N194" s="26"/>
      <c r="O194" s="26"/>
      <c r="P194" s="26"/>
      <c r="Q194" s="26"/>
      <c r="S194" s="26"/>
      <c r="T194" s="25"/>
      <c r="U194" s="24"/>
      <c r="V194" s="24"/>
      <c r="W194" s="24"/>
      <c r="X194" s="26"/>
      <c r="Y194" s="26"/>
      <c r="Z194" s="24"/>
      <c r="AA194" s="26"/>
      <c r="AB194" s="25"/>
      <c r="AC194" s="24"/>
      <c r="AD194" s="24"/>
      <c r="AE194" s="24"/>
      <c r="AF194" s="26"/>
      <c r="AG194" s="26"/>
      <c r="AH194" s="24"/>
      <c r="AI194" s="26"/>
      <c r="AJ194" s="25"/>
      <c r="AK194" s="24"/>
      <c r="AL194" s="24"/>
      <c r="AM194" s="24"/>
      <c r="AN194" s="26"/>
      <c r="AO194" s="26"/>
      <c r="AP194" s="24"/>
      <c r="AQ194" s="24"/>
      <c r="AR194" s="24"/>
      <c r="AS194" s="28"/>
      <c r="AT194" s="28"/>
      <c r="AU194" s="28"/>
      <c r="AV194" s="28"/>
      <c r="AW194" s="28"/>
      <c r="AX194" s="28"/>
      <c r="AY194" s="28"/>
      <c r="AZ194" s="28"/>
      <c r="BA194" s="28"/>
      <c r="BB194" s="28"/>
      <c r="BC194" s="28"/>
      <c r="BD194" s="28"/>
      <c r="BE194" s="28"/>
      <c r="BF194" s="28"/>
      <c r="BG194" s="28"/>
      <c r="BH194" s="28"/>
      <c r="BI194" s="28"/>
      <c r="BJ194" s="24"/>
      <c r="BK194" s="28"/>
      <c r="BL194" s="28"/>
      <c r="BM194" s="28"/>
      <c r="BN194" s="28"/>
      <c r="BO194" s="28"/>
      <c r="BP194" s="28"/>
      <c r="BQ194" s="24"/>
      <c r="BR194" s="28"/>
      <c r="BS194" s="28"/>
      <c r="BT194" s="28"/>
      <c r="BU194" s="24"/>
      <c r="BV194" s="28"/>
      <c r="BW194" s="28"/>
      <c r="BX194" s="28"/>
    </row>
    <row r="195" spans="1:76">
      <c r="A195" s="24"/>
      <c r="B195" s="28"/>
      <c r="C195" s="25"/>
      <c r="D195" s="26"/>
      <c r="E195" s="24"/>
      <c r="F195" s="24"/>
      <c r="G195" s="26"/>
      <c r="H195" s="26"/>
      <c r="I195" s="26"/>
      <c r="J195" s="26"/>
      <c r="K195" s="26"/>
      <c r="L195" s="26"/>
      <c r="M195" s="26"/>
      <c r="N195" s="26"/>
      <c r="O195" s="26"/>
      <c r="P195" s="26"/>
      <c r="Q195" s="26"/>
      <c r="S195" s="26"/>
      <c r="T195" s="25"/>
      <c r="U195" s="24"/>
      <c r="V195" s="24"/>
      <c r="W195" s="24"/>
      <c r="X195" s="26"/>
      <c r="Y195" s="26"/>
      <c r="Z195" s="24"/>
      <c r="AA195" s="26"/>
      <c r="AB195" s="25"/>
      <c r="AC195" s="24"/>
      <c r="AD195" s="24"/>
      <c r="AE195" s="24"/>
      <c r="AF195" s="26"/>
      <c r="AG195" s="26"/>
      <c r="AH195" s="24"/>
      <c r="AI195" s="26"/>
      <c r="AJ195" s="25"/>
      <c r="AK195" s="24"/>
      <c r="AL195" s="24"/>
      <c r="AM195" s="24"/>
      <c r="AN195" s="26"/>
      <c r="AO195" s="26"/>
      <c r="AP195" s="24"/>
      <c r="AQ195" s="24"/>
      <c r="AR195" s="24"/>
      <c r="AS195" s="28"/>
      <c r="AT195" s="28"/>
      <c r="AU195" s="28"/>
      <c r="AV195" s="28"/>
      <c r="AW195" s="28"/>
      <c r="AX195" s="28"/>
      <c r="AY195" s="28"/>
      <c r="AZ195" s="28"/>
      <c r="BA195" s="28"/>
      <c r="BB195" s="28"/>
      <c r="BC195" s="28"/>
      <c r="BD195" s="28"/>
      <c r="BE195" s="28"/>
      <c r="BF195" s="28"/>
      <c r="BG195" s="28"/>
      <c r="BH195" s="28"/>
      <c r="BI195" s="28"/>
      <c r="BJ195" s="24"/>
      <c r="BK195" s="28"/>
      <c r="BL195" s="28"/>
      <c r="BM195" s="28"/>
      <c r="BN195" s="28"/>
      <c r="BO195" s="28"/>
      <c r="BP195" s="28"/>
      <c r="BQ195" s="24"/>
      <c r="BR195" s="28"/>
      <c r="BS195" s="28"/>
      <c r="BT195" s="28"/>
      <c r="BU195" s="24"/>
      <c r="BV195" s="28"/>
      <c r="BW195" s="28"/>
      <c r="BX195" s="28"/>
    </row>
    <row r="196" spans="1:76">
      <c r="A196" s="24"/>
      <c r="B196" s="28"/>
      <c r="C196" s="25"/>
      <c r="D196" s="26"/>
      <c r="E196" s="24"/>
      <c r="F196" s="24"/>
      <c r="G196" s="26"/>
      <c r="H196" s="26"/>
      <c r="I196" s="26"/>
      <c r="J196" s="26"/>
      <c r="K196" s="26"/>
      <c r="L196" s="26"/>
      <c r="M196" s="26"/>
      <c r="N196" s="26"/>
      <c r="O196" s="26"/>
      <c r="P196" s="26"/>
      <c r="Q196" s="26"/>
      <c r="S196" s="26"/>
      <c r="T196" s="25"/>
      <c r="U196" s="24"/>
      <c r="V196" s="24"/>
      <c r="W196" s="24"/>
      <c r="X196" s="26"/>
      <c r="Y196" s="26"/>
      <c r="Z196" s="24"/>
      <c r="AA196" s="26"/>
      <c r="AB196" s="25"/>
      <c r="AC196" s="24"/>
      <c r="AD196" s="24"/>
      <c r="AE196" s="24"/>
      <c r="AF196" s="26"/>
      <c r="AG196" s="26"/>
      <c r="AH196" s="24"/>
      <c r="AI196" s="26"/>
      <c r="AJ196" s="25"/>
      <c r="AK196" s="24"/>
      <c r="AL196" s="24"/>
      <c r="AM196" s="24"/>
      <c r="AN196" s="26"/>
      <c r="AO196" s="26"/>
      <c r="AP196" s="24"/>
      <c r="AQ196" s="24"/>
      <c r="AR196" s="24"/>
      <c r="AS196" s="28"/>
      <c r="AT196" s="28"/>
      <c r="AU196" s="28"/>
      <c r="AV196" s="28"/>
      <c r="AW196" s="28"/>
      <c r="AX196" s="28"/>
      <c r="AY196" s="28"/>
      <c r="AZ196" s="28"/>
      <c r="BA196" s="28"/>
      <c r="BB196" s="28"/>
      <c r="BC196" s="28"/>
      <c r="BD196" s="28"/>
      <c r="BE196" s="28"/>
      <c r="BF196" s="28"/>
      <c r="BG196" s="28"/>
      <c r="BH196" s="28"/>
      <c r="BI196" s="28"/>
      <c r="BJ196" s="24"/>
      <c r="BK196" s="28"/>
      <c r="BL196" s="28"/>
      <c r="BM196" s="28"/>
      <c r="BN196" s="28"/>
      <c r="BO196" s="28"/>
      <c r="BP196" s="28"/>
      <c r="BQ196" s="24"/>
      <c r="BR196" s="28"/>
      <c r="BS196" s="28"/>
      <c r="BT196" s="28"/>
      <c r="BU196" s="24"/>
      <c r="BV196" s="28"/>
      <c r="BW196" s="28"/>
      <c r="BX196" s="28"/>
    </row>
    <row r="197" spans="1:76">
      <c r="A197" s="24"/>
      <c r="B197" s="28"/>
      <c r="C197" s="25"/>
      <c r="D197" s="26"/>
      <c r="E197" s="24"/>
      <c r="F197" s="24"/>
      <c r="G197" s="26"/>
      <c r="H197" s="26"/>
      <c r="I197" s="26"/>
      <c r="J197" s="26"/>
      <c r="K197" s="26"/>
      <c r="L197" s="26"/>
      <c r="M197" s="26"/>
      <c r="N197" s="26"/>
      <c r="O197" s="26"/>
      <c r="P197" s="26"/>
      <c r="Q197" s="26"/>
      <c r="S197" s="26"/>
      <c r="T197" s="25"/>
      <c r="U197" s="24"/>
      <c r="V197" s="24"/>
      <c r="W197" s="24"/>
      <c r="X197" s="26"/>
      <c r="Y197" s="26"/>
      <c r="Z197" s="24"/>
      <c r="AA197" s="26"/>
      <c r="AB197" s="25"/>
      <c r="AC197" s="24"/>
      <c r="AD197" s="24"/>
      <c r="AE197" s="24"/>
      <c r="AF197" s="26"/>
      <c r="AG197" s="26"/>
      <c r="AH197" s="24"/>
      <c r="AI197" s="26"/>
      <c r="AJ197" s="25"/>
      <c r="AK197" s="24"/>
      <c r="AL197" s="24"/>
      <c r="AM197" s="24"/>
      <c r="AN197" s="26"/>
      <c r="AO197" s="26"/>
      <c r="AP197" s="24"/>
      <c r="AQ197" s="24"/>
      <c r="AR197" s="24"/>
      <c r="AS197" s="28"/>
      <c r="AT197" s="28"/>
      <c r="AU197" s="28"/>
      <c r="AV197" s="28"/>
      <c r="AW197" s="28"/>
      <c r="AX197" s="28"/>
      <c r="AY197" s="28"/>
      <c r="AZ197" s="28"/>
      <c r="BA197" s="28"/>
      <c r="BB197" s="28"/>
      <c r="BC197" s="28"/>
      <c r="BD197" s="28"/>
      <c r="BE197" s="28"/>
      <c r="BF197" s="28"/>
      <c r="BG197" s="28"/>
      <c r="BH197" s="28"/>
      <c r="BI197" s="28"/>
      <c r="BJ197" s="24"/>
      <c r="BK197" s="28"/>
      <c r="BL197" s="28"/>
      <c r="BM197" s="28"/>
      <c r="BN197" s="28"/>
      <c r="BO197" s="28"/>
      <c r="BP197" s="28"/>
      <c r="BQ197" s="24"/>
      <c r="BR197" s="28"/>
      <c r="BS197" s="28"/>
      <c r="BT197" s="28"/>
      <c r="BU197" s="24"/>
      <c r="BV197" s="28"/>
      <c r="BW197" s="28"/>
      <c r="BX197" s="28"/>
    </row>
    <row r="198" spans="1:76">
      <c r="A198" s="24"/>
      <c r="B198" s="28"/>
      <c r="C198" s="25"/>
      <c r="D198" s="26"/>
      <c r="E198" s="24"/>
      <c r="F198" s="24"/>
      <c r="G198" s="26"/>
      <c r="H198" s="26"/>
      <c r="I198" s="26"/>
      <c r="J198" s="26"/>
      <c r="K198" s="26"/>
      <c r="L198" s="26"/>
      <c r="M198" s="26"/>
      <c r="N198" s="26"/>
      <c r="O198" s="26"/>
      <c r="P198" s="26"/>
      <c r="Q198" s="26"/>
      <c r="S198" s="26"/>
      <c r="T198" s="25"/>
      <c r="U198" s="24"/>
      <c r="V198" s="24"/>
      <c r="W198" s="24"/>
      <c r="X198" s="26"/>
      <c r="Y198" s="26"/>
      <c r="Z198" s="24"/>
      <c r="AA198" s="26"/>
      <c r="AB198" s="25"/>
      <c r="AC198" s="24"/>
      <c r="AD198" s="24"/>
      <c r="AE198" s="24"/>
      <c r="AF198" s="26"/>
      <c r="AG198" s="26"/>
      <c r="AH198" s="24"/>
      <c r="AI198" s="26"/>
      <c r="AJ198" s="25"/>
      <c r="AK198" s="24"/>
      <c r="AL198" s="24"/>
      <c r="AM198" s="24"/>
      <c r="AN198" s="26"/>
      <c r="AO198" s="26"/>
      <c r="AP198" s="24"/>
      <c r="AQ198" s="24"/>
      <c r="AR198" s="24"/>
      <c r="AS198" s="28"/>
      <c r="AT198" s="28"/>
      <c r="AU198" s="28"/>
      <c r="AV198" s="28"/>
      <c r="AW198" s="28"/>
      <c r="AX198" s="28"/>
      <c r="AY198" s="28"/>
      <c r="AZ198" s="28"/>
      <c r="BA198" s="28"/>
      <c r="BB198" s="28"/>
      <c r="BC198" s="28"/>
      <c r="BD198" s="28"/>
      <c r="BE198" s="28"/>
      <c r="BF198" s="28"/>
      <c r="BG198" s="28"/>
      <c r="BH198" s="28"/>
      <c r="BI198" s="28"/>
      <c r="BJ198" s="24"/>
      <c r="BK198" s="28"/>
      <c r="BL198" s="28"/>
      <c r="BM198" s="28"/>
      <c r="BN198" s="28"/>
      <c r="BO198" s="28"/>
      <c r="BP198" s="28"/>
      <c r="BQ198" s="24"/>
      <c r="BR198" s="28"/>
      <c r="BS198" s="28"/>
      <c r="BT198" s="28"/>
      <c r="BU198" s="24"/>
      <c r="BV198" s="28"/>
      <c r="BW198" s="28"/>
      <c r="BX198" s="28"/>
    </row>
    <row r="199" spans="1:76">
      <c r="A199" s="24"/>
      <c r="B199" s="28"/>
      <c r="C199" s="25"/>
      <c r="D199" s="26"/>
      <c r="E199" s="24"/>
      <c r="F199" s="24"/>
      <c r="G199" s="26"/>
      <c r="H199" s="26"/>
      <c r="I199" s="26"/>
      <c r="J199" s="26"/>
      <c r="K199" s="26"/>
      <c r="L199" s="26"/>
      <c r="M199" s="26"/>
      <c r="N199" s="26"/>
      <c r="O199" s="26"/>
      <c r="P199" s="26"/>
      <c r="Q199" s="26"/>
      <c r="S199" s="26"/>
      <c r="T199" s="25"/>
      <c r="U199" s="24"/>
      <c r="V199" s="24"/>
      <c r="W199" s="24"/>
      <c r="X199" s="26"/>
      <c r="Y199" s="26"/>
      <c r="Z199" s="24"/>
      <c r="AA199" s="26"/>
      <c r="AB199" s="25"/>
      <c r="AC199" s="24"/>
      <c r="AD199" s="24"/>
      <c r="AE199" s="24"/>
      <c r="AF199" s="26"/>
      <c r="AG199" s="26"/>
      <c r="AH199" s="24"/>
      <c r="AI199" s="26"/>
      <c r="AJ199" s="25"/>
      <c r="AK199" s="24"/>
      <c r="AL199" s="24"/>
      <c r="AM199" s="24"/>
      <c r="AN199" s="26"/>
      <c r="AO199" s="26"/>
      <c r="AP199" s="24"/>
      <c r="AQ199" s="24"/>
      <c r="AR199" s="24"/>
      <c r="AS199" s="28"/>
      <c r="AT199" s="28"/>
      <c r="AU199" s="28"/>
      <c r="AV199" s="28"/>
      <c r="AW199" s="28"/>
      <c r="AX199" s="28"/>
      <c r="AY199" s="28"/>
      <c r="AZ199" s="28"/>
      <c r="BA199" s="28"/>
      <c r="BB199" s="28"/>
      <c r="BC199" s="28"/>
      <c r="BD199" s="28"/>
      <c r="BE199" s="28"/>
      <c r="BF199" s="28"/>
      <c r="BG199" s="28"/>
      <c r="BH199" s="28"/>
      <c r="BI199" s="28"/>
      <c r="BJ199" s="24"/>
      <c r="BK199" s="28"/>
      <c r="BL199" s="28"/>
      <c r="BM199" s="28"/>
      <c r="BN199" s="28"/>
      <c r="BO199" s="28"/>
      <c r="BP199" s="28"/>
      <c r="BQ199" s="24"/>
      <c r="BR199" s="28"/>
      <c r="BS199" s="28"/>
      <c r="BT199" s="28"/>
      <c r="BU199" s="24"/>
      <c r="BV199" s="28"/>
      <c r="BW199" s="28"/>
      <c r="BX199" s="28"/>
    </row>
    <row r="200" spans="1:76">
      <c r="A200" s="24"/>
      <c r="B200" s="28"/>
      <c r="C200" s="25"/>
      <c r="D200" s="26"/>
      <c r="E200" s="24"/>
      <c r="F200" s="24"/>
      <c r="G200" s="26"/>
      <c r="H200" s="26"/>
      <c r="I200" s="26"/>
      <c r="J200" s="26"/>
      <c r="K200" s="26"/>
      <c r="L200" s="26"/>
      <c r="M200" s="26"/>
      <c r="N200" s="26"/>
      <c r="O200" s="26"/>
      <c r="P200" s="26"/>
      <c r="Q200" s="26"/>
      <c r="S200" s="26"/>
      <c r="T200" s="25"/>
      <c r="U200" s="24"/>
      <c r="V200" s="24"/>
      <c r="W200" s="24"/>
      <c r="X200" s="26"/>
      <c r="Y200" s="26"/>
      <c r="Z200" s="24"/>
      <c r="AA200" s="26"/>
      <c r="AB200" s="25"/>
      <c r="AC200" s="24"/>
      <c r="AD200" s="24"/>
      <c r="AE200" s="24"/>
      <c r="AF200" s="26"/>
      <c r="AG200" s="26"/>
      <c r="AH200" s="24"/>
      <c r="AI200" s="26"/>
      <c r="AJ200" s="25"/>
      <c r="AK200" s="24"/>
      <c r="AL200" s="24"/>
      <c r="AM200" s="24"/>
      <c r="AN200" s="26"/>
      <c r="AO200" s="26"/>
      <c r="AP200" s="24"/>
      <c r="AQ200" s="24"/>
      <c r="AR200" s="24"/>
      <c r="AS200" s="28"/>
      <c r="AT200" s="28"/>
      <c r="AU200" s="28"/>
      <c r="AV200" s="28"/>
      <c r="AW200" s="28"/>
      <c r="AX200" s="28"/>
      <c r="AY200" s="28"/>
      <c r="AZ200" s="28"/>
      <c r="BA200" s="28"/>
      <c r="BB200" s="28"/>
      <c r="BC200" s="28"/>
      <c r="BD200" s="28"/>
      <c r="BE200" s="28"/>
      <c r="BF200" s="28"/>
      <c r="BG200" s="28"/>
      <c r="BH200" s="28"/>
      <c r="BI200" s="28"/>
      <c r="BJ200" s="24"/>
      <c r="BK200" s="28"/>
      <c r="BL200" s="28"/>
      <c r="BM200" s="28"/>
      <c r="BN200" s="28"/>
      <c r="BO200" s="28"/>
      <c r="BP200" s="28"/>
      <c r="BQ200" s="24"/>
      <c r="BR200" s="28"/>
      <c r="BS200" s="28"/>
      <c r="BT200" s="28"/>
      <c r="BU200" s="24"/>
      <c r="BV200" s="28"/>
      <c r="BW200" s="28"/>
      <c r="BX200" s="28"/>
    </row>
    <row r="201" spans="1:76">
      <c r="A201" s="24"/>
      <c r="B201" s="28"/>
      <c r="C201" s="25"/>
      <c r="D201" s="26"/>
      <c r="E201" s="24"/>
      <c r="F201" s="24"/>
      <c r="G201" s="26"/>
      <c r="H201" s="26"/>
      <c r="I201" s="26"/>
      <c r="J201" s="26"/>
      <c r="K201" s="26"/>
      <c r="L201" s="26"/>
      <c r="M201" s="26"/>
      <c r="N201" s="26"/>
      <c r="O201" s="26"/>
      <c r="P201" s="26"/>
      <c r="Q201" s="26"/>
      <c r="S201" s="26"/>
      <c r="T201" s="25"/>
      <c r="U201" s="24"/>
      <c r="V201" s="24"/>
      <c r="W201" s="24"/>
      <c r="X201" s="26"/>
      <c r="Y201" s="26"/>
      <c r="Z201" s="24"/>
      <c r="AA201" s="26"/>
      <c r="AB201" s="25"/>
      <c r="AC201" s="24"/>
      <c r="AD201" s="24"/>
      <c r="AE201" s="24"/>
      <c r="AF201" s="26"/>
      <c r="AG201" s="26"/>
      <c r="AH201" s="24"/>
      <c r="AI201" s="26"/>
      <c r="AJ201" s="25"/>
      <c r="AK201" s="24"/>
      <c r="AL201" s="24"/>
      <c r="AM201" s="24"/>
      <c r="AN201" s="26"/>
      <c r="AO201" s="26"/>
      <c r="AP201" s="24"/>
      <c r="AQ201" s="24"/>
      <c r="AR201" s="24"/>
      <c r="AS201" s="28"/>
      <c r="AT201" s="28"/>
      <c r="AU201" s="28"/>
      <c r="AV201" s="28"/>
      <c r="AW201" s="28"/>
      <c r="AX201" s="28"/>
      <c r="AY201" s="28"/>
      <c r="AZ201" s="28"/>
      <c r="BA201" s="28"/>
      <c r="BB201" s="28"/>
      <c r="BC201" s="28"/>
      <c r="BD201" s="28"/>
      <c r="BE201" s="28"/>
      <c r="BF201" s="28"/>
      <c r="BG201" s="28"/>
      <c r="BH201" s="28"/>
      <c r="BI201" s="28"/>
      <c r="BJ201" s="24"/>
      <c r="BK201" s="28"/>
      <c r="BL201" s="28"/>
      <c r="BM201" s="28"/>
      <c r="BN201" s="28"/>
      <c r="BO201" s="28"/>
      <c r="BP201" s="28"/>
      <c r="BQ201" s="24"/>
      <c r="BR201" s="28"/>
      <c r="BS201" s="28"/>
      <c r="BT201" s="28"/>
      <c r="BU201" s="24"/>
      <c r="BV201" s="28"/>
      <c r="BW201" s="28"/>
      <c r="BX201" s="28"/>
    </row>
    <row r="202" spans="1:76">
      <c r="A202" s="24"/>
      <c r="B202" s="28"/>
      <c r="C202" s="25"/>
      <c r="D202" s="26"/>
      <c r="E202" s="24"/>
      <c r="F202" s="24"/>
      <c r="G202" s="26"/>
      <c r="H202" s="26"/>
      <c r="I202" s="26"/>
      <c r="J202" s="26"/>
      <c r="K202" s="26"/>
      <c r="L202" s="26"/>
      <c r="M202" s="26"/>
      <c r="N202" s="26"/>
      <c r="O202" s="26"/>
      <c r="P202" s="26"/>
      <c r="Q202" s="26"/>
      <c r="S202" s="26"/>
      <c r="T202" s="25"/>
      <c r="U202" s="24"/>
      <c r="V202" s="24"/>
      <c r="W202" s="24"/>
      <c r="X202" s="26"/>
      <c r="Y202" s="26"/>
      <c r="Z202" s="24"/>
      <c r="AA202" s="26"/>
      <c r="AB202" s="25"/>
      <c r="AC202" s="24"/>
      <c r="AD202" s="24"/>
      <c r="AE202" s="24"/>
      <c r="AF202" s="26"/>
      <c r="AG202" s="26"/>
      <c r="AH202" s="24"/>
      <c r="AI202" s="26"/>
      <c r="AJ202" s="25"/>
      <c r="AK202" s="24"/>
      <c r="AL202" s="24"/>
      <c r="AM202" s="24"/>
      <c r="AN202" s="26"/>
      <c r="AO202" s="26"/>
      <c r="AP202" s="24"/>
      <c r="AQ202" s="24"/>
      <c r="AR202" s="24"/>
      <c r="AS202" s="28"/>
      <c r="AT202" s="28"/>
      <c r="AU202" s="28"/>
      <c r="AV202" s="28"/>
      <c r="AW202" s="28"/>
      <c r="AX202" s="28"/>
      <c r="AY202" s="28"/>
      <c r="AZ202" s="28"/>
      <c r="BA202" s="28"/>
      <c r="BB202" s="28"/>
      <c r="BC202" s="28"/>
      <c r="BD202" s="28"/>
      <c r="BE202" s="28"/>
      <c r="BF202" s="28"/>
      <c r="BG202" s="28"/>
      <c r="BH202" s="28"/>
      <c r="BI202" s="28"/>
      <c r="BJ202" s="24"/>
      <c r="BK202" s="28"/>
      <c r="BL202" s="28"/>
      <c r="BM202" s="28"/>
      <c r="BN202" s="28"/>
      <c r="BO202" s="28"/>
      <c r="BP202" s="28"/>
      <c r="BQ202" s="24"/>
      <c r="BR202" s="28"/>
      <c r="BS202" s="28"/>
      <c r="BT202" s="28"/>
      <c r="BU202" s="24"/>
      <c r="BV202" s="28"/>
      <c r="BW202" s="28"/>
      <c r="BX202" s="28"/>
    </row>
    <row r="203" spans="1:76">
      <c r="A203" s="24"/>
      <c r="B203" s="28"/>
      <c r="C203" s="25"/>
      <c r="D203" s="26"/>
      <c r="E203" s="24"/>
      <c r="F203" s="24"/>
      <c r="G203" s="26"/>
      <c r="H203" s="26"/>
      <c r="I203" s="26"/>
      <c r="J203" s="26"/>
      <c r="K203" s="26"/>
      <c r="L203" s="26"/>
      <c r="M203" s="26"/>
      <c r="N203" s="26"/>
      <c r="O203" s="26"/>
      <c r="P203" s="26"/>
      <c r="Q203" s="26"/>
      <c r="S203" s="26"/>
      <c r="T203" s="25"/>
      <c r="U203" s="24"/>
      <c r="V203" s="24"/>
      <c r="W203" s="24"/>
      <c r="X203" s="26"/>
      <c r="Y203" s="26"/>
      <c r="Z203" s="24"/>
      <c r="AA203" s="26"/>
      <c r="AB203" s="25"/>
      <c r="AC203" s="24"/>
      <c r="AD203" s="24"/>
      <c r="AE203" s="24"/>
      <c r="AF203" s="26"/>
      <c r="AG203" s="26"/>
      <c r="AH203" s="24"/>
      <c r="AI203" s="26"/>
      <c r="AJ203" s="25"/>
      <c r="AK203" s="24"/>
      <c r="AL203" s="24"/>
      <c r="AM203" s="24"/>
      <c r="AN203" s="26"/>
      <c r="AO203" s="26"/>
      <c r="AP203" s="24"/>
      <c r="AQ203" s="24"/>
      <c r="AR203" s="24"/>
      <c r="AS203" s="28"/>
      <c r="AT203" s="28"/>
      <c r="AU203" s="28"/>
      <c r="AV203" s="28"/>
      <c r="AW203" s="28"/>
      <c r="AX203" s="28"/>
      <c r="AY203" s="28"/>
      <c r="AZ203" s="28"/>
      <c r="BA203" s="28"/>
      <c r="BB203" s="28"/>
      <c r="BC203" s="28"/>
      <c r="BD203" s="28"/>
      <c r="BE203" s="28"/>
      <c r="BF203" s="28"/>
      <c r="BG203" s="28"/>
      <c r="BH203" s="28"/>
      <c r="BI203" s="28"/>
      <c r="BJ203" s="24"/>
      <c r="BK203" s="28"/>
      <c r="BL203" s="28"/>
      <c r="BM203" s="28"/>
      <c r="BN203" s="28"/>
      <c r="BO203" s="28"/>
      <c r="BP203" s="28"/>
      <c r="BQ203" s="24"/>
      <c r="BR203" s="28"/>
      <c r="BS203" s="28"/>
      <c r="BT203" s="28"/>
      <c r="BU203" s="24"/>
      <c r="BV203" s="28"/>
      <c r="BW203" s="28"/>
      <c r="BX203" s="28"/>
    </row>
    <row r="204" spans="1:76">
      <c r="A204" s="24"/>
      <c r="B204" s="28"/>
      <c r="C204" s="25"/>
      <c r="D204" s="26"/>
      <c r="E204" s="24"/>
      <c r="F204" s="24"/>
      <c r="G204" s="26"/>
      <c r="H204" s="26"/>
      <c r="I204" s="26"/>
      <c r="J204" s="26"/>
      <c r="K204" s="26"/>
      <c r="L204" s="26"/>
      <c r="M204" s="26"/>
      <c r="N204" s="26"/>
      <c r="O204" s="26"/>
      <c r="P204" s="26"/>
      <c r="Q204" s="26"/>
      <c r="S204" s="26"/>
      <c r="T204" s="25"/>
      <c r="U204" s="24"/>
      <c r="V204" s="24"/>
      <c r="W204" s="24"/>
      <c r="X204" s="26"/>
      <c r="Y204" s="26"/>
      <c r="Z204" s="24"/>
      <c r="AA204" s="26"/>
      <c r="AB204" s="25"/>
      <c r="AC204" s="24"/>
      <c r="AD204" s="24"/>
      <c r="AE204" s="24"/>
      <c r="AF204" s="26"/>
      <c r="AG204" s="26"/>
      <c r="AH204" s="24"/>
      <c r="AI204" s="26"/>
      <c r="AJ204" s="25"/>
      <c r="AK204" s="24"/>
      <c r="AL204" s="24"/>
      <c r="AM204" s="24"/>
      <c r="AN204" s="26"/>
      <c r="AO204" s="26"/>
      <c r="AP204" s="24"/>
      <c r="AQ204" s="24"/>
      <c r="AR204" s="24"/>
      <c r="AS204" s="28"/>
      <c r="AT204" s="28"/>
      <c r="AU204" s="28"/>
      <c r="AV204" s="28"/>
      <c r="AW204" s="28"/>
      <c r="AX204" s="28"/>
      <c r="AY204" s="28"/>
      <c r="AZ204" s="28"/>
      <c r="BA204" s="28"/>
      <c r="BB204" s="28"/>
      <c r="BC204" s="28"/>
      <c r="BD204" s="28"/>
      <c r="BE204" s="28"/>
      <c r="BF204" s="28"/>
      <c r="BG204" s="28"/>
      <c r="BH204" s="28"/>
      <c r="BI204" s="28"/>
      <c r="BJ204" s="24"/>
      <c r="BK204" s="28"/>
      <c r="BL204" s="28"/>
      <c r="BM204" s="28"/>
      <c r="BN204" s="28"/>
      <c r="BO204" s="28"/>
      <c r="BP204" s="28"/>
      <c r="BQ204" s="24"/>
      <c r="BR204" s="28"/>
      <c r="BS204" s="28"/>
      <c r="BT204" s="28"/>
      <c r="BU204" s="24"/>
      <c r="BV204" s="28"/>
      <c r="BW204" s="28"/>
      <c r="BX204" s="28"/>
    </row>
    <row r="205" spans="1:76">
      <c r="A205" s="24"/>
      <c r="B205" s="28"/>
      <c r="C205" s="25"/>
      <c r="D205" s="26"/>
      <c r="E205" s="24"/>
      <c r="F205" s="24"/>
      <c r="G205" s="26"/>
      <c r="H205" s="26"/>
      <c r="I205" s="26"/>
      <c r="J205" s="26"/>
      <c r="K205" s="26"/>
      <c r="L205" s="26"/>
      <c r="M205" s="26"/>
      <c r="N205" s="26"/>
      <c r="O205" s="26"/>
      <c r="P205" s="26"/>
      <c r="Q205" s="26"/>
      <c r="S205" s="26"/>
      <c r="T205" s="25"/>
      <c r="U205" s="24"/>
      <c r="V205" s="24"/>
      <c r="W205" s="24"/>
      <c r="X205" s="26"/>
      <c r="Y205" s="26"/>
      <c r="Z205" s="24"/>
      <c r="AA205" s="26"/>
      <c r="AB205" s="25"/>
      <c r="AC205" s="24"/>
      <c r="AD205" s="24"/>
      <c r="AE205" s="24"/>
      <c r="AF205" s="26"/>
      <c r="AG205" s="26"/>
      <c r="AH205" s="24"/>
      <c r="AI205" s="26"/>
      <c r="AJ205" s="25"/>
      <c r="AK205" s="24"/>
      <c r="AL205" s="24"/>
      <c r="AM205" s="24"/>
      <c r="AN205" s="26"/>
      <c r="AO205" s="26"/>
      <c r="AP205" s="24"/>
      <c r="AQ205" s="24"/>
      <c r="AR205" s="24"/>
      <c r="AS205" s="28"/>
      <c r="AT205" s="28"/>
      <c r="AU205" s="28"/>
      <c r="AV205" s="28"/>
      <c r="AW205" s="28"/>
      <c r="AX205" s="28"/>
      <c r="AY205" s="28"/>
      <c r="AZ205" s="28"/>
      <c r="BA205" s="28"/>
      <c r="BB205" s="28"/>
      <c r="BC205" s="28"/>
      <c r="BD205" s="28"/>
      <c r="BE205" s="28"/>
      <c r="BF205" s="28"/>
      <c r="BG205" s="28"/>
      <c r="BH205" s="28"/>
      <c r="BI205" s="28"/>
      <c r="BJ205" s="24"/>
      <c r="BK205" s="28"/>
      <c r="BL205" s="28"/>
      <c r="BM205" s="28"/>
      <c r="BN205" s="28"/>
      <c r="BO205" s="28"/>
      <c r="BP205" s="28"/>
      <c r="BQ205" s="24"/>
      <c r="BR205" s="28"/>
      <c r="BS205" s="28"/>
      <c r="BT205" s="28"/>
      <c r="BU205" s="24"/>
      <c r="BV205" s="28"/>
      <c r="BW205" s="28"/>
      <c r="BX205" s="28"/>
    </row>
    <row r="206" spans="1:76">
      <c r="A206" s="24"/>
      <c r="B206" s="28"/>
      <c r="C206" s="25"/>
      <c r="D206" s="26"/>
      <c r="E206" s="24"/>
      <c r="F206" s="24"/>
      <c r="G206" s="26"/>
      <c r="H206" s="26"/>
      <c r="I206" s="26"/>
      <c r="J206" s="26"/>
      <c r="K206" s="26"/>
      <c r="L206" s="26"/>
      <c r="M206" s="26"/>
      <c r="N206" s="26"/>
      <c r="O206" s="26"/>
      <c r="P206" s="26"/>
      <c r="Q206" s="26"/>
      <c r="S206" s="26"/>
      <c r="T206" s="25"/>
      <c r="U206" s="24"/>
      <c r="V206" s="24"/>
      <c r="W206" s="24"/>
      <c r="X206" s="26"/>
      <c r="Y206" s="26"/>
      <c r="Z206" s="24"/>
      <c r="AA206" s="26"/>
      <c r="AB206" s="25"/>
      <c r="AC206" s="24"/>
      <c r="AD206" s="24"/>
      <c r="AE206" s="24"/>
      <c r="AF206" s="26"/>
      <c r="AG206" s="26"/>
      <c r="AH206" s="24"/>
      <c r="AI206" s="26"/>
      <c r="AJ206" s="25"/>
      <c r="AK206" s="24"/>
      <c r="AL206" s="24"/>
      <c r="AM206" s="24"/>
      <c r="AN206" s="26"/>
      <c r="AO206" s="26"/>
      <c r="AP206" s="24"/>
      <c r="AQ206" s="24"/>
      <c r="AR206" s="24"/>
      <c r="AS206" s="28"/>
      <c r="AT206" s="28"/>
      <c r="AU206" s="28"/>
      <c r="AV206" s="28"/>
      <c r="AW206" s="28"/>
      <c r="AX206" s="28"/>
      <c r="AY206" s="28"/>
      <c r="AZ206" s="28"/>
      <c r="BA206" s="28"/>
      <c r="BB206" s="28"/>
      <c r="BC206" s="28"/>
      <c r="BD206" s="28"/>
      <c r="BE206" s="28"/>
      <c r="BF206" s="28"/>
      <c r="BG206" s="28"/>
      <c r="BH206" s="28"/>
      <c r="BI206" s="28"/>
      <c r="BJ206" s="24"/>
      <c r="BK206" s="28"/>
      <c r="BL206" s="28"/>
      <c r="BM206" s="28"/>
      <c r="BN206" s="28"/>
      <c r="BO206" s="28"/>
      <c r="BP206" s="28"/>
      <c r="BQ206" s="24"/>
      <c r="BR206" s="28"/>
      <c r="BS206" s="28"/>
      <c r="BT206" s="28"/>
      <c r="BU206" s="24"/>
      <c r="BV206" s="28"/>
      <c r="BW206" s="28"/>
      <c r="BX206" s="28"/>
    </row>
    <row r="207" spans="1:76">
      <c r="A207" s="24"/>
      <c r="B207" s="28"/>
      <c r="C207" s="25"/>
      <c r="D207" s="26"/>
      <c r="E207" s="24"/>
      <c r="F207" s="24"/>
      <c r="G207" s="26"/>
      <c r="H207" s="26"/>
      <c r="I207" s="26"/>
      <c r="J207" s="26"/>
      <c r="K207" s="26"/>
      <c r="L207" s="26"/>
      <c r="M207" s="26"/>
      <c r="N207" s="26"/>
      <c r="O207" s="26"/>
      <c r="P207" s="26"/>
      <c r="Q207" s="26"/>
      <c r="S207" s="26"/>
      <c r="T207" s="25"/>
      <c r="U207" s="24"/>
      <c r="V207" s="24"/>
      <c r="W207" s="24"/>
      <c r="X207" s="26"/>
      <c r="Y207" s="26"/>
      <c r="Z207" s="24"/>
      <c r="AA207" s="26"/>
      <c r="AB207" s="25"/>
      <c r="AC207" s="24"/>
      <c r="AD207" s="24"/>
      <c r="AE207" s="24"/>
      <c r="AF207" s="26"/>
      <c r="AG207" s="26"/>
      <c r="AH207" s="24"/>
      <c r="AI207" s="26"/>
      <c r="AJ207" s="25"/>
      <c r="AK207" s="24"/>
      <c r="AL207" s="24"/>
      <c r="AM207" s="24"/>
      <c r="AN207" s="26"/>
      <c r="AO207" s="26"/>
      <c r="AP207" s="24"/>
      <c r="AQ207" s="24"/>
      <c r="AR207" s="24"/>
      <c r="AS207" s="28"/>
      <c r="AT207" s="28"/>
      <c r="AU207" s="28"/>
      <c r="AV207" s="28"/>
      <c r="AW207" s="28"/>
      <c r="AX207" s="28"/>
      <c r="AY207" s="28"/>
      <c r="AZ207" s="28"/>
      <c r="BA207" s="28"/>
      <c r="BB207" s="28"/>
      <c r="BC207" s="28"/>
      <c r="BD207" s="28"/>
      <c r="BE207" s="28"/>
      <c r="BF207" s="28"/>
      <c r="BG207" s="28"/>
      <c r="BH207" s="28"/>
      <c r="BI207" s="28"/>
      <c r="BJ207" s="24"/>
      <c r="BK207" s="28"/>
      <c r="BL207" s="28"/>
      <c r="BM207" s="28"/>
      <c r="BN207" s="28"/>
      <c r="BO207" s="28"/>
      <c r="BP207" s="28"/>
      <c r="BQ207" s="24"/>
      <c r="BR207" s="28"/>
      <c r="BS207" s="28"/>
      <c r="BT207" s="28"/>
      <c r="BU207" s="24"/>
      <c r="BV207" s="28"/>
      <c r="BW207" s="28"/>
      <c r="BX207" s="28"/>
    </row>
    <row r="208" spans="1:76">
      <c r="A208" s="24"/>
      <c r="B208" s="28"/>
      <c r="C208" s="25"/>
      <c r="D208" s="26"/>
      <c r="E208" s="24"/>
      <c r="F208" s="24"/>
      <c r="G208" s="26"/>
      <c r="H208" s="26"/>
      <c r="I208" s="26"/>
      <c r="J208" s="26"/>
      <c r="K208" s="26"/>
      <c r="L208" s="26"/>
      <c r="M208" s="26"/>
      <c r="N208" s="26"/>
      <c r="O208" s="26"/>
      <c r="P208" s="26"/>
      <c r="Q208" s="26"/>
      <c r="S208" s="26"/>
      <c r="T208" s="25"/>
      <c r="U208" s="24"/>
      <c r="V208" s="24"/>
      <c r="W208" s="24"/>
      <c r="X208" s="26"/>
      <c r="Y208" s="26"/>
      <c r="Z208" s="24"/>
      <c r="AA208" s="26"/>
      <c r="AB208" s="25"/>
      <c r="AC208" s="24"/>
      <c r="AD208" s="24"/>
      <c r="AE208" s="24"/>
      <c r="AF208" s="26"/>
      <c r="AG208" s="26"/>
      <c r="AH208" s="24"/>
      <c r="AI208" s="26"/>
      <c r="AJ208" s="25"/>
      <c r="AK208" s="24"/>
      <c r="AL208" s="24"/>
      <c r="AM208" s="24"/>
      <c r="AN208" s="26"/>
      <c r="AO208" s="26"/>
      <c r="AP208" s="24"/>
      <c r="AQ208" s="24"/>
      <c r="AR208" s="24"/>
      <c r="AS208" s="28"/>
      <c r="AT208" s="28"/>
      <c r="AU208" s="28"/>
      <c r="AV208" s="28"/>
      <c r="AW208" s="28"/>
      <c r="AX208" s="28"/>
      <c r="AY208" s="28"/>
      <c r="AZ208" s="28"/>
      <c r="BA208" s="28"/>
      <c r="BB208" s="28"/>
      <c r="BC208" s="28"/>
      <c r="BD208" s="28"/>
      <c r="BE208" s="28"/>
      <c r="BF208" s="28"/>
      <c r="BG208" s="28"/>
      <c r="BH208" s="28"/>
      <c r="BI208" s="28"/>
      <c r="BJ208" s="24"/>
      <c r="BK208" s="28"/>
      <c r="BL208" s="28"/>
      <c r="BM208" s="28"/>
      <c r="BN208" s="28"/>
      <c r="BO208" s="28"/>
      <c r="BP208" s="28"/>
      <c r="BQ208" s="24"/>
      <c r="BR208" s="28"/>
      <c r="BS208" s="28"/>
      <c r="BT208" s="28"/>
      <c r="BU208" s="24"/>
      <c r="BV208" s="28"/>
      <c r="BW208" s="28"/>
      <c r="BX208" s="28"/>
    </row>
    <row r="209" spans="1:76">
      <c r="A209" s="24"/>
      <c r="B209" s="28"/>
      <c r="C209" s="25"/>
      <c r="D209" s="26"/>
      <c r="E209" s="24"/>
      <c r="F209" s="24"/>
      <c r="G209" s="26"/>
      <c r="H209" s="26"/>
      <c r="I209" s="26"/>
      <c r="J209" s="26"/>
      <c r="K209" s="26"/>
      <c r="L209" s="26"/>
      <c r="M209" s="26"/>
      <c r="N209" s="26"/>
      <c r="O209" s="26"/>
      <c r="P209" s="26"/>
      <c r="Q209" s="26"/>
      <c r="S209" s="26"/>
      <c r="T209" s="25"/>
      <c r="U209" s="24"/>
      <c r="V209" s="24"/>
      <c r="W209" s="24"/>
      <c r="X209" s="26"/>
      <c r="Y209" s="26"/>
      <c r="Z209" s="24"/>
      <c r="AA209" s="26"/>
      <c r="AB209" s="25"/>
      <c r="AC209" s="24"/>
      <c r="AD209" s="24"/>
      <c r="AE209" s="24"/>
      <c r="AF209" s="26"/>
      <c r="AG209" s="26"/>
      <c r="AH209" s="24"/>
      <c r="AI209" s="26"/>
      <c r="AJ209" s="25"/>
      <c r="AK209" s="24"/>
      <c r="AL209" s="24"/>
      <c r="AM209" s="24"/>
      <c r="AN209" s="26"/>
      <c r="AO209" s="26"/>
      <c r="AP209" s="24"/>
      <c r="AQ209" s="24"/>
      <c r="AR209" s="24"/>
      <c r="AS209" s="28"/>
      <c r="AT209" s="28"/>
      <c r="AU209" s="28"/>
      <c r="AV209" s="28"/>
      <c r="AW209" s="28"/>
      <c r="AX209" s="28"/>
      <c r="AY209" s="28"/>
      <c r="AZ209" s="28"/>
      <c r="BA209" s="28"/>
      <c r="BB209" s="28"/>
      <c r="BC209" s="28"/>
      <c r="BD209" s="28"/>
      <c r="BE209" s="28"/>
      <c r="BF209" s="28"/>
      <c r="BG209" s="28"/>
      <c r="BH209" s="28"/>
      <c r="BI209" s="28"/>
      <c r="BJ209" s="24"/>
      <c r="BK209" s="28"/>
      <c r="BL209" s="28"/>
      <c r="BM209" s="28"/>
      <c r="BN209" s="28"/>
      <c r="BO209" s="28"/>
      <c r="BP209" s="28"/>
      <c r="BQ209" s="24"/>
      <c r="BR209" s="28"/>
      <c r="BS209" s="28"/>
      <c r="BT209" s="28"/>
      <c r="BU209" s="24"/>
      <c r="BV209" s="28"/>
      <c r="BW209" s="28"/>
      <c r="BX209" s="28"/>
    </row>
    <row r="210" spans="1:76">
      <c r="A210" s="24"/>
      <c r="B210" s="28"/>
      <c r="C210" s="25"/>
      <c r="D210" s="26"/>
      <c r="E210" s="24"/>
      <c r="F210" s="24"/>
      <c r="G210" s="26"/>
      <c r="H210" s="26"/>
      <c r="I210" s="26"/>
      <c r="J210" s="26"/>
      <c r="K210" s="26"/>
      <c r="L210" s="26"/>
      <c r="M210" s="26"/>
      <c r="N210" s="26"/>
      <c r="O210" s="26"/>
      <c r="P210" s="26"/>
      <c r="Q210" s="26"/>
      <c r="S210" s="26"/>
      <c r="T210" s="25"/>
      <c r="U210" s="24"/>
      <c r="V210" s="24"/>
      <c r="W210" s="24"/>
      <c r="X210" s="26"/>
      <c r="Y210" s="26"/>
      <c r="Z210" s="24"/>
      <c r="AA210" s="26"/>
      <c r="AB210" s="25"/>
      <c r="AC210" s="24"/>
      <c r="AD210" s="24"/>
      <c r="AE210" s="24"/>
      <c r="AF210" s="26"/>
      <c r="AG210" s="26"/>
      <c r="AH210" s="24"/>
      <c r="AI210" s="26"/>
      <c r="AJ210" s="25"/>
      <c r="AK210" s="24"/>
      <c r="AL210" s="24"/>
      <c r="AM210" s="24"/>
      <c r="AN210" s="26"/>
      <c r="AO210" s="26"/>
      <c r="AP210" s="24"/>
      <c r="AQ210" s="24"/>
      <c r="AR210" s="24"/>
      <c r="AS210" s="28"/>
      <c r="AT210" s="28"/>
      <c r="AU210" s="28"/>
      <c r="AV210" s="28"/>
      <c r="AW210" s="28"/>
      <c r="AX210" s="28"/>
      <c r="AY210" s="28"/>
      <c r="AZ210" s="28"/>
      <c r="BA210" s="28"/>
      <c r="BB210" s="28"/>
      <c r="BC210" s="28"/>
      <c r="BD210" s="28"/>
      <c r="BE210" s="28"/>
      <c r="BF210" s="28"/>
      <c r="BG210" s="28"/>
      <c r="BH210" s="28"/>
      <c r="BI210" s="28"/>
      <c r="BJ210" s="24"/>
      <c r="BK210" s="28"/>
      <c r="BL210" s="28"/>
      <c r="BM210" s="28"/>
      <c r="BN210" s="28"/>
      <c r="BO210" s="28"/>
      <c r="BP210" s="28"/>
      <c r="BQ210" s="24"/>
      <c r="BR210" s="28"/>
      <c r="BS210" s="28"/>
      <c r="BT210" s="28"/>
      <c r="BU210" s="24"/>
      <c r="BV210" s="28"/>
      <c r="BW210" s="28"/>
      <c r="BX210" s="28"/>
    </row>
    <row r="211" spans="1:76">
      <c r="A211" s="24"/>
      <c r="B211" s="28"/>
      <c r="C211" s="25"/>
      <c r="D211" s="26"/>
      <c r="E211" s="24"/>
      <c r="F211" s="24"/>
      <c r="G211" s="26"/>
      <c r="H211" s="26"/>
      <c r="I211" s="26"/>
      <c r="J211" s="26"/>
      <c r="K211" s="26"/>
      <c r="L211" s="26"/>
      <c r="M211" s="26"/>
      <c r="N211" s="26"/>
      <c r="O211" s="26"/>
      <c r="P211" s="26"/>
      <c r="Q211" s="26"/>
      <c r="S211" s="26"/>
      <c r="T211" s="25"/>
      <c r="U211" s="24"/>
      <c r="V211" s="24"/>
      <c r="W211" s="24"/>
      <c r="X211" s="26"/>
      <c r="Y211" s="26"/>
      <c r="Z211" s="24"/>
      <c r="AA211" s="26"/>
      <c r="AB211" s="25"/>
      <c r="AC211" s="24"/>
      <c r="AD211" s="24"/>
      <c r="AE211" s="24"/>
      <c r="AF211" s="26"/>
      <c r="AG211" s="26"/>
      <c r="AH211" s="24"/>
      <c r="AI211" s="26"/>
      <c r="AJ211" s="25"/>
      <c r="AK211" s="24"/>
      <c r="AL211" s="24"/>
      <c r="AM211" s="24"/>
      <c r="AN211" s="26"/>
      <c r="AO211" s="26"/>
      <c r="AP211" s="24"/>
      <c r="AQ211" s="24"/>
      <c r="AR211" s="24"/>
      <c r="AS211" s="28"/>
      <c r="AT211" s="28"/>
      <c r="AU211" s="28"/>
      <c r="AV211" s="28"/>
      <c r="AW211" s="28"/>
      <c r="AX211" s="28"/>
      <c r="AY211" s="28"/>
      <c r="AZ211" s="28"/>
      <c r="BA211" s="28"/>
      <c r="BB211" s="28"/>
      <c r="BC211" s="28"/>
      <c r="BD211" s="28"/>
      <c r="BE211" s="28"/>
      <c r="BF211" s="28"/>
      <c r="BG211" s="28"/>
      <c r="BH211" s="28"/>
      <c r="BI211" s="28"/>
      <c r="BJ211" s="24"/>
      <c r="BK211" s="28"/>
      <c r="BL211" s="28"/>
      <c r="BM211" s="28"/>
      <c r="BN211" s="28"/>
      <c r="BO211" s="28"/>
      <c r="BP211" s="28"/>
      <c r="BQ211" s="24"/>
      <c r="BR211" s="28"/>
      <c r="BS211" s="28"/>
      <c r="BT211" s="28"/>
      <c r="BU211" s="24"/>
      <c r="BV211" s="28"/>
      <c r="BW211" s="28"/>
      <c r="BX211" s="28"/>
    </row>
    <row r="212" spans="1:76">
      <c r="A212" s="24"/>
      <c r="B212" s="28"/>
      <c r="C212" s="25"/>
      <c r="D212" s="26"/>
      <c r="E212" s="24"/>
      <c r="F212" s="24"/>
      <c r="G212" s="26"/>
      <c r="H212" s="26"/>
      <c r="I212" s="26"/>
      <c r="J212" s="26"/>
      <c r="K212" s="26"/>
      <c r="L212" s="26"/>
      <c r="M212" s="26"/>
      <c r="N212" s="26"/>
      <c r="O212" s="26"/>
      <c r="P212" s="26"/>
      <c r="Q212" s="26"/>
      <c r="S212" s="26"/>
      <c r="T212" s="25"/>
      <c r="U212" s="24"/>
      <c r="V212" s="24"/>
      <c r="W212" s="24"/>
      <c r="X212" s="26"/>
      <c r="Y212" s="26"/>
      <c r="Z212" s="24"/>
      <c r="AA212" s="26"/>
      <c r="AB212" s="25"/>
      <c r="AC212" s="24"/>
      <c r="AD212" s="24"/>
      <c r="AE212" s="24"/>
      <c r="AF212" s="26"/>
      <c r="AG212" s="26"/>
      <c r="AH212" s="24"/>
      <c r="AI212" s="26"/>
      <c r="AJ212" s="25"/>
      <c r="AK212" s="24"/>
      <c r="AL212" s="24"/>
      <c r="AM212" s="24"/>
      <c r="AN212" s="26"/>
      <c r="AO212" s="26"/>
      <c r="AP212" s="24"/>
      <c r="AQ212" s="24"/>
      <c r="AR212" s="24"/>
      <c r="AS212" s="28"/>
      <c r="AT212" s="28"/>
      <c r="AU212" s="28"/>
      <c r="AV212" s="28"/>
      <c r="AW212" s="28"/>
      <c r="AX212" s="28"/>
      <c r="AY212" s="28"/>
      <c r="AZ212" s="28"/>
      <c r="BA212" s="28"/>
      <c r="BB212" s="28"/>
      <c r="BC212" s="28"/>
      <c r="BD212" s="28"/>
      <c r="BE212" s="28"/>
      <c r="BF212" s="28"/>
      <c r="BG212" s="28"/>
      <c r="BH212" s="28"/>
      <c r="BI212" s="28"/>
      <c r="BJ212" s="24"/>
      <c r="BK212" s="28"/>
      <c r="BL212" s="28"/>
      <c r="BM212" s="28"/>
      <c r="BN212" s="28"/>
      <c r="BO212" s="28"/>
      <c r="BP212" s="28"/>
      <c r="BQ212" s="24"/>
      <c r="BR212" s="28"/>
      <c r="BS212" s="28"/>
      <c r="BT212" s="28"/>
      <c r="BU212" s="24"/>
      <c r="BV212" s="28"/>
      <c r="BW212" s="28"/>
      <c r="BX212" s="28"/>
    </row>
    <row r="213" spans="1:76">
      <c r="A213" s="24"/>
      <c r="B213" s="28"/>
      <c r="C213" s="25"/>
      <c r="D213" s="26"/>
      <c r="E213" s="24"/>
      <c r="F213" s="24"/>
      <c r="G213" s="26"/>
      <c r="H213" s="26"/>
      <c r="I213" s="26"/>
      <c r="J213" s="26"/>
      <c r="K213" s="26"/>
      <c r="L213" s="26"/>
      <c r="M213" s="26"/>
      <c r="N213" s="26"/>
      <c r="O213" s="26"/>
      <c r="P213" s="26"/>
      <c r="Q213" s="26"/>
      <c r="S213" s="26"/>
      <c r="T213" s="25"/>
      <c r="U213" s="24"/>
      <c r="V213" s="24"/>
      <c r="W213" s="24"/>
      <c r="X213" s="26"/>
      <c r="Y213" s="26"/>
      <c r="Z213" s="24"/>
      <c r="AA213" s="26"/>
      <c r="AB213" s="25"/>
      <c r="AC213" s="24"/>
      <c r="AD213" s="24"/>
      <c r="AE213" s="24"/>
      <c r="AF213" s="26"/>
      <c r="AG213" s="26"/>
      <c r="AH213" s="24"/>
      <c r="AI213" s="26"/>
      <c r="AJ213" s="25"/>
      <c r="AK213" s="24"/>
      <c r="AL213" s="24"/>
      <c r="AM213" s="24"/>
      <c r="AN213" s="26"/>
      <c r="AO213" s="26"/>
      <c r="AP213" s="24"/>
      <c r="AQ213" s="24"/>
      <c r="AR213" s="24"/>
      <c r="AS213" s="28"/>
      <c r="AT213" s="28"/>
      <c r="AU213" s="28"/>
      <c r="AV213" s="28"/>
      <c r="AW213" s="28"/>
      <c r="AX213" s="28"/>
      <c r="AY213" s="28"/>
      <c r="AZ213" s="28"/>
      <c r="BA213" s="28"/>
      <c r="BB213" s="28"/>
      <c r="BC213" s="28"/>
      <c r="BD213" s="28"/>
      <c r="BE213" s="28"/>
      <c r="BF213" s="28"/>
      <c r="BG213" s="28"/>
      <c r="BH213" s="28"/>
      <c r="BI213" s="28"/>
      <c r="BJ213" s="24"/>
      <c r="BK213" s="28"/>
      <c r="BL213" s="28"/>
      <c r="BM213" s="28"/>
      <c r="BN213" s="28"/>
      <c r="BO213" s="28"/>
      <c r="BP213" s="28"/>
      <c r="BQ213" s="24"/>
      <c r="BR213" s="28"/>
      <c r="BS213" s="28"/>
      <c r="BT213" s="28"/>
      <c r="BU213" s="24"/>
      <c r="BV213" s="28"/>
      <c r="BW213" s="28"/>
      <c r="BX213" s="28"/>
    </row>
    <row r="214" spans="1:76">
      <c r="A214" s="24"/>
      <c r="B214" s="28"/>
      <c r="C214" s="25"/>
      <c r="D214" s="26"/>
      <c r="E214" s="24"/>
      <c r="F214" s="24"/>
      <c r="G214" s="26"/>
      <c r="H214" s="26"/>
      <c r="I214" s="26"/>
      <c r="J214" s="26"/>
      <c r="K214" s="26"/>
      <c r="L214" s="26"/>
      <c r="M214" s="26"/>
      <c r="N214" s="26"/>
      <c r="O214" s="26"/>
      <c r="P214" s="26"/>
      <c r="Q214" s="26"/>
      <c r="S214" s="26"/>
      <c r="T214" s="25"/>
      <c r="U214" s="24"/>
      <c r="V214" s="24"/>
      <c r="W214" s="24"/>
      <c r="X214" s="26"/>
      <c r="Y214" s="26"/>
      <c r="Z214" s="24"/>
      <c r="AA214" s="26"/>
      <c r="AB214" s="25"/>
      <c r="AC214" s="24"/>
      <c r="AD214" s="24"/>
      <c r="AE214" s="24"/>
      <c r="AF214" s="26"/>
      <c r="AG214" s="26"/>
      <c r="AH214" s="24"/>
      <c r="AI214" s="26"/>
      <c r="AJ214" s="25"/>
      <c r="AK214" s="24"/>
      <c r="AL214" s="24"/>
      <c r="AM214" s="24"/>
      <c r="AN214" s="26"/>
      <c r="AO214" s="26"/>
      <c r="AP214" s="24"/>
      <c r="AQ214" s="24"/>
      <c r="AR214" s="24"/>
      <c r="AS214" s="28"/>
      <c r="AT214" s="28"/>
      <c r="AU214" s="28"/>
      <c r="AV214" s="28"/>
      <c r="AW214" s="28"/>
      <c r="AX214" s="28"/>
      <c r="AY214" s="28"/>
      <c r="AZ214" s="28"/>
      <c r="BA214" s="28"/>
      <c r="BB214" s="28"/>
      <c r="BC214" s="28"/>
      <c r="BD214" s="28"/>
      <c r="BE214" s="28"/>
      <c r="BF214" s="28"/>
      <c r="BG214" s="28"/>
      <c r="BH214" s="28"/>
      <c r="BI214" s="28"/>
      <c r="BJ214" s="24"/>
      <c r="BK214" s="28"/>
      <c r="BL214" s="28"/>
      <c r="BM214" s="28"/>
      <c r="BN214" s="28"/>
      <c r="BO214" s="28"/>
      <c r="BP214" s="28"/>
      <c r="BQ214" s="24"/>
      <c r="BR214" s="28"/>
      <c r="BS214" s="28"/>
      <c r="BT214" s="28"/>
      <c r="BU214" s="24"/>
      <c r="BV214" s="28"/>
      <c r="BW214" s="28"/>
      <c r="BX214" s="28"/>
    </row>
    <row r="215" spans="1:76">
      <c r="A215" s="24"/>
      <c r="B215" s="28"/>
      <c r="C215" s="25"/>
      <c r="D215" s="26"/>
      <c r="E215" s="24"/>
      <c r="F215" s="24"/>
      <c r="G215" s="26"/>
      <c r="H215" s="26"/>
      <c r="I215" s="26"/>
      <c r="J215" s="26"/>
      <c r="K215" s="26"/>
      <c r="L215" s="26"/>
      <c r="M215" s="26"/>
      <c r="N215" s="26"/>
      <c r="O215" s="26"/>
      <c r="P215" s="26"/>
      <c r="Q215" s="26"/>
      <c r="S215" s="26"/>
      <c r="T215" s="25"/>
      <c r="U215" s="24"/>
      <c r="V215" s="24"/>
      <c r="W215" s="24"/>
      <c r="X215" s="26"/>
      <c r="Y215" s="26"/>
      <c r="Z215" s="24"/>
      <c r="AA215" s="26"/>
      <c r="AB215" s="25"/>
      <c r="AC215" s="24"/>
      <c r="AD215" s="24"/>
      <c r="AE215" s="24"/>
      <c r="AF215" s="26"/>
      <c r="AG215" s="26"/>
      <c r="AH215" s="24"/>
      <c r="AI215" s="26"/>
      <c r="AJ215" s="25"/>
      <c r="AK215" s="24"/>
      <c r="AL215" s="24"/>
      <c r="AM215" s="24"/>
      <c r="AN215" s="26"/>
      <c r="AO215" s="26"/>
      <c r="AP215" s="24"/>
      <c r="AQ215" s="24"/>
      <c r="AR215" s="24"/>
      <c r="AS215" s="28"/>
      <c r="AT215" s="28"/>
      <c r="AU215" s="28"/>
      <c r="AV215" s="28"/>
      <c r="AW215" s="28"/>
      <c r="AX215" s="28"/>
      <c r="AY215" s="28"/>
      <c r="AZ215" s="28"/>
      <c r="BA215" s="28"/>
      <c r="BB215" s="28"/>
      <c r="BC215" s="28"/>
      <c r="BD215" s="28"/>
      <c r="BE215" s="28"/>
      <c r="BF215" s="28"/>
      <c r="BG215" s="28"/>
      <c r="BH215" s="28"/>
      <c r="BI215" s="28"/>
      <c r="BJ215" s="24"/>
      <c r="BK215" s="28"/>
      <c r="BL215" s="28"/>
      <c r="BM215" s="28"/>
      <c r="BN215" s="28"/>
      <c r="BO215" s="28"/>
      <c r="BP215" s="28"/>
      <c r="BQ215" s="24"/>
      <c r="BR215" s="28"/>
      <c r="BS215" s="28"/>
      <c r="BT215" s="28"/>
      <c r="BU215" s="24"/>
      <c r="BV215" s="28"/>
      <c r="BW215" s="28"/>
      <c r="BX215" s="28"/>
    </row>
    <row r="216" spans="1:76">
      <c r="A216" s="24"/>
      <c r="B216" s="28"/>
      <c r="C216" s="25"/>
      <c r="D216" s="26"/>
      <c r="E216" s="24"/>
      <c r="F216" s="24"/>
      <c r="G216" s="26"/>
      <c r="H216" s="26"/>
      <c r="I216" s="26"/>
      <c r="J216" s="26"/>
      <c r="K216" s="26"/>
      <c r="L216" s="26"/>
      <c r="M216" s="26"/>
      <c r="N216" s="26"/>
      <c r="O216" s="26"/>
      <c r="P216" s="26"/>
      <c r="Q216" s="26"/>
      <c r="S216" s="26"/>
      <c r="T216" s="25"/>
      <c r="U216" s="24"/>
      <c r="V216" s="24"/>
      <c r="W216" s="24"/>
      <c r="X216" s="26"/>
      <c r="Y216" s="26"/>
      <c r="Z216" s="24"/>
      <c r="AA216" s="26"/>
      <c r="AB216" s="25"/>
      <c r="AC216" s="24"/>
      <c r="AD216" s="24"/>
      <c r="AE216" s="24"/>
      <c r="AF216" s="26"/>
      <c r="AG216" s="26"/>
      <c r="AH216" s="24"/>
      <c r="AI216" s="26"/>
      <c r="AJ216" s="25"/>
      <c r="AK216" s="24"/>
      <c r="AL216" s="24"/>
      <c r="AM216" s="24"/>
      <c r="AN216" s="26"/>
      <c r="AO216" s="26"/>
      <c r="AP216" s="24"/>
      <c r="AQ216" s="24"/>
      <c r="AR216" s="24"/>
      <c r="AS216" s="28"/>
      <c r="AT216" s="28"/>
      <c r="AU216" s="28"/>
      <c r="AV216" s="28"/>
      <c r="AW216" s="28"/>
      <c r="AX216" s="28"/>
      <c r="AY216" s="28"/>
      <c r="AZ216" s="28"/>
      <c r="BA216" s="28"/>
      <c r="BB216" s="28"/>
      <c r="BC216" s="28"/>
      <c r="BD216" s="28"/>
      <c r="BE216" s="28"/>
      <c r="BF216" s="28"/>
      <c r="BG216" s="28"/>
      <c r="BH216" s="28"/>
      <c r="BI216" s="28"/>
      <c r="BJ216" s="24"/>
      <c r="BK216" s="28"/>
      <c r="BL216" s="28"/>
      <c r="BM216" s="28"/>
      <c r="BN216" s="28"/>
      <c r="BO216" s="28"/>
      <c r="BP216" s="28"/>
      <c r="BQ216" s="24"/>
      <c r="BR216" s="28"/>
      <c r="BS216" s="28"/>
      <c r="BT216" s="28"/>
      <c r="BU216" s="24"/>
      <c r="BV216" s="28"/>
      <c r="BW216" s="28"/>
      <c r="BX216" s="28"/>
    </row>
    <row r="217" spans="1:76">
      <c r="A217" s="24"/>
      <c r="B217" s="28"/>
      <c r="C217" s="82"/>
      <c r="D217" s="26"/>
      <c r="E217" s="24"/>
      <c r="F217" s="24"/>
      <c r="G217" s="26"/>
      <c r="H217" s="26"/>
      <c r="I217" s="26"/>
      <c r="J217" s="26"/>
      <c r="K217" s="26"/>
      <c r="L217" s="26"/>
      <c r="M217" s="26"/>
      <c r="N217" s="26"/>
      <c r="O217" s="26"/>
      <c r="P217" s="26"/>
      <c r="Q217" s="26"/>
      <c r="S217" s="26"/>
      <c r="T217" s="25"/>
      <c r="U217" s="24"/>
      <c r="V217" s="24"/>
      <c r="W217" s="24"/>
      <c r="X217" s="26"/>
      <c r="Y217" s="26"/>
      <c r="Z217" s="24"/>
      <c r="AA217" s="26"/>
      <c r="AB217" s="25"/>
      <c r="AC217" s="24"/>
      <c r="AD217" s="24"/>
      <c r="AE217" s="24"/>
      <c r="AF217" s="26"/>
      <c r="AG217" s="26"/>
      <c r="AH217" s="24"/>
      <c r="AI217" s="26"/>
      <c r="AJ217" s="25"/>
      <c r="AK217" s="24"/>
      <c r="AL217" s="24"/>
      <c r="AM217" s="24"/>
      <c r="AN217" s="26"/>
      <c r="AO217" s="26"/>
      <c r="AP217" s="24"/>
      <c r="AQ217" s="24"/>
      <c r="AR217" s="24"/>
      <c r="AS217" s="28"/>
      <c r="AT217" s="28"/>
      <c r="AU217" s="28"/>
      <c r="AV217" s="28"/>
      <c r="AW217" s="28"/>
      <c r="AX217" s="28"/>
      <c r="AY217" s="28"/>
      <c r="AZ217" s="28"/>
      <c r="BA217" s="28"/>
      <c r="BB217" s="28"/>
      <c r="BC217" s="28"/>
      <c r="BD217" s="28"/>
      <c r="BE217" s="28"/>
      <c r="BF217" s="28"/>
      <c r="BG217" s="28"/>
      <c r="BH217" s="28"/>
      <c r="BI217" s="28"/>
      <c r="BJ217" s="24"/>
      <c r="BK217" s="28"/>
      <c r="BL217" s="28"/>
      <c r="BM217" s="28"/>
      <c r="BN217" s="28"/>
      <c r="BO217" s="28"/>
      <c r="BP217" s="28"/>
      <c r="BQ217" s="24"/>
      <c r="BR217" s="28"/>
      <c r="BS217" s="28"/>
      <c r="BT217" s="28"/>
      <c r="BU217" s="24"/>
      <c r="BV217" s="28"/>
      <c r="BW217" s="28"/>
      <c r="BX217" s="28"/>
    </row>
    <row r="218" spans="1:76">
      <c r="A218" s="24"/>
      <c r="B218" s="28"/>
      <c r="C218" s="25"/>
      <c r="D218" s="26"/>
      <c r="E218" s="24"/>
      <c r="F218" s="24"/>
      <c r="G218" s="26"/>
      <c r="H218" s="26"/>
      <c r="I218" s="26"/>
      <c r="J218" s="26"/>
      <c r="K218" s="26"/>
      <c r="L218" s="26"/>
      <c r="M218" s="26"/>
      <c r="N218" s="26"/>
      <c r="O218" s="26"/>
      <c r="P218" s="26"/>
      <c r="Q218" s="26"/>
      <c r="S218" s="26"/>
      <c r="T218" s="25"/>
      <c r="U218" s="24"/>
      <c r="V218" s="24"/>
      <c r="W218" s="24"/>
      <c r="X218" s="26"/>
      <c r="Y218" s="26"/>
      <c r="Z218" s="24"/>
      <c r="AA218" s="26"/>
      <c r="AB218" s="25"/>
      <c r="AC218" s="24"/>
      <c r="AD218" s="24"/>
      <c r="AE218" s="24"/>
      <c r="AF218" s="26"/>
      <c r="AG218" s="26"/>
      <c r="AH218" s="24"/>
      <c r="AI218" s="26"/>
      <c r="AJ218" s="25"/>
      <c r="AK218" s="24"/>
      <c r="AL218" s="24"/>
      <c r="AM218" s="24"/>
      <c r="AN218" s="26"/>
      <c r="AO218" s="26"/>
      <c r="AP218" s="24"/>
      <c r="AQ218" s="24"/>
      <c r="AR218" s="24"/>
      <c r="AS218" s="28"/>
      <c r="AT218" s="28"/>
      <c r="AU218" s="28"/>
      <c r="AV218" s="28"/>
      <c r="AW218" s="28"/>
      <c r="AX218" s="28"/>
      <c r="AY218" s="28"/>
      <c r="AZ218" s="28"/>
      <c r="BA218" s="28"/>
      <c r="BB218" s="28"/>
      <c r="BC218" s="28"/>
      <c r="BD218" s="28"/>
      <c r="BE218" s="28"/>
      <c r="BF218" s="28"/>
      <c r="BG218" s="28"/>
      <c r="BH218" s="28"/>
      <c r="BI218" s="28"/>
      <c r="BJ218" s="24"/>
      <c r="BK218" s="28"/>
      <c r="BL218" s="28"/>
      <c r="BM218" s="28"/>
      <c r="BN218" s="28"/>
      <c r="BO218" s="28"/>
      <c r="BP218" s="28"/>
      <c r="BQ218" s="24"/>
      <c r="BR218" s="28"/>
      <c r="BS218" s="28"/>
      <c r="BT218" s="28"/>
      <c r="BU218" s="24"/>
      <c r="BV218" s="28"/>
      <c r="BW218" s="28"/>
      <c r="BX218" s="28"/>
    </row>
    <row r="219" spans="1:76">
      <c r="A219" s="24"/>
      <c r="B219" s="28"/>
      <c r="C219" s="25"/>
      <c r="D219" s="26"/>
      <c r="E219" s="24"/>
      <c r="F219" s="24"/>
      <c r="G219" s="26"/>
      <c r="H219" s="26"/>
      <c r="I219" s="26"/>
      <c r="J219" s="26"/>
      <c r="K219" s="26"/>
      <c r="L219" s="26"/>
      <c r="M219" s="26"/>
      <c r="N219" s="26"/>
      <c r="O219" s="26"/>
      <c r="P219" s="26"/>
      <c r="Q219" s="26"/>
      <c r="S219" s="26"/>
      <c r="T219" s="25"/>
      <c r="U219" s="24"/>
      <c r="V219" s="24"/>
      <c r="W219" s="24"/>
      <c r="X219" s="26"/>
      <c r="Y219" s="26"/>
      <c r="Z219" s="24"/>
      <c r="AA219" s="26"/>
      <c r="AB219" s="25"/>
      <c r="AC219" s="24"/>
      <c r="AD219" s="24"/>
      <c r="AE219" s="24"/>
      <c r="AF219" s="26"/>
      <c r="AG219" s="26"/>
      <c r="AH219" s="24"/>
      <c r="AI219" s="26"/>
      <c r="AJ219" s="25"/>
      <c r="AK219" s="24"/>
      <c r="AL219" s="24"/>
      <c r="AM219" s="24"/>
      <c r="AN219" s="26"/>
      <c r="AO219" s="26"/>
      <c r="AP219" s="24"/>
      <c r="AQ219" s="24"/>
      <c r="AR219" s="24"/>
      <c r="AS219" s="28"/>
      <c r="AT219" s="28"/>
      <c r="AU219" s="28"/>
      <c r="AV219" s="28"/>
      <c r="AW219" s="28"/>
      <c r="AX219" s="28"/>
      <c r="AY219" s="28"/>
      <c r="AZ219" s="28"/>
      <c r="BA219" s="28"/>
      <c r="BB219" s="28"/>
      <c r="BC219" s="28"/>
      <c r="BD219" s="28"/>
      <c r="BE219" s="28"/>
      <c r="BF219" s="28"/>
      <c r="BG219" s="28"/>
      <c r="BH219" s="28"/>
      <c r="BI219" s="28"/>
      <c r="BJ219" s="24"/>
      <c r="BK219" s="28"/>
      <c r="BL219" s="28"/>
      <c r="BM219" s="28"/>
      <c r="BN219" s="28"/>
      <c r="BO219" s="28"/>
      <c r="BP219" s="28"/>
      <c r="BQ219" s="24"/>
      <c r="BR219" s="28"/>
      <c r="BS219" s="28"/>
      <c r="BT219" s="28"/>
      <c r="BU219" s="24"/>
      <c r="BV219" s="28"/>
      <c r="BW219" s="28"/>
      <c r="BX219" s="28"/>
    </row>
    <row r="220" spans="1:76">
      <c r="A220" s="24"/>
      <c r="B220" s="28"/>
      <c r="C220" s="25"/>
      <c r="D220" s="26"/>
      <c r="E220" s="24"/>
      <c r="F220" s="24"/>
      <c r="G220" s="26"/>
      <c r="H220" s="26"/>
      <c r="I220" s="26"/>
      <c r="J220" s="26"/>
      <c r="K220" s="26"/>
      <c r="L220" s="26"/>
      <c r="M220" s="26"/>
      <c r="N220" s="26"/>
      <c r="O220" s="26"/>
      <c r="P220" s="26"/>
      <c r="Q220" s="26"/>
      <c r="S220" s="26"/>
      <c r="T220" s="25"/>
      <c r="U220" s="24"/>
      <c r="V220" s="24"/>
      <c r="W220" s="24"/>
      <c r="X220" s="26"/>
      <c r="Y220" s="26"/>
      <c r="Z220" s="24"/>
      <c r="AA220" s="26"/>
      <c r="AB220" s="25"/>
      <c r="AC220" s="24"/>
      <c r="AD220" s="24"/>
      <c r="AE220" s="24"/>
      <c r="AF220" s="26"/>
      <c r="AG220" s="26"/>
      <c r="AH220" s="24"/>
      <c r="AI220" s="26"/>
      <c r="AJ220" s="25"/>
      <c r="AK220" s="24"/>
      <c r="AL220" s="24"/>
      <c r="AM220" s="24"/>
      <c r="AN220" s="26"/>
      <c r="AO220" s="26"/>
      <c r="AP220" s="24"/>
      <c r="AQ220" s="24"/>
      <c r="AR220" s="24"/>
      <c r="AS220" s="28"/>
      <c r="AT220" s="28"/>
      <c r="AU220" s="28"/>
      <c r="AV220" s="28"/>
      <c r="AW220" s="28"/>
      <c r="AX220" s="28"/>
      <c r="AY220" s="28"/>
      <c r="AZ220" s="28"/>
      <c r="BA220" s="28"/>
      <c r="BB220" s="28"/>
      <c r="BC220" s="28"/>
      <c r="BD220" s="28"/>
      <c r="BE220" s="28"/>
      <c r="BF220" s="28"/>
      <c r="BG220" s="28"/>
      <c r="BH220" s="28"/>
      <c r="BI220" s="28"/>
      <c r="BJ220" s="24"/>
      <c r="BK220" s="28"/>
      <c r="BL220" s="28"/>
      <c r="BM220" s="28"/>
      <c r="BN220" s="28"/>
      <c r="BO220" s="28"/>
      <c r="BP220" s="28"/>
      <c r="BQ220" s="24"/>
      <c r="BR220" s="28"/>
      <c r="BS220" s="28"/>
      <c r="BT220" s="28"/>
      <c r="BU220" s="24"/>
      <c r="BV220" s="28"/>
      <c r="BW220" s="28"/>
      <c r="BX220" s="28"/>
    </row>
    <row r="221" spans="1:76">
      <c r="A221" s="24"/>
      <c r="B221" s="28"/>
      <c r="C221" s="25"/>
      <c r="D221" s="26"/>
      <c r="E221" s="24"/>
      <c r="F221" s="24"/>
      <c r="G221" s="26"/>
      <c r="H221" s="26"/>
      <c r="I221" s="26"/>
      <c r="J221" s="26"/>
      <c r="K221" s="26"/>
      <c r="L221" s="26"/>
      <c r="M221" s="26"/>
      <c r="N221" s="26"/>
      <c r="O221" s="26"/>
      <c r="P221" s="26"/>
      <c r="Q221" s="26"/>
      <c r="S221" s="26"/>
      <c r="T221" s="25"/>
      <c r="U221" s="24"/>
      <c r="V221" s="24"/>
      <c r="W221" s="24"/>
      <c r="X221" s="26"/>
      <c r="Y221" s="26"/>
      <c r="Z221" s="24"/>
      <c r="AA221" s="26"/>
      <c r="AB221" s="25"/>
      <c r="AC221" s="24"/>
      <c r="AD221" s="24"/>
      <c r="AE221" s="24"/>
      <c r="AF221" s="26"/>
      <c r="AG221" s="26"/>
      <c r="AH221" s="24"/>
      <c r="AI221" s="26"/>
      <c r="AJ221" s="25"/>
      <c r="AK221" s="24"/>
      <c r="AL221" s="24"/>
      <c r="AM221" s="24"/>
      <c r="AN221" s="26"/>
      <c r="AO221" s="26"/>
      <c r="AP221" s="24"/>
      <c r="AQ221" s="24"/>
      <c r="AR221" s="24"/>
      <c r="AS221" s="28"/>
      <c r="AT221" s="28"/>
      <c r="AU221" s="28"/>
      <c r="AV221" s="28"/>
      <c r="AW221" s="28"/>
      <c r="AX221" s="28"/>
      <c r="AY221" s="28"/>
      <c r="AZ221" s="28"/>
      <c r="BA221" s="28"/>
      <c r="BB221" s="28"/>
      <c r="BC221" s="28"/>
      <c r="BD221" s="28"/>
      <c r="BE221" s="28"/>
      <c r="BF221" s="28"/>
      <c r="BG221" s="28"/>
      <c r="BH221" s="28"/>
      <c r="BI221" s="28"/>
      <c r="BJ221" s="24"/>
      <c r="BK221" s="28"/>
      <c r="BL221" s="28"/>
      <c r="BM221" s="28"/>
      <c r="BN221" s="28"/>
      <c r="BO221" s="28"/>
      <c r="BP221" s="28"/>
      <c r="BQ221" s="24"/>
      <c r="BR221" s="28"/>
      <c r="BS221" s="28"/>
      <c r="BT221" s="28"/>
      <c r="BU221" s="24"/>
      <c r="BV221" s="28"/>
      <c r="BW221" s="28"/>
      <c r="BX221" s="28"/>
    </row>
    <row r="222" spans="1:76">
      <c r="A222" s="24"/>
      <c r="B222" s="28"/>
      <c r="C222" s="25"/>
      <c r="D222" s="26"/>
      <c r="E222" s="24"/>
      <c r="F222" s="24"/>
      <c r="G222" s="26"/>
      <c r="H222" s="26"/>
      <c r="I222" s="26"/>
      <c r="J222" s="26"/>
      <c r="K222" s="26"/>
      <c r="L222" s="26"/>
      <c r="M222" s="26"/>
      <c r="N222" s="26"/>
      <c r="O222" s="26"/>
      <c r="P222" s="26"/>
      <c r="Q222" s="26"/>
      <c r="S222" s="26"/>
      <c r="T222" s="25"/>
      <c r="U222" s="24"/>
      <c r="V222" s="24"/>
      <c r="W222" s="24"/>
      <c r="X222" s="26"/>
      <c r="Y222" s="26"/>
      <c r="Z222" s="24"/>
      <c r="AA222" s="26"/>
      <c r="AB222" s="25"/>
      <c r="AC222" s="24"/>
      <c r="AD222" s="24"/>
      <c r="AE222" s="24"/>
      <c r="AF222" s="26"/>
      <c r="AG222" s="26"/>
      <c r="AH222" s="24"/>
      <c r="AI222" s="26"/>
      <c r="AJ222" s="25"/>
      <c r="AK222" s="24"/>
      <c r="AL222" s="24"/>
      <c r="AM222" s="24"/>
      <c r="AN222" s="26"/>
      <c r="AO222" s="26"/>
      <c r="AP222" s="24"/>
      <c r="AQ222" s="24"/>
      <c r="AR222" s="24"/>
      <c r="AS222" s="28"/>
      <c r="AT222" s="28"/>
      <c r="AU222" s="28"/>
      <c r="AV222" s="28"/>
      <c r="AW222" s="28"/>
      <c r="AX222" s="28"/>
      <c r="AY222" s="28"/>
      <c r="AZ222" s="28"/>
      <c r="BA222" s="28"/>
      <c r="BB222" s="28"/>
      <c r="BC222" s="28"/>
      <c r="BD222" s="28"/>
      <c r="BE222" s="28"/>
      <c r="BF222" s="28"/>
      <c r="BG222" s="28"/>
      <c r="BH222" s="28"/>
      <c r="BI222" s="28"/>
      <c r="BJ222" s="24"/>
      <c r="BK222" s="28"/>
      <c r="BL222" s="28"/>
      <c r="BM222" s="28"/>
      <c r="BN222" s="28"/>
      <c r="BO222" s="28"/>
      <c r="BP222" s="28"/>
      <c r="BQ222" s="24"/>
      <c r="BR222" s="28"/>
      <c r="BS222" s="28"/>
      <c r="BT222" s="28"/>
      <c r="BU222" s="24"/>
      <c r="BV222" s="28"/>
      <c r="BW222" s="28"/>
      <c r="BX222" s="28"/>
    </row>
    <row r="223" spans="1:76">
      <c r="A223" s="24"/>
      <c r="B223" s="28"/>
      <c r="C223" s="25"/>
      <c r="D223" s="26"/>
      <c r="E223" s="24"/>
      <c r="F223" s="24"/>
      <c r="G223" s="26"/>
      <c r="H223" s="26"/>
      <c r="I223" s="26"/>
      <c r="J223" s="26"/>
      <c r="K223" s="26"/>
      <c r="L223" s="26"/>
      <c r="M223" s="26"/>
      <c r="N223" s="26"/>
      <c r="O223" s="26"/>
      <c r="P223" s="26"/>
      <c r="Q223" s="26"/>
      <c r="S223" s="26"/>
      <c r="T223" s="25"/>
      <c r="U223" s="24"/>
      <c r="V223" s="24"/>
      <c r="W223" s="24"/>
      <c r="X223" s="26"/>
      <c r="Y223" s="26"/>
      <c r="Z223" s="24"/>
      <c r="AA223" s="26"/>
      <c r="AB223" s="25"/>
      <c r="AC223" s="24"/>
      <c r="AD223" s="24"/>
      <c r="AE223" s="24"/>
      <c r="AF223" s="26"/>
      <c r="AG223" s="26"/>
      <c r="AH223" s="24"/>
      <c r="AI223" s="26"/>
      <c r="AJ223" s="25"/>
      <c r="AK223" s="24"/>
      <c r="AL223" s="24"/>
      <c r="AM223" s="24"/>
      <c r="AN223" s="26"/>
      <c r="AO223" s="26"/>
      <c r="AP223" s="24"/>
      <c r="AQ223" s="24"/>
      <c r="AR223" s="24"/>
      <c r="AS223" s="28"/>
      <c r="AT223" s="28"/>
      <c r="AU223" s="28"/>
      <c r="AV223" s="28"/>
      <c r="AW223" s="28"/>
      <c r="AX223" s="28"/>
      <c r="AY223" s="28"/>
      <c r="AZ223" s="28"/>
      <c r="BA223" s="28"/>
      <c r="BB223" s="28"/>
      <c r="BC223" s="28"/>
      <c r="BD223" s="28"/>
      <c r="BE223" s="28"/>
      <c r="BF223" s="28"/>
      <c r="BG223" s="28"/>
      <c r="BH223" s="28"/>
      <c r="BI223" s="28"/>
      <c r="BJ223" s="24"/>
      <c r="BK223" s="28"/>
      <c r="BL223" s="28"/>
      <c r="BM223" s="28"/>
      <c r="BN223" s="28"/>
      <c r="BO223" s="28"/>
      <c r="BP223" s="28"/>
      <c r="BQ223" s="24"/>
      <c r="BR223" s="28"/>
      <c r="BS223" s="28"/>
      <c r="BT223" s="28"/>
      <c r="BU223" s="24"/>
      <c r="BV223" s="28"/>
      <c r="BW223" s="28"/>
      <c r="BX223" s="28"/>
    </row>
    <row r="224" spans="1:76">
      <c r="A224" s="24"/>
      <c r="B224" s="28"/>
      <c r="C224" s="25"/>
      <c r="D224" s="26"/>
      <c r="E224" s="24"/>
      <c r="F224" s="24"/>
      <c r="G224" s="26"/>
      <c r="H224" s="26"/>
      <c r="I224" s="26"/>
      <c r="J224" s="26"/>
      <c r="K224" s="26"/>
      <c r="L224" s="26"/>
      <c r="M224" s="26"/>
      <c r="N224" s="26"/>
      <c r="O224" s="26"/>
      <c r="P224" s="26"/>
      <c r="Q224" s="26"/>
      <c r="S224" s="26"/>
      <c r="T224" s="25"/>
      <c r="U224" s="24"/>
      <c r="V224" s="24"/>
      <c r="W224" s="24"/>
      <c r="X224" s="26"/>
      <c r="Y224" s="26"/>
      <c r="Z224" s="24"/>
      <c r="AA224" s="26"/>
      <c r="AB224" s="25"/>
      <c r="AC224" s="24"/>
      <c r="AD224" s="24"/>
      <c r="AE224" s="24"/>
      <c r="AF224" s="26"/>
      <c r="AG224" s="26"/>
      <c r="AH224" s="24"/>
      <c r="AI224" s="26"/>
      <c r="AJ224" s="25"/>
      <c r="AK224" s="24"/>
      <c r="AL224" s="24"/>
      <c r="AM224" s="24"/>
      <c r="AN224" s="26"/>
      <c r="AO224" s="26"/>
      <c r="AP224" s="24"/>
      <c r="AQ224" s="24"/>
      <c r="AR224" s="24"/>
      <c r="AS224" s="28"/>
      <c r="AT224" s="28"/>
      <c r="AU224" s="28"/>
      <c r="AV224" s="28"/>
      <c r="AW224" s="28"/>
      <c r="AX224" s="28"/>
      <c r="AY224" s="28"/>
      <c r="AZ224" s="28"/>
      <c r="BA224" s="28"/>
      <c r="BB224" s="28"/>
      <c r="BC224" s="28"/>
      <c r="BD224" s="28"/>
      <c r="BE224" s="28"/>
      <c r="BF224" s="28"/>
      <c r="BG224" s="28"/>
      <c r="BH224" s="28"/>
      <c r="BI224" s="28"/>
      <c r="BJ224" s="24"/>
      <c r="BK224" s="28"/>
      <c r="BL224" s="28"/>
      <c r="BM224" s="28"/>
      <c r="BN224" s="28"/>
      <c r="BO224" s="28"/>
      <c r="BP224" s="28"/>
      <c r="BQ224" s="24"/>
      <c r="BR224" s="28"/>
      <c r="BS224" s="28"/>
      <c r="BT224" s="28"/>
      <c r="BU224" s="24"/>
      <c r="BV224" s="28"/>
      <c r="BW224" s="28"/>
      <c r="BX224" s="28"/>
    </row>
    <row r="225" spans="1:76">
      <c r="A225" s="24"/>
      <c r="B225" s="28"/>
      <c r="C225" s="25"/>
      <c r="D225" s="26"/>
      <c r="E225" s="24"/>
      <c r="F225" s="24"/>
      <c r="G225" s="26"/>
      <c r="H225" s="26"/>
      <c r="I225" s="26"/>
      <c r="J225" s="26"/>
      <c r="K225" s="26"/>
      <c r="L225" s="26"/>
      <c r="M225" s="26"/>
      <c r="N225" s="26"/>
      <c r="O225" s="26"/>
      <c r="P225" s="26"/>
      <c r="Q225" s="26"/>
      <c r="S225" s="26"/>
      <c r="T225" s="25"/>
      <c r="U225" s="24"/>
      <c r="V225" s="24"/>
      <c r="W225" s="24"/>
      <c r="X225" s="26"/>
      <c r="Y225" s="26"/>
      <c r="Z225" s="24"/>
      <c r="AA225" s="26"/>
      <c r="AB225" s="25"/>
      <c r="AC225" s="24"/>
      <c r="AD225" s="24"/>
      <c r="AE225" s="24"/>
      <c r="AF225" s="26"/>
      <c r="AG225" s="26"/>
      <c r="AH225" s="24"/>
      <c r="AI225" s="26"/>
      <c r="AJ225" s="25"/>
      <c r="AK225" s="24"/>
      <c r="AL225" s="24"/>
      <c r="AM225" s="24"/>
      <c r="AN225" s="26"/>
      <c r="AO225" s="26"/>
      <c r="AP225" s="24"/>
      <c r="AQ225" s="24"/>
      <c r="AR225" s="24"/>
      <c r="AS225" s="28"/>
      <c r="AT225" s="28"/>
      <c r="AU225" s="28"/>
      <c r="AV225" s="28"/>
      <c r="AW225" s="28"/>
      <c r="AX225" s="28"/>
      <c r="AY225" s="28"/>
      <c r="AZ225" s="28"/>
      <c r="BA225" s="28"/>
      <c r="BB225" s="28"/>
      <c r="BC225" s="28"/>
      <c r="BD225" s="28"/>
      <c r="BE225" s="28"/>
      <c r="BF225" s="28"/>
      <c r="BG225" s="28"/>
      <c r="BH225" s="28"/>
      <c r="BI225" s="28"/>
      <c r="BJ225" s="24"/>
      <c r="BK225" s="28"/>
      <c r="BL225" s="28"/>
      <c r="BM225" s="28"/>
      <c r="BN225" s="28"/>
      <c r="BO225" s="28"/>
      <c r="BP225" s="28"/>
      <c r="BQ225" s="24"/>
      <c r="BR225" s="28"/>
      <c r="BS225" s="28"/>
      <c r="BT225" s="28"/>
      <c r="BU225" s="24"/>
      <c r="BV225" s="28"/>
      <c r="BW225" s="28"/>
      <c r="BX225" s="28"/>
    </row>
    <row r="226" spans="1:76">
      <c r="A226" s="24"/>
      <c r="B226" s="28"/>
      <c r="C226" s="25"/>
      <c r="D226" s="26"/>
      <c r="E226" s="24"/>
      <c r="F226" s="24"/>
      <c r="G226" s="26"/>
      <c r="H226" s="26"/>
      <c r="I226" s="26"/>
      <c r="J226" s="26"/>
      <c r="K226" s="26"/>
      <c r="L226" s="26"/>
      <c r="M226" s="26"/>
      <c r="N226" s="26"/>
      <c r="O226" s="26"/>
      <c r="P226" s="26"/>
      <c r="Q226" s="26"/>
      <c r="S226" s="26"/>
      <c r="T226" s="25"/>
      <c r="U226" s="24"/>
      <c r="V226" s="24"/>
      <c r="W226" s="24"/>
      <c r="X226" s="26"/>
      <c r="Y226" s="26"/>
      <c r="Z226" s="24"/>
      <c r="AA226" s="26"/>
      <c r="AB226" s="25"/>
      <c r="AC226" s="24"/>
      <c r="AD226" s="24"/>
      <c r="AE226" s="24"/>
      <c r="AF226" s="26"/>
      <c r="AG226" s="26"/>
      <c r="AH226" s="24"/>
      <c r="AI226" s="26"/>
      <c r="AJ226" s="25"/>
      <c r="AK226" s="24"/>
      <c r="AL226" s="24"/>
      <c r="AM226" s="24"/>
      <c r="AN226" s="26"/>
      <c r="AO226" s="26"/>
      <c r="AP226" s="24"/>
      <c r="AQ226" s="24"/>
      <c r="AR226" s="24"/>
      <c r="AS226" s="28"/>
      <c r="AT226" s="28"/>
      <c r="AU226" s="28"/>
      <c r="AV226" s="28"/>
      <c r="AW226" s="28"/>
      <c r="AX226" s="28"/>
      <c r="AY226" s="28"/>
      <c r="AZ226" s="28"/>
      <c r="BA226" s="28"/>
      <c r="BB226" s="28"/>
      <c r="BC226" s="28"/>
      <c r="BD226" s="28"/>
      <c r="BE226" s="28"/>
      <c r="BF226" s="28"/>
      <c r="BG226" s="28"/>
      <c r="BH226" s="28"/>
      <c r="BI226" s="28"/>
      <c r="BJ226" s="24"/>
      <c r="BK226" s="28"/>
      <c r="BL226" s="28"/>
      <c r="BM226" s="28"/>
      <c r="BN226" s="28"/>
      <c r="BO226" s="28"/>
      <c r="BP226" s="28"/>
      <c r="BQ226" s="24"/>
      <c r="BR226" s="28"/>
      <c r="BS226" s="28"/>
      <c r="BT226" s="28"/>
      <c r="BU226" s="24"/>
      <c r="BV226" s="28"/>
      <c r="BW226" s="28"/>
      <c r="BX226" s="28"/>
    </row>
    <row r="227" spans="1:76">
      <c r="A227" s="24"/>
      <c r="B227" s="28"/>
      <c r="C227" s="25"/>
      <c r="D227" s="26"/>
      <c r="E227" s="24"/>
      <c r="F227" s="24"/>
      <c r="G227" s="26"/>
      <c r="H227" s="26"/>
      <c r="I227" s="26"/>
      <c r="J227" s="26"/>
      <c r="K227" s="26"/>
      <c r="L227" s="26"/>
      <c r="M227" s="26"/>
      <c r="N227" s="26"/>
      <c r="O227" s="26"/>
      <c r="P227" s="26"/>
      <c r="Q227" s="26"/>
      <c r="S227" s="26"/>
      <c r="T227" s="25"/>
      <c r="U227" s="24"/>
      <c r="V227" s="24"/>
      <c r="W227" s="24"/>
      <c r="X227" s="26"/>
      <c r="Y227" s="26"/>
      <c r="Z227" s="24"/>
      <c r="AA227" s="26"/>
      <c r="AB227" s="25"/>
      <c r="AC227" s="24"/>
      <c r="AD227" s="24"/>
      <c r="AE227" s="24"/>
      <c r="AF227" s="26"/>
      <c r="AG227" s="26"/>
      <c r="AH227" s="24"/>
      <c r="AI227" s="26"/>
      <c r="AJ227" s="25"/>
      <c r="AK227" s="24"/>
      <c r="AL227" s="24"/>
      <c r="AM227" s="24"/>
      <c r="AN227" s="26"/>
      <c r="AO227" s="26"/>
      <c r="AP227" s="24"/>
      <c r="AQ227" s="24"/>
      <c r="AR227" s="24"/>
      <c r="AS227" s="28"/>
      <c r="AT227" s="28"/>
      <c r="AU227" s="28"/>
      <c r="AV227" s="28"/>
      <c r="AW227" s="28"/>
      <c r="AX227" s="28"/>
      <c r="AY227" s="28"/>
      <c r="AZ227" s="28"/>
      <c r="BA227" s="28"/>
      <c r="BB227" s="28"/>
      <c r="BC227" s="28"/>
      <c r="BD227" s="28"/>
      <c r="BE227" s="28"/>
      <c r="BF227" s="28"/>
      <c r="BG227" s="28"/>
      <c r="BH227" s="28"/>
      <c r="BI227" s="28"/>
      <c r="BJ227" s="24"/>
      <c r="BK227" s="28"/>
      <c r="BL227" s="28"/>
      <c r="BM227" s="28"/>
      <c r="BN227" s="28"/>
      <c r="BO227" s="28"/>
      <c r="BP227" s="28"/>
      <c r="BQ227" s="24"/>
      <c r="BR227" s="28"/>
      <c r="BS227" s="28"/>
      <c r="BT227" s="28"/>
      <c r="BU227" s="24"/>
      <c r="BV227" s="28"/>
      <c r="BW227" s="28"/>
      <c r="BX227" s="28"/>
    </row>
    <row r="228" spans="1:76">
      <c r="A228" s="24"/>
      <c r="B228" s="28"/>
      <c r="C228" s="25"/>
      <c r="D228" s="26"/>
      <c r="E228" s="24"/>
      <c r="F228" s="24"/>
      <c r="G228" s="26"/>
      <c r="H228" s="26"/>
      <c r="I228" s="26"/>
      <c r="J228" s="26"/>
      <c r="K228" s="26"/>
      <c r="L228" s="26"/>
      <c r="M228" s="26"/>
      <c r="N228" s="26"/>
      <c r="O228" s="26"/>
      <c r="P228" s="26"/>
      <c r="Q228" s="26"/>
      <c r="S228" s="26"/>
      <c r="T228" s="25"/>
      <c r="U228" s="24"/>
      <c r="V228" s="24"/>
      <c r="W228" s="24"/>
      <c r="X228" s="26"/>
      <c r="Y228" s="26"/>
      <c r="Z228" s="24"/>
      <c r="AA228" s="26"/>
      <c r="AB228" s="25"/>
      <c r="AC228" s="24"/>
      <c r="AD228" s="24"/>
      <c r="AE228" s="24"/>
      <c r="AF228" s="26"/>
      <c r="AG228" s="26"/>
      <c r="AH228" s="24"/>
      <c r="AI228" s="26"/>
      <c r="AJ228" s="25"/>
      <c r="AK228" s="24"/>
      <c r="AL228" s="24"/>
      <c r="AM228" s="24"/>
      <c r="AN228" s="26"/>
      <c r="AO228" s="26"/>
      <c r="AP228" s="24"/>
      <c r="AQ228" s="24"/>
      <c r="AR228" s="24"/>
      <c r="AS228" s="28"/>
      <c r="AT228" s="28"/>
      <c r="AU228" s="28"/>
      <c r="AV228" s="28"/>
      <c r="AW228" s="28"/>
      <c r="AX228" s="28"/>
      <c r="AY228" s="28"/>
      <c r="AZ228" s="28"/>
      <c r="BA228" s="28"/>
      <c r="BB228" s="28"/>
      <c r="BC228" s="28"/>
      <c r="BD228" s="28"/>
      <c r="BE228" s="28"/>
      <c r="BF228" s="28"/>
      <c r="BG228" s="28"/>
      <c r="BH228" s="28"/>
      <c r="BI228" s="28"/>
      <c r="BJ228" s="24"/>
      <c r="BK228" s="28"/>
      <c r="BL228" s="28"/>
      <c r="BM228" s="28"/>
      <c r="BN228" s="28"/>
      <c r="BO228" s="28"/>
      <c r="BP228" s="28"/>
      <c r="BQ228" s="24"/>
      <c r="BR228" s="28"/>
      <c r="BS228" s="28"/>
      <c r="BT228" s="28"/>
      <c r="BU228" s="24"/>
      <c r="BV228" s="28"/>
      <c r="BW228" s="28"/>
      <c r="BX228" s="28"/>
    </row>
    <row r="229" spans="1:76">
      <c r="A229" s="24"/>
      <c r="B229" s="28"/>
      <c r="C229" s="25"/>
      <c r="D229" s="26"/>
      <c r="E229" s="24"/>
      <c r="F229" s="24"/>
      <c r="G229" s="26"/>
      <c r="H229" s="26"/>
      <c r="I229" s="26"/>
      <c r="J229" s="26"/>
      <c r="K229" s="26"/>
      <c r="L229" s="26"/>
      <c r="M229" s="26"/>
      <c r="N229" s="26"/>
      <c r="O229" s="26"/>
      <c r="P229" s="26"/>
      <c r="Q229" s="26"/>
      <c r="S229" s="26"/>
      <c r="T229" s="25"/>
      <c r="U229" s="24"/>
      <c r="V229" s="24"/>
      <c r="W229" s="24"/>
      <c r="X229" s="26"/>
      <c r="Y229" s="26"/>
      <c r="Z229" s="24"/>
      <c r="AA229" s="26"/>
      <c r="AB229" s="25"/>
      <c r="AC229" s="24"/>
      <c r="AD229" s="24"/>
      <c r="AE229" s="24"/>
      <c r="AF229" s="26"/>
      <c r="AG229" s="26"/>
      <c r="AH229" s="24"/>
      <c r="AI229" s="26"/>
      <c r="AJ229" s="25"/>
      <c r="AK229" s="24"/>
      <c r="AL229" s="24"/>
      <c r="AM229" s="24"/>
      <c r="AN229" s="26"/>
      <c r="AO229" s="26"/>
      <c r="AP229" s="24"/>
      <c r="AQ229" s="24"/>
      <c r="AR229" s="24"/>
      <c r="AS229" s="28"/>
      <c r="AT229" s="28"/>
      <c r="AU229" s="28"/>
      <c r="AV229" s="28"/>
      <c r="AW229" s="28"/>
      <c r="AX229" s="28"/>
      <c r="AY229" s="28"/>
      <c r="AZ229" s="28"/>
      <c r="BA229" s="28"/>
      <c r="BB229" s="28"/>
      <c r="BC229" s="28"/>
      <c r="BD229" s="28"/>
      <c r="BE229" s="28"/>
      <c r="BF229" s="28"/>
      <c r="BG229" s="28"/>
      <c r="BH229" s="28"/>
      <c r="BI229" s="28"/>
      <c r="BJ229" s="24"/>
      <c r="BK229" s="28"/>
      <c r="BL229" s="28"/>
      <c r="BM229" s="28"/>
      <c r="BN229" s="28"/>
      <c r="BO229" s="28"/>
      <c r="BP229" s="28"/>
      <c r="BQ229" s="24"/>
      <c r="BR229" s="28"/>
      <c r="BS229" s="28"/>
      <c r="BT229" s="28"/>
      <c r="BU229" s="24"/>
      <c r="BV229" s="28"/>
      <c r="BW229" s="28"/>
      <c r="BX229" s="28"/>
    </row>
    <row r="230" spans="1:76">
      <c r="A230" s="24"/>
      <c r="B230" s="28"/>
      <c r="C230" s="25"/>
      <c r="D230" s="26"/>
      <c r="E230" s="24"/>
      <c r="F230" s="24"/>
      <c r="G230" s="26"/>
      <c r="H230" s="26"/>
      <c r="I230" s="26"/>
      <c r="J230" s="26"/>
      <c r="K230" s="26"/>
      <c r="L230" s="26"/>
      <c r="M230" s="26"/>
      <c r="N230" s="26"/>
      <c r="O230" s="26"/>
      <c r="P230" s="26"/>
      <c r="Q230" s="26"/>
      <c r="S230" s="26"/>
      <c r="T230" s="25"/>
      <c r="U230" s="24"/>
      <c r="V230" s="24"/>
      <c r="W230" s="24"/>
      <c r="X230" s="26"/>
      <c r="Y230" s="26"/>
      <c r="Z230" s="24"/>
      <c r="AA230" s="26"/>
      <c r="AB230" s="25"/>
      <c r="AC230" s="24"/>
      <c r="AD230" s="24"/>
      <c r="AE230" s="24"/>
      <c r="AF230" s="26"/>
      <c r="AG230" s="26"/>
      <c r="AH230" s="24"/>
      <c r="AI230" s="26"/>
      <c r="AJ230" s="25"/>
      <c r="AK230" s="24"/>
      <c r="AL230" s="24"/>
      <c r="AM230" s="24"/>
      <c r="AN230" s="26"/>
      <c r="AO230" s="26"/>
      <c r="AP230" s="24"/>
      <c r="AQ230" s="24"/>
      <c r="AR230" s="24"/>
      <c r="AS230" s="28"/>
      <c r="AT230" s="28"/>
      <c r="AU230" s="28"/>
      <c r="AV230" s="28"/>
      <c r="AW230" s="28"/>
      <c r="AX230" s="28"/>
      <c r="AY230" s="28"/>
      <c r="AZ230" s="28"/>
      <c r="BA230" s="28"/>
      <c r="BB230" s="28"/>
      <c r="BC230" s="28"/>
      <c r="BD230" s="28"/>
      <c r="BE230" s="28"/>
      <c r="BF230" s="28"/>
      <c r="BG230" s="28"/>
      <c r="BH230" s="28"/>
      <c r="BI230" s="28"/>
      <c r="BJ230" s="24"/>
      <c r="BK230" s="28"/>
      <c r="BL230" s="28"/>
      <c r="BM230" s="28"/>
      <c r="BN230" s="28"/>
      <c r="BO230" s="28"/>
      <c r="BP230" s="28"/>
      <c r="BQ230" s="24"/>
      <c r="BR230" s="28"/>
      <c r="BS230" s="28"/>
      <c r="BT230" s="28"/>
      <c r="BU230" s="24"/>
      <c r="BV230" s="28"/>
      <c r="BW230" s="28"/>
      <c r="BX230" s="28"/>
    </row>
    <row r="231" spans="1:76">
      <c r="A231" s="24"/>
      <c r="B231" s="28"/>
      <c r="C231" s="25"/>
      <c r="D231" s="26"/>
      <c r="E231" s="24"/>
      <c r="F231" s="24"/>
      <c r="G231" s="26"/>
      <c r="H231" s="26"/>
      <c r="I231" s="26"/>
      <c r="J231" s="26"/>
      <c r="K231" s="26"/>
      <c r="L231" s="26"/>
      <c r="M231" s="26"/>
      <c r="N231" s="26"/>
      <c r="O231" s="26"/>
      <c r="P231" s="26"/>
      <c r="Q231" s="26"/>
      <c r="S231" s="26"/>
      <c r="T231" s="25"/>
      <c r="U231" s="24"/>
      <c r="V231" s="24"/>
      <c r="W231" s="24"/>
      <c r="X231" s="26"/>
      <c r="Y231" s="26"/>
      <c r="Z231" s="24"/>
      <c r="AA231" s="26"/>
      <c r="AB231" s="25"/>
      <c r="AC231" s="24"/>
      <c r="AD231" s="24"/>
      <c r="AE231" s="24"/>
      <c r="AF231" s="26"/>
      <c r="AG231" s="26"/>
      <c r="AH231" s="24"/>
      <c r="AI231" s="26"/>
      <c r="AJ231" s="25"/>
      <c r="AK231" s="24"/>
      <c r="AL231" s="24"/>
      <c r="AM231" s="24"/>
      <c r="AN231" s="26"/>
      <c r="AO231" s="26"/>
      <c r="AP231" s="24"/>
      <c r="AQ231" s="24"/>
      <c r="AR231" s="24"/>
      <c r="AS231" s="28"/>
      <c r="AT231" s="28"/>
      <c r="AU231" s="28"/>
      <c r="AV231" s="28"/>
      <c r="AW231" s="28"/>
      <c r="AX231" s="28"/>
      <c r="AY231" s="28"/>
      <c r="AZ231" s="28"/>
      <c r="BA231" s="28"/>
      <c r="BB231" s="28"/>
      <c r="BC231" s="28"/>
      <c r="BD231" s="28"/>
      <c r="BE231" s="28"/>
      <c r="BF231" s="28"/>
      <c r="BG231" s="28"/>
      <c r="BH231" s="28"/>
      <c r="BI231" s="28"/>
      <c r="BJ231" s="24"/>
      <c r="BK231" s="28"/>
      <c r="BL231" s="28"/>
      <c r="BM231" s="28"/>
      <c r="BN231" s="28"/>
      <c r="BO231" s="28"/>
      <c r="BP231" s="28"/>
      <c r="BQ231" s="24"/>
      <c r="BR231" s="28"/>
      <c r="BS231" s="28"/>
      <c r="BT231" s="28"/>
      <c r="BU231" s="24"/>
      <c r="BV231" s="28"/>
      <c r="BW231" s="28"/>
      <c r="BX231" s="28"/>
    </row>
    <row r="232" spans="1:76">
      <c r="A232" s="24"/>
      <c r="B232" s="28"/>
      <c r="C232" s="25"/>
      <c r="D232" s="26"/>
      <c r="E232" s="24"/>
      <c r="F232" s="24"/>
      <c r="G232" s="26"/>
      <c r="H232" s="26"/>
      <c r="I232" s="26"/>
      <c r="J232" s="26"/>
      <c r="K232" s="26"/>
      <c r="L232" s="26"/>
      <c r="M232" s="26"/>
      <c r="N232" s="26"/>
      <c r="O232" s="26"/>
      <c r="P232" s="26"/>
      <c r="Q232" s="26"/>
      <c r="S232" s="26"/>
      <c r="T232" s="25"/>
      <c r="U232" s="24"/>
      <c r="V232" s="24"/>
      <c r="W232" s="24"/>
      <c r="X232" s="26"/>
      <c r="Y232" s="26"/>
      <c r="Z232" s="24"/>
      <c r="AA232" s="26"/>
      <c r="AB232" s="25"/>
      <c r="AC232" s="24"/>
      <c r="AD232" s="24"/>
      <c r="AE232" s="24"/>
      <c r="AF232" s="26"/>
      <c r="AG232" s="26"/>
      <c r="AH232" s="24"/>
      <c r="AI232" s="26"/>
      <c r="AJ232" s="25"/>
      <c r="AK232" s="24"/>
      <c r="AL232" s="24"/>
      <c r="AM232" s="24"/>
      <c r="AN232" s="26"/>
      <c r="AO232" s="26"/>
      <c r="AP232" s="24"/>
      <c r="AQ232" s="24"/>
      <c r="AR232" s="24"/>
      <c r="AS232" s="28"/>
      <c r="AT232" s="28"/>
      <c r="AU232" s="28"/>
      <c r="AV232" s="28"/>
      <c r="AW232" s="28"/>
      <c r="AX232" s="28"/>
      <c r="AY232" s="28"/>
      <c r="AZ232" s="28"/>
      <c r="BA232" s="28"/>
      <c r="BB232" s="28"/>
      <c r="BC232" s="28"/>
      <c r="BD232" s="28"/>
      <c r="BE232" s="28"/>
      <c r="BF232" s="28"/>
      <c r="BG232" s="28"/>
      <c r="BH232" s="28"/>
      <c r="BI232" s="28"/>
      <c r="BJ232" s="24"/>
      <c r="BK232" s="28"/>
      <c r="BL232" s="28"/>
      <c r="BM232" s="28"/>
      <c r="BN232" s="28"/>
      <c r="BO232" s="28"/>
      <c r="BP232" s="28"/>
      <c r="BQ232" s="24"/>
      <c r="BR232" s="28"/>
      <c r="BS232" s="28"/>
      <c r="BT232" s="28"/>
      <c r="BU232" s="24"/>
      <c r="BV232" s="28"/>
      <c r="BW232" s="28"/>
      <c r="BX232" s="28"/>
    </row>
    <row r="233" spans="1:76">
      <c r="A233" s="24"/>
      <c r="B233" s="28"/>
      <c r="C233" s="25"/>
      <c r="D233" s="26"/>
      <c r="E233" s="24"/>
      <c r="F233" s="24"/>
      <c r="G233" s="26"/>
      <c r="H233" s="26"/>
      <c r="I233" s="26"/>
      <c r="J233" s="26"/>
      <c r="K233" s="26"/>
      <c r="L233" s="26"/>
      <c r="M233" s="26"/>
      <c r="N233" s="26"/>
      <c r="O233" s="26"/>
      <c r="P233" s="26"/>
      <c r="Q233" s="26"/>
      <c r="S233" s="26"/>
      <c r="T233" s="25"/>
      <c r="U233" s="24"/>
      <c r="V233" s="24"/>
      <c r="W233" s="24"/>
      <c r="X233" s="26"/>
      <c r="Y233" s="26"/>
      <c r="Z233" s="24"/>
      <c r="AA233" s="26"/>
      <c r="AB233" s="25"/>
      <c r="AC233" s="24"/>
      <c r="AD233" s="24"/>
      <c r="AE233" s="24"/>
      <c r="AF233" s="26"/>
      <c r="AG233" s="26"/>
      <c r="AH233" s="24"/>
      <c r="AI233" s="26"/>
      <c r="AJ233" s="25"/>
      <c r="AK233" s="24"/>
      <c r="AL233" s="24"/>
      <c r="AM233" s="24"/>
      <c r="AN233" s="26"/>
      <c r="AO233" s="26"/>
      <c r="AP233" s="24"/>
      <c r="AQ233" s="24"/>
      <c r="AR233" s="24"/>
      <c r="AS233" s="28"/>
      <c r="AT233" s="28"/>
      <c r="AU233" s="28"/>
      <c r="AV233" s="28"/>
      <c r="AW233" s="28"/>
      <c r="AX233" s="28"/>
      <c r="AY233" s="28"/>
      <c r="AZ233" s="28"/>
      <c r="BA233" s="28"/>
      <c r="BB233" s="28"/>
      <c r="BC233" s="28"/>
      <c r="BD233" s="28"/>
      <c r="BE233" s="28"/>
      <c r="BF233" s="28"/>
      <c r="BG233" s="28"/>
      <c r="BH233" s="28"/>
      <c r="BI233" s="28"/>
      <c r="BJ233" s="24"/>
      <c r="BK233" s="28"/>
      <c r="BL233" s="28"/>
      <c r="BM233" s="28"/>
      <c r="BN233" s="28"/>
      <c r="BO233" s="28"/>
      <c r="BP233" s="28"/>
      <c r="BQ233" s="24"/>
      <c r="BR233" s="28"/>
      <c r="BS233" s="28"/>
      <c r="BT233" s="28"/>
      <c r="BU233" s="24"/>
      <c r="BV233" s="28"/>
      <c r="BW233" s="28"/>
      <c r="BX233" s="28"/>
    </row>
    <row r="234" spans="1:76">
      <c r="A234" s="24"/>
      <c r="B234" s="28"/>
      <c r="C234" s="25"/>
      <c r="D234" s="26"/>
      <c r="E234" s="24"/>
      <c r="F234" s="24"/>
      <c r="G234" s="26"/>
      <c r="H234" s="26"/>
      <c r="I234" s="26"/>
      <c r="J234" s="26"/>
      <c r="K234" s="26"/>
      <c r="L234" s="26"/>
      <c r="M234" s="26"/>
      <c r="N234" s="26"/>
      <c r="O234" s="26"/>
      <c r="P234" s="26"/>
      <c r="Q234" s="26"/>
      <c r="S234" s="26"/>
      <c r="T234" s="25"/>
      <c r="U234" s="24"/>
      <c r="V234" s="24"/>
      <c r="W234" s="24"/>
      <c r="X234" s="26"/>
      <c r="Y234" s="26"/>
      <c r="Z234" s="24"/>
      <c r="AA234" s="26"/>
      <c r="AB234" s="25"/>
      <c r="AC234" s="24"/>
      <c r="AD234" s="24"/>
      <c r="AE234" s="24"/>
      <c r="AF234" s="26"/>
      <c r="AG234" s="26"/>
      <c r="AH234" s="24"/>
      <c r="AI234" s="26"/>
      <c r="AJ234" s="25"/>
      <c r="AK234" s="24"/>
      <c r="AL234" s="24"/>
      <c r="AM234" s="24"/>
      <c r="AN234" s="26"/>
      <c r="AO234" s="26"/>
      <c r="AP234" s="24"/>
      <c r="AQ234" s="24"/>
      <c r="AR234" s="24"/>
      <c r="AS234" s="28"/>
      <c r="AT234" s="28"/>
      <c r="AU234" s="28"/>
      <c r="AV234" s="28"/>
      <c r="AW234" s="28"/>
      <c r="AX234" s="28"/>
      <c r="AY234" s="28"/>
      <c r="AZ234" s="28"/>
      <c r="BA234" s="28"/>
      <c r="BB234" s="28"/>
      <c r="BC234" s="28"/>
      <c r="BD234" s="28"/>
      <c r="BE234" s="28"/>
      <c r="BF234" s="28"/>
      <c r="BG234" s="28"/>
      <c r="BH234" s="28"/>
      <c r="BI234" s="28"/>
      <c r="BJ234" s="24"/>
      <c r="BK234" s="28"/>
      <c r="BL234" s="28"/>
      <c r="BM234" s="28"/>
      <c r="BN234" s="28"/>
      <c r="BO234" s="28"/>
      <c r="BP234" s="28"/>
      <c r="BQ234" s="24"/>
      <c r="BR234" s="28"/>
      <c r="BS234" s="28"/>
      <c r="BT234" s="28"/>
      <c r="BU234" s="24"/>
      <c r="BV234" s="28"/>
      <c r="BW234" s="28"/>
      <c r="BX234" s="28"/>
    </row>
    <row r="235" spans="1:76">
      <c r="A235" s="24"/>
      <c r="B235" s="28"/>
      <c r="C235" s="25"/>
      <c r="D235" s="26"/>
      <c r="E235" s="24"/>
      <c r="F235" s="24"/>
      <c r="G235" s="26"/>
      <c r="H235" s="26"/>
      <c r="I235" s="26"/>
      <c r="J235" s="26"/>
      <c r="K235" s="26"/>
      <c r="L235" s="26"/>
      <c r="M235" s="26"/>
      <c r="N235" s="26"/>
      <c r="O235" s="26"/>
      <c r="P235" s="26"/>
      <c r="Q235" s="26"/>
      <c r="S235" s="26"/>
      <c r="T235" s="25"/>
      <c r="U235" s="24"/>
      <c r="V235" s="24"/>
      <c r="W235" s="24"/>
      <c r="X235" s="26"/>
      <c r="Y235" s="26"/>
      <c r="Z235" s="24"/>
      <c r="AA235" s="26"/>
      <c r="AB235" s="25"/>
      <c r="AC235" s="24"/>
      <c r="AD235" s="24"/>
      <c r="AE235" s="24"/>
      <c r="AF235" s="26"/>
      <c r="AG235" s="26"/>
      <c r="AH235" s="24"/>
      <c r="AI235" s="26"/>
      <c r="AJ235" s="25"/>
      <c r="AK235" s="24"/>
      <c r="AL235" s="24"/>
      <c r="AM235" s="24"/>
      <c r="AN235" s="26"/>
      <c r="AO235" s="26"/>
      <c r="AP235" s="24"/>
      <c r="AQ235" s="24"/>
      <c r="AR235" s="24"/>
      <c r="AS235" s="28"/>
      <c r="AT235" s="28"/>
      <c r="AU235" s="28"/>
      <c r="AV235" s="28"/>
      <c r="AW235" s="28"/>
      <c r="AX235" s="28"/>
      <c r="AY235" s="28"/>
      <c r="AZ235" s="28"/>
      <c r="BA235" s="28"/>
      <c r="BB235" s="28"/>
      <c r="BC235" s="28"/>
      <c r="BD235" s="28"/>
      <c r="BE235" s="28"/>
      <c r="BF235" s="28"/>
      <c r="BG235" s="28"/>
      <c r="BH235" s="28"/>
      <c r="BI235" s="28"/>
      <c r="BJ235" s="24"/>
      <c r="BK235" s="28"/>
      <c r="BL235" s="28"/>
      <c r="BM235" s="28"/>
      <c r="BN235" s="28"/>
      <c r="BO235" s="28"/>
      <c r="BP235" s="28"/>
      <c r="BQ235" s="24"/>
      <c r="BR235" s="28"/>
      <c r="BS235" s="28"/>
      <c r="BT235" s="28"/>
      <c r="BU235" s="24"/>
      <c r="BV235" s="28"/>
      <c r="BW235" s="28"/>
      <c r="BX235" s="28"/>
    </row>
    <row r="236" spans="1:76">
      <c r="A236" s="24"/>
      <c r="B236" s="28"/>
      <c r="C236" s="25"/>
      <c r="D236" s="26"/>
      <c r="E236" s="24"/>
      <c r="F236" s="24"/>
      <c r="G236" s="26"/>
      <c r="H236" s="26"/>
      <c r="I236" s="26"/>
      <c r="J236" s="26"/>
      <c r="K236" s="26"/>
      <c r="L236" s="26"/>
      <c r="M236" s="26"/>
      <c r="N236" s="26"/>
      <c r="O236" s="26"/>
      <c r="P236" s="26"/>
      <c r="Q236" s="26"/>
      <c r="S236" s="26"/>
      <c r="T236" s="25"/>
      <c r="U236" s="24"/>
      <c r="V236" s="24"/>
      <c r="W236" s="24"/>
      <c r="X236" s="26"/>
      <c r="Y236" s="26"/>
      <c r="Z236" s="24"/>
      <c r="AA236" s="26"/>
      <c r="AB236" s="25"/>
      <c r="AC236" s="24"/>
      <c r="AD236" s="24"/>
      <c r="AE236" s="24"/>
      <c r="AF236" s="26"/>
      <c r="AG236" s="26"/>
      <c r="AH236" s="24"/>
      <c r="AI236" s="26"/>
      <c r="AJ236" s="25"/>
      <c r="AK236" s="24"/>
      <c r="AL236" s="24"/>
      <c r="AM236" s="24"/>
      <c r="AN236" s="26"/>
      <c r="AO236" s="26"/>
      <c r="AP236" s="24"/>
      <c r="AQ236" s="24"/>
      <c r="AR236" s="24"/>
      <c r="AS236" s="28"/>
      <c r="AT236" s="28"/>
      <c r="AU236" s="28"/>
      <c r="AV236" s="28"/>
      <c r="AW236" s="28"/>
      <c r="AX236" s="28"/>
      <c r="AY236" s="28"/>
      <c r="AZ236" s="28"/>
      <c r="BA236" s="28"/>
      <c r="BB236" s="28"/>
      <c r="BC236" s="28"/>
      <c r="BD236" s="28"/>
      <c r="BE236" s="28"/>
      <c r="BF236" s="28"/>
      <c r="BG236" s="28"/>
      <c r="BH236" s="28"/>
      <c r="BI236" s="28"/>
      <c r="BJ236" s="24"/>
      <c r="BK236" s="28"/>
      <c r="BL236" s="28"/>
      <c r="BM236" s="28"/>
      <c r="BN236" s="28"/>
      <c r="BO236" s="28"/>
      <c r="BP236" s="28"/>
      <c r="BQ236" s="24"/>
      <c r="BR236" s="28"/>
      <c r="BS236" s="28"/>
      <c r="BT236" s="28"/>
      <c r="BU236" s="24"/>
      <c r="BV236" s="28"/>
      <c r="BW236" s="28"/>
      <c r="BX236" s="28"/>
    </row>
    <row r="237" spans="1:76">
      <c r="A237" s="24"/>
      <c r="B237" s="28"/>
      <c r="C237" s="25"/>
      <c r="D237" s="26"/>
      <c r="E237" s="24"/>
      <c r="F237" s="24"/>
      <c r="G237" s="26"/>
      <c r="H237" s="26"/>
      <c r="I237" s="26"/>
      <c r="J237" s="26"/>
      <c r="K237" s="26"/>
      <c r="L237" s="26"/>
      <c r="M237" s="26"/>
      <c r="N237" s="26"/>
      <c r="O237" s="26"/>
      <c r="P237" s="26"/>
      <c r="Q237" s="26"/>
      <c r="S237" s="26"/>
      <c r="T237" s="25"/>
      <c r="U237" s="24"/>
      <c r="V237" s="24"/>
      <c r="W237" s="24"/>
      <c r="X237" s="26"/>
      <c r="Y237" s="26"/>
      <c r="Z237" s="24"/>
      <c r="AA237" s="26"/>
      <c r="AB237" s="25"/>
      <c r="AC237" s="24"/>
      <c r="AD237" s="24"/>
      <c r="AE237" s="24"/>
      <c r="AF237" s="26"/>
      <c r="AG237" s="26"/>
      <c r="AH237" s="24"/>
      <c r="AI237" s="26"/>
      <c r="AJ237" s="25"/>
      <c r="AK237" s="24"/>
      <c r="AL237" s="24"/>
      <c r="AM237" s="24"/>
      <c r="AN237" s="26"/>
      <c r="AO237" s="26"/>
      <c r="AP237" s="24"/>
      <c r="AQ237" s="24"/>
      <c r="AR237" s="24"/>
      <c r="AS237" s="28"/>
      <c r="AT237" s="28"/>
      <c r="AU237" s="28"/>
      <c r="AV237" s="28"/>
      <c r="AW237" s="28"/>
      <c r="AX237" s="28"/>
      <c r="AY237" s="28"/>
      <c r="AZ237" s="28"/>
      <c r="BA237" s="28"/>
      <c r="BB237" s="28"/>
      <c r="BC237" s="28"/>
      <c r="BD237" s="28"/>
      <c r="BE237" s="28"/>
      <c r="BF237" s="28"/>
      <c r="BG237" s="28"/>
      <c r="BH237" s="28"/>
      <c r="BI237" s="28"/>
      <c r="BJ237" s="24"/>
      <c r="BK237" s="28"/>
      <c r="BL237" s="28"/>
      <c r="BM237" s="28"/>
      <c r="BN237" s="28"/>
      <c r="BO237" s="28"/>
      <c r="BP237" s="28"/>
      <c r="BQ237" s="24"/>
      <c r="BR237" s="28"/>
      <c r="BS237" s="28"/>
      <c r="BT237" s="28"/>
      <c r="BU237" s="24"/>
      <c r="BV237" s="28"/>
      <c r="BW237" s="28"/>
      <c r="BX237" s="28"/>
    </row>
    <row r="238" spans="1:76">
      <c r="A238" s="24"/>
      <c r="B238" s="28"/>
      <c r="C238" s="25"/>
      <c r="D238" s="26"/>
      <c r="E238" s="24"/>
      <c r="F238" s="24"/>
      <c r="G238" s="26"/>
      <c r="H238" s="26"/>
      <c r="I238" s="26"/>
      <c r="J238" s="26"/>
      <c r="K238" s="26"/>
      <c r="L238" s="26"/>
      <c r="M238" s="26"/>
      <c r="N238" s="26"/>
      <c r="O238" s="26"/>
      <c r="P238" s="26"/>
      <c r="Q238" s="26"/>
      <c r="S238" s="26"/>
      <c r="T238" s="25"/>
      <c r="U238" s="24"/>
      <c r="V238" s="24"/>
      <c r="W238" s="24"/>
      <c r="X238" s="26"/>
      <c r="Y238" s="26"/>
      <c r="Z238" s="24"/>
      <c r="AA238" s="26"/>
      <c r="AB238" s="25"/>
      <c r="AC238" s="24"/>
      <c r="AD238" s="24"/>
      <c r="AE238" s="24"/>
      <c r="AF238" s="26"/>
      <c r="AG238" s="26"/>
      <c r="AH238" s="24"/>
      <c r="AI238" s="26"/>
      <c r="AJ238" s="25"/>
      <c r="AK238" s="24"/>
      <c r="AL238" s="24"/>
      <c r="AM238" s="24"/>
      <c r="AN238" s="26"/>
      <c r="AO238" s="26"/>
      <c r="AP238" s="24"/>
      <c r="AQ238" s="24"/>
      <c r="AR238" s="24"/>
      <c r="AS238" s="28"/>
      <c r="AT238" s="28"/>
      <c r="AU238" s="28"/>
      <c r="AV238" s="28"/>
      <c r="AW238" s="28"/>
      <c r="AX238" s="28"/>
      <c r="AY238" s="28"/>
      <c r="AZ238" s="28"/>
      <c r="BA238" s="28"/>
      <c r="BB238" s="28"/>
      <c r="BC238" s="28"/>
      <c r="BD238" s="28"/>
      <c r="BE238" s="28"/>
      <c r="BF238" s="28"/>
      <c r="BG238" s="28"/>
      <c r="BH238" s="28"/>
      <c r="BI238" s="28"/>
      <c r="BJ238" s="24"/>
      <c r="BK238" s="28"/>
      <c r="BL238" s="28"/>
      <c r="BM238" s="28"/>
      <c r="BN238" s="28"/>
      <c r="BO238" s="28"/>
      <c r="BP238" s="28"/>
      <c r="BQ238" s="24"/>
      <c r="BR238" s="28"/>
      <c r="BS238" s="28"/>
      <c r="BT238" s="28"/>
      <c r="BU238" s="24"/>
      <c r="BV238" s="28"/>
      <c r="BW238" s="28"/>
      <c r="BX238" s="28"/>
    </row>
    <row r="239" spans="1:76">
      <c r="A239" s="24"/>
      <c r="B239" s="28"/>
      <c r="C239" s="25"/>
      <c r="D239" s="26"/>
      <c r="E239" s="24"/>
      <c r="F239" s="24"/>
      <c r="G239" s="26"/>
      <c r="H239" s="26"/>
      <c r="I239" s="26"/>
      <c r="J239" s="26"/>
      <c r="K239" s="26"/>
      <c r="L239" s="26"/>
      <c r="M239" s="26"/>
      <c r="N239" s="26"/>
      <c r="O239" s="26"/>
      <c r="P239" s="26"/>
      <c r="Q239" s="26"/>
      <c r="S239" s="26"/>
      <c r="T239" s="25"/>
      <c r="U239" s="24"/>
      <c r="V239" s="24"/>
      <c r="W239" s="24"/>
      <c r="X239" s="26"/>
      <c r="Y239" s="26"/>
      <c r="Z239" s="24"/>
      <c r="AA239" s="26"/>
      <c r="AB239" s="25"/>
      <c r="AC239" s="24"/>
      <c r="AD239" s="24"/>
      <c r="AE239" s="24"/>
      <c r="AF239" s="26"/>
      <c r="AG239" s="26"/>
      <c r="AH239" s="24"/>
      <c r="AI239" s="26"/>
      <c r="AJ239" s="25"/>
      <c r="AK239" s="24"/>
      <c r="AL239" s="24"/>
      <c r="AM239" s="24"/>
      <c r="AN239" s="26"/>
      <c r="AO239" s="26"/>
      <c r="AP239" s="24"/>
      <c r="AQ239" s="24"/>
      <c r="AR239" s="24"/>
      <c r="AS239" s="28"/>
      <c r="AT239" s="28"/>
      <c r="AU239" s="28"/>
      <c r="AV239" s="28"/>
      <c r="AW239" s="28"/>
      <c r="AX239" s="28"/>
      <c r="AY239" s="28"/>
      <c r="AZ239" s="28"/>
      <c r="BA239" s="28"/>
      <c r="BB239" s="28"/>
      <c r="BC239" s="28"/>
      <c r="BD239" s="28"/>
      <c r="BE239" s="28"/>
      <c r="BF239" s="28"/>
      <c r="BG239" s="28"/>
      <c r="BH239" s="28"/>
      <c r="BI239" s="28"/>
      <c r="BJ239" s="24"/>
      <c r="BK239" s="28"/>
      <c r="BL239" s="28"/>
      <c r="BM239" s="28"/>
      <c r="BN239" s="28"/>
      <c r="BO239" s="28"/>
      <c r="BP239" s="28"/>
      <c r="BQ239" s="24"/>
      <c r="BR239" s="28"/>
      <c r="BS239" s="28"/>
      <c r="BT239" s="28"/>
      <c r="BU239" s="24"/>
      <c r="BV239" s="28"/>
      <c r="BW239" s="28"/>
      <c r="BX239" s="28"/>
    </row>
    <row r="240" spans="1:76">
      <c r="A240" s="24"/>
      <c r="B240" s="28"/>
      <c r="C240" s="25"/>
      <c r="D240" s="26"/>
      <c r="E240" s="24"/>
      <c r="F240" s="24"/>
      <c r="G240" s="26"/>
      <c r="H240" s="26"/>
      <c r="I240" s="26"/>
      <c r="J240" s="26"/>
      <c r="K240" s="26"/>
      <c r="L240" s="26"/>
      <c r="M240" s="26"/>
      <c r="N240" s="26"/>
      <c r="O240" s="26"/>
      <c r="P240" s="26"/>
      <c r="Q240" s="26"/>
      <c r="S240" s="26"/>
      <c r="T240" s="25"/>
      <c r="U240" s="24"/>
      <c r="V240" s="24"/>
      <c r="W240" s="24"/>
      <c r="X240" s="26"/>
      <c r="Y240" s="26"/>
      <c r="Z240" s="24"/>
      <c r="AA240" s="26"/>
      <c r="AB240" s="25"/>
      <c r="AC240" s="24"/>
      <c r="AD240" s="24"/>
      <c r="AE240" s="24"/>
      <c r="AF240" s="26"/>
      <c r="AG240" s="26"/>
      <c r="AH240" s="24"/>
      <c r="AI240" s="26"/>
      <c r="AJ240" s="25"/>
      <c r="AK240" s="24"/>
      <c r="AL240" s="24"/>
      <c r="AM240" s="24"/>
      <c r="AN240" s="26"/>
      <c r="AO240" s="26"/>
      <c r="AP240" s="24"/>
      <c r="AQ240" s="24"/>
      <c r="AR240" s="24"/>
      <c r="AS240" s="28"/>
      <c r="AT240" s="28"/>
      <c r="AU240" s="28"/>
      <c r="AV240" s="28"/>
      <c r="AW240" s="28"/>
      <c r="AX240" s="28"/>
      <c r="AY240" s="28"/>
      <c r="AZ240" s="28"/>
      <c r="BA240" s="28"/>
      <c r="BB240" s="28"/>
      <c r="BC240" s="28"/>
      <c r="BD240" s="28"/>
      <c r="BE240" s="28"/>
      <c r="BF240" s="28"/>
      <c r="BG240" s="28"/>
      <c r="BH240" s="28"/>
      <c r="BI240" s="28"/>
      <c r="BJ240" s="24"/>
      <c r="BK240" s="28"/>
      <c r="BL240" s="28"/>
      <c r="BM240" s="28"/>
      <c r="BN240" s="28"/>
      <c r="BO240" s="28"/>
      <c r="BP240" s="28"/>
      <c r="BQ240" s="24"/>
      <c r="BR240" s="28"/>
      <c r="BS240" s="28"/>
      <c r="BT240" s="28"/>
      <c r="BU240" s="24"/>
      <c r="BV240" s="28"/>
      <c r="BW240" s="28"/>
      <c r="BX240" s="28"/>
    </row>
    <row r="241" spans="1:76">
      <c r="A241" s="24"/>
      <c r="B241" s="28"/>
      <c r="C241" s="25"/>
      <c r="D241" s="26"/>
      <c r="E241" s="24"/>
      <c r="F241" s="24"/>
      <c r="G241" s="26"/>
      <c r="H241" s="26"/>
      <c r="I241" s="26"/>
      <c r="J241" s="26"/>
      <c r="K241" s="26"/>
      <c r="L241" s="26"/>
      <c r="M241" s="26"/>
      <c r="N241" s="26"/>
      <c r="O241" s="26"/>
      <c r="P241" s="26"/>
      <c r="Q241" s="26"/>
      <c r="S241" s="26"/>
      <c r="T241" s="25"/>
      <c r="U241" s="24"/>
      <c r="V241" s="24"/>
      <c r="W241" s="24"/>
      <c r="X241" s="26"/>
      <c r="Y241" s="26"/>
      <c r="Z241" s="24"/>
      <c r="AA241" s="26"/>
      <c r="AB241" s="25"/>
      <c r="AC241" s="24"/>
      <c r="AD241" s="24"/>
      <c r="AE241" s="24"/>
      <c r="AF241" s="26"/>
      <c r="AG241" s="26"/>
      <c r="AH241" s="24"/>
      <c r="AI241" s="26"/>
      <c r="AJ241" s="25"/>
      <c r="AK241" s="24"/>
      <c r="AL241" s="24"/>
      <c r="AM241" s="24"/>
      <c r="AN241" s="26"/>
      <c r="AO241" s="26"/>
      <c r="AP241" s="24"/>
      <c r="AQ241" s="24"/>
      <c r="AR241" s="24"/>
      <c r="AS241" s="28"/>
      <c r="AT241" s="28"/>
      <c r="AU241" s="28"/>
      <c r="AV241" s="28"/>
      <c r="AW241" s="28"/>
      <c r="AX241" s="28"/>
      <c r="AY241" s="28"/>
      <c r="AZ241" s="28"/>
      <c r="BA241" s="28"/>
      <c r="BB241" s="28"/>
      <c r="BC241" s="28"/>
      <c r="BD241" s="28"/>
      <c r="BE241" s="28"/>
      <c r="BF241" s="28"/>
      <c r="BG241" s="28"/>
      <c r="BH241" s="28"/>
      <c r="BI241" s="28"/>
      <c r="BJ241" s="24"/>
      <c r="BK241" s="28"/>
      <c r="BL241" s="28"/>
      <c r="BM241" s="28"/>
      <c r="BN241" s="28"/>
      <c r="BO241" s="28"/>
      <c r="BP241" s="28"/>
      <c r="BQ241" s="24"/>
      <c r="BR241" s="28"/>
      <c r="BS241" s="28"/>
      <c r="BT241" s="28"/>
      <c r="BU241" s="24"/>
      <c r="BV241" s="28"/>
      <c r="BW241" s="28"/>
      <c r="BX241" s="28"/>
    </row>
    <row r="242" spans="1:76">
      <c r="A242" s="24"/>
      <c r="B242" s="28"/>
      <c r="C242" s="25"/>
      <c r="D242" s="26"/>
      <c r="E242" s="24"/>
      <c r="F242" s="24"/>
      <c r="G242" s="26"/>
      <c r="H242" s="26"/>
      <c r="I242" s="26"/>
      <c r="J242" s="26"/>
      <c r="K242" s="26"/>
      <c r="L242" s="26"/>
      <c r="M242" s="26"/>
      <c r="N242" s="26"/>
      <c r="O242" s="26"/>
      <c r="P242" s="26"/>
      <c r="Q242" s="26"/>
      <c r="S242" s="26"/>
      <c r="T242" s="25"/>
      <c r="U242" s="24"/>
      <c r="V242" s="24"/>
      <c r="W242" s="24"/>
      <c r="X242" s="26"/>
      <c r="Y242" s="26"/>
      <c r="Z242" s="24"/>
      <c r="AA242" s="26"/>
      <c r="AB242" s="25"/>
      <c r="AC242" s="24"/>
      <c r="AD242" s="24"/>
      <c r="AE242" s="24"/>
      <c r="AF242" s="26"/>
      <c r="AG242" s="26"/>
      <c r="AH242" s="24"/>
      <c r="AI242" s="26"/>
      <c r="AJ242" s="25"/>
      <c r="AK242" s="24"/>
      <c r="AL242" s="24"/>
      <c r="AM242" s="24"/>
      <c r="AN242" s="26"/>
      <c r="AO242" s="26"/>
      <c r="AP242" s="24"/>
      <c r="AQ242" s="24"/>
      <c r="AR242" s="24"/>
      <c r="AS242" s="28"/>
      <c r="AT242" s="28"/>
      <c r="AU242" s="28"/>
      <c r="AV242" s="28"/>
      <c r="AW242" s="28"/>
      <c r="AX242" s="28"/>
      <c r="AY242" s="28"/>
      <c r="AZ242" s="28"/>
      <c r="BA242" s="28"/>
      <c r="BB242" s="28"/>
      <c r="BC242" s="28"/>
      <c r="BD242" s="28"/>
      <c r="BE242" s="28"/>
      <c r="BF242" s="28"/>
      <c r="BG242" s="28"/>
      <c r="BH242" s="28"/>
      <c r="BI242" s="28"/>
      <c r="BJ242" s="24"/>
      <c r="BK242" s="28"/>
      <c r="BL242" s="28"/>
      <c r="BM242" s="28"/>
      <c r="BN242" s="28"/>
      <c r="BO242" s="28"/>
      <c r="BP242" s="28"/>
      <c r="BQ242" s="24"/>
      <c r="BR242" s="28"/>
      <c r="BS242" s="28"/>
      <c r="BT242" s="28"/>
      <c r="BU242" s="24"/>
      <c r="BV242" s="28"/>
      <c r="BW242" s="28"/>
      <c r="BX242" s="28"/>
    </row>
    <row r="243" spans="1:76">
      <c r="A243" s="24"/>
      <c r="B243" s="28"/>
      <c r="C243" s="25"/>
      <c r="D243" s="26"/>
      <c r="E243" s="24"/>
      <c r="F243" s="24"/>
      <c r="G243" s="26"/>
      <c r="H243" s="26"/>
      <c r="I243" s="26"/>
      <c r="J243" s="26"/>
      <c r="K243" s="26"/>
      <c r="L243" s="26"/>
      <c r="M243" s="26"/>
      <c r="N243" s="26"/>
      <c r="O243" s="26"/>
      <c r="P243" s="26"/>
      <c r="Q243" s="26"/>
      <c r="S243" s="26"/>
      <c r="T243" s="25"/>
      <c r="U243" s="24"/>
      <c r="V243" s="24"/>
      <c r="W243" s="24"/>
      <c r="X243" s="26"/>
      <c r="Y243" s="26"/>
      <c r="Z243" s="24"/>
      <c r="AA243" s="26"/>
      <c r="AB243" s="25"/>
      <c r="AC243" s="24"/>
      <c r="AD243" s="24"/>
      <c r="AE243" s="24"/>
      <c r="AF243" s="26"/>
      <c r="AG243" s="26"/>
      <c r="AH243" s="24"/>
      <c r="AI243" s="26"/>
      <c r="AJ243" s="25"/>
      <c r="AK243" s="24"/>
      <c r="AL243" s="24"/>
      <c r="AM243" s="24"/>
      <c r="AN243" s="26"/>
      <c r="AO243" s="26"/>
      <c r="AP243" s="24"/>
      <c r="AQ243" s="24"/>
      <c r="AR243" s="24"/>
      <c r="AS243" s="28"/>
      <c r="AT243" s="28"/>
      <c r="AU243" s="28"/>
      <c r="AV243" s="28"/>
      <c r="AW243" s="28"/>
      <c r="AX243" s="28"/>
      <c r="AY243" s="28"/>
      <c r="AZ243" s="28"/>
      <c r="BA243" s="28"/>
      <c r="BB243" s="28"/>
      <c r="BC243" s="28"/>
      <c r="BD243" s="28"/>
      <c r="BE243" s="28"/>
      <c r="BF243" s="28"/>
      <c r="BG243" s="28"/>
      <c r="BH243" s="28"/>
      <c r="BI243" s="28"/>
      <c r="BJ243" s="24"/>
      <c r="BK243" s="28"/>
      <c r="BL243" s="28"/>
      <c r="BM243" s="28"/>
      <c r="BN243" s="28"/>
      <c r="BO243" s="28"/>
      <c r="BP243" s="28"/>
      <c r="BQ243" s="24"/>
      <c r="BR243" s="28"/>
      <c r="BS243" s="28"/>
      <c r="BT243" s="28"/>
      <c r="BU243" s="24"/>
      <c r="BV243" s="28"/>
      <c r="BW243" s="28"/>
      <c r="BX243" s="28"/>
    </row>
    <row r="244" spans="1:76">
      <c r="A244" s="24"/>
      <c r="B244" s="28"/>
      <c r="C244" s="25"/>
      <c r="D244" s="26"/>
      <c r="E244" s="24"/>
      <c r="F244" s="24"/>
      <c r="G244" s="26"/>
      <c r="H244" s="26"/>
      <c r="I244" s="26"/>
      <c r="J244" s="26"/>
      <c r="K244" s="26"/>
      <c r="L244" s="26"/>
      <c r="M244" s="26"/>
      <c r="N244" s="26"/>
      <c r="O244" s="26"/>
      <c r="P244" s="26"/>
      <c r="Q244" s="26"/>
      <c r="S244" s="26"/>
      <c r="T244" s="25"/>
      <c r="U244" s="24"/>
      <c r="V244" s="24"/>
      <c r="W244" s="24"/>
      <c r="X244" s="26"/>
      <c r="Y244" s="26"/>
      <c r="Z244" s="24"/>
      <c r="AA244" s="26"/>
      <c r="AB244" s="25"/>
      <c r="AC244" s="24"/>
      <c r="AD244" s="24"/>
      <c r="AE244" s="24"/>
      <c r="AF244" s="26"/>
      <c r="AG244" s="26"/>
      <c r="AH244" s="24"/>
      <c r="AI244" s="26"/>
      <c r="AJ244" s="25"/>
      <c r="AK244" s="24"/>
      <c r="AL244" s="24"/>
      <c r="AM244" s="24"/>
      <c r="AN244" s="26"/>
      <c r="AO244" s="26"/>
      <c r="AP244" s="24"/>
      <c r="AQ244" s="24"/>
      <c r="AR244" s="24"/>
      <c r="AS244" s="28"/>
      <c r="AT244" s="28"/>
      <c r="AU244" s="28"/>
      <c r="AV244" s="28"/>
      <c r="AW244" s="28"/>
      <c r="AX244" s="28"/>
      <c r="AY244" s="28"/>
      <c r="AZ244" s="28"/>
      <c r="BA244" s="28"/>
      <c r="BB244" s="28"/>
      <c r="BC244" s="28"/>
      <c r="BD244" s="28"/>
      <c r="BE244" s="28"/>
      <c r="BF244" s="28"/>
      <c r="BG244" s="28"/>
      <c r="BH244" s="28"/>
      <c r="BI244" s="28"/>
      <c r="BJ244" s="24"/>
      <c r="BK244" s="28"/>
      <c r="BL244" s="28"/>
      <c r="BM244" s="28"/>
      <c r="BN244" s="28"/>
      <c r="BO244" s="28"/>
      <c r="BP244" s="28"/>
      <c r="BQ244" s="24"/>
      <c r="BR244" s="28"/>
      <c r="BS244" s="28"/>
      <c r="BT244" s="28"/>
      <c r="BU244" s="24"/>
      <c r="BV244" s="28"/>
      <c r="BW244" s="28"/>
      <c r="BX244" s="28"/>
    </row>
    <row r="245" spans="1:76">
      <c r="A245" s="24"/>
      <c r="B245" s="28"/>
      <c r="C245" s="25"/>
      <c r="D245" s="26"/>
      <c r="E245" s="24"/>
      <c r="F245" s="24"/>
      <c r="G245" s="26"/>
      <c r="H245" s="26"/>
      <c r="I245" s="26"/>
      <c r="J245" s="26"/>
      <c r="K245" s="26"/>
      <c r="L245" s="26"/>
      <c r="M245" s="26"/>
      <c r="N245" s="26"/>
      <c r="O245" s="26"/>
      <c r="P245" s="26"/>
      <c r="Q245" s="26"/>
      <c r="S245" s="26"/>
      <c r="T245" s="25"/>
      <c r="U245" s="24"/>
      <c r="V245" s="24"/>
      <c r="W245" s="24"/>
      <c r="X245" s="26"/>
      <c r="Y245" s="26"/>
      <c r="Z245" s="24"/>
      <c r="AA245" s="26"/>
      <c r="AB245" s="25"/>
      <c r="AC245" s="24"/>
      <c r="AD245" s="24"/>
      <c r="AE245" s="24"/>
      <c r="AF245" s="26"/>
      <c r="AG245" s="26"/>
      <c r="AH245" s="24"/>
      <c r="AI245" s="26"/>
      <c r="AJ245" s="25"/>
      <c r="AK245" s="24"/>
      <c r="AL245" s="24"/>
      <c r="AM245" s="24"/>
      <c r="AN245" s="26"/>
      <c r="AO245" s="26"/>
      <c r="AP245" s="24"/>
      <c r="AQ245" s="24"/>
      <c r="AR245" s="24"/>
      <c r="AS245" s="28"/>
      <c r="AT245" s="28"/>
      <c r="AU245" s="28"/>
      <c r="AV245" s="28"/>
      <c r="AW245" s="28"/>
      <c r="AX245" s="28"/>
      <c r="AY245" s="28"/>
      <c r="AZ245" s="28"/>
      <c r="BA245" s="28"/>
      <c r="BB245" s="28"/>
      <c r="BC245" s="28"/>
      <c r="BD245" s="28"/>
      <c r="BE245" s="28"/>
      <c r="BF245" s="28"/>
      <c r="BG245" s="28"/>
      <c r="BH245" s="28"/>
      <c r="BI245" s="28"/>
      <c r="BJ245" s="24"/>
      <c r="BK245" s="28"/>
      <c r="BL245" s="28"/>
      <c r="BM245" s="28"/>
      <c r="BN245" s="28"/>
      <c r="BO245" s="28"/>
      <c r="BP245" s="28"/>
      <c r="BQ245" s="24"/>
      <c r="BR245" s="28"/>
      <c r="BS245" s="28"/>
      <c r="BT245" s="28"/>
      <c r="BU245" s="24"/>
      <c r="BV245" s="28"/>
      <c r="BW245" s="28"/>
      <c r="BX245" s="28"/>
    </row>
    <row r="246" spans="1:76">
      <c r="A246" s="24"/>
      <c r="B246" s="28"/>
      <c r="C246" s="25"/>
      <c r="D246" s="26"/>
      <c r="E246" s="24"/>
      <c r="F246" s="24"/>
      <c r="G246" s="26"/>
      <c r="H246" s="26"/>
      <c r="I246" s="26"/>
      <c r="J246" s="26"/>
      <c r="K246" s="26"/>
      <c r="L246" s="26"/>
      <c r="M246" s="26"/>
      <c r="N246" s="26"/>
      <c r="O246" s="26"/>
      <c r="P246" s="26"/>
      <c r="Q246" s="26"/>
      <c r="S246" s="26"/>
      <c r="T246" s="25"/>
      <c r="U246" s="24"/>
      <c r="V246" s="24"/>
      <c r="W246" s="24"/>
      <c r="X246" s="26"/>
      <c r="Y246" s="26"/>
      <c r="Z246" s="24"/>
      <c r="AA246" s="26"/>
      <c r="AB246" s="25"/>
      <c r="AC246" s="24"/>
      <c r="AD246" s="24"/>
      <c r="AE246" s="24"/>
      <c r="AF246" s="26"/>
      <c r="AG246" s="26"/>
      <c r="AH246" s="24"/>
      <c r="AI246" s="26"/>
      <c r="AJ246" s="25"/>
      <c r="AK246" s="24"/>
      <c r="AL246" s="24"/>
      <c r="AM246" s="24"/>
      <c r="AN246" s="26"/>
      <c r="AO246" s="26"/>
      <c r="AP246" s="24"/>
      <c r="AQ246" s="24"/>
      <c r="AR246" s="24"/>
      <c r="AS246" s="28"/>
      <c r="AT246" s="28"/>
      <c r="AU246" s="28"/>
      <c r="AV246" s="28"/>
      <c r="AW246" s="28"/>
      <c r="AX246" s="28"/>
      <c r="AY246" s="28"/>
      <c r="AZ246" s="28"/>
      <c r="BA246" s="28"/>
      <c r="BB246" s="28"/>
      <c r="BC246" s="28"/>
      <c r="BD246" s="28"/>
      <c r="BE246" s="28"/>
      <c r="BF246" s="28"/>
      <c r="BG246" s="28"/>
      <c r="BH246" s="28"/>
      <c r="BI246" s="28"/>
      <c r="BJ246" s="24"/>
      <c r="BK246" s="28"/>
      <c r="BL246" s="28"/>
      <c r="BM246" s="28"/>
      <c r="BN246" s="28"/>
      <c r="BO246" s="28"/>
      <c r="BP246" s="28"/>
      <c r="BQ246" s="24"/>
      <c r="BR246" s="28"/>
      <c r="BS246" s="28"/>
      <c r="BT246" s="28"/>
      <c r="BU246" s="24"/>
      <c r="BV246" s="28"/>
      <c r="BW246" s="28"/>
      <c r="BX246" s="28"/>
    </row>
    <row r="247" spans="1:76">
      <c r="A247" s="24"/>
      <c r="B247" s="28"/>
      <c r="C247" s="25"/>
      <c r="D247" s="26"/>
      <c r="E247" s="24"/>
      <c r="F247" s="24"/>
      <c r="G247" s="26"/>
      <c r="H247" s="26"/>
      <c r="I247" s="26"/>
      <c r="J247" s="26"/>
      <c r="K247" s="26"/>
      <c r="L247" s="26"/>
      <c r="M247" s="26"/>
      <c r="N247" s="26"/>
      <c r="O247" s="26"/>
      <c r="P247" s="26"/>
      <c r="Q247" s="26"/>
      <c r="S247" s="26"/>
      <c r="T247" s="25"/>
      <c r="U247" s="24"/>
      <c r="V247" s="24"/>
      <c r="W247" s="24"/>
      <c r="X247" s="26"/>
      <c r="Y247" s="26"/>
      <c r="Z247" s="24"/>
      <c r="AA247" s="26"/>
      <c r="AB247" s="25"/>
      <c r="AC247" s="24"/>
      <c r="AD247" s="24"/>
      <c r="AE247" s="24"/>
      <c r="AF247" s="26"/>
      <c r="AG247" s="26"/>
      <c r="AH247" s="24"/>
      <c r="AI247" s="26"/>
      <c r="AJ247" s="25"/>
      <c r="AK247" s="24"/>
      <c r="AL247" s="24"/>
      <c r="AM247" s="24"/>
      <c r="AN247" s="26"/>
      <c r="AO247" s="26"/>
      <c r="AP247" s="24"/>
      <c r="AQ247" s="24"/>
      <c r="AR247" s="24"/>
      <c r="AS247" s="28"/>
      <c r="AT247" s="28"/>
      <c r="AU247" s="28"/>
      <c r="AV247" s="28"/>
      <c r="AW247" s="28"/>
      <c r="AX247" s="28"/>
      <c r="AY247" s="28"/>
      <c r="AZ247" s="28"/>
      <c r="BA247" s="28"/>
      <c r="BB247" s="28"/>
      <c r="BC247" s="28"/>
      <c r="BD247" s="28"/>
      <c r="BE247" s="28"/>
      <c r="BF247" s="28"/>
      <c r="BG247" s="28"/>
      <c r="BH247" s="28"/>
      <c r="BI247" s="28"/>
      <c r="BJ247" s="24"/>
      <c r="BK247" s="28"/>
      <c r="BL247" s="28"/>
      <c r="BM247" s="28"/>
      <c r="BN247" s="28"/>
      <c r="BO247" s="28"/>
      <c r="BP247" s="28"/>
      <c r="BQ247" s="24"/>
      <c r="BR247" s="28"/>
      <c r="BS247" s="28"/>
      <c r="BT247" s="28"/>
      <c r="BU247" s="24"/>
      <c r="BV247" s="28"/>
      <c r="BW247" s="28"/>
      <c r="BX247" s="28"/>
    </row>
    <row r="248" spans="1:76">
      <c r="A248" s="24"/>
      <c r="B248" s="28"/>
      <c r="C248" s="25"/>
      <c r="D248" s="26"/>
      <c r="E248" s="24"/>
      <c r="F248" s="24"/>
      <c r="G248" s="26"/>
      <c r="H248" s="26"/>
      <c r="I248" s="26"/>
      <c r="J248" s="26"/>
      <c r="K248" s="26"/>
      <c r="L248" s="26"/>
      <c r="M248" s="26"/>
      <c r="N248" s="26"/>
      <c r="O248" s="26"/>
      <c r="P248" s="26"/>
      <c r="Q248" s="26"/>
      <c r="S248" s="26"/>
      <c r="T248" s="25"/>
      <c r="U248" s="24"/>
      <c r="V248" s="24"/>
      <c r="W248" s="24"/>
      <c r="X248" s="26"/>
      <c r="Y248" s="26"/>
      <c r="Z248" s="24"/>
      <c r="AA248" s="26"/>
      <c r="AB248" s="25"/>
      <c r="AC248" s="24"/>
      <c r="AD248" s="24"/>
      <c r="AE248" s="24"/>
      <c r="AF248" s="26"/>
      <c r="AG248" s="26"/>
      <c r="AH248" s="24"/>
      <c r="AI248" s="26"/>
      <c r="AJ248" s="25"/>
      <c r="AK248" s="24"/>
      <c r="AL248" s="24"/>
      <c r="AM248" s="24"/>
      <c r="AN248" s="26"/>
      <c r="AO248" s="26"/>
      <c r="AP248" s="24"/>
      <c r="AQ248" s="24"/>
      <c r="AR248" s="24"/>
      <c r="AS248" s="28"/>
      <c r="AT248" s="28"/>
      <c r="AU248" s="28"/>
      <c r="AV248" s="28"/>
      <c r="AW248" s="28"/>
      <c r="AX248" s="28"/>
      <c r="AY248" s="28"/>
      <c r="AZ248" s="28"/>
      <c r="BA248" s="28"/>
      <c r="BB248" s="28"/>
      <c r="BC248" s="28"/>
      <c r="BD248" s="28"/>
      <c r="BE248" s="28"/>
      <c r="BF248" s="28"/>
      <c r="BG248" s="28"/>
      <c r="BH248" s="28"/>
      <c r="BI248" s="28"/>
      <c r="BJ248" s="24"/>
      <c r="BK248" s="28"/>
      <c r="BL248" s="28"/>
      <c r="BM248" s="28"/>
      <c r="BN248" s="28"/>
      <c r="BO248" s="28"/>
      <c r="BP248" s="28"/>
      <c r="BQ248" s="24"/>
      <c r="BR248" s="28"/>
      <c r="BS248" s="28"/>
      <c r="BT248" s="28"/>
      <c r="BU248" s="24"/>
      <c r="BV248" s="28"/>
      <c r="BW248" s="28"/>
      <c r="BX248" s="28"/>
    </row>
    <row r="249" spans="1:76">
      <c r="A249" s="24"/>
      <c r="B249" s="28"/>
      <c r="C249" s="25"/>
      <c r="D249" s="26"/>
      <c r="E249" s="24"/>
      <c r="F249" s="24"/>
      <c r="G249" s="26"/>
      <c r="H249" s="26"/>
      <c r="I249" s="26"/>
      <c r="J249" s="26"/>
      <c r="K249" s="26"/>
      <c r="L249" s="26"/>
      <c r="M249" s="26"/>
      <c r="N249" s="26"/>
      <c r="O249" s="26"/>
      <c r="P249" s="26"/>
      <c r="Q249" s="26"/>
      <c r="S249" s="26"/>
      <c r="T249" s="25"/>
      <c r="U249" s="24"/>
      <c r="V249" s="24"/>
      <c r="W249" s="24"/>
      <c r="X249" s="26"/>
      <c r="Y249" s="26"/>
      <c r="Z249" s="24"/>
      <c r="AA249" s="26"/>
      <c r="AB249" s="25"/>
      <c r="AC249" s="24"/>
      <c r="AD249" s="24"/>
      <c r="AE249" s="24"/>
      <c r="AF249" s="26"/>
      <c r="AG249" s="26"/>
      <c r="AH249" s="24"/>
      <c r="AI249" s="26"/>
      <c r="AJ249" s="25"/>
      <c r="AK249" s="24"/>
      <c r="AL249" s="24"/>
      <c r="AM249" s="24"/>
      <c r="AN249" s="26"/>
      <c r="AO249" s="26"/>
      <c r="AP249" s="24"/>
      <c r="AQ249" s="24"/>
      <c r="AR249" s="24"/>
      <c r="AS249" s="28"/>
      <c r="AT249" s="28"/>
      <c r="AU249" s="28"/>
      <c r="AV249" s="28"/>
      <c r="AW249" s="28"/>
      <c r="AX249" s="28"/>
      <c r="AY249" s="28"/>
      <c r="AZ249" s="28"/>
      <c r="BA249" s="28"/>
      <c r="BB249" s="28"/>
      <c r="BC249" s="28"/>
      <c r="BD249" s="28"/>
      <c r="BE249" s="28"/>
      <c r="BF249" s="28"/>
      <c r="BG249" s="28"/>
      <c r="BH249" s="28"/>
      <c r="BI249" s="28"/>
      <c r="BJ249" s="24"/>
      <c r="BK249" s="28"/>
      <c r="BL249" s="28"/>
      <c r="BM249" s="28"/>
      <c r="BN249" s="28"/>
      <c r="BO249" s="28"/>
      <c r="BP249" s="28"/>
      <c r="BQ249" s="24"/>
      <c r="BR249" s="28"/>
      <c r="BS249" s="28"/>
      <c r="BT249" s="28"/>
      <c r="BU249" s="24"/>
      <c r="BV249" s="28"/>
      <c r="BW249" s="28"/>
      <c r="BX249" s="28"/>
    </row>
    <row r="250" spans="1:76">
      <c r="A250" s="24"/>
      <c r="B250" s="28"/>
      <c r="C250" s="25"/>
      <c r="D250" s="26"/>
      <c r="E250" s="24"/>
      <c r="F250" s="24"/>
      <c r="G250" s="26"/>
      <c r="H250" s="26"/>
      <c r="I250" s="26"/>
      <c r="J250" s="26"/>
      <c r="K250" s="26"/>
      <c r="L250" s="26"/>
      <c r="M250" s="26"/>
      <c r="N250" s="26"/>
      <c r="O250" s="26"/>
      <c r="P250" s="26"/>
      <c r="Q250" s="26"/>
      <c r="S250" s="26"/>
      <c r="T250" s="25"/>
      <c r="U250" s="24"/>
      <c r="V250" s="24"/>
      <c r="W250" s="24"/>
      <c r="X250" s="26"/>
      <c r="Y250" s="26"/>
      <c r="Z250" s="24"/>
      <c r="AA250" s="26"/>
      <c r="AB250" s="25"/>
      <c r="AC250" s="24"/>
      <c r="AD250" s="24"/>
      <c r="AE250" s="24"/>
      <c r="AF250" s="26"/>
      <c r="AG250" s="26"/>
      <c r="AH250" s="24"/>
      <c r="AI250" s="26"/>
      <c r="AJ250" s="25"/>
      <c r="AK250" s="24"/>
      <c r="AL250" s="24"/>
      <c r="AM250" s="24"/>
      <c r="AN250" s="26"/>
      <c r="AO250" s="26"/>
      <c r="AP250" s="24"/>
      <c r="AQ250" s="24"/>
      <c r="AR250" s="24"/>
      <c r="AS250" s="28"/>
      <c r="AT250" s="28"/>
      <c r="AU250" s="28"/>
      <c r="AV250" s="28"/>
      <c r="AW250" s="28"/>
      <c r="AX250" s="28"/>
      <c r="AY250" s="28"/>
      <c r="AZ250" s="28"/>
      <c r="BA250" s="28"/>
      <c r="BB250" s="28"/>
      <c r="BC250" s="28"/>
      <c r="BD250" s="28"/>
      <c r="BE250" s="28"/>
      <c r="BF250" s="28"/>
      <c r="BG250" s="28"/>
      <c r="BH250" s="28"/>
      <c r="BI250" s="28"/>
      <c r="BJ250" s="24"/>
      <c r="BK250" s="28"/>
      <c r="BL250" s="28"/>
      <c r="BM250" s="28"/>
      <c r="BN250" s="28"/>
      <c r="BO250" s="28"/>
      <c r="BP250" s="28"/>
      <c r="BQ250" s="24"/>
      <c r="BR250" s="28"/>
      <c r="BS250" s="28"/>
      <c r="BT250" s="28"/>
      <c r="BU250" s="24"/>
      <c r="BV250" s="28"/>
      <c r="BW250" s="28"/>
      <c r="BX250" s="28"/>
    </row>
    <row r="251" spans="1:76">
      <c r="A251" s="24"/>
      <c r="B251" s="28"/>
      <c r="C251" s="25"/>
      <c r="D251" s="26"/>
      <c r="E251" s="24"/>
      <c r="F251" s="24"/>
      <c r="G251" s="26"/>
      <c r="H251" s="26"/>
      <c r="I251" s="26"/>
      <c r="J251" s="26"/>
      <c r="K251" s="26"/>
      <c r="L251" s="26"/>
      <c r="M251" s="26"/>
      <c r="N251" s="26"/>
      <c r="O251" s="26"/>
      <c r="P251" s="26"/>
      <c r="Q251" s="26"/>
      <c r="S251" s="26"/>
      <c r="T251" s="25"/>
      <c r="U251" s="24"/>
      <c r="V251" s="24"/>
      <c r="W251" s="24"/>
      <c r="X251" s="26"/>
      <c r="Y251" s="26"/>
      <c r="Z251" s="24"/>
      <c r="AA251" s="26"/>
      <c r="AB251" s="25"/>
      <c r="AC251" s="24"/>
      <c r="AD251" s="24"/>
      <c r="AE251" s="24"/>
      <c r="AF251" s="26"/>
      <c r="AG251" s="26"/>
      <c r="AH251" s="24"/>
      <c r="AI251" s="26"/>
      <c r="AJ251" s="25"/>
      <c r="AK251" s="24"/>
      <c r="AL251" s="24"/>
      <c r="AM251" s="24"/>
      <c r="AN251" s="26"/>
      <c r="AO251" s="26"/>
      <c r="AP251" s="24"/>
      <c r="AQ251" s="24"/>
      <c r="AR251" s="24"/>
      <c r="AS251" s="28"/>
      <c r="AT251" s="28"/>
      <c r="AU251" s="28"/>
      <c r="AV251" s="28"/>
      <c r="AW251" s="28"/>
      <c r="AX251" s="28"/>
      <c r="AY251" s="28"/>
      <c r="AZ251" s="28"/>
      <c r="BA251" s="28"/>
      <c r="BB251" s="28"/>
      <c r="BC251" s="28"/>
      <c r="BD251" s="28"/>
      <c r="BE251" s="28"/>
      <c r="BF251" s="28"/>
      <c r="BG251" s="28"/>
      <c r="BH251" s="28"/>
      <c r="BI251" s="28"/>
      <c r="BJ251" s="24"/>
      <c r="BK251" s="28"/>
      <c r="BL251" s="28"/>
      <c r="BM251" s="28"/>
      <c r="BN251" s="28"/>
      <c r="BO251" s="28"/>
      <c r="BP251" s="28"/>
      <c r="BQ251" s="24"/>
      <c r="BR251" s="28"/>
      <c r="BS251" s="28"/>
      <c r="BT251" s="28"/>
      <c r="BU251" s="24"/>
      <c r="BV251" s="28"/>
      <c r="BW251" s="28"/>
      <c r="BX251" s="28"/>
    </row>
    <row r="252" spans="1:76">
      <c r="A252" s="24"/>
      <c r="B252" s="28"/>
      <c r="C252" s="25"/>
      <c r="D252" s="26"/>
      <c r="E252" s="24"/>
      <c r="F252" s="24"/>
      <c r="G252" s="26"/>
      <c r="H252" s="26"/>
      <c r="I252" s="26"/>
      <c r="J252" s="26"/>
      <c r="K252" s="26"/>
      <c r="L252" s="26"/>
      <c r="M252" s="26"/>
      <c r="N252" s="26"/>
      <c r="O252" s="26"/>
      <c r="P252" s="26"/>
      <c r="Q252" s="26"/>
      <c r="S252" s="26"/>
      <c r="T252" s="25"/>
      <c r="U252" s="24"/>
      <c r="V252" s="24"/>
      <c r="W252" s="24"/>
      <c r="X252" s="26"/>
      <c r="Y252" s="26"/>
      <c r="Z252" s="24"/>
      <c r="AA252" s="26"/>
      <c r="AB252" s="25"/>
      <c r="AC252" s="24"/>
      <c r="AD252" s="24"/>
      <c r="AE252" s="24"/>
      <c r="AF252" s="26"/>
      <c r="AG252" s="26"/>
      <c r="AH252" s="24"/>
      <c r="AI252" s="26"/>
      <c r="AJ252" s="25"/>
      <c r="AK252" s="24"/>
      <c r="AL252" s="24"/>
      <c r="AM252" s="24"/>
      <c r="AN252" s="26"/>
      <c r="AO252" s="26"/>
      <c r="AP252" s="24"/>
      <c r="AQ252" s="24"/>
      <c r="AR252" s="24"/>
      <c r="AS252" s="28"/>
      <c r="AT252" s="28"/>
      <c r="AU252" s="28"/>
      <c r="AV252" s="28"/>
      <c r="AW252" s="28"/>
      <c r="AX252" s="28"/>
      <c r="AY252" s="28"/>
      <c r="AZ252" s="28"/>
      <c r="BA252" s="28"/>
      <c r="BB252" s="28"/>
      <c r="BC252" s="28"/>
      <c r="BD252" s="28"/>
      <c r="BE252" s="28"/>
      <c r="BF252" s="28"/>
      <c r="BG252" s="28"/>
      <c r="BH252" s="28"/>
      <c r="BI252" s="28"/>
      <c r="BJ252" s="24"/>
      <c r="BK252" s="28"/>
      <c r="BL252" s="28"/>
      <c r="BM252" s="28"/>
      <c r="BN252" s="28"/>
      <c r="BO252" s="28"/>
      <c r="BP252" s="28"/>
      <c r="BQ252" s="24"/>
      <c r="BR252" s="28"/>
      <c r="BS252" s="28"/>
      <c r="BT252" s="28"/>
      <c r="BU252" s="24"/>
      <c r="BV252" s="28"/>
      <c r="BW252" s="28"/>
      <c r="BX252" s="28"/>
    </row>
    <row r="253" spans="1:76">
      <c r="A253" s="24"/>
      <c r="B253" s="28"/>
      <c r="C253" s="25"/>
      <c r="D253" s="26"/>
      <c r="E253" s="24"/>
      <c r="F253" s="24"/>
      <c r="G253" s="26"/>
      <c r="H253" s="26"/>
      <c r="I253" s="26"/>
      <c r="J253" s="26"/>
      <c r="K253" s="26"/>
      <c r="L253" s="26"/>
      <c r="M253" s="26"/>
      <c r="N253" s="26"/>
      <c r="O253" s="26"/>
      <c r="P253" s="26"/>
      <c r="Q253" s="26"/>
      <c r="S253" s="26"/>
      <c r="T253" s="25"/>
      <c r="U253" s="24"/>
      <c r="V253" s="24"/>
      <c r="W253" s="24"/>
      <c r="X253" s="26"/>
      <c r="Y253" s="26"/>
      <c r="Z253" s="24"/>
      <c r="AA253" s="26"/>
      <c r="AB253" s="25"/>
      <c r="AC253" s="24"/>
      <c r="AD253" s="24"/>
      <c r="AE253" s="24"/>
      <c r="AF253" s="26"/>
      <c r="AG253" s="26"/>
      <c r="AH253" s="24"/>
      <c r="AI253" s="26"/>
      <c r="AJ253" s="25"/>
      <c r="AK253" s="24"/>
      <c r="AL253" s="24"/>
      <c r="AM253" s="24"/>
      <c r="AN253" s="26"/>
      <c r="AO253" s="26"/>
      <c r="AP253" s="24"/>
      <c r="AQ253" s="24"/>
      <c r="AR253" s="24"/>
      <c r="AS253" s="28"/>
      <c r="AT253" s="28"/>
      <c r="AU253" s="28"/>
      <c r="AV253" s="28"/>
      <c r="AW253" s="28"/>
      <c r="AX253" s="28"/>
      <c r="AY253" s="28"/>
      <c r="AZ253" s="28"/>
      <c r="BA253" s="28"/>
      <c r="BB253" s="28"/>
      <c r="BC253" s="28"/>
      <c r="BD253" s="28"/>
      <c r="BE253" s="28"/>
      <c r="BF253" s="28"/>
      <c r="BG253" s="28"/>
      <c r="BH253" s="28"/>
      <c r="BI253" s="28"/>
      <c r="BJ253" s="24"/>
      <c r="BK253" s="28"/>
      <c r="BL253" s="28"/>
      <c r="BM253" s="28"/>
      <c r="BN253" s="28"/>
      <c r="BO253" s="28"/>
      <c r="BP253" s="28"/>
      <c r="BQ253" s="24"/>
      <c r="BR253" s="28"/>
      <c r="BS253" s="28"/>
      <c r="BT253" s="28"/>
      <c r="BU253" s="24"/>
      <c r="BV253" s="28"/>
      <c r="BW253" s="28"/>
      <c r="BX253" s="28"/>
    </row>
    <row r="254" spans="1:76">
      <c r="A254" s="24"/>
      <c r="B254" s="28"/>
      <c r="C254" s="25"/>
      <c r="D254" s="26"/>
      <c r="E254" s="24"/>
      <c r="F254" s="24"/>
      <c r="G254" s="26"/>
      <c r="H254" s="26"/>
      <c r="I254" s="26"/>
      <c r="J254" s="26"/>
      <c r="K254" s="26"/>
      <c r="L254" s="26"/>
      <c r="M254" s="26"/>
      <c r="N254" s="26"/>
      <c r="O254" s="26"/>
      <c r="P254" s="26"/>
      <c r="Q254" s="26"/>
      <c r="S254" s="26"/>
      <c r="T254" s="25"/>
      <c r="U254" s="24"/>
      <c r="V254" s="24"/>
      <c r="W254" s="24"/>
      <c r="X254" s="26"/>
      <c r="Y254" s="26"/>
      <c r="Z254" s="24"/>
      <c r="AA254" s="26"/>
      <c r="AB254" s="25"/>
      <c r="AC254" s="24"/>
      <c r="AD254" s="24"/>
      <c r="AE254" s="24"/>
      <c r="AF254" s="26"/>
      <c r="AG254" s="26"/>
      <c r="AH254" s="24"/>
      <c r="AI254" s="26"/>
      <c r="AJ254" s="25"/>
      <c r="AK254" s="24"/>
      <c r="AL254" s="24"/>
      <c r="AM254" s="24"/>
      <c r="AN254" s="26"/>
      <c r="AO254" s="26"/>
      <c r="AP254" s="24"/>
      <c r="AQ254" s="24"/>
      <c r="AR254" s="24"/>
      <c r="AS254" s="28"/>
      <c r="AT254" s="28"/>
      <c r="AU254" s="28"/>
      <c r="AV254" s="28"/>
      <c r="AW254" s="28"/>
      <c r="AX254" s="28"/>
      <c r="AY254" s="28"/>
      <c r="AZ254" s="28"/>
      <c r="BA254" s="28"/>
      <c r="BB254" s="28"/>
      <c r="BC254" s="28"/>
      <c r="BD254" s="28"/>
      <c r="BE254" s="28"/>
      <c r="BF254" s="28"/>
      <c r="BG254" s="28"/>
      <c r="BH254" s="28"/>
      <c r="BI254" s="28"/>
      <c r="BJ254" s="24"/>
      <c r="BK254" s="28"/>
      <c r="BL254" s="28"/>
      <c r="BM254" s="28"/>
      <c r="BN254" s="28"/>
      <c r="BO254" s="28"/>
      <c r="BP254" s="28"/>
      <c r="BQ254" s="24"/>
      <c r="BR254" s="28"/>
      <c r="BS254" s="28"/>
      <c r="BT254" s="28"/>
      <c r="BU254" s="24"/>
      <c r="BV254" s="28"/>
      <c r="BW254" s="28"/>
      <c r="BX254" s="28"/>
    </row>
    <row r="255" spans="1:76">
      <c r="A255" s="24"/>
      <c r="B255" s="28"/>
      <c r="C255" s="25"/>
      <c r="D255" s="26"/>
      <c r="E255" s="24"/>
      <c r="F255" s="24"/>
      <c r="G255" s="26"/>
      <c r="H255" s="26"/>
      <c r="I255" s="26"/>
      <c r="J255" s="26"/>
      <c r="K255" s="26"/>
      <c r="L255" s="26"/>
      <c r="M255" s="26"/>
      <c r="N255" s="26"/>
      <c r="O255" s="26"/>
      <c r="P255" s="26"/>
      <c r="Q255" s="26"/>
      <c r="S255" s="26"/>
      <c r="T255" s="25"/>
      <c r="U255" s="24"/>
      <c r="V255" s="24"/>
      <c r="W255" s="24"/>
      <c r="X255" s="26"/>
      <c r="Y255" s="26"/>
      <c r="Z255" s="24"/>
      <c r="AA255" s="26"/>
      <c r="AB255" s="25"/>
      <c r="AC255" s="24"/>
      <c r="AD255" s="24"/>
      <c r="AE255" s="24"/>
      <c r="AF255" s="26"/>
      <c r="AG255" s="26"/>
      <c r="AH255" s="24"/>
      <c r="AI255" s="26"/>
      <c r="AJ255" s="25"/>
      <c r="AK255" s="24"/>
      <c r="AL255" s="24"/>
      <c r="AM255" s="24"/>
      <c r="AN255" s="26"/>
      <c r="AO255" s="26"/>
      <c r="AP255" s="24"/>
      <c r="AQ255" s="24"/>
      <c r="AR255" s="24"/>
      <c r="AS255" s="28"/>
      <c r="AT255" s="28"/>
      <c r="AU255" s="28"/>
      <c r="AV255" s="28"/>
      <c r="AW255" s="28"/>
      <c r="AX255" s="28"/>
      <c r="AY255" s="28"/>
      <c r="AZ255" s="28"/>
      <c r="BA255" s="28"/>
      <c r="BB255" s="28"/>
      <c r="BC255" s="28"/>
      <c r="BD255" s="28"/>
      <c r="BE255" s="28"/>
      <c r="BF255" s="28"/>
      <c r="BG255" s="28"/>
      <c r="BH255" s="28"/>
      <c r="BI255" s="28"/>
      <c r="BJ255" s="24"/>
      <c r="BK255" s="28"/>
      <c r="BL255" s="28"/>
      <c r="BM255" s="28"/>
      <c r="BN255" s="28"/>
      <c r="BO255" s="28"/>
      <c r="BP255" s="28"/>
      <c r="BQ255" s="24"/>
      <c r="BR255" s="28"/>
      <c r="BS255" s="28"/>
      <c r="BT255" s="28"/>
      <c r="BU255" s="24"/>
      <c r="BV255" s="28"/>
      <c r="BW255" s="28"/>
      <c r="BX255" s="28"/>
    </row>
    <row r="256" spans="1:76">
      <c r="A256" s="24"/>
      <c r="B256" s="28"/>
      <c r="C256" s="25"/>
      <c r="D256" s="26"/>
      <c r="E256" s="24"/>
      <c r="F256" s="24"/>
      <c r="G256" s="26"/>
      <c r="H256" s="26"/>
      <c r="I256" s="26"/>
      <c r="J256" s="26"/>
      <c r="K256" s="26"/>
      <c r="L256" s="26"/>
      <c r="M256" s="26"/>
      <c r="N256" s="26"/>
      <c r="O256" s="26"/>
      <c r="P256" s="26"/>
      <c r="Q256" s="26"/>
      <c r="S256" s="26"/>
      <c r="T256" s="25"/>
      <c r="U256" s="24"/>
      <c r="V256" s="24"/>
      <c r="W256" s="24"/>
      <c r="X256" s="26"/>
      <c r="Y256" s="26"/>
      <c r="Z256" s="24"/>
      <c r="AA256" s="26"/>
      <c r="AB256" s="25"/>
      <c r="AC256" s="24"/>
      <c r="AD256" s="24"/>
      <c r="AE256" s="24"/>
      <c r="AF256" s="26"/>
      <c r="AG256" s="26"/>
      <c r="AH256" s="24"/>
      <c r="AI256" s="26"/>
      <c r="AJ256" s="25"/>
      <c r="AK256" s="24"/>
      <c r="AL256" s="24"/>
      <c r="AM256" s="24"/>
      <c r="AN256" s="26"/>
      <c r="AO256" s="26"/>
      <c r="AP256" s="24"/>
      <c r="AQ256" s="24"/>
      <c r="AR256" s="24"/>
      <c r="AS256" s="28"/>
      <c r="AT256" s="28"/>
      <c r="AU256" s="28"/>
      <c r="AV256" s="28"/>
      <c r="AW256" s="28"/>
      <c r="AX256" s="28"/>
      <c r="AY256" s="28"/>
      <c r="AZ256" s="28"/>
      <c r="BA256" s="28"/>
      <c r="BB256" s="28"/>
      <c r="BC256" s="28"/>
      <c r="BD256" s="28"/>
      <c r="BE256" s="28"/>
      <c r="BF256" s="28"/>
      <c r="BG256" s="28"/>
      <c r="BH256" s="28"/>
      <c r="BI256" s="28"/>
      <c r="BJ256" s="24"/>
      <c r="BK256" s="28"/>
      <c r="BL256" s="28"/>
      <c r="BM256" s="28"/>
      <c r="BN256" s="28"/>
      <c r="BO256" s="28"/>
      <c r="BP256" s="28"/>
      <c r="BQ256" s="24"/>
      <c r="BR256" s="28"/>
      <c r="BS256" s="28"/>
      <c r="BT256" s="28"/>
      <c r="BU256" s="24"/>
      <c r="BV256" s="28"/>
      <c r="BW256" s="28"/>
      <c r="BX256" s="28"/>
    </row>
    <row r="257" spans="1:76">
      <c r="A257" s="24"/>
      <c r="B257" s="28"/>
      <c r="C257" s="25"/>
      <c r="D257" s="26"/>
      <c r="E257" s="24"/>
      <c r="F257" s="24"/>
      <c r="G257" s="26"/>
      <c r="H257" s="26"/>
      <c r="I257" s="26"/>
      <c r="J257" s="26"/>
      <c r="K257" s="26"/>
      <c r="L257" s="26"/>
      <c r="M257" s="26"/>
      <c r="N257" s="26"/>
      <c r="O257" s="26"/>
      <c r="P257" s="26"/>
      <c r="Q257" s="26"/>
      <c r="S257" s="26"/>
      <c r="T257" s="25"/>
      <c r="U257" s="24"/>
      <c r="V257" s="24"/>
      <c r="W257" s="24"/>
      <c r="X257" s="26"/>
      <c r="Y257" s="26"/>
      <c r="Z257" s="24"/>
      <c r="AA257" s="26"/>
      <c r="AB257" s="25"/>
      <c r="AC257" s="24"/>
      <c r="AD257" s="24"/>
      <c r="AE257" s="24"/>
      <c r="AF257" s="26"/>
      <c r="AG257" s="26"/>
      <c r="AH257" s="24"/>
      <c r="AI257" s="26"/>
      <c r="AJ257" s="25"/>
      <c r="AK257" s="24"/>
      <c r="AL257" s="24"/>
      <c r="AM257" s="24"/>
      <c r="AN257" s="26"/>
      <c r="AO257" s="26"/>
      <c r="AP257" s="24"/>
      <c r="AQ257" s="24"/>
      <c r="AR257" s="24"/>
      <c r="AS257" s="28"/>
      <c r="AT257" s="28"/>
      <c r="AU257" s="28"/>
      <c r="AV257" s="28"/>
      <c r="AW257" s="28"/>
      <c r="AX257" s="28"/>
      <c r="AY257" s="28"/>
      <c r="AZ257" s="28"/>
      <c r="BA257" s="28"/>
      <c r="BB257" s="28"/>
      <c r="BC257" s="28"/>
      <c r="BD257" s="28"/>
      <c r="BE257" s="28"/>
      <c r="BF257" s="28"/>
      <c r="BG257" s="28"/>
      <c r="BH257" s="28"/>
      <c r="BI257" s="28"/>
      <c r="BJ257" s="24"/>
      <c r="BK257" s="28"/>
      <c r="BL257" s="28"/>
      <c r="BM257" s="28"/>
      <c r="BN257" s="28"/>
      <c r="BO257" s="28"/>
      <c r="BP257" s="28"/>
      <c r="BQ257" s="24"/>
      <c r="BR257" s="28"/>
      <c r="BS257" s="28"/>
      <c r="BT257" s="28"/>
      <c r="BU257" s="24"/>
      <c r="BV257" s="28"/>
      <c r="BW257" s="28"/>
      <c r="BX257" s="28"/>
    </row>
    <row r="258" spans="1:76">
      <c r="A258" s="24"/>
      <c r="B258" s="28"/>
      <c r="C258" s="25"/>
      <c r="D258" s="26"/>
      <c r="E258" s="24"/>
      <c r="F258" s="24"/>
      <c r="G258" s="26"/>
      <c r="H258" s="26"/>
      <c r="I258" s="26"/>
      <c r="J258" s="26"/>
      <c r="K258" s="26"/>
      <c r="L258" s="26"/>
      <c r="M258" s="26"/>
      <c r="N258" s="26"/>
      <c r="O258" s="26"/>
      <c r="P258" s="26"/>
      <c r="Q258" s="26"/>
      <c r="S258" s="26"/>
      <c r="T258" s="25"/>
      <c r="U258" s="24"/>
      <c r="V258" s="24"/>
      <c r="W258" s="24"/>
      <c r="X258" s="26"/>
      <c r="Y258" s="26"/>
      <c r="Z258" s="24"/>
      <c r="AA258" s="26"/>
      <c r="AB258" s="25"/>
      <c r="AC258" s="24"/>
      <c r="AD258" s="24"/>
      <c r="AE258" s="24"/>
      <c r="AF258" s="26"/>
      <c r="AG258" s="26"/>
      <c r="AH258" s="24"/>
      <c r="AI258" s="26"/>
      <c r="AJ258" s="25"/>
      <c r="AK258" s="24"/>
      <c r="AL258" s="24"/>
      <c r="AM258" s="24"/>
      <c r="AN258" s="26"/>
      <c r="AO258" s="26"/>
      <c r="AP258" s="24"/>
      <c r="AQ258" s="24"/>
      <c r="AR258" s="24"/>
      <c r="AS258" s="28"/>
      <c r="AT258" s="28"/>
      <c r="AU258" s="28"/>
      <c r="AV258" s="28"/>
      <c r="AW258" s="28"/>
      <c r="AX258" s="28"/>
      <c r="AY258" s="28"/>
      <c r="AZ258" s="28"/>
      <c r="BA258" s="28"/>
      <c r="BB258" s="28"/>
      <c r="BC258" s="28"/>
      <c r="BD258" s="28"/>
      <c r="BE258" s="28"/>
      <c r="BF258" s="28"/>
      <c r="BG258" s="28"/>
      <c r="BH258" s="28"/>
      <c r="BI258" s="28"/>
      <c r="BJ258" s="24"/>
      <c r="BK258" s="28"/>
      <c r="BL258" s="28"/>
      <c r="BM258" s="28"/>
      <c r="BN258" s="28"/>
      <c r="BO258" s="28"/>
      <c r="BP258" s="28"/>
      <c r="BQ258" s="24"/>
      <c r="BR258" s="28"/>
      <c r="BS258" s="28"/>
      <c r="BT258" s="28"/>
      <c r="BU258" s="24"/>
      <c r="BV258" s="28"/>
      <c r="BW258" s="28"/>
      <c r="BX258" s="28"/>
    </row>
    <row r="259" spans="1:76">
      <c r="A259" s="24"/>
      <c r="B259" s="28"/>
      <c r="C259" s="25"/>
      <c r="D259" s="26"/>
      <c r="E259" s="24"/>
      <c r="F259" s="24"/>
      <c r="G259" s="26"/>
      <c r="H259" s="26"/>
      <c r="I259" s="26"/>
      <c r="J259" s="26"/>
      <c r="K259" s="26"/>
      <c r="L259" s="26"/>
      <c r="M259" s="26"/>
      <c r="N259" s="26"/>
      <c r="O259" s="26"/>
      <c r="P259" s="26"/>
      <c r="Q259" s="26"/>
      <c r="S259" s="26"/>
      <c r="T259" s="25"/>
      <c r="U259" s="24"/>
      <c r="V259" s="24"/>
      <c r="W259" s="24"/>
      <c r="X259" s="26"/>
      <c r="Y259" s="26"/>
      <c r="Z259" s="24"/>
      <c r="AA259" s="26"/>
      <c r="AB259" s="25"/>
      <c r="AC259" s="24"/>
      <c r="AD259" s="24"/>
      <c r="AE259" s="24"/>
      <c r="AF259" s="26"/>
      <c r="AG259" s="26"/>
      <c r="AH259" s="24"/>
      <c r="AI259" s="26"/>
      <c r="AJ259" s="25"/>
      <c r="AK259" s="24"/>
      <c r="AL259" s="24"/>
      <c r="AM259" s="24"/>
      <c r="AN259" s="26"/>
      <c r="AO259" s="26"/>
      <c r="AP259" s="24"/>
      <c r="AQ259" s="24"/>
      <c r="AR259" s="24"/>
      <c r="AS259" s="28"/>
      <c r="AT259" s="28"/>
      <c r="AU259" s="28"/>
      <c r="AV259" s="28"/>
      <c r="AW259" s="28"/>
      <c r="AX259" s="28"/>
      <c r="AY259" s="28"/>
      <c r="AZ259" s="28"/>
      <c r="BA259" s="28"/>
      <c r="BB259" s="28"/>
      <c r="BC259" s="28"/>
      <c r="BD259" s="28"/>
      <c r="BE259" s="28"/>
      <c r="BF259" s="28"/>
      <c r="BG259" s="28"/>
      <c r="BH259" s="28"/>
      <c r="BI259" s="28"/>
      <c r="BJ259" s="24"/>
      <c r="BK259" s="28"/>
      <c r="BL259" s="28"/>
      <c r="BM259" s="28"/>
      <c r="BN259" s="28"/>
      <c r="BO259" s="28"/>
      <c r="BP259" s="28"/>
      <c r="BQ259" s="24"/>
      <c r="BR259" s="28"/>
      <c r="BS259" s="28"/>
      <c r="BT259" s="28"/>
      <c r="BU259" s="24"/>
      <c r="BV259" s="28"/>
      <c r="BW259" s="28"/>
      <c r="BX259" s="28"/>
    </row>
    <row r="260" spans="1:76">
      <c r="A260" s="24"/>
      <c r="B260" s="28"/>
      <c r="C260" s="25"/>
      <c r="D260" s="26"/>
      <c r="E260" s="24"/>
      <c r="F260" s="24"/>
      <c r="G260" s="26"/>
      <c r="H260" s="26"/>
      <c r="I260" s="26"/>
      <c r="J260" s="26"/>
      <c r="K260" s="26"/>
      <c r="L260" s="26"/>
      <c r="M260" s="26"/>
      <c r="N260" s="26"/>
      <c r="O260" s="26"/>
      <c r="P260" s="26"/>
      <c r="Q260" s="26"/>
      <c r="S260" s="26"/>
      <c r="T260" s="25"/>
      <c r="U260" s="24"/>
      <c r="V260" s="24"/>
      <c r="W260" s="24"/>
      <c r="X260" s="26"/>
      <c r="Y260" s="26"/>
      <c r="Z260" s="24"/>
      <c r="AA260" s="26"/>
      <c r="AB260" s="25"/>
      <c r="AC260" s="24"/>
      <c r="AD260" s="24"/>
      <c r="AE260" s="24"/>
      <c r="AF260" s="26"/>
      <c r="AG260" s="26"/>
      <c r="AH260" s="24"/>
      <c r="AI260" s="26"/>
      <c r="AJ260" s="25"/>
      <c r="AK260" s="24"/>
      <c r="AL260" s="24"/>
      <c r="AM260" s="24"/>
      <c r="AN260" s="26"/>
      <c r="AO260" s="26"/>
      <c r="AP260" s="24"/>
      <c r="AQ260" s="24"/>
      <c r="AR260" s="24"/>
      <c r="AS260" s="28"/>
      <c r="AT260" s="28"/>
      <c r="AU260" s="28"/>
      <c r="AV260" s="28"/>
      <c r="AW260" s="28"/>
      <c r="AX260" s="28"/>
      <c r="AY260" s="28"/>
      <c r="AZ260" s="28"/>
      <c r="BA260" s="28"/>
      <c r="BB260" s="28"/>
      <c r="BC260" s="28"/>
      <c r="BD260" s="28"/>
      <c r="BE260" s="28"/>
      <c r="BF260" s="28"/>
      <c r="BG260" s="28"/>
      <c r="BH260" s="28"/>
      <c r="BI260" s="28"/>
      <c r="BJ260" s="24"/>
      <c r="BK260" s="28"/>
      <c r="BL260" s="28"/>
      <c r="BM260" s="28"/>
      <c r="BN260" s="28"/>
      <c r="BO260" s="28"/>
      <c r="BP260" s="28"/>
      <c r="BQ260" s="24"/>
      <c r="BR260" s="28"/>
      <c r="BS260" s="28"/>
      <c r="BT260" s="28"/>
      <c r="BU260" s="24"/>
      <c r="BV260" s="28"/>
      <c r="BW260" s="28"/>
      <c r="BX260" s="28"/>
    </row>
    <row r="261" spans="1:76">
      <c r="A261" s="24"/>
      <c r="B261" s="28"/>
      <c r="C261" s="25"/>
      <c r="D261" s="26"/>
      <c r="E261" s="24"/>
      <c r="F261" s="24"/>
      <c r="G261" s="26"/>
      <c r="H261" s="26"/>
      <c r="I261" s="26"/>
      <c r="J261" s="26"/>
      <c r="K261" s="26"/>
      <c r="L261" s="26"/>
      <c r="M261" s="26"/>
      <c r="N261" s="26"/>
      <c r="O261" s="26"/>
      <c r="P261" s="26"/>
      <c r="Q261" s="26"/>
      <c r="S261" s="26"/>
      <c r="T261" s="25"/>
      <c r="U261" s="24"/>
      <c r="V261" s="24"/>
      <c r="W261" s="24"/>
      <c r="X261" s="26"/>
      <c r="Y261" s="26"/>
      <c r="Z261" s="24"/>
      <c r="AA261" s="26"/>
      <c r="AB261" s="25"/>
      <c r="AC261" s="24"/>
      <c r="AD261" s="24"/>
      <c r="AE261" s="24"/>
      <c r="AF261" s="26"/>
      <c r="AG261" s="26"/>
      <c r="AH261" s="24"/>
      <c r="AI261" s="26"/>
      <c r="AJ261" s="25"/>
      <c r="AK261" s="24"/>
      <c r="AL261" s="24"/>
      <c r="AM261" s="24"/>
      <c r="AN261" s="26"/>
      <c r="AO261" s="26"/>
      <c r="AP261" s="24"/>
      <c r="AQ261" s="24"/>
      <c r="AR261" s="24"/>
      <c r="AS261" s="28"/>
      <c r="AT261" s="28"/>
      <c r="AU261" s="28"/>
      <c r="AV261" s="28"/>
      <c r="AW261" s="28"/>
      <c r="AX261" s="28"/>
      <c r="AY261" s="28"/>
      <c r="AZ261" s="28"/>
      <c r="BA261" s="28"/>
      <c r="BB261" s="28"/>
      <c r="BC261" s="28"/>
      <c r="BD261" s="28"/>
      <c r="BE261" s="28"/>
      <c r="BF261" s="28"/>
      <c r="BG261" s="28"/>
      <c r="BH261" s="28"/>
      <c r="BI261" s="28"/>
      <c r="BJ261" s="24"/>
      <c r="BK261" s="28"/>
      <c r="BL261" s="28"/>
      <c r="BM261" s="28"/>
      <c r="BN261" s="28"/>
      <c r="BO261" s="28"/>
      <c r="BP261" s="28"/>
      <c r="BQ261" s="24"/>
      <c r="BR261" s="28"/>
      <c r="BS261" s="28"/>
      <c r="BT261" s="28"/>
      <c r="BU261" s="24"/>
      <c r="BV261" s="28"/>
      <c r="BW261" s="28"/>
      <c r="BX261" s="28"/>
    </row>
    <row r="262" spans="1:76">
      <c r="A262" s="24"/>
      <c r="B262" s="28"/>
      <c r="C262" s="25"/>
      <c r="D262" s="26"/>
      <c r="E262" s="24"/>
      <c r="F262" s="24"/>
      <c r="G262" s="26"/>
      <c r="H262" s="26"/>
      <c r="I262" s="26"/>
      <c r="J262" s="26"/>
      <c r="K262" s="26"/>
      <c r="L262" s="26"/>
      <c r="M262" s="26"/>
      <c r="N262" s="26"/>
      <c r="O262" s="26"/>
      <c r="P262" s="26"/>
      <c r="Q262" s="26"/>
      <c r="S262" s="26"/>
      <c r="T262" s="25"/>
      <c r="U262" s="24"/>
      <c r="V262" s="24"/>
      <c r="W262" s="24"/>
      <c r="X262" s="26"/>
      <c r="Y262" s="26"/>
      <c r="Z262" s="24"/>
      <c r="AA262" s="26"/>
      <c r="AB262" s="25"/>
      <c r="AC262" s="24"/>
      <c r="AD262" s="24"/>
      <c r="AE262" s="24"/>
      <c r="AF262" s="26"/>
      <c r="AG262" s="26"/>
      <c r="AH262" s="24"/>
      <c r="AI262" s="26"/>
      <c r="AJ262" s="25"/>
      <c r="AK262" s="24"/>
      <c r="AL262" s="24"/>
      <c r="AM262" s="24"/>
      <c r="AN262" s="26"/>
      <c r="AO262" s="26"/>
      <c r="AP262" s="24"/>
      <c r="AQ262" s="24"/>
      <c r="AR262" s="24"/>
      <c r="AS262" s="28"/>
      <c r="AT262" s="28"/>
      <c r="AU262" s="28"/>
      <c r="AV262" s="28"/>
      <c r="AW262" s="28"/>
      <c r="AX262" s="28"/>
      <c r="AY262" s="28"/>
      <c r="AZ262" s="28"/>
      <c r="BA262" s="28"/>
      <c r="BB262" s="28"/>
      <c r="BC262" s="28"/>
      <c r="BD262" s="28"/>
      <c r="BE262" s="28"/>
      <c r="BF262" s="28"/>
      <c r="BG262" s="28"/>
      <c r="BH262" s="28"/>
      <c r="BI262" s="28"/>
      <c r="BJ262" s="24"/>
      <c r="BK262" s="28"/>
      <c r="BL262" s="28"/>
      <c r="BM262" s="28"/>
      <c r="BN262" s="28"/>
      <c r="BO262" s="28"/>
      <c r="BP262" s="28"/>
      <c r="BQ262" s="24"/>
      <c r="BR262" s="28"/>
      <c r="BS262" s="28"/>
      <c r="BT262" s="28"/>
      <c r="BU262" s="24"/>
      <c r="BV262" s="28"/>
      <c r="BW262" s="28"/>
      <c r="BX262" s="28"/>
    </row>
    <row r="263" spans="1:76">
      <c r="A263" s="24"/>
      <c r="B263" s="28"/>
      <c r="C263" s="25"/>
      <c r="D263" s="26"/>
      <c r="E263" s="24"/>
      <c r="F263" s="24"/>
      <c r="G263" s="26"/>
      <c r="H263" s="26"/>
      <c r="I263" s="26"/>
      <c r="J263" s="26"/>
      <c r="K263" s="26"/>
      <c r="L263" s="26"/>
      <c r="M263" s="26"/>
      <c r="N263" s="26"/>
      <c r="O263" s="26"/>
      <c r="P263" s="26"/>
      <c r="Q263" s="26"/>
      <c r="S263" s="26"/>
      <c r="T263" s="25"/>
      <c r="U263" s="24"/>
      <c r="V263" s="24"/>
      <c r="W263" s="24"/>
      <c r="X263" s="26"/>
      <c r="Y263" s="26"/>
      <c r="Z263" s="24"/>
      <c r="AA263" s="26"/>
      <c r="AB263" s="25"/>
      <c r="AC263" s="24"/>
      <c r="AD263" s="24"/>
      <c r="AE263" s="24"/>
      <c r="AF263" s="26"/>
      <c r="AG263" s="26"/>
      <c r="AH263" s="24"/>
      <c r="AI263" s="26"/>
      <c r="AJ263" s="25"/>
      <c r="AK263" s="24"/>
      <c r="AL263" s="24"/>
      <c r="AM263" s="24"/>
      <c r="AN263" s="26"/>
      <c r="AO263" s="26"/>
      <c r="AP263" s="24"/>
      <c r="AQ263" s="24"/>
      <c r="AR263" s="24"/>
      <c r="AS263" s="28"/>
      <c r="AT263" s="28"/>
      <c r="AU263" s="28"/>
      <c r="AV263" s="28"/>
      <c r="AW263" s="28"/>
      <c r="AX263" s="28"/>
      <c r="AY263" s="28"/>
      <c r="AZ263" s="28"/>
      <c r="BA263" s="28"/>
      <c r="BB263" s="28"/>
      <c r="BC263" s="28"/>
      <c r="BD263" s="28"/>
      <c r="BE263" s="28"/>
      <c r="BF263" s="28"/>
      <c r="BG263" s="28"/>
      <c r="BH263" s="28"/>
      <c r="BI263" s="28"/>
      <c r="BJ263" s="24"/>
      <c r="BK263" s="28"/>
      <c r="BL263" s="28"/>
      <c r="BM263" s="28"/>
      <c r="BN263" s="28"/>
      <c r="BO263" s="28"/>
      <c r="BP263" s="28"/>
      <c r="BQ263" s="24"/>
      <c r="BR263" s="28"/>
      <c r="BS263" s="28"/>
      <c r="BT263" s="28"/>
      <c r="BU263" s="24"/>
      <c r="BV263" s="28"/>
      <c r="BW263" s="28"/>
      <c r="BX263" s="28"/>
    </row>
    <row r="264" spans="1:76">
      <c r="A264" s="24"/>
      <c r="B264" s="28"/>
      <c r="C264" s="25"/>
      <c r="D264" s="26"/>
      <c r="E264" s="24"/>
      <c r="F264" s="24"/>
      <c r="G264" s="26"/>
      <c r="H264" s="26"/>
      <c r="I264" s="26"/>
      <c r="J264" s="26"/>
      <c r="K264" s="26"/>
      <c r="L264" s="26"/>
      <c r="M264" s="26"/>
      <c r="N264" s="26"/>
      <c r="O264" s="26"/>
      <c r="P264" s="26"/>
      <c r="Q264" s="26"/>
      <c r="S264" s="26"/>
      <c r="T264" s="25"/>
      <c r="U264" s="24"/>
      <c r="V264" s="24"/>
      <c r="W264" s="24"/>
      <c r="X264" s="26"/>
      <c r="Y264" s="26"/>
      <c r="Z264" s="24"/>
      <c r="AA264" s="26"/>
      <c r="AB264" s="25"/>
      <c r="AC264" s="24"/>
      <c r="AD264" s="24"/>
      <c r="AE264" s="24"/>
      <c r="AF264" s="26"/>
      <c r="AG264" s="26"/>
      <c r="AH264" s="24"/>
      <c r="AI264" s="26"/>
      <c r="AJ264" s="25"/>
      <c r="AK264" s="24"/>
      <c r="AL264" s="24"/>
      <c r="AM264" s="24"/>
      <c r="AN264" s="26"/>
      <c r="AO264" s="26"/>
      <c r="AP264" s="24"/>
      <c r="AQ264" s="24"/>
      <c r="AR264" s="24"/>
      <c r="AS264" s="28"/>
      <c r="AT264" s="28"/>
      <c r="AU264" s="28"/>
      <c r="AV264" s="28"/>
      <c r="AW264" s="28"/>
      <c r="AX264" s="28"/>
      <c r="AY264" s="28"/>
      <c r="AZ264" s="28"/>
      <c r="BA264" s="28"/>
      <c r="BB264" s="28"/>
      <c r="BC264" s="28"/>
      <c r="BD264" s="28"/>
      <c r="BE264" s="28"/>
      <c r="BF264" s="28"/>
      <c r="BG264" s="28"/>
      <c r="BH264" s="28"/>
      <c r="BI264" s="28"/>
      <c r="BJ264" s="24"/>
      <c r="BK264" s="28"/>
      <c r="BL264" s="28"/>
      <c r="BM264" s="28"/>
      <c r="BN264" s="28"/>
      <c r="BO264" s="28"/>
      <c r="BP264" s="28"/>
      <c r="BQ264" s="24"/>
      <c r="BR264" s="28"/>
      <c r="BS264" s="28"/>
      <c r="BT264" s="28"/>
      <c r="BU264" s="24"/>
      <c r="BV264" s="28"/>
      <c r="BW264" s="28"/>
      <c r="BX264" s="28"/>
    </row>
    <row r="265" spans="1:76">
      <c r="A265" s="24"/>
      <c r="B265" s="28"/>
      <c r="C265" s="25"/>
      <c r="D265" s="26"/>
      <c r="E265" s="24"/>
      <c r="F265" s="24"/>
      <c r="G265" s="26"/>
      <c r="H265" s="26"/>
      <c r="I265" s="26"/>
      <c r="J265" s="26"/>
      <c r="K265" s="26"/>
      <c r="L265" s="26"/>
      <c r="M265" s="26"/>
      <c r="N265" s="26"/>
      <c r="O265" s="26"/>
      <c r="P265" s="26"/>
      <c r="Q265" s="26"/>
      <c r="S265" s="26"/>
      <c r="T265" s="25"/>
      <c r="U265" s="24"/>
      <c r="V265" s="24"/>
      <c r="W265" s="24"/>
      <c r="X265" s="26"/>
      <c r="Y265" s="26"/>
      <c r="Z265" s="24"/>
      <c r="AA265" s="26"/>
      <c r="AB265" s="25"/>
      <c r="AC265" s="24"/>
      <c r="AD265" s="24"/>
      <c r="AE265" s="24"/>
      <c r="AF265" s="26"/>
      <c r="AG265" s="26"/>
      <c r="AH265" s="24"/>
      <c r="AI265" s="26"/>
      <c r="AJ265" s="25"/>
      <c r="AK265" s="24"/>
      <c r="AL265" s="24"/>
      <c r="AM265" s="24"/>
      <c r="AN265" s="26"/>
      <c r="AO265" s="26"/>
      <c r="AP265" s="24"/>
      <c r="AQ265" s="24"/>
      <c r="AR265" s="24"/>
      <c r="AS265" s="28"/>
      <c r="AT265" s="28"/>
      <c r="AU265" s="28"/>
      <c r="AV265" s="28"/>
      <c r="AW265" s="28"/>
      <c r="AX265" s="28"/>
      <c r="AY265" s="28"/>
      <c r="AZ265" s="28"/>
      <c r="BA265" s="28"/>
      <c r="BB265" s="28"/>
      <c r="BC265" s="28"/>
      <c r="BD265" s="28"/>
      <c r="BE265" s="28"/>
      <c r="BF265" s="28"/>
      <c r="BG265" s="28"/>
      <c r="BH265" s="28"/>
      <c r="BI265" s="28"/>
      <c r="BJ265" s="24"/>
      <c r="BK265" s="28"/>
      <c r="BL265" s="28"/>
      <c r="BM265" s="28"/>
      <c r="BN265" s="28"/>
      <c r="BO265" s="28"/>
      <c r="BP265" s="28"/>
      <c r="BQ265" s="24"/>
      <c r="BR265" s="28"/>
      <c r="BS265" s="28"/>
      <c r="BT265" s="28"/>
      <c r="BU265" s="24"/>
      <c r="BV265" s="28"/>
      <c r="BW265" s="28"/>
      <c r="BX265" s="28"/>
    </row>
    <row r="266" spans="1:76">
      <c r="A266" s="24"/>
      <c r="B266" s="28"/>
      <c r="C266" s="25"/>
      <c r="D266" s="26"/>
      <c r="E266" s="24"/>
      <c r="F266" s="24"/>
      <c r="G266" s="26"/>
      <c r="H266" s="26"/>
      <c r="I266" s="26"/>
      <c r="J266" s="26"/>
      <c r="K266" s="26"/>
      <c r="L266" s="26"/>
      <c r="M266" s="26"/>
      <c r="N266" s="26"/>
      <c r="O266" s="26"/>
      <c r="P266" s="26"/>
      <c r="Q266" s="26"/>
      <c r="S266" s="26"/>
      <c r="T266" s="25"/>
      <c r="U266" s="24"/>
      <c r="V266" s="24"/>
      <c r="W266" s="24"/>
      <c r="X266" s="26"/>
      <c r="Y266" s="26"/>
      <c r="Z266" s="24"/>
      <c r="AA266" s="26"/>
      <c r="AB266" s="25"/>
      <c r="AC266" s="24"/>
      <c r="AD266" s="24"/>
      <c r="AE266" s="24"/>
      <c r="AF266" s="26"/>
      <c r="AG266" s="26"/>
      <c r="AH266" s="24"/>
      <c r="AI266" s="26"/>
      <c r="AJ266" s="25"/>
      <c r="AK266" s="24"/>
      <c r="AL266" s="24"/>
      <c r="AM266" s="24"/>
      <c r="AN266" s="26"/>
      <c r="AO266" s="26"/>
      <c r="AP266" s="24"/>
      <c r="AQ266" s="24"/>
      <c r="AR266" s="24"/>
      <c r="AS266" s="28"/>
      <c r="AT266" s="28"/>
      <c r="AU266" s="28"/>
      <c r="AV266" s="28"/>
      <c r="AW266" s="28"/>
      <c r="AX266" s="28"/>
      <c r="AY266" s="28"/>
      <c r="AZ266" s="28"/>
      <c r="BA266" s="28"/>
      <c r="BB266" s="28"/>
      <c r="BC266" s="28"/>
      <c r="BD266" s="28"/>
      <c r="BE266" s="28"/>
      <c r="BF266" s="28"/>
      <c r="BG266" s="28"/>
      <c r="BH266" s="28"/>
      <c r="BI266" s="28"/>
      <c r="BJ266" s="24"/>
      <c r="BK266" s="28"/>
      <c r="BL266" s="28"/>
      <c r="BM266" s="28"/>
      <c r="BN266" s="28"/>
      <c r="BO266" s="28"/>
      <c r="BP266" s="28"/>
      <c r="BQ266" s="24"/>
      <c r="BR266" s="28"/>
      <c r="BS266" s="28"/>
      <c r="BT266" s="28"/>
      <c r="BU266" s="24"/>
      <c r="BV266" s="28"/>
      <c r="BW266" s="28"/>
      <c r="BX266" s="28"/>
    </row>
    <row r="267" spans="1:76">
      <c r="A267" s="24"/>
      <c r="B267" s="28"/>
      <c r="C267" s="25"/>
      <c r="D267" s="26"/>
      <c r="E267" s="24"/>
      <c r="F267" s="24"/>
      <c r="G267" s="26"/>
      <c r="H267" s="26"/>
      <c r="I267" s="26"/>
      <c r="J267" s="26"/>
      <c r="K267" s="26"/>
      <c r="L267" s="26"/>
      <c r="M267" s="26"/>
      <c r="N267" s="26"/>
      <c r="O267" s="26"/>
      <c r="P267" s="26"/>
      <c r="Q267" s="26"/>
      <c r="S267" s="26"/>
      <c r="T267" s="25"/>
      <c r="U267" s="24"/>
      <c r="V267" s="24"/>
      <c r="W267" s="24"/>
      <c r="X267" s="26"/>
      <c r="Y267" s="26"/>
      <c r="Z267" s="24"/>
      <c r="AA267" s="26"/>
      <c r="AB267" s="25"/>
      <c r="AC267" s="24"/>
      <c r="AD267" s="24"/>
      <c r="AE267" s="24"/>
      <c r="AF267" s="26"/>
      <c r="AG267" s="26"/>
      <c r="AH267" s="24"/>
      <c r="AI267" s="26"/>
      <c r="AJ267" s="25"/>
      <c r="AK267" s="24"/>
      <c r="AL267" s="24"/>
      <c r="AM267" s="24"/>
      <c r="AN267" s="26"/>
      <c r="AO267" s="26"/>
      <c r="AP267" s="24"/>
      <c r="AQ267" s="24"/>
      <c r="AR267" s="24"/>
      <c r="AS267" s="28"/>
      <c r="AT267" s="28"/>
      <c r="AU267" s="28"/>
      <c r="AV267" s="28"/>
      <c r="AW267" s="28"/>
      <c r="AX267" s="28"/>
      <c r="AY267" s="28"/>
      <c r="AZ267" s="28"/>
      <c r="BA267" s="28"/>
      <c r="BB267" s="28"/>
      <c r="BC267" s="28"/>
      <c r="BD267" s="28"/>
      <c r="BE267" s="28"/>
      <c r="BF267" s="28"/>
      <c r="BG267" s="28"/>
      <c r="BH267" s="28"/>
      <c r="BI267" s="28"/>
      <c r="BJ267" s="24"/>
      <c r="BK267" s="28"/>
      <c r="BL267" s="28"/>
      <c r="BM267" s="28"/>
      <c r="BN267" s="28"/>
      <c r="BO267" s="28"/>
      <c r="BP267" s="28"/>
      <c r="BQ267" s="24"/>
      <c r="BR267" s="28"/>
      <c r="BS267" s="28"/>
      <c r="BT267" s="28"/>
      <c r="BU267" s="24"/>
      <c r="BV267" s="28"/>
      <c r="BW267" s="28"/>
      <c r="BX267" s="28"/>
    </row>
    <row r="268" spans="1:76">
      <c r="A268" s="24"/>
      <c r="B268" s="28"/>
      <c r="C268" s="25"/>
      <c r="D268" s="26"/>
      <c r="E268" s="24"/>
      <c r="F268" s="24"/>
      <c r="G268" s="26"/>
      <c r="H268" s="26"/>
      <c r="I268" s="26"/>
      <c r="J268" s="26"/>
      <c r="K268" s="26"/>
      <c r="L268" s="26"/>
      <c r="M268" s="26"/>
      <c r="N268" s="26"/>
      <c r="O268" s="26"/>
      <c r="P268" s="26"/>
      <c r="Q268" s="26"/>
      <c r="S268" s="26"/>
      <c r="T268" s="25"/>
      <c r="U268" s="24"/>
      <c r="V268" s="24"/>
      <c r="W268" s="24"/>
      <c r="X268" s="26"/>
      <c r="Y268" s="26"/>
      <c r="Z268" s="24"/>
      <c r="AA268" s="26"/>
      <c r="AB268" s="25"/>
      <c r="AC268" s="24"/>
      <c r="AD268" s="24"/>
      <c r="AE268" s="24"/>
      <c r="AF268" s="26"/>
      <c r="AG268" s="26"/>
      <c r="AH268" s="24"/>
      <c r="AI268" s="26"/>
      <c r="AJ268" s="25"/>
      <c r="AK268" s="24"/>
      <c r="AL268" s="24"/>
      <c r="AM268" s="24"/>
      <c r="AN268" s="26"/>
      <c r="AO268" s="26"/>
      <c r="AP268" s="24"/>
      <c r="AQ268" s="24"/>
      <c r="AR268" s="24"/>
      <c r="AS268" s="28"/>
      <c r="AT268" s="28"/>
      <c r="AU268" s="28"/>
      <c r="AV268" s="28"/>
      <c r="AW268" s="28"/>
      <c r="AX268" s="28"/>
      <c r="AY268" s="28"/>
      <c r="AZ268" s="28"/>
      <c r="BA268" s="28"/>
      <c r="BB268" s="28"/>
      <c r="BC268" s="28"/>
      <c r="BD268" s="28"/>
      <c r="BE268" s="28"/>
      <c r="BF268" s="28"/>
      <c r="BG268" s="28"/>
      <c r="BH268" s="28"/>
      <c r="BI268" s="28"/>
      <c r="BJ268" s="24"/>
      <c r="BK268" s="28"/>
      <c r="BL268" s="28"/>
      <c r="BM268" s="28"/>
      <c r="BN268" s="28"/>
      <c r="BO268" s="28"/>
      <c r="BP268" s="28"/>
      <c r="BQ268" s="24"/>
      <c r="BR268" s="28"/>
      <c r="BS268" s="28"/>
      <c r="BT268" s="28"/>
      <c r="BU268" s="24"/>
      <c r="BV268" s="28"/>
      <c r="BW268" s="28"/>
      <c r="BX268" s="28"/>
    </row>
    <row r="269" spans="1:76">
      <c r="A269" s="24"/>
      <c r="B269" s="28"/>
      <c r="C269" s="25"/>
      <c r="D269" s="26"/>
      <c r="E269" s="24"/>
      <c r="F269" s="24"/>
      <c r="G269" s="26"/>
      <c r="H269" s="26"/>
      <c r="I269" s="26"/>
      <c r="J269" s="26"/>
      <c r="K269" s="26"/>
      <c r="L269" s="26"/>
      <c r="M269" s="26"/>
      <c r="N269" s="26"/>
      <c r="O269" s="26"/>
      <c r="P269" s="26"/>
      <c r="Q269" s="26"/>
      <c r="S269" s="26"/>
      <c r="T269" s="25"/>
      <c r="U269" s="24"/>
      <c r="V269" s="24"/>
      <c r="W269" s="24"/>
      <c r="X269" s="26"/>
      <c r="Y269" s="26"/>
      <c r="Z269" s="24"/>
      <c r="AA269" s="26"/>
      <c r="AB269" s="25"/>
      <c r="AC269" s="24"/>
      <c r="AD269" s="24"/>
      <c r="AE269" s="24"/>
      <c r="AF269" s="26"/>
      <c r="AG269" s="26"/>
      <c r="AH269" s="24"/>
      <c r="AI269" s="26"/>
      <c r="AJ269" s="25"/>
      <c r="AK269" s="24"/>
      <c r="AL269" s="24"/>
      <c r="AM269" s="24"/>
      <c r="AN269" s="26"/>
      <c r="AO269" s="26"/>
      <c r="AP269" s="24"/>
      <c r="AQ269" s="24"/>
      <c r="AR269" s="24"/>
      <c r="AS269" s="28"/>
      <c r="AT269" s="28"/>
      <c r="AU269" s="28"/>
      <c r="AV269" s="28"/>
      <c r="AW269" s="28"/>
      <c r="AX269" s="28"/>
      <c r="AY269" s="28"/>
      <c r="AZ269" s="28"/>
      <c r="BA269" s="28"/>
      <c r="BB269" s="28"/>
      <c r="BC269" s="28"/>
      <c r="BD269" s="28"/>
      <c r="BE269" s="28"/>
      <c r="BF269" s="28"/>
      <c r="BG269" s="28"/>
      <c r="BH269" s="28"/>
      <c r="BI269" s="28"/>
      <c r="BJ269" s="24"/>
      <c r="BK269" s="28"/>
      <c r="BL269" s="28"/>
      <c r="BM269" s="28"/>
      <c r="BN269" s="28"/>
      <c r="BO269" s="28"/>
      <c r="BP269" s="28"/>
      <c r="BQ269" s="24"/>
      <c r="BR269" s="28"/>
      <c r="BS269" s="28"/>
      <c r="BT269" s="28"/>
      <c r="BU269" s="24"/>
      <c r="BV269" s="28"/>
      <c r="BW269" s="28"/>
      <c r="BX269" s="28"/>
    </row>
    <row r="270" spans="1:76">
      <c r="A270" s="24"/>
      <c r="B270" s="28"/>
      <c r="C270" s="25"/>
      <c r="D270" s="26"/>
      <c r="E270" s="24"/>
      <c r="F270" s="24"/>
      <c r="G270" s="26"/>
      <c r="H270" s="26"/>
      <c r="I270" s="26"/>
      <c r="J270" s="26"/>
      <c r="K270" s="26"/>
      <c r="L270" s="26"/>
      <c r="M270" s="26"/>
      <c r="N270" s="26"/>
      <c r="O270" s="26"/>
      <c r="P270" s="26"/>
      <c r="Q270" s="26"/>
      <c r="S270" s="26"/>
      <c r="T270" s="25"/>
      <c r="U270" s="24"/>
      <c r="V270" s="24"/>
      <c r="W270" s="24"/>
      <c r="X270" s="26"/>
      <c r="Y270" s="26"/>
      <c r="Z270" s="24"/>
      <c r="AA270" s="26"/>
      <c r="AB270" s="25"/>
      <c r="AC270" s="24"/>
      <c r="AD270" s="24"/>
      <c r="AE270" s="24"/>
      <c r="AF270" s="26"/>
      <c r="AG270" s="26"/>
      <c r="AH270" s="24"/>
      <c r="AI270" s="26"/>
      <c r="AJ270" s="25"/>
      <c r="AK270" s="24"/>
      <c r="AL270" s="24"/>
      <c r="AM270" s="24"/>
      <c r="AN270" s="26"/>
      <c r="AO270" s="26"/>
      <c r="AP270" s="24"/>
      <c r="AQ270" s="24"/>
      <c r="AR270" s="24"/>
      <c r="AS270" s="28"/>
      <c r="AT270" s="28"/>
      <c r="AU270" s="28"/>
      <c r="AV270" s="28"/>
      <c r="AW270" s="28"/>
      <c r="AX270" s="28"/>
      <c r="AY270" s="28"/>
      <c r="AZ270" s="28"/>
      <c r="BA270" s="28"/>
      <c r="BB270" s="28"/>
      <c r="BC270" s="28"/>
      <c r="BD270" s="28"/>
      <c r="BE270" s="28"/>
      <c r="BF270" s="28"/>
      <c r="BG270" s="28"/>
      <c r="BH270" s="28"/>
      <c r="BI270" s="28"/>
      <c r="BJ270" s="24"/>
      <c r="BK270" s="28"/>
      <c r="BL270" s="28"/>
      <c r="BM270" s="28"/>
      <c r="BN270" s="28"/>
      <c r="BO270" s="28"/>
      <c r="BP270" s="28"/>
      <c r="BQ270" s="24"/>
      <c r="BR270" s="28"/>
      <c r="BS270" s="28"/>
      <c r="BT270" s="28"/>
      <c r="BU270" s="24"/>
      <c r="BV270" s="28"/>
      <c r="BW270" s="28"/>
      <c r="BX270" s="28"/>
    </row>
    <row r="271" spans="1:76">
      <c r="A271" s="24"/>
      <c r="B271" s="28"/>
      <c r="C271" s="25"/>
      <c r="D271" s="26"/>
      <c r="E271" s="24"/>
      <c r="F271" s="24"/>
      <c r="G271" s="26"/>
      <c r="H271" s="26"/>
      <c r="I271" s="26"/>
      <c r="J271" s="26"/>
      <c r="K271" s="26"/>
      <c r="L271" s="26"/>
      <c r="M271" s="26"/>
      <c r="N271" s="26"/>
      <c r="O271" s="26"/>
      <c r="P271" s="26"/>
      <c r="Q271" s="26"/>
      <c r="S271" s="26"/>
      <c r="T271" s="25"/>
      <c r="U271" s="24"/>
      <c r="V271" s="24"/>
      <c r="W271" s="24"/>
      <c r="X271" s="26"/>
      <c r="Y271" s="26"/>
      <c r="Z271" s="24"/>
      <c r="AA271" s="26"/>
      <c r="AB271" s="25"/>
      <c r="AC271" s="24"/>
      <c r="AD271" s="24"/>
      <c r="AE271" s="24"/>
      <c r="AF271" s="26"/>
      <c r="AG271" s="26"/>
      <c r="AH271" s="24"/>
      <c r="AI271" s="26"/>
      <c r="AJ271" s="25"/>
      <c r="AK271" s="24"/>
      <c r="AL271" s="24"/>
      <c r="AM271" s="24"/>
      <c r="AN271" s="26"/>
      <c r="AO271" s="26"/>
      <c r="AP271" s="24"/>
      <c r="AQ271" s="24"/>
      <c r="AR271" s="24"/>
      <c r="AS271" s="28"/>
      <c r="AT271" s="28"/>
      <c r="AU271" s="28"/>
      <c r="AV271" s="28"/>
      <c r="AW271" s="28"/>
      <c r="AX271" s="28"/>
      <c r="AY271" s="28"/>
      <c r="AZ271" s="28"/>
      <c r="BA271" s="28"/>
      <c r="BB271" s="28"/>
      <c r="BC271" s="28"/>
      <c r="BD271" s="28"/>
      <c r="BE271" s="28"/>
      <c r="BF271" s="28"/>
      <c r="BG271" s="28"/>
      <c r="BH271" s="28"/>
      <c r="BI271" s="28"/>
      <c r="BJ271" s="24"/>
      <c r="BK271" s="28"/>
      <c r="BL271" s="28"/>
      <c r="BM271" s="28"/>
      <c r="BN271" s="28"/>
      <c r="BO271" s="28"/>
      <c r="BP271" s="28"/>
      <c r="BQ271" s="24"/>
      <c r="BR271" s="28"/>
      <c r="BS271" s="28"/>
      <c r="BT271" s="28"/>
      <c r="BU271" s="24"/>
      <c r="BV271" s="28"/>
      <c r="BW271" s="28"/>
      <c r="BX271" s="28"/>
    </row>
    <row r="272" spans="1:76">
      <c r="A272" s="24"/>
      <c r="B272" s="28"/>
      <c r="C272" s="25"/>
      <c r="D272" s="26"/>
      <c r="E272" s="24"/>
      <c r="F272" s="24"/>
      <c r="G272" s="26"/>
      <c r="H272" s="26"/>
      <c r="I272" s="26"/>
      <c r="J272" s="26"/>
      <c r="K272" s="26"/>
      <c r="L272" s="26"/>
      <c r="M272" s="26"/>
      <c r="N272" s="26"/>
      <c r="O272" s="26"/>
      <c r="P272" s="26"/>
      <c r="Q272" s="26"/>
      <c r="S272" s="26"/>
      <c r="T272" s="25"/>
      <c r="U272" s="24"/>
      <c r="V272" s="24"/>
      <c r="W272" s="24"/>
      <c r="X272" s="26"/>
      <c r="Y272" s="26"/>
      <c r="Z272" s="24"/>
      <c r="AA272" s="26"/>
      <c r="AB272" s="25"/>
      <c r="AC272" s="24"/>
      <c r="AD272" s="24"/>
      <c r="AE272" s="24"/>
      <c r="AF272" s="26"/>
      <c r="AG272" s="26"/>
      <c r="AH272" s="24"/>
      <c r="AI272" s="26"/>
      <c r="AJ272" s="25"/>
      <c r="AK272" s="24"/>
      <c r="AL272" s="24"/>
      <c r="AM272" s="24"/>
      <c r="AN272" s="26"/>
      <c r="AO272" s="26"/>
      <c r="AP272" s="24"/>
      <c r="AQ272" s="24"/>
      <c r="AR272" s="24"/>
      <c r="AS272" s="28"/>
      <c r="AT272" s="28"/>
      <c r="AU272" s="28"/>
      <c r="AV272" s="28"/>
      <c r="AW272" s="28"/>
      <c r="AX272" s="28"/>
      <c r="AY272" s="28"/>
      <c r="AZ272" s="28"/>
      <c r="BA272" s="28"/>
      <c r="BB272" s="28"/>
      <c r="BC272" s="28"/>
      <c r="BD272" s="28"/>
      <c r="BE272" s="28"/>
      <c r="BF272" s="28"/>
      <c r="BG272" s="28"/>
      <c r="BH272" s="28"/>
      <c r="BI272" s="28"/>
      <c r="BJ272" s="24"/>
      <c r="BK272" s="28"/>
      <c r="BL272" s="28"/>
      <c r="BM272" s="28"/>
      <c r="BN272" s="28"/>
      <c r="BO272" s="28"/>
      <c r="BP272" s="28"/>
      <c r="BQ272" s="24"/>
      <c r="BR272" s="28"/>
      <c r="BS272" s="28"/>
      <c r="BT272" s="28"/>
      <c r="BU272" s="24"/>
      <c r="BV272" s="28"/>
      <c r="BW272" s="28"/>
      <c r="BX272" s="28"/>
    </row>
    <row r="273" spans="1:76">
      <c r="A273" s="24"/>
      <c r="B273" s="28"/>
      <c r="C273" s="25"/>
      <c r="D273" s="26"/>
      <c r="E273" s="24"/>
      <c r="F273" s="24"/>
      <c r="G273" s="26"/>
      <c r="H273" s="26"/>
      <c r="I273" s="26"/>
      <c r="J273" s="26"/>
      <c r="K273" s="26"/>
      <c r="L273" s="26"/>
      <c r="M273" s="26"/>
      <c r="N273" s="26"/>
      <c r="O273" s="26"/>
      <c r="P273" s="26"/>
      <c r="Q273" s="26"/>
      <c r="S273" s="26"/>
      <c r="T273" s="25"/>
      <c r="U273" s="24"/>
      <c r="V273" s="24"/>
      <c r="W273" s="24"/>
      <c r="X273" s="26"/>
      <c r="Y273" s="26"/>
      <c r="Z273" s="24"/>
      <c r="AA273" s="26"/>
      <c r="AB273" s="25"/>
      <c r="AC273" s="24"/>
      <c r="AD273" s="24"/>
      <c r="AE273" s="24"/>
      <c r="AF273" s="26"/>
      <c r="AG273" s="26"/>
      <c r="AH273" s="24"/>
      <c r="AI273" s="26"/>
      <c r="AJ273" s="25"/>
      <c r="AK273" s="24"/>
      <c r="AL273" s="24"/>
      <c r="AM273" s="24"/>
      <c r="AN273" s="26"/>
      <c r="AO273" s="26"/>
      <c r="AP273" s="24"/>
      <c r="AQ273" s="24"/>
      <c r="AR273" s="24"/>
      <c r="AS273" s="28"/>
      <c r="AT273" s="28"/>
      <c r="AU273" s="28"/>
      <c r="AV273" s="28"/>
      <c r="AW273" s="28"/>
      <c r="AX273" s="28"/>
      <c r="AY273" s="28"/>
      <c r="AZ273" s="28"/>
      <c r="BA273" s="28"/>
      <c r="BB273" s="28"/>
      <c r="BC273" s="28"/>
      <c r="BD273" s="28"/>
      <c r="BE273" s="28"/>
      <c r="BF273" s="28"/>
      <c r="BG273" s="28"/>
      <c r="BH273" s="28"/>
      <c r="BI273" s="28"/>
      <c r="BJ273" s="24"/>
      <c r="BK273" s="28"/>
      <c r="BL273" s="28"/>
      <c r="BM273" s="28"/>
      <c r="BN273" s="28"/>
      <c r="BO273" s="28"/>
      <c r="BP273" s="28"/>
      <c r="BQ273" s="24"/>
      <c r="BR273" s="28"/>
      <c r="BS273" s="28"/>
      <c r="BT273" s="28"/>
      <c r="BU273" s="24"/>
      <c r="BV273" s="28"/>
      <c r="BW273" s="28"/>
      <c r="BX273" s="28"/>
    </row>
    <row r="274" spans="1:76">
      <c r="A274" s="24"/>
      <c r="B274" s="28"/>
      <c r="C274" s="25"/>
      <c r="D274" s="26"/>
      <c r="E274" s="24"/>
      <c r="F274" s="24"/>
      <c r="G274" s="26"/>
      <c r="H274" s="26"/>
      <c r="I274" s="26"/>
      <c r="J274" s="26"/>
      <c r="K274" s="26"/>
      <c r="L274" s="26"/>
      <c r="M274" s="26"/>
      <c r="N274" s="26"/>
      <c r="O274" s="26"/>
      <c r="P274" s="26"/>
      <c r="Q274" s="26"/>
      <c r="S274" s="26"/>
      <c r="T274" s="25"/>
      <c r="U274" s="24"/>
      <c r="V274" s="24"/>
      <c r="W274" s="24"/>
      <c r="X274" s="26"/>
      <c r="Y274" s="26"/>
      <c r="Z274" s="24"/>
      <c r="AA274" s="26"/>
      <c r="AB274" s="25"/>
      <c r="AC274" s="24"/>
      <c r="AD274" s="24"/>
      <c r="AE274" s="24"/>
      <c r="AF274" s="26"/>
      <c r="AG274" s="26"/>
      <c r="AH274" s="24"/>
      <c r="AI274" s="26"/>
      <c r="AJ274" s="25"/>
      <c r="AK274" s="24"/>
      <c r="AL274" s="24"/>
      <c r="AM274" s="24"/>
      <c r="AN274" s="26"/>
      <c r="AO274" s="26"/>
      <c r="AP274" s="24"/>
      <c r="AQ274" s="24"/>
      <c r="AR274" s="24"/>
      <c r="AS274" s="28"/>
      <c r="AT274" s="28"/>
      <c r="AU274" s="28"/>
      <c r="AV274" s="28"/>
      <c r="AW274" s="28"/>
      <c r="AX274" s="28"/>
      <c r="AY274" s="28"/>
      <c r="AZ274" s="28"/>
      <c r="BA274" s="28"/>
      <c r="BB274" s="28"/>
      <c r="BC274" s="28"/>
      <c r="BD274" s="28"/>
      <c r="BE274" s="28"/>
      <c r="BF274" s="28"/>
      <c r="BG274" s="28"/>
      <c r="BH274" s="28"/>
      <c r="BI274" s="28"/>
      <c r="BJ274" s="24"/>
      <c r="BK274" s="28"/>
      <c r="BL274" s="28"/>
      <c r="BM274" s="28"/>
      <c r="BN274" s="28"/>
      <c r="BO274" s="28"/>
      <c r="BP274" s="28"/>
      <c r="BQ274" s="24"/>
      <c r="BR274" s="28"/>
      <c r="BS274" s="28"/>
      <c r="BT274" s="28"/>
      <c r="BU274" s="24"/>
      <c r="BV274" s="28"/>
      <c r="BW274" s="28"/>
      <c r="BX274" s="28"/>
    </row>
    <row r="275" spans="1:76">
      <c r="A275" s="24"/>
      <c r="B275" s="28"/>
      <c r="C275" s="25"/>
      <c r="D275" s="26"/>
      <c r="E275" s="24"/>
      <c r="F275" s="24"/>
      <c r="G275" s="26"/>
      <c r="H275" s="26"/>
      <c r="I275" s="26"/>
      <c r="J275" s="26"/>
      <c r="K275" s="26"/>
      <c r="L275" s="26"/>
      <c r="M275" s="26"/>
      <c r="N275" s="26"/>
      <c r="O275" s="26"/>
      <c r="P275" s="26"/>
      <c r="Q275" s="26"/>
      <c r="S275" s="26"/>
      <c r="T275" s="25"/>
      <c r="U275" s="24"/>
      <c r="V275" s="24"/>
      <c r="W275" s="24"/>
      <c r="X275" s="26"/>
      <c r="Y275" s="26"/>
      <c r="Z275" s="24"/>
      <c r="AA275" s="26"/>
      <c r="AB275" s="25"/>
      <c r="AC275" s="24"/>
      <c r="AD275" s="24"/>
      <c r="AE275" s="24"/>
      <c r="AF275" s="26"/>
      <c r="AG275" s="26"/>
      <c r="AH275" s="24"/>
      <c r="AI275" s="26"/>
      <c r="AJ275" s="25"/>
      <c r="AK275" s="24"/>
      <c r="AL275" s="24"/>
      <c r="AM275" s="24"/>
      <c r="AN275" s="26"/>
      <c r="AO275" s="26"/>
      <c r="AP275" s="24"/>
      <c r="AQ275" s="24"/>
      <c r="AR275" s="24"/>
      <c r="AS275" s="28"/>
      <c r="AT275" s="28"/>
      <c r="AU275" s="28"/>
      <c r="AV275" s="28"/>
      <c r="AW275" s="28"/>
      <c r="AX275" s="28"/>
      <c r="AY275" s="28"/>
      <c r="AZ275" s="28"/>
      <c r="BA275" s="28"/>
      <c r="BB275" s="28"/>
      <c r="BC275" s="28"/>
      <c r="BD275" s="28"/>
      <c r="BE275" s="28"/>
      <c r="BF275" s="28"/>
      <c r="BG275" s="28"/>
      <c r="BH275" s="28"/>
      <c r="BI275" s="28"/>
      <c r="BJ275" s="24"/>
      <c r="BK275" s="28"/>
      <c r="BL275" s="28"/>
      <c r="BM275" s="28"/>
      <c r="BN275" s="28"/>
      <c r="BO275" s="28"/>
      <c r="BP275" s="28"/>
      <c r="BQ275" s="24"/>
      <c r="BR275" s="28"/>
      <c r="BS275" s="28"/>
      <c r="BT275" s="28"/>
      <c r="BU275" s="24"/>
      <c r="BV275" s="28"/>
      <c r="BW275" s="28"/>
      <c r="BX275" s="28"/>
    </row>
    <row r="276" spans="1:76">
      <c r="A276" s="24"/>
      <c r="B276" s="28"/>
      <c r="C276" s="25"/>
      <c r="D276" s="26"/>
      <c r="E276" s="24"/>
      <c r="F276" s="24"/>
      <c r="G276" s="26"/>
      <c r="H276" s="26"/>
      <c r="I276" s="26"/>
      <c r="J276" s="26"/>
      <c r="K276" s="26"/>
      <c r="L276" s="26"/>
      <c r="M276" s="26"/>
      <c r="N276" s="26"/>
      <c r="O276" s="26"/>
      <c r="P276" s="26"/>
      <c r="Q276" s="26"/>
      <c r="S276" s="26"/>
      <c r="T276" s="25"/>
      <c r="U276" s="24"/>
      <c r="V276" s="24"/>
      <c r="W276" s="24"/>
      <c r="X276" s="26"/>
      <c r="Y276" s="26"/>
      <c r="Z276" s="24"/>
      <c r="AA276" s="26"/>
      <c r="AB276" s="25"/>
      <c r="AC276" s="24"/>
      <c r="AD276" s="24"/>
      <c r="AE276" s="24"/>
      <c r="AF276" s="26"/>
      <c r="AG276" s="26"/>
      <c r="AH276" s="24"/>
      <c r="AI276" s="26"/>
      <c r="AJ276" s="25"/>
      <c r="AK276" s="24"/>
      <c r="AL276" s="24"/>
      <c r="AM276" s="24"/>
      <c r="AN276" s="26"/>
      <c r="AO276" s="26"/>
      <c r="AP276" s="24"/>
      <c r="AQ276" s="24"/>
      <c r="AR276" s="24"/>
      <c r="AS276" s="28"/>
      <c r="AT276" s="28"/>
      <c r="AU276" s="28"/>
      <c r="AV276" s="28"/>
      <c r="AW276" s="28"/>
      <c r="AX276" s="28"/>
      <c r="AY276" s="28"/>
      <c r="AZ276" s="28"/>
      <c r="BA276" s="28"/>
      <c r="BB276" s="28"/>
      <c r="BC276" s="28"/>
      <c r="BD276" s="28"/>
      <c r="BE276" s="28"/>
      <c r="BF276" s="28"/>
      <c r="BG276" s="28"/>
      <c r="BH276" s="28"/>
      <c r="BI276" s="28"/>
      <c r="BJ276" s="24"/>
      <c r="BK276" s="28"/>
      <c r="BL276" s="28"/>
      <c r="BM276" s="28"/>
      <c r="BN276" s="28"/>
      <c r="BO276" s="28"/>
      <c r="BP276" s="28"/>
      <c r="BQ276" s="24"/>
      <c r="BR276" s="28"/>
      <c r="BS276" s="28"/>
      <c r="BT276" s="28"/>
      <c r="BU276" s="24"/>
      <c r="BV276" s="28"/>
      <c r="BW276" s="28"/>
      <c r="BX276" s="28"/>
    </row>
    <row r="277" spans="1:76">
      <c r="A277" s="24"/>
      <c r="B277" s="28"/>
      <c r="C277" s="25"/>
      <c r="D277" s="26"/>
      <c r="E277" s="24"/>
      <c r="F277" s="24"/>
      <c r="G277" s="26"/>
      <c r="H277" s="26"/>
      <c r="I277" s="26"/>
      <c r="J277" s="26"/>
      <c r="K277" s="26"/>
      <c r="L277" s="26"/>
      <c r="M277" s="26"/>
      <c r="N277" s="26"/>
      <c r="O277" s="26"/>
      <c r="P277" s="26"/>
      <c r="Q277" s="26"/>
      <c r="S277" s="26"/>
      <c r="T277" s="25"/>
      <c r="U277" s="24"/>
      <c r="V277" s="24"/>
      <c r="W277" s="24"/>
      <c r="X277" s="26"/>
      <c r="Y277" s="26"/>
      <c r="Z277" s="24"/>
      <c r="AA277" s="26"/>
      <c r="AB277" s="25"/>
      <c r="AC277" s="24"/>
      <c r="AD277" s="24"/>
      <c r="AE277" s="24"/>
      <c r="AF277" s="26"/>
      <c r="AG277" s="26"/>
      <c r="AH277" s="24"/>
      <c r="AI277" s="26"/>
      <c r="AJ277" s="25"/>
      <c r="AK277" s="24"/>
      <c r="AL277" s="24"/>
      <c r="AM277" s="24"/>
      <c r="AN277" s="26"/>
      <c r="AO277" s="26"/>
      <c r="AP277" s="24"/>
      <c r="AQ277" s="24"/>
      <c r="AR277" s="24"/>
      <c r="AS277" s="28"/>
      <c r="AT277" s="28"/>
      <c r="AU277" s="28"/>
      <c r="AV277" s="28"/>
      <c r="AW277" s="28"/>
      <c r="AX277" s="28"/>
      <c r="AY277" s="28"/>
      <c r="AZ277" s="28"/>
      <c r="BA277" s="28"/>
      <c r="BB277" s="28"/>
      <c r="BC277" s="28"/>
      <c r="BD277" s="28"/>
      <c r="BE277" s="28"/>
      <c r="BF277" s="28"/>
      <c r="BG277" s="28"/>
      <c r="BH277" s="28"/>
      <c r="BI277" s="28"/>
      <c r="BJ277" s="24"/>
      <c r="BK277" s="28"/>
      <c r="BL277" s="28"/>
      <c r="BM277" s="28"/>
      <c r="BN277" s="28"/>
      <c r="BO277" s="28"/>
      <c r="BP277" s="28"/>
      <c r="BQ277" s="24"/>
      <c r="BR277" s="28"/>
      <c r="BS277" s="28"/>
      <c r="BT277" s="28"/>
      <c r="BU277" s="24"/>
      <c r="BV277" s="28"/>
      <c r="BW277" s="28"/>
      <c r="BX277" s="28"/>
    </row>
    <row r="278" spans="1:76">
      <c r="A278" s="24"/>
      <c r="B278" s="28"/>
      <c r="C278" s="25"/>
      <c r="D278" s="26"/>
      <c r="E278" s="24"/>
      <c r="F278" s="24"/>
      <c r="G278" s="26"/>
      <c r="H278" s="26"/>
      <c r="I278" s="26"/>
      <c r="J278" s="26"/>
      <c r="K278" s="26"/>
      <c r="L278" s="26"/>
      <c r="M278" s="26"/>
      <c r="N278" s="26"/>
      <c r="O278" s="26"/>
      <c r="P278" s="26"/>
      <c r="Q278" s="26"/>
      <c r="S278" s="26"/>
      <c r="T278" s="25"/>
      <c r="U278" s="24"/>
      <c r="V278" s="24"/>
      <c r="W278" s="24"/>
      <c r="X278" s="26"/>
      <c r="Y278" s="26"/>
      <c r="Z278" s="24"/>
      <c r="AA278" s="26"/>
      <c r="AB278" s="25"/>
      <c r="AC278" s="24"/>
      <c r="AD278" s="24"/>
      <c r="AE278" s="24"/>
      <c r="AF278" s="26"/>
      <c r="AG278" s="26"/>
      <c r="AH278" s="24"/>
      <c r="AI278" s="26"/>
      <c r="AJ278" s="25"/>
      <c r="AK278" s="24"/>
      <c r="AL278" s="24"/>
      <c r="AM278" s="24"/>
      <c r="AN278" s="26"/>
      <c r="AO278" s="26"/>
      <c r="AP278" s="24"/>
      <c r="AQ278" s="24"/>
      <c r="AR278" s="24"/>
      <c r="AS278" s="28"/>
      <c r="AT278" s="28"/>
      <c r="AU278" s="28"/>
      <c r="AV278" s="28"/>
      <c r="AW278" s="28"/>
      <c r="AX278" s="28"/>
      <c r="AY278" s="28"/>
      <c r="AZ278" s="28"/>
      <c r="BA278" s="28"/>
      <c r="BB278" s="28"/>
      <c r="BC278" s="28"/>
      <c r="BD278" s="28"/>
      <c r="BE278" s="28"/>
      <c r="BF278" s="28"/>
      <c r="BG278" s="28"/>
      <c r="BH278" s="28"/>
      <c r="BI278" s="28"/>
      <c r="BJ278" s="24"/>
      <c r="BK278" s="28"/>
      <c r="BL278" s="28"/>
      <c r="BM278" s="28"/>
      <c r="BN278" s="28"/>
      <c r="BO278" s="28"/>
      <c r="BP278" s="28"/>
      <c r="BQ278" s="24"/>
      <c r="BR278" s="28"/>
      <c r="BS278" s="28"/>
      <c r="BT278" s="28"/>
      <c r="BU278" s="24"/>
      <c r="BV278" s="28"/>
      <c r="BW278" s="28"/>
      <c r="BX278" s="28"/>
    </row>
    <row r="279" spans="1:76">
      <c r="A279" s="24"/>
      <c r="B279" s="28"/>
      <c r="C279" s="25"/>
      <c r="D279" s="26"/>
      <c r="E279" s="24"/>
      <c r="F279" s="24"/>
      <c r="G279" s="26"/>
      <c r="H279" s="26"/>
      <c r="I279" s="26"/>
      <c r="J279" s="26"/>
      <c r="K279" s="26"/>
      <c r="L279" s="26"/>
      <c r="M279" s="26"/>
      <c r="N279" s="26"/>
      <c r="O279" s="26"/>
      <c r="P279" s="26"/>
      <c r="Q279" s="26"/>
      <c r="S279" s="26"/>
      <c r="T279" s="25"/>
      <c r="U279" s="24"/>
      <c r="V279" s="24"/>
      <c r="W279" s="24"/>
      <c r="X279" s="26"/>
      <c r="Y279" s="26"/>
      <c r="Z279" s="24"/>
      <c r="AA279" s="26"/>
      <c r="AB279" s="25"/>
      <c r="AC279" s="24"/>
      <c r="AD279" s="24"/>
      <c r="AE279" s="24"/>
      <c r="AF279" s="26"/>
      <c r="AG279" s="26"/>
      <c r="AH279" s="24"/>
      <c r="AI279" s="26"/>
      <c r="AJ279" s="25"/>
      <c r="AK279" s="24"/>
      <c r="AL279" s="24"/>
      <c r="AM279" s="24"/>
      <c r="AN279" s="26"/>
      <c r="AO279" s="26"/>
      <c r="AP279" s="24"/>
      <c r="AQ279" s="24"/>
      <c r="AR279" s="24"/>
      <c r="AS279" s="28"/>
      <c r="AT279" s="28"/>
      <c r="AU279" s="28"/>
      <c r="AV279" s="28"/>
      <c r="AW279" s="28"/>
      <c r="AX279" s="28"/>
      <c r="AY279" s="28"/>
      <c r="AZ279" s="28"/>
      <c r="BA279" s="28"/>
      <c r="BB279" s="28"/>
      <c r="BC279" s="28"/>
      <c r="BD279" s="28"/>
      <c r="BE279" s="28"/>
      <c r="BF279" s="28"/>
      <c r="BG279" s="28"/>
      <c r="BH279" s="28"/>
      <c r="BI279" s="28"/>
      <c r="BJ279" s="24"/>
      <c r="BK279" s="28"/>
      <c r="BL279" s="28"/>
      <c r="BM279" s="28"/>
      <c r="BN279" s="28"/>
      <c r="BO279" s="28"/>
      <c r="BP279" s="28"/>
      <c r="BQ279" s="24"/>
      <c r="BR279" s="28"/>
      <c r="BS279" s="28"/>
      <c r="BT279" s="28"/>
      <c r="BU279" s="24"/>
      <c r="BV279" s="28"/>
      <c r="BW279" s="28"/>
      <c r="BX279" s="28"/>
    </row>
    <row r="280" spans="1:76">
      <c r="A280" s="24"/>
      <c r="B280" s="28"/>
      <c r="C280" s="25"/>
      <c r="D280" s="26"/>
      <c r="E280" s="24"/>
      <c r="F280" s="24"/>
      <c r="G280" s="26"/>
      <c r="H280" s="26"/>
      <c r="I280" s="26"/>
      <c r="J280" s="26"/>
      <c r="K280" s="26"/>
      <c r="L280" s="26"/>
      <c r="M280" s="26"/>
      <c r="N280" s="26"/>
      <c r="O280" s="26"/>
      <c r="P280" s="26"/>
      <c r="Q280" s="26"/>
      <c r="S280" s="26"/>
      <c r="T280" s="25"/>
      <c r="U280" s="24"/>
      <c r="V280" s="24"/>
      <c r="W280" s="24"/>
      <c r="X280" s="26"/>
      <c r="Y280" s="26"/>
      <c r="Z280" s="24"/>
      <c r="AA280" s="26"/>
      <c r="AB280" s="25"/>
      <c r="AC280" s="24"/>
      <c r="AD280" s="24"/>
      <c r="AE280" s="24"/>
      <c r="AF280" s="26"/>
      <c r="AG280" s="26"/>
      <c r="AH280" s="24"/>
      <c r="AI280" s="26"/>
      <c r="AJ280" s="25"/>
      <c r="AK280" s="24"/>
      <c r="AL280" s="24"/>
      <c r="AM280" s="24"/>
      <c r="AN280" s="26"/>
      <c r="AO280" s="26"/>
      <c r="AP280" s="24"/>
      <c r="AQ280" s="24"/>
      <c r="AR280" s="24"/>
      <c r="AS280" s="28"/>
      <c r="AT280" s="28"/>
      <c r="AU280" s="28"/>
      <c r="AV280" s="28"/>
      <c r="AW280" s="28"/>
      <c r="AX280" s="28"/>
      <c r="AY280" s="28"/>
      <c r="AZ280" s="28"/>
      <c r="BA280" s="28"/>
      <c r="BB280" s="28"/>
      <c r="BC280" s="28"/>
      <c r="BD280" s="28"/>
      <c r="BE280" s="28"/>
      <c r="BF280" s="28"/>
      <c r="BG280" s="28"/>
      <c r="BH280" s="28"/>
      <c r="BI280" s="28"/>
      <c r="BJ280" s="24"/>
      <c r="BK280" s="28"/>
      <c r="BL280" s="28"/>
      <c r="BM280" s="28"/>
      <c r="BN280" s="28"/>
      <c r="BO280" s="28"/>
      <c r="BP280" s="28"/>
      <c r="BQ280" s="24"/>
      <c r="BR280" s="28"/>
      <c r="BS280" s="28"/>
      <c r="BT280" s="28"/>
      <c r="BU280" s="24"/>
      <c r="BV280" s="28"/>
      <c r="BW280" s="28"/>
      <c r="BX280" s="28"/>
    </row>
    <row r="281" spans="1:76">
      <c r="A281" s="24"/>
      <c r="B281" s="28"/>
      <c r="C281" s="25"/>
      <c r="D281" s="26"/>
      <c r="E281" s="24"/>
      <c r="F281" s="24"/>
      <c r="G281" s="26"/>
      <c r="H281" s="26"/>
      <c r="I281" s="26"/>
      <c r="J281" s="26"/>
      <c r="K281" s="26"/>
      <c r="L281" s="26"/>
      <c r="M281" s="26"/>
      <c r="N281" s="26"/>
      <c r="O281" s="26"/>
      <c r="P281" s="26"/>
      <c r="Q281" s="26"/>
      <c r="S281" s="26"/>
      <c r="T281" s="25"/>
      <c r="U281" s="24"/>
      <c r="V281" s="24"/>
      <c r="W281" s="24"/>
      <c r="X281" s="26"/>
      <c r="Y281" s="26"/>
      <c r="Z281" s="24"/>
      <c r="AA281" s="26"/>
      <c r="AB281" s="25"/>
      <c r="AC281" s="24"/>
      <c r="AD281" s="24"/>
      <c r="AE281" s="24"/>
      <c r="AF281" s="26"/>
      <c r="AG281" s="26"/>
      <c r="AH281" s="24"/>
      <c r="AI281" s="26"/>
      <c r="AJ281" s="25"/>
      <c r="AK281" s="24"/>
      <c r="AL281" s="24"/>
      <c r="AM281" s="24"/>
      <c r="AN281" s="26"/>
      <c r="AO281" s="26"/>
      <c r="AP281" s="24"/>
      <c r="AQ281" s="24"/>
      <c r="AR281" s="24"/>
      <c r="AS281" s="28"/>
      <c r="AT281" s="28"/>
      <c r="AU281" s="28"/>
      <c r="AV281" s="28"/>
      <c r="AW281" s="28"/>
      <c r="AX281" s="28"/>
      <c r="AY281" s="28"/>
      <c r="AZ281" s="28"/>
      <c r="BA281" s="28"/>
      <c r="BB281" s="28"/>
      <c r="BC281" s="28"/>
      <c r="BD281" s="28"/>
      <c r="BE281" s="28"/>
      <c r="BF281" s="28"/>
      <c r="BG281" s="28"/>
      <c r="BH281" s="28"/>
      <c r="BI281" s="28"/>
      <c r="BJ281" s="24"/>
      <c r="BK281" s="28"/>
      <c r="BL281" s="28"/>
      <c r="BM281" s="28"/>
      <c r="BN281" s="28"/>
      <c r="BO281" s="28"/>
      <c r="BP281" s="28"/>
      <c r="BQ281" s="24"/>
      <c r="BR281" s="28"/>
      <c r="BS281" s="28"/>
      <c r="BT281" s="28"/>
      <c r="BU281" s="24"/>
      <c r="BV281" s="28"/>
      <c r="BW281" s="28"/>
      <c r="BX281" s="28"/>
    </row>
    <row r="282" spans="1:76">
      <c r="A282" s="24"/>
      <c r="B282" s="28"/>
      <c r="C282" s="25"/>
      <c r="D282" s="26"/>
      <c r="E282" s="24"/>
      <c r="F282" s="24"/>
      <c r="G282" s="26"/>
      <c r="H282" s="26"/>
      <c r="I282" s="26"/>
      <c r="J282" s="26"/>
      <c r="K282" s="26"/>
      <c r="L282" s="26"/>
      <c r="M282" s="26"/>
      <c r="N282" s="26"/>
      <c r="O282" s="26"/>
      <c r="P282" s="26"/>
      <c r="Q282" s="26"/>
      <c r="S282" s="26"/>
      <c r="T282" s="25"/>
      <c r="U282" s="24"/>
      <c r="V282" s="24"/>
      <c r="W282" s="24"/>
      <c r="X282" s="26"/>
      <c r="Y282" s="26"/>
      <c r="Z282" s="24"/>
      <c r="AA282" s="26"/>
      <c r="AB282" s="25"/>
      <c r="AC282" s="24"/>
      <c r="AD282" s="24"/>
      <c r="AE282" s="24"/>
      <c r="AF282" s="26"/>
      <c r="AG282" s="26"/>
      <c r="AH282" s="24"/>
      <c r="AI282" s="26"/>
      <c r="AJ282" s="25"/>
      <c r="AK282" s="24"/>
      <c r="AL282" s="24"/>
      <c r="AM282" s="24"/>
      <c r="AN282" s="26"/>
      <c r="AO282" s="26"/>
      <c r="AP282" s="24"/>
      <c r="AQ282" s="24"/>
      <c r="AR282" s="24"/>
      <c r="AS282" s="28"/>
      <c r="AT282" s="28"/>
      <c r="AU282" s="28"/>
      <c r="AV282" s="28"/>
      <c r="AW282" s="28"/>
      <c r="AX282" s="28"/>
      <c r="AY282" s="28"/>
      <c r="AZ282" s="28"/>
      <c r="BA282" s="28"/>
      <c r="BB282" s="28"/>
      <c r="BC282" s="28"/>
      <c r="BD282" s="28"/>
      <c r="BE282" s="28"/>
      <c r="BF282" s="28"/>
      <c r="BG282" s="28"/>
      <c r="BH282" s="28"/>
      <c r="BI282" s="28"/>
      <c r="BJ282" s="24"/>
      <c r="BK282" s="28"/>
      <c r="BL282" s="28"/>
      <c r="BM282" s="28"/>
      <c r="BN282" s="28"/>
      <c r="BO282" s="28"/>
      <c r="BP282" s="28"/>
      <c r="BQ282" s="24"/>
      <c r="BR282" s="28"/>
      <c r="BS282" s="28"/>
      <c r="BT282" s="28"/>
      <c r="BU282" s="24"/>
      <c r="BV282" s="28"/>
      <c r="BW282" s="28"/>
      <c r="BX282" s="28"/>
    </row>
    <row r="283" spans="1:76">
      <c r="A283" s="24"/>
      <c r="B283" s="28"/>
      <c r="C283" s="25"/>
      <c r="D283" s="26"/>
      <c r="E283" s="24"/>
      <c r="F283" s="24"/>
      <c r="G283" s="26"/>
      <c r="H283" s="26"/>
      <c r="I283" s="26"/>
      <c r="J283" s="26"/>
      <c r="K283" s="26"/>
      <c r="L283" s="26"/>
      <c r="M283" s="26"/>
      <c r="N283" s="26"/>
      <c r="O283" s="26"/>
      <c r="P283" s="26"/>
      <c r="Q283" s="26"/>
      <c r="S283" s="26"/>
      <c r="T283" s="25"/>
      <c r="U283" s="24"/>
      <c r="V283" s="24"/>
      <c r="W283" s="24"/>
      <c r="X283" s="26"/>
      <c r="Y283" s="26"/>
      <c r="Z283" s="24"/>
      <c r="AA283" s="26"/>
      <c r="AB283" s="25"/>
      <c r="AC283" s="24"/>
      <c r="AD283" s="24"/>
      <c r="AE283" s="24"/>
      <c r="AF283" s="26"/>
      <c r="AG283" s="26"/>
      <c r="AH283" s="24"/>
      <c r="AI283" s="26"/>
      <c r="AJ283" s="25"/>
      <c r="AK283" s="24"/>
      <c r="AL283" s="24"/>
      <c r="AM283" s="24"/>
      <c r="AN283" s="26"/>
      <c r="AO283" s="26"/>
      <c r="AP283" s="24"/>
      <c r="AQ283" s="24"/>
      <c r="AR283" s="24"/>
      <c r="AS283" s="28"/>
      <c r="AT283" s="28"/>
      <c r="AU283" s="28"/>
      <c r="AV283" s="28"/>
      <c r="AW283" s="28"/>
      <c r="AX283" s="28"/>
      <c r="AY283" s="28"/>
      <c r="AZ283" s="28"/>
      <c r="BA283" s="28"/>
      <c r="BB283" s="28"/>
      <c r="BC283" s="28"/>
      <c r="BD283" s="28"/>
      <c r="BE283" s="28"/>
      <c r="BF283" s="28"/>
      <c r="BG283" s="28"/>
      <c r="BH283" s="28"/>
      <c r="BI283" s="28"/>
      <c r="BJ283" s="24"/>
      <c r="BK283" s="28"/>
      <c r="BL283" s="28"/>
      <c r="BM283" s="28"/>
      <c r="BN283" s="28"/>
      <c r="BO283" s="28"/>
      <c r="BP283" s="28"/>
      <c r="BQ283" s="24"/>
      <c r="BR283" s="28"/>
      <c r="BS283" s="28"/>
      <c r="BT283" s="28"/>
      <c r="BU283" s="24"/>
      <c r="BV283" s="28"/>
      <c r="BW283" s="28"/>
      <c r="BX283" s="28"/>
    </row>
    <row r="284" spans="1:76">
      <c r="A284" s="24"/>
      <c r="B284" s="28"/>
      <c r="C284" s="25"/>
      <c r="D284" s="26"/>
      <c r="E284" s="24"/>
      <c r="F284" s="24"/>
      <c r="G284" s="26"/>
      <c r="H284" s="26"/>
      <c r="I284" s="26"/>
      <c r="J284" s="26"/>
      <c r="K284" s="26"/>
      <c r="L284" s="26"/>
      <c r="M284" s="26"/>
      <c r="N284" s="26"/>
      <c r="O284" s="26"/>
      <c r="P284" s="26"/>
      <c r="Q284" s="26"/>
      <c r="S284" s="26"/>
      <c r="T284" s="25"/>
      <c r="U284" s="24"/>
      <c r="V284" s="24"/>
      <c r="W284" s="24"/>
      <c r="X284" s="26"/>
      <c r="Y284" s="26"/>
      <c r="Z284" s="24"/>
      <c r="AA284" s="26"/>
      <c r="AB284" s="25"/>
      <c r="AC284" s="24"/>
      <c r="AD284" s="24"/>
      <c r="AE284" s="24"/>
      <c r="AF284" s="26"/>
      <c r="AG284" s="26"/>
      <c r="AH284" s="24"/>
      <c r="AI284" s="26"/>
      <c r="AJ284" s="25"/>
      <c r="AK284" s="24"/>
      <c r="AL284" s="24"/>
      <c r="AM284" s="24"/>
      <c r="AN284" s="26"/>
      <c r="AO284" s="26"/>
      <c r="AP284" s="24"/>
      <c r="AQ284" s="24"/>
      <c r="AR284" s="24"/>
      <c r="AS284" s="28"/>
      <c r="AT284" s="28"/>
      <c r="AU284" s="28"/>
      <c r="AV284" s="28"/>
      <c r="AW284" s="28"/>
      <c r="AX284" s="28"/>
      <c r="AY284" s="28"/>
      <c r="AZ284" s="28"/>
      <c r="BA284" s="28"/>
      <c r="BB284" s="28"/>
      <c r="BC284" s="28"/>
      <c r="BD284" s="28"/>
      <c r="BE284" s="28"/>
      <c r="BF284" s="28"/>
      <c r="BG284" s="28"/>
      <c r="BH284" s="28"/>
      <c r="BI284" s="28"/>
      <c r="BJ284" s="24"/>
      <c r="BK284" s="28"/>
      <c r="BL284" s="28"/>
      <c r="BM284" s="28"/>
      <c r="BN284" s="28"/>
      <c r="BO284" s="28"/>
      <c r="BP284" s="28"/>
      <c r="BQ284" s="24"/>
      <c r="BR284" s="28"/>
      <c r="BS284" s="28"/>
      <c r="BT284" s="28"/>
      <c r="BU284" s="24"/>
      <c r="BV284" s="28"/>
      <c r="BW284" s="28"/>
      <c r="BX284" s="28"/>
    </row>
    <row r="285" spans="1:76">
      <c r="A285" s="24"/>
      <c r="B285" s="28"/>
      <c r="C285" s="25"/>
      <c r="D285" s="26"/>
      <c r="E285" s="24"/>
      <c r="F285" s="24"/>
      <c r="G285" s="26"/>
      <c r="H285" s="26"/>
      <c r="I285" s="26"/>
      <c r="J285" s="26"/>
      <c r="K285" s="26"/>
      <c r="L285" s="26"/>
      <c r="M285" s="26"/>
      <c r="N285" s="26"/>
      <c r="O285" s="26"/>
      <c r="P285" s="26"/>
      <c r="Q285" s="26"/>
      <c r="S285" s="26"/>
      <c r="T285" s="25"/>
      <c r="U285" s="24"/>
      <c r="V285" s="24"/>
      <c r="W285" s="24"/>
      <c r="X285" s="26"/>
      <c r="Y285" s="26"/>
      <c r="Z285" s="24"/>
      <c r="AA285" s="26"/>
      <c r="AB285" s="25"/>
      <c r="AC285" s="24"/>
      <c r="AD285" s="24"/>
      <c r="AE285" s="24"/>
      <c r="AF285" s="26"/>
      <c r="AG285" s="26"/>
      <c r="AH285" s="24"/>
      <c r="AI285" s="26"/>
      <c r="AJ285" s="25"/>
      <c r="AK285" s="24"/>
      <c r="AL285" s="24"/>
      <c r="AM285" s="24"/>
      <c r="AN285" s="26"/>
      <c r="AO285" s="26"/>
      <c r="AP285" s="24"/>
      <c r="AQ285" s="24"/>
      <c r="AR285" s="24"/>
      <c r="AS285" s="28"/>
      <c r="AT285" s="28"/>
      <c r="AU285" s="28"/>
      <c r="AV285" s="28"/>
      <c r="AW285" s="28"/>
      <c r="AX285" s="28"/>
      <c r="AY285" s="28"/>
      <c r="AZ285" s="28"/>
      <c r="BA285" s="28"/>
      <c r="BB285" s="28"/>
      <c r="BC285" s="28"/>
      <c r="BD285" s="28"/>
      <c r="BE285" s="28"/>
      <c r="BF285" s="28"/>
      <c r="BG285" s="28"/>
      <c r="BH285" s="28"/>
      <c r="BI285" s="28"/>
      <c r="BJ285" s="24"/>
      <c r="BK285" s="28"/>
      <c r="BL285" s="28"/>
      <c r="BM285" s="28"/>
      <c r="BN285" s="28"/>
      <c r="BO285" s="28"/>
      <c r="BP285" s="28"/>
      <c r="BQ285" s="24"/>
      <c r="BR285" s="28"/>
      <c r="BS285" s="28"/>
      <c r="BT285" s="28"/>
      <c r="BU285" s="24"/>
      <c r="BV285" s="28"/>
      <c r="BW285" s="28"/>
      <c r="BX285" s="28"/>
    </row>
    <row r="286" spans="1:76">
      <c r="A286" s="24"/>
      <c r="B286" s="28"/>
      <c r="C286" s="25"/>
      <c r="D286" s="26"/>
      <c r="E286" s="24"/>
      <c r="F286" s="24"/>
      <c r="G286" s="26"/>
      <c r="H286" s="26"/>
      <c r="I286" s="26"/>
      <c r="J286" s="26"/>
      <c r="K286" s="26"/>
      <c r="L286" s="26"/>
      <c r="M286" s="26"/>
      <c r="N286" s="26"/>
      <c r="O286" s="26"/>
      <c r="P286" s="26"/>
      <c r="Q286" s="26"/>
      <c r="S286" s="26"/>
      <c r="T286" s="25"/>
      <c r="U286" s="24"/>
      <c r="V286" s="24"/>
      <c r="W286" s="24"/>
      <c r="X286" s="26"/>
      <c r="Y286" s="26"/>
      <c r="Z286" s="24"/>
      <c r="AA286" s="26"/>
      <c r="AB286" s="25"/>
      <c r="AC286" s="24"/>
      <c r="AD286" s="24"/>
      <c r="AE286" s="24"/>
      <c r="AF286" s="26"/>
      <c r="AG286" s="26"/>
      <c r="AH286" s="24"/>
      <c r="AI286" s="26"/>
      <c r="AJ286" s="25"/>
      <c r="AK286" s="24"/>
      <c r="AL286" s="24"/>
      <c r="AM286" s="24"/>
      <c r="AN286" s="26"/>
      <c r="AO286" s="26"/>
      <c r="AP286" s="24"/>
      <c r="AQ286" s="24"/>
      <c r="AR286" s="24"/>
      <c r="AS286" s="28"/>
      <c r="AT286" s="28"/>
      <c r="AU286" s="28"/>
      <c r="AV286" s="28"/>
      <c r="AW286" s="28"/>
      <c r="AX286" s="28"/>
      <c r="AY286" s="28"/>
      <c r="AZ286" s="28"/>
      <c r="BA286" s="28"/>
      <c r="BB286" s="28"/>
      <c r="BC286" s="28"/>
      <c r="BD286" s="28"/>
      <c r="BE286" s="28"/>
      <c r="BF286" s="28"/>
      <c r="BG286" s="28"/>
      <c r="BH286" s="28"/>
      <c r="BI286" s="28"/>
      <c r="BJ286" s="24"/>
      <c r="BK286" s="28"/>
      <c r="BL286" s="28"/>
      <c r="BM286" s="28"/>
      <c r="BN286" s="28"/>
      <c r="BO286" s="28"/>
      <c r="BP286" s="28"/>
      <c r="BQ286" s="24"/>
      <c r="BR286" s="28"/>
      <c r="BS286" s="28"/>
      <c r="BT286" s="28"/>
      <c r="BU286" s="24"/>
      <c r="BV286" s="28"/>
      <c r="BW286" s="28"/>
      <c r="BX286" s="28"/>
    </row>
    <row r="287" spans="1:76">
      <c r="A287" s="24"/>
      <c r="B287" s="28"/>
      <c r="C287" s="25"/>
      <c r="D287" s="26"/>
      <c r="E287" s="24"/>
      <c r="F287" s="24"/>
      <c r="G287" s="26"/>
      <c r="H287" s="26"/>
      <c r="I287" s="26"/>
      <c r="J287" s="26"/>
      <c r="K287" s="26"/>
      <c r="L287" s="26"/>
      <c r="M287" s="26"/>
      <c r="N287" s="26"/>
      <c r="O287" s="26"/>
      <c r="P287" s="26"/>
      <c r="Q287" s="26"/>
      <c r="S287" s="26"/>
      <c r="T287" s="25"/>
      <c r="U287" s="24"/>
      <c r="V287" s="24"/>
      <c r="W287" s="24"/>
      <c r="X287" s="26"/>
      <c r="Y287" s="26"/>
      <c r="Z287" s="24"/>
      <c r="AA287" s="26"/>
      <c r="AB287" s="25"/>
      <c r="AC287" s="24"/>
      <c r="AD287" s="24"/>
      <c r="AE287" s="24"/>
      <c r="AF287" s="26"/>
      <c r="AG287" s="26"/>
      <c r="AH287" s="24"/>
      <c r="AI287" s="26"/>
      <c r="AJ287" s="25"/>
      <c r="AK287" s="24"/>
      <c r="AL287" s="24"/>
      <c r="AM287" s="24"/>
      <c r="AN287" s="26"/>
      <c r="AO287" s="26"/>
      <c r="AP287" s="24"/>
      <c r="AQ287" s="24"/>
      <c r="AR287" s="24"/>
      <c r="AS287" s="28"/>
      <c r="AT287" s="28"/>
      <c r="AU287" s="28"/>
      <c r="AV287" s="28"/>
      <c r="AW287" s="28"/>
      <c r="AX287" s="28"/>
      <c r="AY287" s="28"/>
      <c r="AZ287" s="28"/>
      <c r="BA287" s="28"/>
      <c r="BB287" s="28"/>
      <c r="BC287" s="28"/>
      <c r="BD287" s="28"/>
      <c r="BE287" s="28"/>
      <c r="BF287" s="28"/>
      <c r="BG287" s="28"/>
      <c r="BH287" s="28"/>
      <c r="BI287" s="28"/>
      <c r="BJ287" s="24"/>
      <c r="BK287" s="28"/>
      <c r="BL287" s="28"/>
      <c r="BM287" s="28"/>
      <c r="BN287" s="28"/>
      <c r="BO287" s="28"/>
      <c r="BP287" s="28"/>
      <c r="BQ287" s="24"/>
      <c r="BR287" s="28"/>
      <c r="BS287" s="28"/>
      <c r="BT287" s="28"/>
      <c r="BU287" s="24"/>
      <c r="BV287" s="28"/>
      <c r="BW287" s="28"/>
      <c r="BX287" s="28"/>
    </row>
    <row r="288" spans="1:76">
      <c r="A288" s="24"/>
      <c r="B288" s="28"/>
      <c r="C288" s="25"/>
      <c r="D288" s="26"/>
      <c r="E288" s="24"/>
      <c r="F288" s="24"/>
      <c r="G288" s="26"/>
      <c r="H288" s="26"/>
      <c r="I288" s="26"/>
      <c r="J288" s="26"/>
      <c r="K288" s="26"/>
      <c r="L288" s="26"/>
      <c r="M288" s="26"/>
      <c r="N288" s="26"/>
      <c r="O288" s="26"/>
      <c r="P288" s="26"/>
      <c r="Q288" s="26"/>
      <c r="S288" s="26"/>
      <c r="T288" s="25"/>
      <c r="U288" s="24"/>
      <c r="V288" s="24"/>
      <c r="W288" s="24"/>
      <c r="X288" s="26"/>
      <c r="Y288" s="26"/>
      <c r="Z288" s="24"/>
      <c r="AA288" s="26"/>
      <c r="AB288" s="25"/>
      <c r="AC288" s="24"/>
      <c r="AD288" s="24"/>
      <c r="AE288" s="24"/>
      <c r="AF288" s="26"/>
      <c r="AG288" s="26"/>
      <c r="AH288" s="24"/>
      <c r="AI288" s="26"/>
      <c r="AJ288" s="25"/>
      <c r="AK288" s="24"/>
      <c r="AL288" s="24"/>
      <c r="AM288" s="24"/>
      <c r="AN288" s="26"/>
      <c r="AO288" s="26"/>
      <c r="AP288" s="24"/>
      <c r="AQ288" s="24"/>
      <c r="AR288" s="24"/>
      <c r="AS288" s="28"/>
      <c r="AT288" s="28"/>
      <c r="AU288" s="28"/>
      <c r="AV288" s="28"/>
      <c r="AW288" s="28"/>
      <c r="AX288" s="28"/>
      <c r="AY288" s="28"/>
      <c r="AZ288" s="28"/>
      <c r="BA288" s="28"/>
      <c r="BB288" s="28"/>
      <c r="BC288" s="28"/>
      <c r="BD288" s="28"/>
      <c r="BE288" s="28"/>
      <c r="BF288" s="28"/>
      <c r="BG288" s="28"/>
      <c r="BH288" s="28"/>
      <c r="BI288" s="28"/>
      <c r="BJ288" s="24"/>
      <c r="BK288" s="28"/>
      <c r="BL288" s="28"/>
      <c r="BM288" s="28"/>
      <c r="BN288" s="28"/>
      <c r="BO288" s="28"/>
      <c r="BP288" s="28"/>
      <c r="BQ288" s="24"/>
      <c r="BR288" s="28"/>
      <c r="BS288" s="28"/>
      <c r="BT288" s="28"/>
      <c r="BU288" s="24"/>
      <c r="BV288" s="28"/>
      <c r="BW288" s="28"/>
      <c r="BX288" s="28"/>
    </row>
    <row r="289" spans="1:76">
      <c r="A289" s="24"/>
      <c r="B289" s="28"/>
      <c r="C289" s="25"/>
      <c r="D289" s="26"/>
      <c r="E289" s="24"/>
      <c r="F289" s="24"/>
      <c r="G289" s="26"/>
      <c r="H289" s="26"/>
      <c r="I289" s="26"/>
      <c r="J289" s="26"/>
      <c r="K289" s="26"/>
      <c r="L289" s="26"/>
      <c r="M289" s="26"/>
      <c r="N289" s="26"/>
      <c r="O289" s="26"/>
      <c r="P289" s="26"/>
      <c r="Q289" s="26"/>
      <c r="S289" s="26"/>
      <c r="T289" s="25"/>
      <c r="U289" s="24"/>
      <c r="V289" s="24"/>
      <c r="W289" s="24"/>
      <c r="X289" s="26"/>
      <c r="Y289" s="26"/>
      <c r="Z289" s="24"/>
      <c r="AA289" s="26"/>
      <c r="AB289" s="25"/>
      <c r="AC289" s="24"/>
      <c r="AD289" s="24"/>
      <c r="AE289" s="24"/>
      <c r="AF289" s="26"/>
      <c r="AG289" s="26"/>
      <c r="AH289" s="24"/>
      <c r="AI289" s="26"/>
      <c r="AJ289" s="25"/>
      <c r="AK289" s="24"/>
      <c r="AL289" s="24"/>
      <c r="AM289" s="24"/>
      <c r="AN289" s="26"/>
      <c r="AO289" s="26"/>
      <c r="AP289" s="24"/>
      <c r="AQ289" s="24"/>
      <c r="AR289" s="24"/>
      <c r="AS289" s="28"/>
      <c r="AT289" s="28"/>
      <c r="AU289" s="28"/>
      <c r="AV289" s="28"/>
      <c r="AW289" s="28"/>
      <c r="AX289" s="28"/>
      <c r="AY289" s="28"/>
      <c r="AZ289" s="28"/>
      <c r="BA289" s="28"/>
      <c r="BB289" s="28"/>
      <c r="BC289" s="28"/>
      <c r="BD289" s="28"/>
      <c r="BE289" s="28"/>
      <c r="BF289" s="28"/>
      <c r="BG289" s="28"/>
      <c r="BH289" s="28"/>
      <c r="BI289" s="28"/>
      <c r="BJ289" s="24"/>
      <c r="BK289" s="28"/>
      <c r="BL289" s="28"/>
      <c r="BM289" s="28"/>
      <c r="BN289" s="28"/>
      <c r="BO289" s="28"/>
      <c r="BP289" s="28"/>
      <c r="BQ289" s="24"/>
      <c r="BR289" s="28"/>
      <c r="BS289" s="28"/>
      <c r="BT289" s="28"/>
      <c r="BU289" s="24"/>
      <c r="BV289" s="28"/>
      <c r="BW289" s="28"/>
      <c r="BX289" s="28"/>
    </row>
    <row r="290" spans="1:76">
      <c r="A290" s="24"/>
      <c r="B290" s="28"/>
      <c r="C290" s="25"/>
      <c r="D290" s="26"/>
      <c r="E290" s="24"/>
      <c r="F290" s="24"/>
      <c r="G290" s="26"/>
      <c r="H290" s="26"/>
      <c r="I290" s="26"/>
      <c r="J290" s="26"/>
      <c r="K290" s="26"/>
      <c r="L290" s="26"/>
      <c r="M290" s="26"/>
      <c r="N290" s="26"/>
      <c r="O290" s="26"/>
      <c r="P290" s="26"/>
      <c r="Q290" s="26"/>
      <c r="S290" s="26"/>
      <c r="T290" s="25"/>
      <c r="U290" s="24"/>
      <c r="V290" s="24"/>
      <c r="W290" s="24"/>
      <c r="X290" s="26"/>
      <c r="Y290" s="26"/>
      <c r="Z290" s="24"/>
      <c r="AA290" s="26"/>
      <c r="AB290" s="25"/>
      <c r="AC290" s="24"/>
      <c r="AD290" s="24"/>
      <c r="AE290" s="24"/>
      <c r="AF290" s="26"/>
      <c r="AG290" s="26"/>
      <c r="AH290" s="24"/>
      <c r="AI290" s="26"/>
      <c r="AJ290" s="25"/>
      <c r="AK290" s="24"/>
      <c r="AL290" s="24"/>
      <c r="AM290" s="24"/>
      <c r="AN290" s="26"/>
      <c r="AO290" s="26"/>
      <c r="AP290" s="24"/>
      <c r="AQ290" s="24"/>
      <c r="AR290" s="24"/>
      <c r="AS290" s="28"/>
      <c r="AT290" s="28"/>
      <c r="AU290" s="28"/>
      <c r="AV290" s="28"/>
      <c r="AW290" s="28"/>
      <c r="AX290" s="28"/>
      <c r="AY290" s="28"/>
      <c r="AZ290" s="28"/>
      <c r="BA290" s="28"/>
      <c r="BB290" s="28"/>
      <c r="BC290" s="28"/>
      <c r="BD290" s="28"/>
      <c r="BE290" s="28"/>
      <c r="BF290" s="28"/>
      <c r="BG290" s="28"/>
      <c r="BH290" s="28"/>
      <c r="BI290" s="28"/>
      <c r="BJ290" s="24"/>
      <c r="BK290" s="28"/>
      <c r="BL290" s="28"/>
      <c r="BM290" s="28"/>
      <c r="BN290" s="28"/>
      <c r="BO290" s="28"/>
      <c r="BP290" s="28"/>
      <c r="BQ290" s="24"/>
      <c r="BR290" s="28"/>
      <c r="BS290" s="28"/>
      <c r="BT290" s="28"/>
      <c r="BU290" s="24"/>
      <c r="BV290" s="28"/>
      <c r="BW290" s="28"/>
      <c r="BX290" s="28"/>
    </row>
    <row r="291" spans="1:76">
      <c r="A291" s="24"/>
      <c r="B291" s="28"/>
      <c r="C291" s="25"/>
      <c r="D291" s="26"/>
      <c r="E291" s="24"/>
      <c r="F291" s="24"/>
      <c r="G291" s="26"/>
      <c r="H291" s="26"/>
      <c r="I291" s="26"/>
      <c r="J291" s="26"/>
      <c r="K291" s="26"/>
      <c r="L291" s="26"/>
      <c r="M291" s="26"/>
      <c r="N291" s="26"/>
      <c r="O291" s="26"/>
      <c r="P291" s="26"/>
      <c r="Q291" s="26"/>
      <c r="S291" s="26"/>
      <c r="T291" s="25"/>
      <c r="U291" s="24"/>
      <c r="V291" s="24"/>
      <c r="W291" s="24"/>
      <c r="X291" s="26"/>
      <c r="Y291" s="26"/>
      <c r="Z291" s="24"/>
      <c r="AA291" s="26"/>
      <c r="AB291" s="25"/>
      <c r="AC291" s="24"/>
      <c r="AD291" s="24"/>
      <c r="AE291" s="24"/>
      <c r="AF291" s="26"/>
      <c r="AG291" s="26"/>
      <c r="AH291" s="24"/>
      <c r="AI291" s="26"/>
      <c r="AJ291" s="25"/>
      <c r="AK291" s="24"/>
      <c r="AL291" s="24"/>
      <c r="AM291" s="24"/>
      <c r="AN291" s="26"/>
      <c r="AO291" s="26"/>
      <c r="AP291" s="24"/>
      <c r="AQ291" s="24"/>
      <c r="AR291" s="24"/>
      <c r="AS291" s="28"/>
      <c r="AT291" s="28"/>
      <c r="AU291" s="28"/>
      <c r="AV291" s="28"/>
      <c r="AW291" s="28"/>
      <c r="AX291" s="28"/>
      <c r="AY291" s="28"/>
      <c r="AZ291" s="28"/>
      <c r="BA291" s="28"/>
      <c r="BB291" s="28"/>
      <c r="BC291" s="28"/>
      <c r="BD291" s="28"/>
      <c r="BE291" s="28"/>
      <c r="BF291" s="28"/>
      <c r="BG291" s="28"/>
      <c r="BH291" s="28"/>
      <c r="BI291" s="28"/>
      <c r="BJ291" s="24"/>
      <c r="BK291" s="28"/>
      <c r="BL291" s="28"/>
      <c r="BM291" s="28"/>
      <c r="BN291" s="28"/>
      <c r="BO291" s="28"/>
      <c r="BP291" s="28"/>
      <c r="BQ291" s="24"/>
      <c r="BR291" s="28"/>
      <c r="BS291" s="28"/>
      <c r="BT291" s="28"/>
      <c r="BU291" s="24"/>
      <c r="BV291" s="28"/>
      <c r="BW291" s="28"/>
      <c r="BX291" s="28"/>
    </row>
    <row r="292" spans="1:76">
      <c r="A292" s="24"/>
      <c r="B292" s="28"/>
      <c r="C292" s="25"/>
      <c r="D292" s="26"/>
      <c r="E292" s="24"/>
      <c r="F292" s="24"/>
      <c r="G292" s="26"/>
      <c r="H292" s="26"/>
      <c r="I292" s="26"/>
      <c r="J292" s="26"/>
      <c r="K292" s="26"/>
      <c r="L292" s="26"/>
      <c r="M292" s="26"/>
      <c r="N292" s="26"/>
      <c r="O292" s="26"/>
      <c r="P292" s="26"/>
      <c r="Q292" s="26"/>
      <c r="S292" s="26"/>
      <c r="T292" s="25"/>
      <c r="U292" s="24"/>
      <c r="V292" s="24"/>
      <c r="W292" s="24"/>
      <c r="X292" s="26"/>
      <c r="Y292" s="26"/>
      <c r="Z292" s="24"/>
      <c r="AA292" s="26"/>
      <c r="AB292" s="25"/>
      <c r="AC292" s="24"/>
      <c r="AD292" s="24"/>
      <c r="AE292" s="24"/>
      <c r="AF292" s="26"/>
      <c r="AG292" s="26"/>
      <c r="AH292" s="24"/>
      <c r="AI292" s="26"/>
      <c r="AJ292" s="25"/>
      <c r="AK292" s="24"/>
      <c r="AL292" s="24"/>
      <c r="AM292" s="24"/>
      <c r="AN292" s="26"/>
      <c r="AO292" s="26"/>
      <c r="AP292" s="24"/>
      <c r="AQ292" s="24"/>
      <c r="AR292" s="24"/>
      <c r="AS292" s="28"/>
      <c r="AT292" s="28"/>
      <c r="AU292" s="28"/>
      <c r="AV292" s="28"/>
      <c r="AW292" s="28"/>
      <c r="AX292" s="28"/>
      <c r="AY292" s="28"/>
      <c r="AZ292" s="28"/>
      <c r="BA292" s="28"/>
      <c r="BB292" s="28"/>
      <c r="BC292" s="28"/>
      <c r="BD292" s="28"/>
      <c r="BE292" s="28"/>
      <c r="BF292" s="28"/>
      <c r="BG292" s="28"/>
      <c r="BH292" s="28"/>
      <c r="BI292" s="28"/>
      <c r="BJ292" s="24"/>
      <c r="BK292" s="28"/>
      <c r="BL292" s="28"/>
      <c r="BM292" s="28"/>
      <c r="BN292" s="28"/>
      <c r="BO292" s="28"/>
      <c r="BP292" s="28"/>
      <c r="BQ292" s="24"/>
      <c r="BR292" s="28"/>
      <c r="BS292" s="28"/>
      <c r="BT292" s="28"/>
      <c r="BU292" s="24"/>
      <c r="BV292" s="28"/>
      <c r="BW292" s="28"/>
      <c r="BX292" s="28"/>
    </row>
    <row r="293" spans="1:76">
      <c r="A293" s="24"/>
      <c r="B293" s="28"/>
      <c r="C293" s="25"/>
      <c r="D293" s="26"/>
      <c r="E293" s="24"/>
      <c r="F293" s="24"/>
      <c r="G293" s="26"/>
      <c r="H293" s="26"/>
      <c r="I293" s="26"/>
      <c r="J293" s="26"/>
      <c r="K293" s="26"/>
      <c r="L293" s="26"/>
      <c r="M293" s="26"/>
      <c r="N293" s="26"/>
      <c r="O293" s="26"/>
      <c r="P293" s="26"/>
      <c r="Q293" s="26"/>
      <c r="S293" s="26"/>
      <c r="T293" s="25"/>
      <c r="U293" s="24"/>
      <c r="V293" s="24"/>
      <c r="W293" s="24"/>
      <c r="X293" s="26"/>
      <c r="Y293" s="26"/>
      <c r="Z293" s="24"/>
      <c r="AA293" s="26"/>
      <c r="AB293" s="25"/>
      <c r="AC293" s="24"/>
      <c r="AD293" s="24"/>
      <c r="AE293" s="24"/>
      <c r="AF293" s="26"/>
      <c r="AG293" s="26"/>
      <c r="AH293" s="24"/>
      <c r="AI293" s="26"/>
      <c r="AJ293" s="25"/>
      <c r="AK293" s="24"/>
      <c r="AL293" s="24"/>
      <c r="AM293" s="24"/>
      <c r="AN293" s="26"/>
      <c r="AO293" s="26"/>
      <c r="AP293" s="24"/>
      <c r="AQ293" s="24"/>
      <c r="AR293" s="24"/>
      <c r="AS293" s="28"/>
      <c r="AT293" s="28"/>
      <c r="AU293" s="28"/>
      <c r="AV293" s="28"/>
      <c r="AW293" s="28"/>
      <c r="AX293" s="28"/>
      <c r="AY293" s="28"/>
      <c r="AZ293" s="28"/>
      <c r="BA293" s="28"/>
      <c r="BB293" s="28"/>
      <c r="BC293" s="28"/>
      <c r="BD293" s="28"/>
      <c r="BE293" s="28"/>
      <c r="BF293" s="28"/>
      <c r="BG293" s="28"/>
      <c r="BH293" s="28"/>
      <c r="BI293" s="28"/>
      <c r="BJ293" s="24"/>
      <c r="BK293" s="28"/>
      <c r="BL293" s="28"/>
      <c r="BM293" s="28"/>
      <c r="BN293" s="28"/>
      <c r="BO293" s="28"/>
      <c r="BP293" s="28"/>
      <c r="BQ293" s="24"/>
      <c r="BR293" s="28"/>
      <c r="BS293" s="28"/>
      <c r="BT293" s="28"/>
      <c r="BU293" s="24"/>
      <c r="BV293" s="28"/>
      <c r="BW293" s="28"/>
      <c r="BX293" s="28"/>
    </row>
    <row r="294" spans="1:76">
      <c r="A294" s="24"/>
      <c r="B294" s="28"/>
      <c r="C294" s="25"/>
      <c r="D294" s="26"/>
      <c r="E294" s="24"/>
      <c r="F294" s="24"/>
      <c r="G294" s="26"/>
      <c r="H294" s="26"/>
      <c r="I294" s="26"/>
      <c r="J294" s="26"/>
      <c r="K294" s="26"/>
      <c r="L294" s="26"/>
      <c r="M294" s="26"/>
      <c r="N294" s="26"/>
      <c r="O294" s="26"/>
      <c r="P294" s="26"/>
      <c r="Q294" s="26"/>
      <c r="S294" s="26"/>
      <c r="T294" s="25"/>
      <c r="U294" s="24"/>
      <c r="V294" s="24"/>
      <c r="W294" s="24"/>
      <c r="X294" s="26"/>
      <c r="Y294" s="26"/>
      <c r="Z294" s="24"/>
      <c r="AA294" s="26"/>
      <c r="AB294" s="25"/>
      <c r="AC294" s="24"/>
      <c r="AD294" s="24"/>
      <c r="AE294" s="24"/>
      <c r="AF294" s="26"/>
      <c r="AG294" s="26"/>
      <c r="AH294" s="24"/>
      <c r="AI294" s="26"/>
      <c r="AJ294" s="25"/>
      <c r="AK294" s="24"/>
      <c r="AL294" s="24"/>
      <c r="AM294" s="24"/>
      <c r="AN294" s="26"/>
      <c r="AO294" s="26"/>
      <c r="AP294" s="24"/>
      <c r="AQ294" s="24"/>
      <c r="AR294" s="24"/>
      <c r="AS294" s="28"/>
      <c r="AT294" s="28"/>
      <c r="AU294" s="28"/>
      <c r="AV294" s="28"/>
      <c r="AW294" s="28"/>
      <c r="AX294" s="28"/>
      <c r="AY294" s="28"/>
      <c r="AZ294" s="28"/>
      <c r="BA294" s="28"/>
      <c r="BB294" s="28"/>
      <c r="BC294" s="28"/>
      <c r="BD294" s="28"/>
      <c r="BE294" s="28"/>
      <c r="BF294" s="28"/>
      <c r="BG294" s="28"/>
      <c r="BH294" s="28"/>
      <c r="BI294" s="28"/>
      <c r="BJ294" s="24"/>
      <c r="BK294" s="28"/>
      <c r="BL294" s="28"/>
      <c r="BM294" s="28"/>
      <c r="BN294" s="28"/>
      <c r="BO294" s="28"/>
      <c r="BP294" s="28"/>
      <c r="BQ294" s="24"/>
      <c r="BR294" s="28"/>
      <c r="BS294" s="28"/>
      <c r="BT294" s="28"/>
      <c r="BU294" s="24"/>
      <c r="BV294" s="28"/>
      <c r="BW294" s="28"/>
      <c r="BX294" s="28"/>
    </row>
    <row r="295" spans="1:76">
      <c r="A295" s="24"/>
      <c r="B295" s="28"/>
      <c r="C295" s="25"/>
      <c r="D295" s="26"/>
      <c r="E295" s="24"/>
      <c r="F295" s="24"/>
      <c r="G295" s="26"/>
      <c r="H295" s="26"/>
      <c r="I295" s="26"/>
      <c r="J295" s="26"/>
      <c r="K295" s="26"/>
      <c r="L295" s="26"/>
      <c r="M295" s="26"/>
      <c r="N295" s="26"/>
      <c r="O295" s="26"/>
      <c r="P295" s="26"/>
      <c r="Q295" s="26"/>
      <c r="S295" s="26"/>
      <c r="T295" s="25"/>
      <c r="U295" s="24"/>
      <c r="V295" s="24"/>
      <c r="W295" s="24"/>
      <c r="X295" s="26"/>
      <c r="Y295" s="26"/>
      <c r="Z295" s="24"/>
      <c r="AA295" s="26"/>
      <c r="AB295" s="25"/>
      <c r="AC295" s="24"/>
      <c r="AD295" s="24"/>
      <c r="AE295" s="24"/>
      <c r="AF295" s="26"/>
      <c r="AG295" s="26"/>
      <c r="AH295" s="24"/>
      <c r="AI295" s="26"/>
      <c r="AJ295" s="25"/>
      <c r="AK295" s="24"/>
      <c r="AL295" s="24"/>
      <c r="AM295" s="24"/>
      <c r="AN295" s="26"/>
      <c r="AO295" s="26"/>
      <c r="AP295" s="24"/>
      <c r="AQ295" s="24"/>
      <c r="AR295" s="24"/>
      <c r="AS295" s="28"/>
      <c r="AT295" s="28"/>
      <c r="AU295" s="28"/>
      <c r="AV295" s="28"/>
      <c r="AW295" s="28"/>
      <c r="AX295" s="28"/>
      <c r="AY295" s="28"/>
      <c r="AZ295" s="28"/>
      <c r="BA295" s="28"/>
      <c r="BB295" s="28"/>
      <c r="BC295" s="28"/>
      <c r="BD295" s="28"/>
      <c r="BE295" s="28"/>
      <c r="BF295" s="28"/>
      <c r="BG295" s="28"/>
      <c r="BH295" s="28"/>
      <c r="BI295" s="28"/>
      <c r="BJ295" s="24"/>
      <c r="BK295" s="28"/>
      <c r="BL295" s="28"/>
      <c r="BM295" s="28"/>
      <c r="BN295" s="28"/>
      <c r="BO295" s="28"/>
      <c r="BP295" s="28"/>
      <c r="BQ295" s="24"/>
      <c r="BR295" s="28"/>
      <c r="BS295" s="28"/>
      <c r="BT295" s="28"/>
      <c r="BU295" s="24"/>
      <c r="BV295" s="28"/>
      <c r="BW295" s="28"/>
      <c r="BX295" s="28"/>
    </row>
    <row r="296" spans="1:76">
      <c r="A296" s="24"/>
      <c r="B296" s="28"/>
      <c r="C296" s="25"/>
      <c r="D296" s="26"/>
      <c r="E296" s="24"/>
      <c r="F296" s="24"/>
      <c r="G296" s="26"/>
      <c r="H296" s="26"/>
      <c r="I296" s="26"/>
      <c r="J296" s="26"/>
      <c r="K296" s="26"/>
      <c r="L296" s="26"/>
      <c r="M296" s="26"/>
      <c r="N296" s="26"/>
      <c r="O296" s="26"/>
      <c r="P296" s="26"/>
      <c r="Q296" s="26"/>
      <c r="S296" s="26"/>
      <c r="T296" s="25"/>
      <c r="U296" s="24"/>
      <c r="V296" s="24"/>
      <c r="W296" s="24"/>
      <c r="X296" s="26"/>
      <c r="Y296" s="26"/>
      <c r="Z296" s="24"/>
      <c r="AA296" s="26"/>
      <c r="AB296" s="25"/>
      <c r="AC296" s="24"/>
      <c r="AD296" s="24"/>
      <c r="AE296" s="24"/>
      <c r="AF296" s="26"/>
      <c r="AG296" s="26"/>
      <c r="AH296" s="24"/>
      <c r="AI296" s="26"/>
      <c r="AJ296" s="25"/>
      <c r="AK296" s="24"/>
      <c r="AL296" s="24"/>
      <c r="AM296" s="24"/>
      <c r="AN296" s="26"/>
      <c r="AO296" s="26"/>
      <c r="AP296" s="24"/>
      <c r="AQ296" s="24"/>
      <c r="AR296" s="24"/>
      <c r="AS296" s="28"/>
      <c r="AT296" s="28"/>
      <c r="AU296" s="28"/>
      <c r="AV296" s="28"/>
      <c r="AW296" s="28"/>
      <c r="AX296" s="28"/>
      <c r="AY296" s="28"/>
      <c r="AZ296" s="28"/>
      <c r="BA296" s="28"/>
      <c r="BB296" s="28"/>
      <c r="BC296" s="28"/>
      <c r="BD296" s="28"/>
      <c r="BE296" s="28"/>
      <c r="BF296" s="28"/>
      <c r="BG296" s="28"/>
      <c r="BH296" s="28"/>
      <c r="BI296" s="28"/>
      <c r="BJ296" s="24"/>
      <c r="BK296" s="28"/>
      <c r="BL296" s="28"/>
      <c r="BM296" s="28"/>
      <c r="BN296" s="28"/>
      <c r="BO296" s="28"/>
      <c r="BP296" s="28"/>
      <c r="BQ296" s="24"/>
      <c r="BR296" s="28"/>
      <c r="BS296" s="28"/>
      <c r="BT296" s="28"/>
      <c r="BU296" s="24"/>
      <c r="BV296" s="28"/>
      <c r="BW296" s="28"/>
      <c r="BX296" s="28"/>
    </row>
    <row r="297" spans="1:76">
      <c r="A297" s="24"/>
      <c r="B297" s="28"/>
      <c r="C297" s="25"/>
      <c r="D297" s="26"/>
      <c r="E297" s="24"/>
      <c r="F297" s="24"/>
      <c r="G297" s="26"/>
      <c r="H297" s="26"/>
      <c r="I297" s="26"/>
      <c r="J297" s="26"/>
      <c r="K297" s="26"/>
      <c r="L297" s="26"/>
      <c r="M297" s="26"/>
      <c r="N297" s="26"/>
      <c r="O297" s="26"/>
      <c r="P297" s="26"/>
      <c r="Q297" s="26"/>
      <c r="S297" s="26"/>
      <c r="T297" s="25"/>
      <c r="U297" s="24"/>
      <c r="V297" s="24"/>
      <c r="W297" s="24"/>
      <c r="X297" s="26"/>
      <c r="Y297" s="26"/>
      <c r="Z297" s="24"/>
      <c r="AA297" s="26"/>
      <c r="AB297" s="25"/>
      <c r="AC297" s="24"/>
      <c r="AD297" s="24"/>
      <c r="AE297" s="24"/>
      <c r="AF297" s="26"/>
      <c r="AG297" s="26"/>
      <c r="AH297" s="24"/>
      <c r="AI297" s="26"/>
      <c r="AJ297" s="25"/>
      <c r="AK297" s="24"/>
      <c r="AL297" s="24"/>
      <c r="AM297" s="24"/>
      <c r="AN297" s="26"/>
      <c r="AO297" s="26"/>
      <c r="AP297" s="24"/>
      <c r="AQ297" s="24"/>
      <c r="AR297" s="24"/>
      <c r="AS297" s="28"/>
      <c r="AT297" s="28"/>
      <c r="AU297" s="28"/>
      <c r="AV297" s="28"/>
      <c r="AW297" s="28"/>
      <c r="AX297" s="28"/>
      <c r="AY297" s="28"/>
      <c r="AZ297" s="28"/>
      <c r="BA297" s="28"/>
      <c r="BB297" s="28"/>
      <c r="BC297" s="28"/>
      <c r="BD297" s="28"/>
      <c r="BE297" s="28"/>
      <c r="BF297" s="28"/>
      <c r="BG297" s="28"/>
      <c r="BH297" s="28"/>
      <c r="BI297" s="28"/>
      <c r="BJ297" s="24"/>
      <c r="BK297" s="28"/>
      <c r="BL297" s="28"/>
      <c r="BM297" s="28"/>
      <c r="BN297" s="28"/>
      <c r="BO297" s="28"/>
      <c r="BP297" s="28"/>
      <c r="BQ297" s="24"/>
      <c r="BR297" s="28"/>
      <c r="BS297" s="28"/>
      <c r="BT297" s="28"/>
      <c r="BU297" s="24"/>
      <c r="BV297" s="28"/>
      <c r="BW297" s="28"/>
      <c r="BX297" s="28"/>
    </row>
    <row r="298" spans="1:76">
      <c r="A298" s="24"/>
      <c r="B298" s="28"/>
      <c r="C298" s="25"/>
      <c r="D298" s="26"/>
      <c r="E298" s="24"/>
      <c r="F298" s="24"/>
      <c r="G298" s="26"/>
      <c r="H298" s="26"/>
      <c r="I298" s="26"/>
      <c r="J298" s="26"/>
      <c r="K298" s="26"/>
      <c r="L298" s="26"/>
      <c r="M298" s="26"/>
      <c r="N298" s="26"/>
      <c r="O298" s="26"/>
      <c r="P298" s="26"/>
      <c r="Q298" s="26"/>
      <c r="S298" s="26"/>
      <c r="T298" s="25"/>
      <c r="U298" s="24"/>
      <c r="V298" s="24"/>
      <c r="W298" s="24"/>
      <c r="X298" s="26"/>
      <c r="Y298" s="26"/>
      <c r="Z298" s="24"/>
      <c r="AA298" s="26"/>
      <c r="AB298" s="25"/>
      <c r="AC298" s="24"/>
      <c r="AD298" s="24"/>
      <c r="AE298" s="24"/>
      <c r="AF298" s="26"/>
      <c r="AG298" s="26"/>
      <c r="AH298" s="24"/>
      <c r="AI298" s="26"/>
      <c r="AJ298" s="25"/>
      <c r="AK298" s="24"/>
      <c r="AL298" s="24"/>
      <c r="AM298" s="24"/>
      <c r="AN298" s="26"/>
      <c r="AO298" s="26"/>
      <c r="AP298" s="24"/>
      <c r="AQ298" s="24"/>
      <c r="AR298" s="24"/>
      <c r="AS298" s="28"/>
      <c r="AT298" s="28"/>
      <c r="AU298" s="28"/>
      <c r="AV298" s="28"/>
      <c r="AW298" s="28"/>
      <c r="AX298" s="28"/>
      <c r="AY298" s="28"/>
      <c r="AZ298" s="28"/>
      <c r="BA298" s="28"/>
      <c r="BB298" s="28"/>
      <c r="BC298" s="28"/>
      <c r="BD298" s="28"/>
      <c r="BE298" s="28"/>
      <c r="BF298" s="28"/>
      <c r="BG298" s="28"/>
      <c r="BH298" s="28"/>
      <c r="BI298" s="28"/>
      <c r="BJ298" s="24"/>
      <c r="BK298" s="28"/>
      <c r="BL298" s="28"/>
      <c r="BM298" s="28"/>
      <c r="BN298" s="28"/>
      <c r="BO298" s="28"/>
      <c r="BP298" s="28"/>
      <c r="BQ298" s="24"/>
      <c r="BR298" s="28"/>
      <c r="BS298" s="28"/>
      <c r="BT298" s="28"/>
      <c r="BU298" s="24"/>
      <c r="BV298" s="28"/>
      <c r="BW298" s="28"/>
      <c r="BX298" s="28"/>
    </row>
    <row r="299" spans="1:76">
      <c r="A299" s="24"/>
      <c r="B299" s="28"/>
      <c r="C299" s="25"/>
      <c r="D299" s="26"/>
      <c r="E299" s="24"/>
      <c r="F299" s="24"/>
      <c r="G299" s="26"/>
      <c r="H299" s="26"/>
      <c r="I299" s="26"/>
      <c r="J299" s="26"/>
      <c r="K299" s="26"/>
      <c r="L299" s="26"/>
      <c r="M299" s="26"/>
      <c r="N299" s="26"/>
      <c r="O299" s="26"/>
      <c r="P299" s="26"/>
      <c r="Q299" s="26"/>
      <c r="S299" s="26"/>
      <c r="T299" s="25"/>
      <c r="U299" s="24"/>
      <c r="V299" s="24"/>
      <c r="W299" s="24"/>
      <c r="X299" s="26"/>
      <c r="Y299" s="26"/>
      <c r="Z299" s="24"/>
      <c r="AA299" s="26"/>
      <c r="AB299" s="25"/>
      <c r="AC299" s="24"/>
      <c r="AD299" s="24"/>
      <c r="AE299" s="24"/>
      <c r="AF299" s="26"/>
      <c r="AG299" s="26"/>
      <c r="AH299" s="24"/>
      <c r="AI299" s="26"/>
      <c r="AJ299" s="25"/>
      <c r="AK299" s="24"/>
      <c r="AL299" s="24"/>
      <c r="AM299" s="24"/>
      <c r="AN299" s="26"/>
      <c r="AO299" s="26"/>
      <c r="AP299" s="24"/>
      <c r="AQ299" s="24"/>
      <c r="AR299" s="24"/>
      <c r="AS299" s="28"/>
      <c r="AT299" s="28"/>
      <c r="AU299" s="28"/>
      <c r="AV299" s="28"/>
      <c r="AW299" s="28"/>
      <c r="AX299" s="28"/>
      <c r="AY299" s="28"/>
      <c r="AZ299" s="28"/>
      <c r="BA299" s="28"/>
      <c r="BB299" s="28"/>
      <c r="BC299" s="28"/>
      <c r="BD299" s="28"/>
      <c r="BE299" s="28"/>
      <c r="BF299" s="28"/>
      <c r="BG299" s="28"/>
      <c r="BH299" s="28"/>
      <c r="BI299" s="28"/>
      <c r="BJ299" s="24"/>
      <c r="BK299" s="28"/>
      <c r="BL299" s="28"/>
      <c r="BM299" s="28"/>
      <c r="BN299" s="28"/>
      <c r="BO299" s="28"/>
      <c r="BP299" s="28"/>
      <c r="BQ299" s="24"/>
      <c r="BR299" s="28"/>
      <c r="BS299" s="28"/>
      <c r="BT299" s="28"/>
      <c r="BU299" s="24"/>
      <c r="BV299" s="28"/>
      <c r="BW299" s="28"/>
      <c r="BX299" s="28"/>
    </row>
    <row r="300" spans="1:76">
      <c r="A300" s="24"/>
      <c r="B300" s="28"/>
      <c r="C300" s="25"/>
      <c r="D300" s="26"/>
      <c r="E300" s="24"/>
      <c r="F300" s="24"/>
      <c r="G300" s="26"/>
      <c r="H300" s="26"/>
      <c r="I300" s="26"/>
      <c r="J300" s="26"/>
      <c r="K300" s="26"/>
      <c r="L300" s="26"/>
      <c r="M300" s="26"/>
      <c r="N300" s="26"/>
      <c r="O300" s="26"/>
      <c r="P300" s="26"/>
      <c r="Q300" s="26"/>
      <c r="S300" s="26"/>
      <c r="T300" s="25"/>
      <c r="U300" s="24"/>
      <c r="V300" s="24"/>
      <c r="W300" s="24"/>
      <c r="X300" s="26"/>
      <c r="Y300" s="26"/>
      <c r="Z300" s="24"/>
      <c r="AA300" s="26"/>
      <c r="AB300" s="25"/>
      <c r="AC300" s="24"/>
      <c r="AD300" s="24"/>
      <c r="AE300" s="24"/>
      <c r="AF300" s="26"/>
      <c r="AG300" s="26"/>
      <c r="AH300" s="24"/>
      <c r="AI300" s="26"/>
      <c r="AJ300" s="25"/>
      <c r="AK300" s="24"/>
      <c r="AL300" s="24"/>
      <c r="AM300" s="24"/>
      <c r="AN300" s="26"/>
      <c r="AO300" s="26"/>
      <c r="AP300" s="24"/>
      <c r="AQ300" s="24"/>
      <c r="AR300" s="24"/>
      <c r="AS300" s="28"/>
      <c r="AT300" s="28"/>
      <c r="AU300" s="28"/>
      <c r="AV300" s="28"/>
      <c r="AW300" s="28"/>
      <c r="AX300" s="28"/>
      <c r="AY300" s="28"/>
      <c r="AZ300" s="28"/>
      <c r="BA300" s="28"/>
      <c r="BB300" s="28"/>
      <c r="BC300" s="28"/>
      <c r="BD300" s="28"/>
      <c r="BE300" s="28"/>
      <c r="BF300" s="28"/>
      <c r="BG300" s="28"/>
      <c r="BH300" s="28"/>
      <c r="BI300" s="28"/>
      <c r="BJ300" s="24"/>
      <c r="BK300" s="28"/>
      <c r="BL300" s="28"/>
      <c r="BM300" s="28"/>
      <c r="BN300" s="28"/>
      <c r="BO300" s="28"/>
      <c r="BP300" s="28"/>
      <c r="BQ300" s="24"/>
      <c r="BR300" s="28"/>
      <c r="BS300" s="28"/>
      <c r="BT300" s="28"/>
      <c r="BU300" s="24"/>
      <c r="BV300" s="28"/>
      <c r="BW300" s="28"/>
      <c r="BX300" s="28"/>
    </row>
    <row r="301" spans="1:76">
      <c r="A301" s="24"/>
      <c r="B301" s="28"/>
      <c r="C301" s="25"/>
      <c r="D301" s="26"/>
      <c r="E301" s="24"/>
      <c r="F301" s="24"/>
      <c r="G301" s="26"/>
      <c r="H301" s="26"/>
      <c r="I301" s="26"/>
      <c r="J301" s="26"/>
      <c r="K301" s="26"/>
      <c r="L301" s="26"/>
      <c r="M301" s="26"/>
      <c r="N301" s="26"/>
      <c r="O301" s="26"/>
      <c r="P301" s="26"/>
      <c r="Q301" s="26"/>
      <c r="S301" s="26"/>
      <c r="T301" s="25"/>
      <c r="U301" s="24"/>
      <c r="V301" s="24"/>
      <c r="W301" s="24"/>
      <c r="X301" s="26"/>
      <c r="Y301" s="26"/>
      <c r="Z301" s="24"/>
      <c r="AA301" s="26"/>
      <c r="AB301" s="25"/>
      <c r="AC301" s="24"/>
      <c r="AD301" s="24"/>
      <c r="AE301" s="24"/>
      <c r="AF301" s="26"/>
      <c r="AG301" s="26"/>
      <c r="AH301" s="24"/>
      <c r="AI301" s="26"/>
      <c r="AJ301" s="25"/>
      <c r="AK301" s="24"/>
      <c r="AL301" s="24"/>
      <c r="AM301" s="24"/>
      <c r="AN301" s="26"/>
      <c r="AO301" s="26"/>
      <c r="AP301" s="24"/>
      <c r="AQ301" s="24"/>
      <c r="AR301" s="24"/>
      <c r="AS301" s="28"/>
      <c r="AT301" s="28"/>
      <c r="AU301" s="28"/>
      <c r="AV301" s="28"/>
      <c r="AW301" s="28"/>
      <c r="AX301" s="28"/>
      <c r="AY301" s="28"/>
      <c r="AZ301" s="28"/>
      <c r="BA301" s="28"/>
      <c r="BB301" s="28"/>
      <c r="BC301" s="28"/>
      <c r="BD301" s="28"/>
      <c r="BE301" s="28"/>
      <c r="BF301" s="28"/>
      <c r="BG301" s="28"/>
      <c r="BH301" s="28"/>
      <c r="BI301" s="28"/>
      <c r="BJ301" s="24"/>
      <c r="BK301" s="28"/>
      <c r="BL301" s="28"/>
      <c r="BM301" s="28"/>
      <c r="BN301" s="28"/>
      <c r="BO301" s="28"/>
      <c r="BP301" s="28"/>
      <c r="BQ301" s="24"/>
      <c r="BR301" s="28"/>
      <c r="BS301" s="28"/>
      <c r="BT301" s="28"/>
      <c r="BU301" s="24"/>
      <c r="BV301" s="28"/>
      <c r="BW301" s="28"/>
      <c r="BX301" s="28"/>
    </row>
    <row r="302" spans="1:76">
      <c r="A302" s="24"/>
      <c r="B302" s="28"/>
      <c r="C302" s="25"/>
      <c r="D302" s="26"/>
      <c r="E302" s="24"/>
      <c r="F302" s="24"/>
      <c r="G302" s="26"/>
      <c r="H302" s="26"/>
      <c r="I302" s="26"/>
      <c r="J302" s="26"/>
      <c r="K302" s="26"/>
      <c r="L302" s="26"/>
      <c r="M302" s="26"/>
      <c r="N302" s="26"/>
      <c r="O302" s="26"/>
      <c r="P302" s="26"/>
      <c r="Q302" s="26"/>
      <c r="S302" s="26"/>
      <c r="T302" s="25"/>
      <c r="U302" s="24"/>
      <c r="V302" s="24"/>
      <c r="W302" s="24"/>
      <c r="X302" s="26"/>
      <c r="Y302" s="26"/>
      <c r="Z302" s="24"/>
      <c r="AA302" s="26"/>
      <c r="AB302" s="25"/>
      <c r="AC302" s="24"/>
      <c r="AD302" s="24"/>
      <c r="AE302" s="24"/>
      <c r="AF302" s="26"/>
      <c r="AG302" s="26"/>
      <c r="AH302" s="24"/>
      <c r="AI302" s="26"/>
      <c r="AJ302" s="25"/>
      <c r="AK302" s="24"/>
      <c r="AL302" s="24"/>
      <c r="AM302" s="24"/>
      <c r="AN302" s="26"/>
      <c r="AO302" s="26"/>
      <c r="AP302" s="24"/>
      <c r="AQ302" s="24"/>
      <c r="AR302" s="24"/>
      <c r="AS302" s="28"/>
      <c r="AT302" s="28"/>
      <c r="AU302" s="28"/>
      <c r="AV302" s="28"/>
      <c r="AW302" s="28"/>
      <c r="AX302" s="28"/>
      <c r="AY302" s="28"/>
      <c r="AZ302" s="28"/>
      <c r="BA302" s="28"/>
      <c r="BB302" s="28"/>
      <c r="BC302" s="28"/>
      <c r="BD302" s="28"/>
      <c r="BE302" s="28"/>
      <c r="BF302" s="28"/>
      <c r="BG302" s="28"/>
      <c r="BH302" s="28"/>
      <c r="BI302" s="28"/>
      <c r="BJ302" s="24"/>
      <c r="BK302" s="28"/>
      <c r="BL302" s="28"/>
      <c r="BM302" s="28"/>
      <c r="BN302" s="28"/>
      <c r="BO302" s="28"/>
      <c r="BP302" s="28"/>
      <c r="BQ302" s="24"/>
      <c r="BR302" s="28"/>
      <c r="BS302" s="28"/>
      <c r="BT302" s="28"/>
      <c r="BU302" s="24"/>
      <c r="BV302" s="28"/>
      <c r="BW302" s="28"/>
      <c r="BX302" s="28"/>
    </row>
    <row r="303" spans="1:76">
      <c r="A303" s="24"/>
      <c r="B303" s="28"/>
      <c r="C303" s="25"/>
      <c r="D303" s="26"/>
      <c r="E303" s="24"/>
      <c r="F303" s="24"/>
      <c r="G303" s="26"/>
      <c r="H303" s="26"/>
      <c r="I303" s="26"/>
      <c r="J303" s="26"/>
      <c r="K303" s="26"/>
      <c r="L303" s="26"/>
      <c r="M303" s="26"/>
      <c r="N303" s="26"/>
      <c r="O303" s="26"/>
      <c r="P303" s="26"/>
      <c r="Q303" s="26"/>
      <c r="S303" s="26"/>
      <c r="T303" s="25"/>
      <c r="U303" s="24"/>
      <c r="V303" s="24"/>
      <c r="W303" s="24"/>
      <c r="X303" s="26"/>
      <c r="Y303" s="26"/>
      <c r="Z303" s="24"/>
      <c r="AA303" s="26"/>
      <c r="AB303" s="25"/>
      <c r="AC303" s="24"/>
      <c r="AD303" s="24"/>
      <c r="AE303" s="24"/>
      <c r="AF303" s="26"/>
      <c r="AG303" s="26"/>
      <c r="AH303" s="24"/>
      <c r="AI303" s="26"/>
      <c r="AJ303" s="25"/>
      <c r="AK303" s="24"/>
      <c r="AL303" s="24"/>
      <c r="AM303" s="24"/>
      <c r="AN303" s="26"/>
      <c r="AO303" s="26"/>
      <c r="AP303" s="24"/>
      <c r="AQ303" s="24"/>
      <c r="AR303" s="24"/>
      <c r="AS303" s="28"/>
      <c r="AT303" s="28"/>
      <c r="AU303" s="28"/>
      <c r="AV303" s="28"/>
      <c r="AW303" s="28"/>
      <c r="AX303" s="28"/>
      <c r="AY303" s="28"/>
      <c r="AZ303" s="28"/>
      <c r="BA303" s="28"/>
      <c r="BB303" s="28"/>
      <c r="BC303" s="28"/>
      <c r="BD303" s="28"/>
      <c r="BE303" s="28"/>
      <c r="BF303" s="28"/>
      <c r="BG303" s="28"/>
      <c r="BH303" s="28"/>
      <c r="BI303" s="28"/>
      <c r="BJ303" s="24"/>
      <c r="BK303" s="28"/>
      <c r="BL303" s="28"/>
      <c r="BM303" s="28"/>
      <c r="BN303" s="28"/>
      <c r="BO303" s="28"/>
      <c r="BP303" s="28"/>
      <c r="BQ303" s="24"/>
      <c r="BR303" s="28"/>
      <c r="BS303" s="28"/>
      <c r="BT303" s="28"/>
      <c r="BU303" s="24"/>
      <c r="BV303" s="28"/>
      <c r="BW303" s="28"/>
      <c r="BX303" s="28"/>
    </row>
    <row r="304" spans="1:76">
      <c r="A304" s="24"/>
      <c r="B304" s="28"/>
      <c r="C304" s="25"/>
      <c r="D304" s="26"/>
      <c r="E304" s="24"/>
      <c r="F304" s="24"/>
      <c r="G304" s="26"/>
      <c r="H304" s="26"/>
      <c r="I304" s="26"/>
      <c r="J304" s="26"/>
      <c r="K304" s="26"/>
      <c r="L304" s="26"/>
      <c r="M304" s="26"/>
      <c r="N304" s="26"/>
      <c r="O304" s="26"/>
      <c r="P304" s="26"/>
      <c r="Q304" s="26"/>
      <c r="S304" s="26"/>
      <c r="T304" s="25"/>
      <c r="U304" s="24"/>
      <c r="V304" s="24"/>
      <c r="W304" s="24"/>
      <c r="X304" s="26"/>
      <c r="Y304" s="26"/>
      <c r="Z304" s="24"/>
      <c r="AA304" s="26"/>
      <c r="AB304" s="25"/>
      <c r="AC304" s="24"/>
      <c r="AD304" s="24"/>
      <c r="AE304" s="24"/>
      <c r="AF304" s="26"/>
      <c r="AG304" s="26"/>
      <c r="AH304" s="24"/>
      <c r="AI304" s="26"/>
      <c r="AJ304" s="25"/>
      <c r="AK304" s="24"/>
      <c r="AL304" s="24"/>
      <c r="AM304" s="24"/>
      <c r="AN304" s="26"/>
      <c r="AO304" s="26"/>
      <c r="AP304" s="24"/>
      <c r="AQ304" s="24"/>
      <c r="AR304" s="24"/>
      <c r="AS304" s="28"/>
      <c r="AT304" s="28"/>
      <c r="AU304" s="28"/>
      <c r="AV304" s="28"/>
      <c r="AW304" s="28"/>
      <c r="AX304" s="28"/>
      <c r="AY304" s="28"/>
      <c r="AZ304" s="28"/>
      <c r="BA304" s="28"/>
      <c r="BB304" s="28"/>
      <c r="BC304" s="28"/>
      <c r="BD304" s="28"/>
      <c r="BE304" s="28"/>
      <c r="BF304" s="28"/>
      <c r="BG304" s="28"/>
      <c r="BH304" s="28"/>
      <c r="BI304" s="28"/>
      <c r="BJ304" s="24"/>
      <c r="BK304" s="28"/>
      <c r="BL304" s="28"/>
      <c r="BM304" s="28"/>
      <c r="BN304" s="28"/>
      <c r="BO304" s="28"/>
      <c r="BP304" s="28"/>
      <c r="BQ304" s="24"/>
      <c r="BR304" s="28"/>
      <c r="BS304" s="28"/>
      <c r="BT304" s="28"/>
      <c r="BU304" s="24"/>
      <c r="BV304" s="28"/>
      <c r="BW304" s="28"/>
      <c r="BX304" s="28"/>
    </row>
    <row r="305" spans="1:76">
      <c r="A305" s="24"/>
      <c r="B305" s="28"/>
      <c r="C305" s="25"/>
      <c r="D305" s="26"/>
      <c r="E305" s="24"/>
      <c r="F305" s="24"/>
      <c r="G305" s="26"/>
      <c r="H305" s="26"/>
      <c r="I305" s="26"/>
      <c r="J305" s="26"/>
      <c r="K305" s="26"/>
      <c r="L305" s="26"/>
      <c r="M305" s="26"/>
      <c r="N305" s="26"/>
      <c r="O305" s="26"/>
      <c r="P305" s="26"/>
      <c r="Q305" s="26"/>
      <c r="S305" s="26"/>
      <c r="T305" s="25"/>
      <c r="U305" s="24"/>
      <c r="V305" s="24"/>
      <c r="W305" s="24"/>
      <c r="X305" s="26"/>
      <c r="Y305" s="26"/>
      <c r="Z305" s="24"/>
      <c r="AA305" s="26"/>
      <c r="AB305" s="25"/>
      <c r="AC305" s="24"/>
      <c r="AD305" s="24"/>
      <c r="AE305" s="24"/>
      <c r="AF305" s="26"/>
      <c r="AG305" s="26"/>
      <c r="AH305" s="24"/>
      <c r="AI305" s="26"/>
      <c r="AJ305" s="25"/>
      <c r="AK305" s="24"/>
      <c r="AL305" s="24"/>
      <c r="AM305" s="24"/>
      <c r="AN305" s="26"/>
      <c r="AO305" s="26"/>
      <c r="AP305" s="24"/>
      <c r="AQ305" s="24"/>
      <c r="AR305" s="24"/>
      <c r="AS305" s="28"/>
      <c r="AT305" s="28"/>
      <c r="AU305" s="28"/>
      <c r="AV305" s="28"/>
      <c r="AW305" s="28"/>
      <c r="AX305" s="28"/>
      <c r="AY305" s="28"/>
      <c r="AZ305" s="28"/>
      <c r="BA305" s="28"/>
      <c r="BB305" s="28"/>
      <c r="BC305" s="28"/>
      <c r="BD305" s="28"/>
      <c r="BE305" s="28"/>
      <c r="BF305" s="28"/>
      <c r="BG305" s="28"/>
      <c r="BH305" s="28"/>
      <c r="BI305" s="28"/>
      <c r="BJ305" s="24"/>
      <c r="BK305" s="28"/>
      <c r="BL305" s="28"/>
      <c r="BM305" s="28"/>
      <c r="BN305" s="28"/>
      <c r="BO305" s="28"/>
      <c r="BP305" s="28"/>
      <c r="BQ305" s="24"/>
      <c r="BR305" s="28"/>
      <c r="BS305" s="28"/>
      <c r="BT305" s="28"/>
      <c r="BU305" s="24"/>
      <c r="BV305" s="28"/>
      <c r="BW305" s="28"/>
      <c r="BX305" s="28"/>
    </row>
    <row r="306" spans="1:76">
      <c r="A306" s="24"/>
      <c r="B306" s="28"/>
      <c r="C306" s="25"/>
      <c r="D306" s="26"/>
      <c r="E306" s="24"/>
      <c r="F306" s="24"/>
      <c r="G306" s="26"/>
      <c r="H306" s="26"/>
      <c r="I306" s="26"/>
      <c r="J306" s="26"/>
      <c r="K306" s="26"/>
      <c r="L306" s="26"/>
      <c r="M306" s="26"/>
      <c r="N306" s="26"/>
      <c r="O306" s="26"/>
      <c r="P306" s="26"/>
      <c r="Q306" s="26"/>
      <c r="S306" s="26"/>
      <c r="T306" s="25"/>
      <c r="U306" s="24"/>
      <c r="V306" s="24"/>
      <c r="W306" s="24"/>
      <c r="X306" s="26"/>
      <c r="Y306" s="26"/>
      <c r="Z306" s="24"/>
      <c r="AA306" s="26"/>
      <c r="AB306" s="25"/>
      <c r="AC306" s="24"/>
      <c r="AD306" s="24"/>
      <c r="AE306" s="24"/>
      <c r="AF306" s="26"/>
      <c r="AG306" s="26"/>
      <c r="AH306" s="24"/>
      <c r="AI306" s="26"/>
      <c r="AJ306" s="25"/>
      <c r="AK306" s="24"/>
      <c r="AL306" s="24"/>
      <c r="AM306" s="24"/>
      <c r="AN306" s="26"/>
      <c r="AO306" s="26"/>
      <c r="AP306" s="24"/>
      <c r="AQ306" s="24"/>
      <c r="AR306" s="24"/>
      <c r="AS306" s="28"/>
      <c r="AT306" s="28"/>
      <c r="AU306" s="28"/>
      <c r="AV306" s="28"/>
      <c r="AW306" s="28"/>
      <c r="AX306" s="28"/>
      <c r="AY306" s="28"/>
      <c r="AZ306" s="28"/>
      <c r="BA306" s="28"/>
      <c r="BB306" s="28"/>
      <c r="BC306" s="28"/>
      <c r="BD306" s="28"/>
      <c r="BE306" s="28"/>
      <c r="BF306" s="28"/>
      <c r="BG306" s="28"/>
      <c r="BH306" s="28"/>
      <c r="BI306" s="28"/>
      <c r="BJ306" s="24"/>
      <c r="BK306" s="28"/>
      <c r="BL306" s="28"/>
      <c r="BM306" s="28"/>
      <c r="BN306" s="28"/>
      <c r="BO306" s="28"/>
      <c r="BP306" s="28"/>
      <c r="BQ306" s="24"/>
      <c r="BR306" s="28"/>
      <c r="BS306" s="28"/>
      <c r="BT306" s="28"/>
      <c r="BU306" s="24"/>
      <c r="BV306" s="28"/>
      <c r="BW306" s="28"/>
      <c r="BX306" s="28"/>
    </row>
    <row r="307" spans="1:76">
      <c r="A307" s="24"/>
      <c r="B307" s="28"/>
      <c r="C307" s="25"/>
      <c r="D307" s="26"/>
      <c r="E307" s="24"/>
      <c r="F307" s="24"/>
      <c r="G307" s="26"/>
      <c r="H307" s="26"/>
      <c r="I307" s="26"/>
      <c r="J307" s="26"/>
      <c r="K307" s="26"/>
      <c r="L307" s="26"/>
      <c r="M307" s="26"/>
      <c r="N307" s="26"/>
      <c r="O307" s="26"/>
      <c r="P307" s="26"/>
      <c r="Q307" s="26"/>
      <c r="S307" s="26"/>
      <c r="T307" s="25"/>
      <c r="U307" s="24"/>
      <c r="V307" s="24"/>
      <c r="W307" s="24"/>
      <c r="X307" s="26"/>
      <c r="Y307" s="26"/>
      <c r="Z307" s="24"/>
      <c r="AA307" s="26"/>
      <c r="AB307" s="25"/>
      <c r="AC307" s="24"/>
      <c r="AD307" s="24"/>
      <c r="AE307" s="24"/>
      <c r="AF307" s="26"/>
      <c r="AG307" s="26"/>
      <c r="AH307" s="24"/>
      <c r="AI307" s="26"/>
      <c r="AJ307" s="25"/>
      <c r="AK307" s="24"/>
      <c r="AL307" s="24"/>
      <c r="AM307" s="24"/>
      <c r="AN307" s="26"/>
      <c r="AO307" s="26"/>
      <c r="AP307" s="24"/>
      <c r="AQ307" s="24"/>
      <c r="AR307" s="24"/>
      <c r="AS307" s="28"/>
      <c r="AT307" s="28"/>
      <c r="AU307" s="28"/>
      <c r="AV307" s="28"/>
      <c r="AW307" s="28"/>
      <c r="AX307" s="28"/>
      <c r="AY307" s="28"/>
      <c r="AZ307" s="28"/>
      <c r="BA307" s="28"/>
      <c r="BB307" s="28"/>
      <c r="BC307" s="28"/>
      <c r="BD307" s="28"/>
      <c r="BE307" s="28"/>
      <c r="BF307" s="28"/>
      <c r="BG307" s="28"/>
      <c r="BH307" s="28"/>
      <c r="BI307" s="28"/>
      <c r="BJ307" s="24"/>
      <c r="BK307" s="28"/>
      <c r="BL307" s="28"/>
      <c r="BM307" s="28"/>
      <c r="BN307" s="28"/>
      <c r="BO307" s="28"/>
      <c r="BP307" s="28"/>
      <c r="BQ307" s="24"/>
      <c r="BR307" s="28"/>
      <c r="BS307" s="28"/>
      <c r="BT307" s="28"/>
      <c r="BU307" s="24"/>
      <c r="BV307" s="28"/>
      <c r="BW307" s="28"/>
      <c r="BX307" s="28"/>
    </row>
    <row r="308" spans="1:76">
      <c r="A308" s="24"/>
      <c r="B308" s="28"/>
      <c r="C308" s="25"/>
      <c r="D308" s="26"/>
      <c r="E308" s="24"/>
      <c r="F308" s="24"/>
      <c r="G308" s="26"/>
      <c r="H308" s="26"/>
      <c r="I308" s="26"/>
      <c r="J308" s="26"/>
      <c r="K308" s="26"/>
      <c r="L308" s="26"/>
      <c r="M308" s="26"/>
      <c r="N308" s="26"/>
      <c r="O308" s="26"/>
      <c r="P308" s="26"/>
      <c r="Q308" s="26"/>
      <c r="S308" s="26"/>
      <c r="T308" s="25"/>
      <c r="U308" s="24"/>
      <c r="V308" s="24"/>
      <c r="W308" s="24"/>
      <c r="X308" s="26"/>
      <c r="Y308" s="26"/>
      <c r="Z308" s="24"/>
      <c r="AA308" s="26"/>
      <c r="AB308" s="25"/>
      <c r="AC308" s="24"/>
      <c r="AD308" s="24"/>
      <c r="AE308" s="24"/>
      <c r="AF308" s="26"/>
      <c r="AG308" s="26"/>
      <c r="AH308" s="24"/>
      <c r="AI308" s="26"/>
      <c r="AJ308" s="25"/>
      <c r="AK308" s="24"/>
      <c r="AL308" s="24"/>
      <c r="AM308" s="24"/>
      <c r="AN308" s="26"/>
      <c r="AO308" s="26"/>
      <c r="AP308" s="24"/>
      <c r="AQ308" s="24"/>
      <c r="AR308" s="24"/>
      <c r="AS308" s="28"/>
      <c r="AT308" s="28"/>
      <c r="AU308" s="28"/>
      <c r="AV308" s="28"/>
      <c r="AW308" s="28"/>
      <c r="AX308" s="28"/>
      <c r="AY308" s="28"/>
      <c r="AZ308" s="28"/>
      <c r="BA308" s="28"/>
      <c r="BB308" s="28"/>
      <c r="BC308" s="28"/>
      <c r="BD308" s="28"/>
      <c r="BE308" s="28"/>
      <c r="BF308" s="28"/>
      <c r="BG308" s="28"/>
      <c r="BH308" s="28"/>
      <c r="BI308" s="28"/>
      <c r="BJ308" s="24"/>
      <c r="BK308" s="28"/>
      <c r="BL308" s="28"/>
      <c r="BM308" s="28"/>
      <c r="BN308" s="28"/>
      <c r="BO308" s="28"/>
      <c r="BP308" s="28"/>
      <c r="BQ308" s="24"/>
      <c r="BR308" s="28"/>
      <c r="BS308" s="28"/>
      <c r="BT308" s="28"/>
      <c r="BU308" s="24"/>
      <c r="BV308" s="28"/>
      <c r="BW308" s="28"/>
      <c r="BX308" s="28"/>
    </row>
    <row r="309" spans="1:76">
      <c r="A309" s="24"/>
      <c r="B309" s="28"/>
      <c r="C309" s="25"/>
      <c r="D309" s="26"/>
      <c r="E309" s="24"/>
      <c r="F309" s="24"/>
      <c r="G309" s="26"/>
      <c r="H309" s="26"/>
      <c r="I309" s="26"/>
      <c r="J309" s="26"/>
      <c r="K309" s="26"/>
      <c r="L309" s="26"/>
      <c r="M309" s="26"/>
      <c r="N309" s="26"/>
      <c r="O309" s="26"/>
      <c r="P309" s="26"/>
      <c r="Q309" s="26"/>
      <c r="S309" s="26"/>
      <c r="T309" s="25"/>
      <c r="U309" s="24"/>
      <c r="V309" s="24"/>
      <c r="W309" s="24"/>
      <c r="X309" s="26"/>
      <c r="Y309" s="26"/>
      <c r="Z309" s="24"/>
      <c r="AA309" s="26"/>
      <c r="AB309" s="25"/>
      <c r="AC309" s="24"/>
      <c r="AD309" s="24"/>
      <c r="AE309" s="24"/>
      <c r="AF309" s="26"/>
      <c r="AG309" s="26"/>
      <c r="AH309" s="24"/>
      <c r="AI309" s="26"/>
      <c r="AJ309" s="25"/>
      <c r="AK309" s="24"/>
      <c r="AL309" s="24"/>
      <c r="AM309" s="24"/>
      <c r="AN309" s="26"/>
      <c r="AO309" s="26"/>
      <c r="AP309" s="24"/>
      <c r="AQ309" s="24"/>
      <c r="AR309" s="24"/>
      <c r="AS309" s="28"/>
      <c r="AT309" s="28"/>
      <c r="AU309" s="28"/>
      <c r="AV309" s="28"/>
      <c r="AW309" s="28"/>
      <c r="AX309" s="28"/>
      <c r="AY309" s="28"/>
      <c r="AZ309" s="28"/>
      <c r="BA309" s="28"/>
      <c r="BB309" s="28"/>
      <c r="BC309" s="28"/>
      <c r="BD309" s="28"/>
      <c r="BE309" s="28"/>
      <c r="BF309" s="28"/>
      <c r="BG309" s="28"/>
      <c r="BH309" s="28"/>
      <c r="BI309" s="28"/>
      <c r="BJ309" s="24"/>
      <c r="BK309" s="28"/>
      <c r="BL309" s="28"/>
      <c r="BM309" s="28"/>
      <c r="BN309" s="28"/>
      <c r="BO309" s="28"/>
      <c r="BP309" s="28"/>
      <c r="BQ309" s="24"/>
      <c r="BR309" s="28"/>
      <c r="BS309" s="28"/>
      <c r="BT309" s="28"/>
      <c r="BU309" s="24"/>
      <c r="BV309" s="28"/>
      <c r="BW309" s="28"/>
      <c r="BX309" s="28"/>
    </row>
    <row r="310" spans="1:76">
      <c r="A310" s="24"/>
      <c r="B310" s="28"/>
      <c r="C310" s="25"/>
      <c r="D310" s="26"/>
      <c r="E310" s="24"/>
      <c r="F310" s="24"/>
      <c r="G310" s="26"/>
      <c r="H310" s="26"/>
      <c r="I310" s="26"/>
      <c r="J310" s="26"/>
      <c r="K310" s="26"/>
      <c r="L310" s="26"/>
      <c r="M310" s="26"/>
      <c r="N310" s="26"/>
      <c r="O310" s="26"/>
      <c r="P310" s="26"/>
      <c r="Q310" s="26"/>
      <c r="S310" s="26"/>
      <c r="T310" s="25"/>
      <c r="U310" s="24"/>
      <c r="V310" s="24"/>
      <c r="W310" s="24"/>
      <c r="X310" s="26"/>
      <c r="Y310" s="26"/>
      <c r="Z310" s="24"/>
      <c r="AA310" s="26"/>
      <c r="AB310" s="25"/>
      <c r="AC310" s="24"/>
      <c r="AD310" s="24"/>
      <c r="AE310" s="24"/>
      <c r="AF310" s="26"/>
      <c r="AG310" s="26"/>
      <c r="AH310" s="24"/>
      <c r="AI310" s="26"/>
      <c r="AJ310" s="25"/>
      <c r="AK310" s="24"/>
      <c r="AL310" s="24"/>
      <c r="AM310" s="24"/>
      <c r="AN310" s="26"/>
      <c r="AO310" s="26"/>
      <c r="AP310" s="24"/>
      <c r="AQ310" s="24"/>
      <c r="AR310" s="24"/>
      <c r="AS310" s="28"/>
      <c r="AT310" s="28"/>
      <c r="AU310" s="28"/>
      <c r="AV310" s="28"/>
      <c r="AW310" s="28"/>
      <c r="AX310" s="28"/>
      <c r="AY310" s="28"/>
      <c r="AZ310" s="28"/>
      <c r="BA310" s="28"/>
      <c r="BB310" s="28"/>
      <c r="BC310" s="28"/>
      <c r="BD310" s="28"/>
      <c r="BE310" s="28"/>
      <c r="BF310" s="28"/>
      <c r="BG310" s="28"/>
      <c r="BH310" s="28"/>
      <c r="BI310" s="28"/>
      <c r="BJ310" s="24"/>
      <c r="BK310" s="28"/>
      <c r="BL310" s="28"/>
      <c r="BM310" s="28"/>
      <c r="BN310" s="28"/>
      <c r="BO310" s="28"/>
      <c r="BP310" s="28"/>
      <c r="BQ310" s="24"/>
      <c r="BR310" s="28"/>
      <c r="BS310" s="28"/>
      <c r="BT310" s="28"/>
      <c r="BU310" s="24"/>
      <c r="BV310" s="28"/>
      <c r="BW310" s="28"/>
      <c r="BX310" s="28"/>
    </row>
    <row r="311" spans="1:76">
      <c r="A311" s="24"/>
      <c r="B311" s="28"/>
      <c r="C311" s="25"/>
      <c r="D311" s="26"/>
      <c r="E311" s="24"/>
      <c r="F311" s="24"/>
      <c r="G311" s="26"/>
      <c r="H311" s="26"/>
      <c r="I311" s="26"/>
      <c r="J311" s="26"/>
      <c r="K311" s="26"/>
      <c r="L311" s="26"/>
      <c r="M311" s="26"/>
      <c r="N311" s="26"/>
      <c r="O311" s="26"/>
      <c r="P311" s="26"/>
      <c r="Q311" s="26"/>
      <c r="S311" s="26"/>
      <c r="T311" s="25"/>
      <c r="U311" s="24"/>
      <c r="V311" s="24"/>
      <c r="W311" s="24"/>
      <c r="X311" s="26"/>
      <c r="Y311" s="26"/>
      <c r="Z311" s="24"/>
      <c r="AA311" s="26"/>
      <c r="AB311" s="25"/>
      <c r="AC311" s="24"/>
      <c r="AD311" s="24"/>
      <c r="AE311" s="24"/>
      <c r="AF311" s="26"/>
      <c r="AG311" s="26"/>
      <c r="AH311" s="24"/>
      <c r="AI311" s="26"/>
      <c r="AJ311" s="25"/>
      <c r="AK311" s="24"/>
      <c r="AL311" s="24"/>
      <c r="AM311" s="24"/>
      <c r="AN311" s="26"/>
      <c r="AO311" s="26"/>
      <c r="AP311" s="24"/>
      <c r="AQ311" s="24"/>
      <c r="AR311" s="24"/>
      <c r="AS311" s="28"/>
      <c r="AT311" s="28"/>
      <c r="AU311" s="28"/>
      <c r="AV311" s="28"/>
      <c r="AW311" s="28"/>
      <c r="AX311" s="28"/>
      <c r="AY311" s="28"/>
      <c r="AZ311" s="28"/>
      <c r="BA311" s="28"/>
      <c r="BB311" s="28"/>
      <c r="BC311" s="28"/>
      <c r="BD311" s="28"/>
      <c r="BE311" s="28"/>
      <c r="BF311" s="28"/>
      <c r="BG311" s="28"/>
      <c r="BH311" s="28"/>
      <c r="BI311" s="28"/>
      <c r="BJ311" s="24"/>
      <c r="BK311" s="28"/>
      <c r="BL311" s="28"/>
      <c r="BM311" s="28"/>
      <c r="BN311" s="28"/>
      <c r="BO311" s="28"/>
      <c r="BP311" s="28"/>
      <c r="BQ311" s="24"/>
      <c r="BR311" s="28"/>
      <c r="BS311" s="28"/>
      <c r="BT311" s="28"/>
      <c r="BU311" s="24"/>
      <c r="BV311" s="28"/>
      <c r="BW311" s="28"/>
      <c r="BX311" s="28"/>
    </row>
    <row r="312" spans="1:76">
      <c r="A312" s="24"/>
      <c r="B312" s="28"/>
      <c r="C312" s="25"/>
      <c r="D312" s="26"/>
      <c r="E312" s="24"/>
      <c r="F312" s="24"/>
      <c r="G312" s="26"/>
      <c r="H312" s="26"/>
      <c r="I312" s="26"/>
      <c r="J312" s="26"/>
      <c r="K312" s="26"/>
      <c r="L312" s="26"/>
      <c r="M312" s="26"/>
      <c r="N312" s="26"/>
      <c r="O312" s="26"/>
      <c r="P312" s="26"/>
      <c r="Q312" s="26"/>
      <c r="S312" s="26"/>
      <c r="T312" s="25"/>
      <c r="U312" s="24"/>
      <c r="V312" s="24"/>
      <c r="W312" s="24"/>
      <c r="X312" s="26"/>
      <c r="Y312" s="26"/>
      <c r="Z312" s="24"/>
      <c r="AA312" s="26"/>
      <c r="AB312" s="25"/>
      <c r="AC312" s="24"/>
      <c r="AD312" s="24"/>
      <c r="AE312" s="24"/>
      <c r="AF312" s="26"/>
      <c r="AG312" s="26"/>
      <c r="AH312" s="24"/>
      <c r="AI312" s="26"/>
      <c r="AJ312" s="25"/>
      <c r="AK312" s="24"/>
      <c r="AL312" s="24"/>
      <c r="AM312" s="24"/>
      <c r="AN312" s="26"/>
      <c r="AO312" s="26"/>
      <c r="AP312" s="24"/>
      <c r="AQ312" s="24"/>
      <c r="AR312" s="24"/>
      <c r="AS312" s="28"/>
      <c r="AT312" s="28"/>
      <c r="AU312" s="28"/>
      <c r="AV312" s="28"/>
      <c r="AW312" s="28"/>
      <c r="AX312" s="28"/>
      <c r="AY312" s="28"/>
      <c r="AZ312" s="28"/>
      <c r="BA312" s="28"/>
      <c r="BB312" s="28"/>
      <c r="BC312" s="28"/>
      <c r="BD312" s="28"/>
      <c r="BE312" s="28"/>
      <c r="BF312" s="28"/>
      <c r="BG312" s="28"/>
      <c r="BH312" s="28"/>
      <c r="BI312" s="28"/>
      <c r="BJ312" s="24"/>
      <c r="BK312" s="28"/>
      <c r="BL312" s="28"/>
      <c r="BM312" s="28"/>
      <c r="BN312" s="28"/>
      <c r="BO312" s="28"/>
      <c r="BP312" s="28"/>
      <c r="BQ312" s="24"/>
      <c r="BR312" s="28"/>
      <c r="BS312" s="28"/>
      <c r="BT312" s="28"/>
      <c r="BU312" s="24"/>
      <c r="BV312" s="28"/>
      <c r="BW312" s="28"/>
      <c r="BX312" s="28"/>
    </row>
    <row r="313" spans="1:76">
      <c r="A313" s="24"/>
      <c r="B313" s="28"/>
      <c r="C313" s="25"/>
      <c r="D313" s="26"/>
      <c r="E313" s="24"/>
      <c r="F313" s="24"/>
      <c r="G313" s="26"/>
      <c r="H313" s="26"/>
      <c r="I313" s="26"/>
      <c r="J313" s="26"/>
      <c r="K313" s="26"/>
      <c r="L313" s="26"/>
      <c r="M313" s="26"/>
      <c r="N313" s="26"/>
      <c r="O313" s="26"/>
      <c r="P313" s="26"/>
      <c r="Q313" s="26"/>
      <c r="S313" s="26"/>
      <c r="T313" s="25"/>
      <c r="U313" s="24"/>
      <c r="V313" s="24"/>
      <c r="W313" s="24"/>
      <c r="X313" s="26"/>
      <c r="Y313" s="26"/>
      <c r="Z313" s="24"/>
      <c r="AA313" s="26"/>
      <c r="AB313" s="25"/>
      <c r="AC313" s="24"/>
      <c r="AD313" s="24"/>
      <c r="AE313" s="24"/>
      <c r="AF313" s="26"/>
      <c r="AG313" s="26"/>
      <c r="AH313" s="24"/>
      <c r="AI313" s="26"/>
      <c r="AJ313" s="25"/>
      <c r="AK313" s="24"/>
      <c r="AL313" s="24"/>
      <c r="AM313" s="24"/>
      <c r="AN313" s="26"/>
      <c r="AO313" s="26"/>
      <c r="AP313" s="24"/>
      <c r="AQ313" s="24"/>
      <c r="AR313" s="24"/>
      <c r="AS313" s="28"/>
      <c r="AT313" s="28"/>
      <c r="AU313" s="28"/>
      <c r="AV313" s="28"/>
      <c r="AW313" s="28"/>
      <c r="AX313" s="28"/>
      <c r="AY313" s="28"/>
      <c r="AZ313" s="28"/>
      <c r="BA313" s="28"/>
      <c r="BB313" s="28"/>
      <c r="BC313" s="28"/>
      <c r="BD313" s="28"/>
      <c r="BE313" s="28"/>
      <c r="BF313" s="28"/>
      <c r="BG313" s="28"/>
      <c r="BH313" s="28"/>
      <c r="BI313" s="28"/>
      <c r="BJ313" s="24"/>
      <c r="BK313" s="28"/>
      <c r="BL313" s="28"/>
      <c r="BM313" s="28"/>
      <c r="BN313" s="28"/>
      <c r="BO313" s="28"/>
      <c r="BP313" s="28"/>
      <c r="BQ313" s="24"/>
      <c r="BR313" s="28"/>
      <c r="BS313" s="28"/>
      <c r="BT313" s="28"/>
      <c r="BU313" s="24"/>
      <c r="BV313" s="28"/>
      <c r="BW313" s="28"/>
      <c r="BX313" s="28"/>
    </row>
    <row r="314" spans="1:76">
      <c r="A314" s="24"/>
      <c r="B314" s="28"/>
      <c r="C314" s="25"/>
      <c r="D314" s="26"/>
      <c r="E314" s="24"/>
      <c r="F314" s="24"/>
      <c r="G314" s="26"/>
      <c r="H314" s="26"/>
      <c r="I314" s="26"/>
      <c r="J314" s="26"/>
      <c r="K314" s="26"/>
      <c r="L314" s="26"/>
      <c r="M314" s="26"/>
      <c r="N314" s="26"/>
      <c r="O314" s="26"/>
      <c r="P314" s="26"/>
      <c r="Q314" s="26"/>
      <c r="S314" s="26"/>
      <c r="T314" s="25"/>
      <c r="U314" s="24"/>
      <c r="V314" s="24"/>
      <c r="W314" s="24"/>
      <c r="X314" s="26"/>
      <c r="Y314" s="26"/>
      <c r="Z314" s="24"/>
      <c r="AA314" s="26"/>
      <c r="AB314" s="25"/>
      <c r="AC314" s="24"/>
      <c r="AD314" s="24"/>
      <c r="AE314" s="24"/>
      <c r="AF314" s="26"/>
      <c r="AG314" s="26"/>
      <c r="AH314" s="24"/>
      <c r="AI314" s="26"/>
      <c r="AJ314" s="25"/>
      <c r="AK314" s="24"/>
      <c r="AL314" s="24"/>
      <c r="AM314" s="24"/>
      <c r="AN314" s="26"/>
      <c r="AO314" s="26"/>
      <c r="AP314" s="24"/>
      <c r="AQ314" s="24"/>
      <c r="AR314" s="24"/>
      <c r="AS314" s="28"/>
      <c r="AT314" s="28"/>
      <c r="AU314" s="28"/>
      <c r="AV314" s="28"/>
      <c r="AW314" s="28"/>
      <c r="AX314" s="28"/>
      <c r="AY314" s="28"/>
      <c r="AZ314" s="28"/>
      <c r="BA314" s="28"/>
      <c r="BB314" s="28"/>
      <c r="BC314" s="28"/>
      <c r="BD314" s="28"/>
      <c r="BE314" s="28"/>
      <c r="BF314" s="28"/>
      <c r="BG314" s="28"/>
      <c r="BH314" s="28"/>
      <c r="BI314" s="28"/>
      <c r="BJ314" s="24"/>
      <c r="BK314" s="28"/>
      <c r="BL314" s="28"/>
      <c r="BM314" s="28"/>
      <c r="BN314" s="28"/>
      <c r="BO314" s="28"/>
      <c r="BP314" s="28"/>
      <c r="BQ314" s="24"/>
      <c r="BR314" s="28"/>
      <c r="BS314" s="28"/>
      <c r="BT314" s="28"/>
      <c r="BU314" s="24"/>
      <c r="BV314" s="28"/>
      <c r="BW314" s="28"/>
      <c r="BX314" s="28"/>
    </row>
    <row r="315" spans="1:76">
      <c r="A315" s="24"/>
      <c r="B315" s="28"/>
      <c r="C315" s="25"/>
      <c r="D315" s="26"/>
      <c r="E315" s="24"/>
      <c r="F315" s="24"/>
      <c r="G315" s="26"/>
      <c r="H315" s="26"/>
      <c r="I315" s="26"/>
      <c r="J315" s="26"/>
      <c r="K315" s="26"/>
      <c r="L315" s="26"/>
      <c r="M315" s="26"/>
      <c r="N315" s="26"/>
      <c r="O315" s="26"/>
      <c r="P315" s="26"/>
      <c r="Q315" s="26"/>
      <c r="S315" s="26"/>
      <c r="T315" s="25"/>
      <c r="U315" s="24"/>
      <c r="V315" s="24"/>
      <c r="W315" s="24"/>
      <c r="X315" s="26"/>
      <c r="Y315" s="26"/>
      <c r="Z315" s="24"/>
      <c r="AA315" s="26"/>
      <c r="AB315" s="25"/>
      <c r="AC315" s="24"/>
      <c r="AD315" s="24"/>
      <c r="AE315" s="24"/>
      <c r="AF315" s="26"/>
      <c r="AG315" s="26"/>
      <c r="AH315" s="24"/>
      <c r="AI315" s="26"/>
      <c r="AJ315" s="25"/>
      <c r="AK315" s="24"/>
      <c r="AL315" s="24"/>
      <c r="AM315" s="24"/>
      <c r="AN315" s="26"/>
      <c r="AO315" s="26"/>
      <c r="AP315" s="24"/>
      <c r="AQ315" s="24"/>
      <c r="AR315" s="24"/>
      <c r="AS315" s="28"/>
      <c r="AT315" s="28"/>
      <c r="AU315" s="28"/>
      <c r="AV315" s="28"/>
      <c r="AW315" s="28"/>
      <c r="AX315" s="28"/>
      <c r="AY315" s="28"/>
      <c r="AZ315" s="28"/>
      <c r="BA315" s="28"/>
      <c r="BB315" s="28"/>
      <c r="BC315" s="28"/>
      <c r="BD315" s="28"/>
      <c r="BE315" s="28"/>
      <c r="BF315" s="28"/>
      <c r="BG315" s="28"/>
      <c r="BH315" s="28"/>
      <c r="BI315" s="28"/>
      <c r="BJ315" s="24"/>
      <c r="BK315" s="28"/>
      <c r="BL315" s="28"/>
      <c r="BM315" s="28"/>
      <c r="BN315" s="28"/>
      <c r="BO315" s="28"/>
      <c r="BP315" s="28"/>
      <c r="BQ315" s="24"/>
      <c r="BR315" s="28"/>
      <c r="BS315" s="28"/>
      <c r="BT315" s="28"/>
      <c r="BU315" s="24"/>
      <c r="BV315" s="28"/>
      <c r="BW315" s="28"/>
      <c r="BX315" s="28"/>
    </row>
    <row r="316" spans="1:76">
      <c r="A316" s="24"/>
      <c r="B316" s="28"/>
      <c r="C316" s="25"/>
      <c r="D316" s="26"/>
      <c r="E316" s="24"/>
      <c r="F316" s="24"/>
      <c r="G316" s="26"/>
      <c r="H316" s="26"/>
      <c r="I316" s="26"/>
      <c r="J316" s="26"/>
      <c r="K316" s="26"/>
      <c r="L316" s="26"/>
      <c r="M316" s="26"/>
      <c r="N316" s="26"/>
      <c r="O316" s="26"/>
      <c r="P316" s="26"/>
      <c r="Q316" s="26"/>
      <c r="S316" s="26"/>
      <c r="T316" s="25"/>
      <c r="U316" s="24"/>
      <c r="V316" s="24"/>
      <c r="W316" s="24"/>
      <c r="X316" s="26"/>
      <c r="Y316" s="26"/>
      <c r="Z316" s="24"/>
      <c r="AA316" s="26"/>
      <c r="AB316" s="25"/>
      <c r="AC316" s="24"/>
      <c r="AD316" s="24"/>
      <c r="AE316" s="24"/>
      <c r="AF316" s="26"/>
      <c r="AG316" s="26"/>
      <c r="AH316" s="24"/>
      <c r="AI316" s="26"/>
      <c r="AJ316" s="25"/>
      <c r="AK316" s="24"/>
      <c r="AL316" s="24"/>
      <c r="AM316" s="24"/>
      <c r="AN316" s="26"/>
      <c r="AO316" s="26"/>
      <c r="AP316" s="24"/>
      <c r="AQ316" s="24"/>
      <c r="AR316" s="24"/>
      <c r="AS316" s="28"/>
      <c r="AT316" s="28"/>
      <c r="AU316" s="28"/>
      <c r="AV316" s="28"/>
      <c r="AW316" s="28"/>
      <c r="AX316" s="28"/>
      <c r="AY316" s="28"/>
      <c r="AZ316" s="28"/>
      <c r="BA316" s="28"/>
      <c r="BB316" s="28"/>
      <c r="BC316" s="28"/>
      <c r="BD316" s="28"/>
      <c r="BE316" s="28"/>
      <c r="BF316" s="28"/>
      <c r="BG316" s="28"/>
      <c r="BH316" s="28"/>
      <c r="BI316" s="28"/>
      <c r="BJ316" s="24"/>
      <c r="BK316" s="28"/>
      <c r="BL316" s="28"/>
      <c r="BM316" s="28"/>
      <c r="BN316" s="28"/>
      <c r="BO316" s="28"/>
      <c r="BP316" s="28"/>
      <c r="BQ316" s="24"/>
      <c r="BR316" s="28"/>
      <c r="BS316" s="28"/>
      <c r="BT316" s="28"/>
      <c r="BU316" s="24"/>
      <c r="BV316" s="28"/>
      <c r="BW316" s="28"/>
      <c r="BX316" s="28"/>
    </row>
    <row r="317" spans="1:76">
      <c r="A317" s="24"/>
      <c r="B317" s="28"/>
      <c r="C317" s="25"/>
      <c r="D317" s="26"/>
      <c r="E317" s="24"/>
      <c r="F317" s="24"/>
      <c r="G317" s="26"/>
      <c r="H317" s="26"/>
      <c r="I317" s="26"/>
      <c r="J317" s="26"/>
      <c r="K317" s="26"/>
      <c r="L317" s="26"/>
      <c r="M317" s="26"/>
      <c r="N317" s="26"/>
      <c r="O317" s="26"/>
      <c r="P317" s="26"/>
      <c r="Q317" s="26"/>
      <c r="S317" s="26"/>
      <c r="T317" s="25"/>
      <c r="U317" s="24"/>
      <c r="V317" s="24"/>
      <c r="W317" s="24"/>
      <c r="X317" s="26"/>
      <c r="Y317" s="26"/>
      <c r="Z317" s="24"/>
      <c r="AA317" s="26"/>
      <c r="AB317" s="25"/>
      <c r="AC317" s="24"/>
      <c r="AD317" s="24"/>
      <c r="AE317" s="24"/>
      <c r="AF317" s="26"/>
      <c r="AG317" s="26"/>
      <c r="AH317" s="24"/>
      <c r="AI317" s="26"/>
      <c r="AJ317" s="25"/>
      <c r="AK317" s="24"/>
      <c r="AL317" s="24"/>
      <c r="AM317" s="24"/>
      <c r="AN317" s="26"/>
      <c r="AO317" s="26"/>
      <c r="AP317" s="24"/>
      <c r="AQ317" s="24"/>
      <c r="AR317" s="24"/>
      <c r="AS317" s="28"/>
      <c r="AT317" s="28"/>
      <c r="AU317" s="28"/>
      <c r="AV317" s="28"/>
      <c r="AW317" s="28"/>
      <c r="AX317" s="28"/>
      <c r="AY317" s="28"/>
      <c r="AZ317" s="28"/>
      <c r="BA317" s="28"/>
      <c r="BB317" s="28"/>
      <c r="BC317" s="28"/>
      <c r="BD317" s="28"/>
      <c r="BE317" s="28"/>
      <c r="BF317" s="28"/>
      <c r="BG317" s="28"/>
      <c r="BH317" s="28"/>
      <c r="BI317" s="28"/>
      <c r="BJ317" s="24"/>
      <c r="BK317" s="28"/>
      <c r="BL317" s="28"/>
      <c r="BM317" s="28"/>
      <c r="BN317" s="28"/>
      <c r="BO317" s="28"/>
      <c r="BP317" s="28"/>
      <c r="BQ317" s="24"/>
      <c r="BR317" s="28"/>
      <c r="BS317" s="28"/>
      <c r="BT317" s="28"/>
      <c r="BU317" s="24"/>
      <c r="BV317" s="28"/>
      <c r="BW317" s="28"/>
      <c r="BX317" s="28"/>
    </row>
    <row r="318" spans="1:76">
      <c r="A318" s="24"/>
      <c r="B318" s="28"/>
      <c r="C318" s="25"/>
      <c r="D318" s="26"/>
      <c r="E318" s="24"/>
      <c r="F318" s="24"/>
      <c r="G318" s="26"/>
      <c r="H318" s="26"/>
      <c r="I318" s="26"/>
      <c r="J318" s="26"/>
      <c r="K318" s="26"/>
      <c r="L318" s="26"/>
      <c r="M318" s="26"/>
      <c r="N318" s="26"/>
      <c r="O318" s="26"/>
      <c r="P318" s="26"/>
      <c r="Q318" s="26"/>
      <c r="S318" s="26"/>
      <c r="T318" s="25"/>
      <c r="U318" s="24"/>
      <c r="V318" s="24"/>
      <c r="W318" s="24"/>
      <c r="X318" s="26"/>
      <c r="Y318" s="26"/>
      <c r="Z318" s="24"/>
      <c r="AA318" s="26"/>
      <c r="AB318" s="25"/>
      <c r="AC318" s="24"/>
      <c r="AD318" s="24"/>
      <c r="AE318" s="24"/>
      <c r="AF318" s="26"/>
      <c r="AG318" s="26"/>
      <c r="AH318" s="24"/>
      <c r="AI318" s="26"/>
      <c r="AJ318" s="25"/>
      <c r="AK318" s="24"/>
      <c r="AL318" s="24"/>
      <c r="AM318" s="24"/>
      <c r="AN318" s="26"/>
      <c r="AO318" s="26"/>
      <c r="AP318" s="24"/>
      <c r="AQ318" s="24"/>
      <c r="AR318" s="24"/>
      <c r="AS318" s="28"/>
      <c r="AT318" s="28"/>
      <c r="AU318" s="28"/>
      <c r="AV318" s="28"/>
      <c r="AW318" s="28"/>
      <c r="AX318" s="28"/>
      <c r="AY318" s="28"/>
      <c r="AZ318" s="28"/>
      <c r="BA318" s="28"/>
      <c r="BB318" s="28"/>
      <c r="BC318" s="28"/>
      <c r="BD318" s="28"/>
      <c r="BE318" s="28"/>
      <c r="BF318" s="28"/>
      <c r="BG318" s="28"/>
      <c r="BH318" s="28"/>
      <c r="BI318" s="28"/>
      <c r="BJ318" s="24"/>
      <c r="BK318" s="28"/>
      <c r="BL318" s="28"/>
      <c r="BM318" s="28"/>
      <c r="BN318" s="28"/>
      <c r="BO318" s="28"/>
      <c r="BP318" s="28"/>
      <c r="BQ318" s="24"/>
      <c r="BR318" s="28"/>
      <c r="BS318" s="28"/>
      <c r="BT318" s="28"/>
      <c r="BU318" s="24"/>
      <c r="BV318" s="28"/>
      <c r="BW318" s="28"/>
      <c r="BX318" s="28"/>
    </row>
    <row r="319" spans="1:76">
      <c r="A319" s="24"/>
      <c r="B319" s="28"/>
      <c r="C319" s="25"/>
      <c r="D319" s="26"/>
      <c r="E319" s="24"/>
      <c r="F319" s="24"/>
      <c r="G319" s="26"/>
      <c r="H319" s="26"/>
      <c r="I319" s="26"/>
      <c r="J319" s="26"/>
      <c r="K319" s="26"/>
      <c r="L319" s="26"/>
      <c r="M319" s="26"/>
      <c r="N319" s="26"/>
      <c r="O319" s="26"/>
      <c r="P319" s="26"/>
      <c r="Q319" s="26"/>
      <c r="S319" s="26"/>
      <c r="T319" s="25"/>
      <c r="U319" s="24"/>
      <c r="V319" s="24"/>
      <c r="W319" s="24"/>
      <c r="X319" s="26"/>
      <c r="Y319" s="26"/>
      <c r="Z319" s="24"/>
      <c r="AA319" s="26"/>
      <c r="AB319" s="25"/>
      <c r="AC319" s="24"/>
      <c r="AD319" s="24"/>
      <c r="AE319" s="24"/>
      <c r="AF319" s="26"/>
      <c r="AG319" s="26"/>
      <c r="AH319" s="24"/>
      <c r="AI319" s="26"/>
      <c r="AJ319" s="25"/>
      <c r="AK319" s="24"/>
      <c r="AL319" s="24"/>
      <c r="AM319" s="24"/>
      <c r="AN319" s="26"/>
      <c r="AO319" s="26"/>
      <c r="AP319" s="24"/>
      <c r="AQ319" s="24"/>
      <c r="AR319" s="24"/>
      <c r="AS319" s="28"/>
      <c r="AT319" s="28"/>
      <c r="AU319" s="28"/>
      <c r="AV319" s="28"/>
      <c r="AW319" s="28"/>
      <c r="AX319" s="28"/>
      <c r="AY319" s="28"/>
      <c r="AZ319" s="28"/>
      <c r="BA319" s="28"/>
      <c r="BB319" s="28"/>
      <c r="BC319" s="28"/>
      <c r="BD319" s="28"/>
      <c r="BE319" s="28"/>
      <c r="BF319" s="28"/>
      <c r="BG319" s="28"/>
      <c r="BH319" s="28"/>
      <c r="BI319" s="28"/>
      <c r="BJ319" s="24"/>
      <c r="BK319" s="28"/>
      <c r="BL319" s="28"/>
      <c r="BM319" s="28"/>
      <c r="BN319" s="28"/>
      <c r="BO319" s="28"/>
      <c r="BP319" s="28"/>
      <c r="BQ319" s="24"/>
      <c r="BR319" s="28"/>
      <c r="BS319" s="28"/>
      <c r="BT319" s="28"/>
      <c r="BU319" s="24"/>
      <c r="BV319" s="28"/>
      <c r="BW319" s="28"/>
      <c r="BX319" s="28"/>
    </row>
    <row r="320" spans="1:76">
      <c r="A320" s="24"/>
      <c r="B320" s="28"/>
      <c r="C320" s="25"/>
      <c r="D320" s="26"/>
      <c r="E320" s="24"/>
      <c r="F320" s="24"/>
      <c r="G320" s="26"/>
      <c r="H320" s="26"/>
      <c r="I320" s="26"/>
      <c r="J320" s="26"/>
      <c r="K320" s="26"/>
      <c r="L320" s="26"/>
      <c r="M320" s="26"/>
      <c r="N320" s="26"/>
      <c r="O320" s="26"/>
      <c r="P320" s="26"/>
      <c r="Q320" s="26"/>
      <c r="S320" s="26"/>
      <c r="T320" s="25"/>
      <c r="U320" s="24"/>
      <c r="V320" s="24"/>
      <c r="W320" s="24"/>
      <c r="X320" s="26"/>
      <c r="Y320" s="26"/>
      <c r="Z320" s="24"/>
      <c r="AA320" s="26"/>
      <c r="AB320" s="25"/>
      <c r="AC320" s="24"/>
      <c r="AD320" s="24"/>
      <c r="AE320" s="24"/>
      <c r="AF320" s="26"/>
      <c r="AG320" s="26"/>
      <c r="AH320" s="24"/>
      <c r="AI320" s="26"/>
      <c r="AJ320" s="25"/>
      <c r="AK320" s="24"/>
      <c r="AL320" s="24"/>
      <c r="AM320" s="24"/>
      <c r="AN320" s="26"/>
      <c r="AO320" s="26"/>
      <c r="AP320" s="24"/>
      <c r="AQ320" s="24"/>
      <c r="AR320" s="24"/>
      <c r="AS320" s="28"/>
      <c r="AT320" s="28"/>
      <c r="AU320" s="28"/>
      <c r="AV320" s="28"/>
      <c r="AW320" s="28"/>
      <c r="AX320" s="28"/>
      <c r="AY320" s="28"/>
      <c r="AZ320" s="28"/>
      <c r="BA320" s="28"/>
      <c r="BB320" s="28"/>
      <c r="BC320" s="28"/>
      <c r="BD320" s="28"/>
      <c r="BE320" s="28"/>
      <c r="BF320" s="28"/>
      <c r="BG320" s="28"/>
      <c r="BH320" s="28"/>
      <c r="BI320" s="28"/>
      <c r="BJ320" s="24"/>
      <c r="BK320" s="28"/>
      <c r="BL320" s="28"/>
      <c r="BM320" s="28"/>
      <c r="BN320" s="28"/>
      <c r="BO320" s="28"/>
      <c r="BP320" s="28"/>
      <c r="BQ320" s="24"/>
      <c r="BR320" s="28"/>
      <c r="BS320" s="28"/>
      <c r="BT320" s="28"/>
      <c r="BU320" s="24"/>
      <c r="BV320" s="28"/>
      <c r="BW320" s="28"/>
      <c r="BX320" s="28"/>
    </row>
    <row r="321" spans="1:76">
      <c r="A321" s="24"/>
      <c r="B321" s="28"/>
      <c r="C321" s="25"/>
      <c r="D321" s="26"/>
      <c r="E321" s="24"/>
      <c r="F321" s="24"/>
      <c r="G321" s="26"/>
      <c r="H321" s="26"/>
      <c r="I321" s="26"/>
      <c r="J321" s="26"/>
      <c r="K321" s="26"/>
      <c r="L321" s="26"/>
      <c r="M321" s="26"/>
      <c r="N321" s="26"/>
      <c r="O321" s="26"/>
      <c r="P321" s="26"/>
      <c r="Q321" s="26"/>
      <c r="S321" s="26"/>
      <c r="T321" s="25"/>
      <c r="U321" s="24"/>
      <c r="V321" s="24"/>
      <c r="W321" s="24"/>
      <c r="X321" s="26"/>
      <c r="Y321" s="26"/>
      <c r="Z321" s="24"/>
      <c r="AA321" s="26"/>
      <c r="AB321" s="25"/>
      <c r="AC321" s="24"/>
      <c r="AD321" s="24"/>
      <c r="AE321" s="24"/>
      <c r="AF321" s="26"/>
      <c r="AG321" s="26"/>
      <c r="AH321" s="24"/>
      <c r="AI321" s="26"/>
      <c r="AJ321" s="25"/>
      <c r="AK321" s="24"/>
      <c r="AL321" s="24"/>
      <c r="AM321" s="24"/>
      <c r="AN321" s="26"/>
      <c r="AO321" s="26"/>
      <c r="AP321" s="24"/>
      <c r="AQ321" s="24"/>
      <c r="AR321" s="24"/>
      <c r="AS321" s="28"/>
      <c r="AT321" s="28"/>
      <c r="AU321" s="28"/>
      <c r="AV321" s="28"/>
      <c r="AW321" s="28"/>
      <c r="AX321" s="28"/>
      <c r="AY321" s="28"/>
      <c r="AZ321" s="28"/>
      <c r="BA321" s="28"/>
      <c r="BB321" s="28"/>
      <c r="BC321" s="28"/>
      <c r="BD321" s="28"/>
      <c r="BE321" s="28"/>
      <c r="BF321" s="28"/>
      <c r="BG321" s="28"/>
      <c r="BH321" s="28"/>
      <c r="BI321" s="28"/>
      <c r="BJ321" s="24"/>
      <c r="BK321" s="28"/>
      <c r="BL321" s="28"/>
      <c r="BM321" s="28"/>
      <c r="BN321" s="28"/>
      <c r="BO321" s="28"/>
      <c r="BP321" s="28"/>
      <c r="BQ321" s="24"/>
      <c r="BR321" s="28"/>
      <c r="BS321" s="28"/>
      <c r="BT321" s="28"/>
      <c r="BU321" s="24"/>
      <c r="BV321" s="28"/>
      <c r="BW321" s="28"/>
      <c r="BX321" s="28"/>
    </row>
    <row r="322" spans="1:76">
      <c r="A322" s="24"/>
      <c r="B322" s="28"/>
      <c r="C322" s="25"/>
      <c r="D322" s="26"/>
      <c r="E322" s="24"/>
      <c r="F322" s="24"/>
      <c r="G322" s="26"/>
      <c r="H322" s="26"/>
      <c r="I322" s="26"/>
      <c r="J322" s="26"/>
      <c r="K322" s="26"/>
      <c r="L322" s="26"/>
      <c r="M322" s="26"/>
      <c r="N322" s="26"/>
      <c r="O322" s="26"/>
      <c r="P322" s="26"/>
      <c r="Q322" s="26"/>
      <c r="S322" s="26"/>
      <c r="T322" s="25"/>
      <c r="U322" s="24"/>
      <c r="V322" s="24"/>
      <c r="W322" s="24"/>
      <c r="X322" s="26"/>
      <c r="Y322" s="26"/>
      <c r="Z322" s="24"/>
      <c r="AA322" s="26"/>
      <c r="AB322" s="25"/>
      <c r="AC322" s="24"/>
      <c r="AD322" s="24"/>
      <c r="AE322" s="24"/>
      <c r="AF322" s="26"/>
      <c r="AG322" s="26"/>
      <c r="AH322" s="24"/>
      <c r="AI322" s="26"/>
      <c r="AJ322" s="25"/>
      <c r="AK322" s="24"/>
      <c r="AL322" s="24"/>
      <c r="AM322" s="24"/>
      <c r="AN322" s="26"/>
      <c r="AO322" s="26"/>
      <c r="AP322" s="24"/>
      <c r="AQ322" s="24"/>
      <c r="AR322" s="24"/>
      <c r="AS322" s="28"/>
      <c r="AT322" s="28"/>
      <c r="AU322" s="28"/>
      <c r="AV322" s="28"/>
      <c r="AW322" s="28"/>
      <c r="AX322" s="28"/>
      <c r="AY322" s="28"/>
      <c r="AZ322" s="28"/>
      <c r="BA322" s="28"/>
      <c r="BB322" s="28"/>
      <c r="BC322" s="28"/>
      <c r="BD322" s="28"/>
      <c r="BE322" s="28"/>
      <c r="BF322" s="28"/>
      <c r="BG322" s="28"/>
      <c r="BH322" s="28"/>
      <c r="BI322" s="28"/>
      <c r="BJ322" s="24"/>
      <c r="BK322" s="28"/>
      <c r="BL322" s="28"/>
      <c r="BM322" s="28"/>
      <c r="BN322" s="28"/>
      <c r="BO322" s="28"/>
      <c r="BP322" s="28"/>
      <c r="BQ322" s="24"/>
      <c r="BR322" s="28"/>
      <c r="BS322" s="28"/>
      <c r="BT322" s="28"/>
      <c r="BU322" s="24"/>
      <c r="BV322" s="28"/>
      <c r="BW322" s="28"/>
      <c r="BX322" s="28"/>
    </row>
    <row r="323" spans="1:76">
      <c r="A323" s="24"/>
      <c r="B323" s="28"/>
      <c r="C323" s="25"/>
      <c r="D323" s="26"/>
      <c r="E323" s="24"/>
      <c r="F323" s="24"/>
      <c r="G323" s="26"/>
      <c r="H323" s="26"/>
      <c r="I323" s="26"/>
      <c r="J323" s="26"/>
      <c r="K323" s="26"/>
      <c r="L323" s="26"/>
      <c r="M323" s="26"/>
      <c r="N323" s="26"/>
      <c r="O323" s="26"/>
      <c r="P323" s="26"/>
      <c r="Q323" s="26"/>
      <c r="S323" s="26"/>
      <c r="T323" s="25"/>
      <c r="U323" s="24"/>
      <c r="V323" s="24"/>
      <c r="W323" s="24"/>
      <c r="X323" s="26"/>
      <c r="Y323" s="26"/>
      <c r="Z323" s="24"/>
      <c r="AA323" s="26"/>
      <c r="AB323" s="25"/>
      <c r="AC323" s="24"/>
      <c r="AD323" s="24"/>
      <c r="AE323" s="24"/>
      <c r="AF323" s="26"/>
      <c r="AG323" s="26"/>
      <c r="AH323" s="24"/>
      <c r="AI323" s="26"/>
      <c r="AJ323" s="25"/>
      <c r="AK323" s="24"/>
      <c r="AL323" s="24"/>
      <c r="AM323" s="24"/>
      <c r="AN323" s="26"/>
      <c r="AO323" s="26"/>
      <c r="AP323" s="24"/>
      <c r="AQ323" s="24"/>
      <c r="AR323" s="24"/>
      <c r="AS323" s="28"/>
      <c r="AT323" s="28"/>
      <c r="AU323" s="28"/>
      <c r="AV323" s="28"/>
      <c r="AW323" s="28"/>
      <c r="AX323" s="28"/>
      <c r="AY323" s="28"/>
      <c r="AZ323" s="28"/>
      <c r="BA323" s="28"/>
      <c r="BB323" s="28"/>
      <c r="BC323" s="28"/>
      <c r="BD323" s="28"/>
      <c r="BE323" s="28"/>
      <c r="BF323" s="28"/>
      <c r="BG323" s="28"/>
      <c r="BH323" s="28"/>
      <c r="BI323" s="28"/>
      <c r="BJ323" s="24"/>
      <c r="BK323" s="28"/>
      <c r="BL323" s="28"/>
      <c r="BM323" s="28"/>
      <c r="BN323" s="28"/>
      <c r="BO323" s="28"/>
      <c r="BP323" s="28"/>
      <c r="BQ323" s="24"/>
      <c r="BR323" s="28"/>
      <c r="BS323" s="28"/>
      <c r="BT323" s="28"/>
      <c r="BU323" s="24"/>
      <c r="BV323" s="28"/>
      <c r="BW323" s="28"/>
      <c r="BX323" s="28"/>
    </row>
    <row r="324" spans="1:76">
      <c r="A324" s="24"/>
      <c r="B324" s="28"/>
      <c r="C324" s="25"/>
      <c r="D324" s="26"/>
      <c r="E324" s="24"/>
      <c r="F324" s="24"/>
      <c r="G324" s="26"/>
      <c r="H324" s="26"/>
      <c r="I324" s="26"/>
      <c r="J324" s="26"/>
      <c r="K324" s="26"/>
      <c r="L324" s="26"/>
      <c r="M324" s="26"/>
      <c r="N324" s="26"/>
      <c r="O324" s="26"/>
      <c r="P324" s="26"/>
      <c r="Q324" s="26"/>
      <c r="S324" s="26"/>
      <c r="T324" s="25"/>
      <c r="U324" s="24"/>
      <c r="V324" s="24"/>
      <c r="W324" s="24"/>
      <c r="X324" s="26"/>
      <c r="Y324" s="26"/>
      <c r="Z324" s="24"/>
      <c r="AA324" s="26"/>
      <c r="AB324" s="25"/>
      <c r="AC324" s="24"/>
      <c r="AD324" s="24"/>
      <c r="AE324" s="24"/>
      <c r="AF324" s="26"/>
      <c r="AG324" s="26"/>
      <c r="AH324" s="24"/>
      <c r="AI324" s="26"/>
      <c r="AJ324" s="25"/>
      <c r="AK324" s="24"/>
      <c r="AL324" s="24"/>
      <c r="AM324" s="24"/>
      <c r="AN324" s="26"/>
      <c r="AO324" s="26"/>
      <c r="AP324" s="24"/>
      <c r="AQ324" s="24"/>
      <c r="AR324" s="24"/>
      <c r="AS324" s="28"/>
      <c r="AT324" s="28"/>
      <c r="AU324" s="28"/>
      <c r="AV324" s="28"/>
      <c r="AW324" s="28"/>
      <c r="AX324" s="28"/>
      <c r="AY324" s="28"/>
      <c r="AZ324" s="28"/>
      <c r="BA324" s="28"/>
      <c r="BB324" s="28"/>
      <c r="BC324" s="28"/>
      <c r="BD324" s="28"/>
      <c r="BE324" s="28"/>
      <c r="BF324" s="28"/>
      <c r="BG324" s="28"/>
      <c r="BH324" s="28"/>
      <c r="BI324" s="28"/>
      <c r="BJ324" s="24"/>
      <c r="BK324" s="28"/>
      <c r="BL324" s="28"/>
      <c r="BM324" s="28"/>
      <c r="BN324" s="28"/>
      <c r="BO324" s="28"/>
      <c r="BP324" s="28"/>
      <c r="BQ324" s="24"/>
      <c r="BR324" s="28"/>
      <c r="BS324" s="28"/>
      <c r="BT324" s="28"/>
      <c r="BU324" s="24"/>
      <c r="BV324" s="28"/>
      <c r="BW324" s="28"/>
      <c r="BX324" s="28"/>
    </row>
    <row r="325" spans="1:76">
      <c r="A325" s="24"/>
      <c r="B325" s="28"/>
      <c r="C325" s="25"/>
      <c r="D325" s="26"/>
      <c r="E325" s="24"/>
      <c r="F325" s="24"/>
      <c r="G325" s="26"/>
      <c r="H325" s="26"/>
      <c r="I325" s="26"/>
      <c r="J325" s="26"/>
      <c r="K325" s="26"/>
      <c r="L325" s="26"/>
      <c r="M325" s="26"/>
      <c r="N325" s="26"/>
      <c r="O325" s="26"/>
      <c r="P325" s="26"/>
      <c r="Q325" s="26"/>
      <c r="S325" s="26"/>
      <c r="T325" s="25"/>
      <c r="U325" s="24"/>
      <c r="V325" s="24"/>
      <c r="W325" s="24"/>
      <c r="X325" s="26"/>
      <c r="Y325" s="26"/>
      <c r="Z325" s="24"/>
      <c r="AA325" s="26"/>
      <c r="AB325" s="25"/>
      <c r="AC325" s="24"/>
      <c r="AD325" s="24"/>
      <c r="AE325" s="24"/>
      <c r="AF325" s="26"/>
      <c r="AG325" s="26"/>
      <c r="AH325" s="24"/>
      <c r="AI325" s="26"/>
      <c r="AJ325" s="25"/>
      <c r="AK325" s="24"/>
      <c r="AL325" s="24"/>
      <c r="AM325" s="24"/>
      <c r="AN325" s="26"/>
      <c r="AO325" s="26"/>
      <c r="AP325" s="24"/>
      <c r="AQ325" s="24"/>
      <c r="AR325" s="24"/>
      <c r="AS325" s="28"/>
      <c r="AT325" s="28"/>
      <c r="AU325" s="28"/>
      <c r="AV325" s="28"/>
      <c r="AW325" s="28"/>
      <c r="AX325" s="28"/>
      <c r="AY325" s="28"/>
      <c r="AZ325" s="28"/>
      <c r="BA325" s="28"/>
      <c r="BB325" s="28"/>
      <c r="BC325" s="28"/>
      <c r="BD325" s="28"/>
      <c r="BE325" s="28"/>
      <c r="BF325" s="28"/>
      <c r="BG325" s="28"/>
      <c r="BH325" s="28"/>
      <c r="BI325" s="28"/>
      <c r="BJ325" s="24"/>
      <c r="BK325" s="28"/>
      <c r="BL325" s="28"/>
      <c r="BM325" s="28"/>
      <c r="BN325" s="28"/>
      <c r="BO325" s="28"/>
      <c r="BP325" s="28"/>
      <c r="BQ325" s="24"/>
      <c r="BR325" s="28"/>
      <c r="BS325" s="28"/>
      <c r="BT325" s="28"/>
      <c r="BU325" s="24"/>
      <c r="BV325" s="28"/>
      <c r="BW325" s="28"/>
      <c r="BX325" s="28"/>
    </row>
    <row r="326" spans="1:76">
      <c r="A326" s="24"/>
      <c r="B326" s="28"/>
      <c r="C326" s="25"/>
      <c r="D326" s="26"/>
      <c r="E326" s="24"/>
      <c r="F326" s="24"/>
      <c r="G326" s="26"/>
      <c r="H326" s="26"/>
      <c r="I326" s="26"/>
      <c r="J326" s="26"/>
      <c r="K326" s="26"/>
      <c r="L326" s="26"/>
      <c r="M326" s="26"/>
      <c r="N326" s="26"/>
      <c r="O326" s="26"/>
      <c r="P326" s="26"/>
      <c r="Q326" s="26"/>
      <c r="S326" s="26"/>
      <c r="T326" s="25"/>
      <c r="U326" s="24"/>
      <c r="V326" s="24"/>
      <c r="W326" s="24"/>
      <c r="X326" s="26"/>
      <c r="Y326" s="26"/>
      <c r="Z326" s="24"/>
      <c r="AA326" s="26"/>
      <c r="AB326" s="25"/>
      <c r="AC326" s="24"/>
      <c r="AD326" s="24"/>
      <c r="AE326" s="24"/>
      <c r="AF326" s="26"/>
      <c r="AG326" s="26"/>
      <c r="AH326" s="24"/>
      <c r="AI326" s="26"/>
      <c r="AJ326" s="25"/>
      <c r="AK326" s="24"/>
      <c r="AL326" s="24"/>
      <c r="AM326" s="24"/>
      <c r="AN326" s="26"/>
      <c r="AO326" s="26"/>
      <c r="AP326" s="24"/>
      <c r="AQ326" s="24"/>
      <c r="AR326" s="24"/>
      <c r="AS326" s="28"/>
      <c r="AT326" s="28"/>
      <c r="AU326" s="28"/>
      <c r="AV326" s="28"/>
      <c r="AW326" s="28"/>
      <c r="AX326" s="28"/>
      <c r="AY326" s="28"/>
      <c r="AZ326" s="28"/>
      <c r="BA326" s="28"/>
      <c r="BB326" s="28"/>
      <c r="BC326" s="28"/>
      <c r="BD326" s="28"/>
      <c r="BE326" s="28"/>
      <c r="BF326" s="28"/>
      <c r="BG326" s="28"/>
      <c r="BH326" s="28"/>
      <c r="BI326" s="28"/>
      <c r="BJ326" s="24"/>
      <c r="BK326" s="28"/>
      <c r="BL326" s="28"/>
      <c r="BM326" s="28"/>
      <c r="BN326" s="28"/>
      <c r="BO326" s="28"/>
      <c r="BP326" s="28"/>
      <c r="BQ326" s="24"/>
      <c r="BR326" s="28"/>
      <c r="BS326" s="28"/>
      <c r="BT326" s="28"/>
      <c r="BU326" s="24"/>
      <c r="BV326" s="28"/>
      <c r="BW326" s="28"/>
      <c r="BX326" s="28"/>
    </row>
    <row r="327" spans="1:76">
      <c r="A327" s="24"/>
      <c r="B327" s="28"/>
      <c r="C327" s="25"/>
      <c r="D327" s="26"/>
      <c r="E327" s="24"/>
      <c r="F327" s="24"/>
      <c r="G327" s="26"/>
      <c r="H327" s="26"/>
      <c r="I327" s="26"/>
      <c r="J327" s="26"/>
      <c r="K327" s="26"/>
      <c r="L327" s="26"/>
      <c r="M327" s="26"/>
      <c r="N327" s="26"/>
      <c r="O327" s="26"/>
      <c r="P327" s="26"/>
      <c r="Q327" s="26"/>
      <c r="S327" s="26"/>
      <c r="T327" s="25"/>
      <c r="U327" s="24"/>
      <c r="V327" s="24"/>
      <c r="W327" s="24"/>
      <c r="X327" s="26"/>
      <c r="Y327" s="26"/>
      <c r="Z327" s="24"/>
      <c r="AA327" s="26"/>
      <c r="AB327" s="25"/>
      <c r="AC327" s="24"/>
      <c r="AD327" s="24"/>
      <c r="AE327" s="24"/>
      <c r="AF327" s="26"/>
      <c r="AG327" s="26"/>
      <c r="AH327" s="24"/>
      <c r="AI327" s="26"/>
      <c r="AJ327" s="25"/>
      <c r="AK327" s="24"/>
      <c r="AL327" s="24"/>
      <c r="AM327" s="24"/>
      <c r="AN327" s="26"/>
      <c r="AO327" s="26"/>
      <c r="AP327" s="24"/>
      <c r="AQ327" s="24"/>
      <c r="AR327" s="24"/>
      <c r="AS327" s="28"/>
      <c r="AT327" s="28"/>
      <c r="AU327" s="28"/>
      <c r="AV327" s="28"/>
      <c r="AW327" s="28"/>
      <c r="AX327" s="28"/>
      <c r="AY327" s="28"/>
      <c r="AZ327" s="28"/>
      <c r="BA327" s="28"/>
      <c r="BB327" s="28"/>
      <c r="BC327" s="28"/>
      <c r="BD327" s="28"/>
      <c r="BE327" s="28"/>
      <c r="BF327" s="28"/>
      <c r="BG327" s="28"/>
      <c r="BH327" s="28"/>
      <c r="BI327" s="28"/>
      <c r="BJ327" s="24"/>
      <c r="BK327" s="28"/>
      <c r="BL327" s="28"/>
      <c r="BM327" s="28"/>
      <c r="BN327" s="28"/>
      <c r="BO327" s="28"/>
      <c r="BP327" s="28"/>
      <c r="BQ327" s="24"/>
      <c r="BR327" s="28"/>
      <c r="BS327" s="28"/>
      <c r="BT327" s="28"/>
      <c r="BU327" s="24"/>
      <c r="BV327" s="28"/>
      <c r="BW327" s="28"/>
      <c r="BX327" s="28"/>
    </row>
    <row r="328" spans="1:76">
      <c r="A328" s="24"/>
      <c r="B328" s="28"/>
      <c r="C328" s="25"/>
      <c r="D328" s="26"/>
      <c r="E328" s="24"/>
      <c r="F328" s="24"/>
      <c r="G328" s="26"/>
      <c r="H328" s="26"/>
      <c r="I328" s="26"/>
      <c r="J328" s="26"/>
      <c r="K328" s="26"/>
      <c r="L328" s="26"/>
      <c r="M328" s="26"/>
      <c r="N328" s="26"/>
      <c r="O328" s="26"/>
      <c r="P328" s="26"/>
      <c r="Q328" s="26"/>
      <c r="S328" s="26"/>
      <c r="T328" s="25"/>
      <c r="U328" s="24"/>
      <c r="V328" s="24"/>
      <c r="W328" s="24"/>
      <c r="X328" s="26"/>
      <c r="Y328" s="26"/>
      <c r="Z328" s="24"/>
      <c r="AA328" s="26"/>
      <c r="AB328" s="25"/>
      <c r="AC328" s="24"/>
      <c r="AD328" s="24"/>
      <c r="AE328" s="24"/>
      <c r="AF328" s="26"/>
      <c r="AG328" s="26"/>
      <c r="AH328" s="24"/>
      <c r="AI328" s="26"/>
      <c r="AJ328" s="25"/>
      <c r="AK328" s="24"/>
      <c r="AL328" s="24"/>
      <c r="AM328" s="24"/>
      <c r="AN328" s="26"/>
      <c r="AO328" s="26"/>
      <c r="AP328" s="24"/>
      <c r="AQ328" s="24"/>
      <c r="AR328" s="24"/>
      <c r="AS328" s="28"/>
      <c r="AT328" s="28"/>
      <c r="AU328" s="28"/>
      <c r="AV328" s="28"/>
      <c r="AW328" s="28"/>
      <c r="AX328" s="28"/>
      <c r="AY328" s="28"/>
      <c r="AZ328" s="28"/>
      <c r="BA328" s="28"/>
      <c r="BB328" s="28"/>
      <c r="BC328" s="28"/>
      <c r="BD328" s="28"/>
      <c r="BE328" s="28"/>
      <c r="BF328" s="28"/>
      <c r="BG328" s="28"/>
      <c r="BH328" s="28"/>
      <c r="BI328" s="28"/>
      <c r="BJ328" s="24"/>
      <c r="BK328" s="28"/>
      <c r="BL328" s="28"/>
      <c r="BM328" s="28"/>
      <c r="BN328" s="28"/>
      <c r="BO328" s="28"/>
      <c r="BP328" s="28"/>
      <c r="BQ328" s="24"/>
      <c r="BR328" s="28"/>
      <c r="BS328" s="28"/>
      <c r="BT328" s="28"/>
      <c r="BU328" s="24"/>
      <c r="BV328" s="28"/>
      <c r="BW328" s="28"/>
      <c r="BX328" s="28"/>
    </row>
    <row r="329" spans="1:76">
      <c r="A329" s="24"/>
      <c r="B329" s="28"/>
      <c r="C329" s="25"/>
      <c r="D329" s="26"/>
      <c r="E329" s="24"/>
      <c r="F329" s="24"/>
      <c r="G329" s="26"/>
      <c r="H329" s="26"/>
      <c r="I329" s="26"/>
      <c r="J329" s="26"/>
      <c r="K329" s="26"/>
      <c r="L329" s="26"/>
      <c r="M329" s="26"/>
      <c r="N329" s="26"/>
      <c r="O329" s="26"/>
      <c r="P329" s="26"/>
      <c r="Q329" s="26"/>
      <c r="S329" s="26"/>
      <c r="T329" s="25"/>
      <c r="U329" s="24"/>
      <c r="V329" s="24"/>
      <c r="W329" s="24"/>
      <c r="X329" s="26"/>
      <c r="Y329" s="26"/>
      <c r="Z329" s="24"/>
      <c r="AA329" s="26"/>
      <c r="AB329" s="25"/>
      <c r="AC329" s="24"/>
      <c r="AD329" s="24"/>
      <c r="AE329" s="24"/>
      <c r="AF329" s="26"/>
      <c r="AG329" s="26"/>
      <c r="AH329" s="24"/>
      <c r="AI329" s="26"/>
      <c r="AJ329" s="25"/>
      <c r="AK329" s="24"/>
      <c r="AL329" s="24"/>
      <c r="AM329" s="24"/>
      <c r="AN329" s="26"/>
      <c r="AO329" s="26"/>
      <c r="AP329" s="24"/>
      <c r="AQ329" s="24"/>
      <c r="AR329" s="24"/>
      <c r="AS329" s="28"/>
      <c r="AT329" s="28"/>
      <c r="AU329" s="28"/>
      <c r="AV329" s="28"/>
      <c r="AW329" s="28"/>
      <c r="AX329" s="28"/>
      <c r="AY329" s="28"/>
      <c r="AZ329" s="28"/>
      <c r="BA329" s="28"/>
      <c r="BB329" s="28"/>
      <c r="BC329" s="28"/>
      <c r="BD329" s="28"/>
      <c r="BE329" s="28"/>
      <c r="BF329" s="28"/>
      <c r="BG329" s="28"/>
      <c r="BH329" s="28"/>
      <c r="BI329" s="28"/>
      <c r="BJ329" s="24"/>
      <c r="BK329" s="28"/>
      <c r="BL329" s="28"/>
      <c r="BM329" s="28"/>
      <c r="BN329" s="28"/>
      <c r="BO329" s="28"/>
      <c r="BP329" s="28"/>
      <c r="BQ329" s="24"/>
      <c r="BR329" s="28"/>
      <c r="BS329" s="28"/>
      <c r="BT329" s="28"/>
      <c r="BU329" s="24"/>
      <c r="BV329" s="28"/>
      <c r="BW329" s="28"/>
      <c r="BX329" s="28"/>
    </row>
    <row r="330" spans="1:76">
      <c r="A330" s="24"/>
      <c r="B330" s="28"/>
      <c r="C330" s="25"/>
      <c r="D330" s="26"/>
      <c r="E330" s="24"/>
      <c r="F330" s="24"/>
      <c r="G330" s="26"/>
      <c r="H330" s="26"/>
      <c r="I330" s="26"/>
      <c r="J330" s="26"/>
      <c r="K330" s="26"/>
      <c r="L330" s="26"/>
      <c r="M330" s="26"/>
      <c r="N330" s="26"/>
      <c r="O330" s="26"/>
      <c r="P330" s="26"/>
      <c r="Q330" s="26"/>
      <c r="S330" s="26"/>
      <c r="T330" s="25"/>
      <c r="U330" s="24"/>
      <c r="V330" s="24"/>
      <c r="W330" s="24"/>
      <c r="X330" s="26"/>
      <c r="Y330" s="26"/>
      <c r="Z330" s="24"/>
      <c r="AA330" s="26"/>
      <c r="AB330" s="25"/>
      <c r="AC330" s="24"/>
      <c r="AD330" s="24"/>
      <c r="AE330" s="24"/>
      <c r="AF330" s="26"/>
      <c r="AG330" s="26"/>
      <c r="AH330" s="24"/>
      <c r="AI330" s="26"/>
      <c r="AJ330" s="25"/>
      <c r="AK330" s="24"/>
      <c r="AL330" s="24"/>
      <c r="AM330" s="24"/>
      <c r="AN330" s="26"/>
      <c r="AO330" s="26"/>
      <c r="AP330" s="24"/>
      <c r="AQ330" s="24"/>
      <c r="AR330" s="24"/>
      <c r="AS330" s="28"/>
      <c r="AT330" s="28"/>
      <c r="AU330" s="28"/>
      <c r="AV330" s="28"/>
      <c r="AW330" s="28"/>
      <c r="AX330" s="28"/>
      <c r="AY330" s="28"/>
      <c r="AZ330" s="28"/>
      <c r="BA330" s="28"/>
      <c r="BB330" s="28"/>
      <c r="BC330" s="28"/>
      <c r="BD330" s="28"/>
      <c r="BE330" s="28"/>
      <c r="BF330" s="28"/>
      <c r="BG330" s="28"/>
      <c r="BH330" s="28"/>
      <c r="BI330" s="28"/>
      <c r="BJ330" s="24"/>
      <c r="BK330" s="28"/>
      <c r="BL330" s="28"/>
      <c r="BM330" s="28"/>
      <c r="BN330" s="28"/>
      <c r="BO330" s="28"/>
      <c r="BP330" s="28"/>
      <c r="BQ330" s="24"/>
      <c r="BR330" s="28"/>
      <c r="BS330" s="28"/>
      <c r="BT330" s="28"/>
      <c r="BU330" s="24"/>
      <c r="BV330" s="28"/>
      <c r="BW330" s="28"/>
      <c r="BX330" s="28"/>
    </row>
    <row r="331" spans="1:76">
      <c r="A331" s="24"/>
      <c r="B331" s="28"/>
      <c r="C331" s="25"/>
      <c r="D331" s="26"/>
      <c r="E331" s="24"/>
      <c r="F331" s="24"/>
      <c r="G331" s="26"/>
      <c r="H331" s="26"/>
      <c r="I331" s="26"/>
      <c r="J331" s="26"/>
      <c r="K331" s="26"/>
      <c r="L331" s="26"/>
      <c r="M331" s="26"/>
      <c r="N331" s="26"/>
      <c r="O331" s="26"/>
      <c r="P331" s="26"/>
      <c r="Q331" s="26"/>
      <c r="S331" s="26"/>
      <c r="T331" s="25"/>
      <c r="U331" s="24"/>
      <c r="V331" s="24"/>
      <c r="W331" s="24"/>
      <c r="X331" s="26"/>
      <c r="Y331" s="26"/>
      <c r="Z331" s="24"/>
      <c r="AA331" s="26"/>
      <c r="AB331" s="25"/>
      <c r="AC331" s="24"/>
      <c r="AD331" s="24"/>
      <c r="AE331" s="24"/>
      <c r="AF331" s="26"/>
      <c r="AG331" s="26"/>
      <c r="AH331" s="24"/>
      <c r="AI331" s="26"/>
      <c r="AJ331" s="25"/>
      <c r="AK331" s="24"/>
      <c r="AL331" s="24"/>
      <c r="AM331" s="24"/>
      <c r="AN331" s="26"/>
      <c r="AO331" s="26"/>
      <c r="AP331" s="24"/>
      <c r="AQ331" s="24"/>
      <c r="AR331" s="24"/>
      <c r="AS331" s="28"/>
      <c r="AT331" s="28"/>
      <c r="AU331" s="28"/>
      <c r="AV331" s="28"/>
      <c r="AW331" s="28"/>
      <c r="AX331" s="28"/>
      <c r="AY331" s="28"/>
      <c r="AZ331" s="28"/>
      <c r="BA331" s="28"/>
      <c r="BB331" s="28"/>
      <c r="BC331" s="28"/>
      <c r="BD331" s="28"/>
      <c r="BE331" s="28"/>
      <c r="BF331" s="28"/>
      <c r="BG331" s="28"/>
      <c r="BH331" s="28"/>
      <c r="BI331" s="28"/>
      <c r="BJ331" s="24"/>
      <c r="BK331" s="28"/>
      <c r="BL331" s="28"/>
      <c r="BM331" s="28"/>
      <c r="BN331" s="28"/>
      <c r="BO331" s="28"/>
      <c r="BP331" s="28"/>
      <c r="BQ331" s="24"/>
      <c r="BR331" s="28"/>
      <c r="BS331" s="28"/>
      <c r="BT331" s="28"/>
      <c r="BU331" s="24"/>
      <c r="BV331" s="28"/>
      <c r="BW331" s="28"/>
      <c r="BX331" s="28"/>
    </row>
    <row r="332" spans="1:76">
      <c r="A332" s="24"/>
      <c r="B332" s="28"/>
      <c r="C332" s="25"/>
      <c r="D332" s="26"/>
      <c r="E332" s="24"/>
      <c r="F332" s="24"/>
      <c r="G332" s="26"/>
      <c r="H332" s="26"/>
      <c r="I332" s="26"/>
      <c r="J332" s="26"/>
      <c r="K332" s="26"/>
      <c r="L332" s="26"/>
      <c r="M332" s="26"/>
      <c r="N332" s="26"/>
      <c r="O332" s="26"/>
      <c r="P332" s="26"/>
      <c r="Q332" s="26"/>
      <c r="S332" s="26"/>
      <c r="T332" s="25"/>
      <c r="U332" s="24"/>
      <c r="V332" s="24"/>
      <c r="W332" s="24"/>
      <c r="X332" s="26"/>
      <c r="Y332" s="26"/>
      <c r="Z332" s="24"/>
      <c r="AA332" s="26"/>
      <c r="AB332" s="25"/>
      <c r="AC332" s="24"/>
      <c r="AD332" s="24"/>
      <c r="AE332" s="24"/>
      <c r="AF332" s="26"/>
      <c r="AG332" s="26"/>
      <c r="AH332" s="24"/>
      <c r="AI332" s="26"/>
      <c r="AJ332" s="25"/>
      <c r="AK332" s="24"/>
      <c r="AL332" s="24"/>
      <c r="AM332" s="24"/>
      <c r="AN332" s="26"/>
      <c r="AO332" s="26"/>
      <c r="AP332" s="24"/>
      <c r="AQ332" s="24"/>
      <c r="AR332" s="24"/>
      <c r="AS332" s="28"/>
      <c r="AT332" s="28"/>
      <c r="AU332" s="28"/>
      <c r="AV332" s="28"/>
      <c r="AW332" s="28"/>
      <c r="AX332" s="28"/>
      <c r="AY332" s="28"/>
      <c r="AZ332" s="28"/>
      <c r="BA332" s="28"/>
      <c r="BB332" s="28"/>
      <c r="BC332" s="28"/>
      <c r="BD332" s="28"/>
      <c r="BE332" s="28"/>
      <c r="BF332" s="28"/>
      <c r="BG332" s="28"/>
      <c r="BH332" s="28"/>
      <c r="BI332" s="28"/>
      <c r="BJ332" s="24"/>
      <c r="BK332" s="28"/>
      <c r="BL332" s="28"/>
      <c r="BM332" s="28"/>
      <c r="BN332" s="28"/>
      <c r="BO332" s="28"/>
      <c r="BP332" s="28"/>
      <c r="BQ332" s="24"/>
      <c r="BR332" s="28"/>
      <c r="BS332" s="28"/>
      <c r="BT332" s="28"/>
      <c r="BU332" s="24"/>
      <c r="BV332" s="28"/>
      <c r="BW332" s="28"/>
      <c r="BX332" s="28"/>
    </row>
    <row r="333" spans="1:76">
      <c r="A333" s="24"/>
      <c r="B333" s="28"/>
      <c r="C333" s="25"/>
      <c r="D333" s="26"/>
      <c r="E333" s="24"/>
      <c r="F333" s="24"/>
      <c r="G333" s="26"/>
      <c r="H333" s="26"/>
      <c r="I333" s="26"/>
      <c r="J333" s="26"/>
      <c r="K333" s="26"/>
      <c r="L333" s="26"/>
      <c r="M333" s="26"/>
      <c r="N333" s="26"/>
      <c r="O333" s="26"/>
      <c r="P333" s="26"/>
      <c r="Q333" s="26"/>
      <c r="S333" s="26"/>
      <c r="T333" s="25"/>
      <c r="U333" s="24"/>
      <c r="V333" s="24"/>
      <c r="W333" s="24"/>
      <c r="X333" s="26"/>
      <c r="Y333" s="26"/>
      <c r="Z333" s="24"/>
      <c r="AA333" s="26"/>
      <c r="AB333" s="25"/>
      <c r="AC333" s="24"/>
      <c r="AD333" s="24"/>
      <c r="AE333" s="24"/>
      <c r="AF333" s="26"/>
      <c r="AG333" s="26"/>
      <c r="AH333" s="24"/>
      <c r="AI333" s="26"/>
      <c r="AJ333" s="25"/>
      <c r="AK333" s="24"/>
      <c r="AL333" s="24"/>
      <c r="AM333" s="24"/>
      <c r="AN333" s="26"/>
      <c r="AO333" s="26"/>
      <c r="AP333" s="24"/>
      <c r="AQ333" s="24"/>
      <c r="AR333" s="24"/>
      <c r="AS333" s="28"/>
      <c r="AT333" s="28"/>
      <c r="AU333" s="28"/>
      <c r="AV333" s="28"/>
      <c r="AW333" s="28"/>
      <c r="AX333" s="28"/>
      <c r="AY333" s="28"/>
      <c r="AZ333" s="28"/>
      <c r="BA333" s="28"/>
      <c r="BB333" s="28"/>
      <c r="BC333" s="28"/>
      <c r="BD333" s="28"/>
      <c r="BE333" s="28"/>
      <c r="BF333" s="28"/>
      <c r="BG333" s="28"/>
      <c r="BH333" s="28"/>
      <c r="BI333" s="28"/>
      <c r="BJ333" s="24"/>
      <c r="BK333" s="28"/>
      <c r="BL333" s="28"/>
      <c r="BM333" s="28"/>
      <c r="BN333" s="28"/>
      <c r="BO333" s="28"/>
      <c r="BP333" s="28"/>
      <c r="BQ333" s="24"/>
      <c r="BR333" s="28"/>
      <c r="BS333" s="28"/>
      <c r="BT333" s="28"/>
      <c r="BU333" s="24"/>
      <c r="BV333" s="28"/>
      <c r="BW333" s="28"/>
      <c r="BX333" s="28"/>
    </row>
    <row r="334" spans="1:76">
      <c r="A334" s="24"/>
      <c r="B334" s="28"/>
      <c r="C334" s="25"/>
      <c r="D334" s="26"/>
      <c r="E334" s="24"/>
      <c r="F334" s="24"/>
      <c r="G334" s="26"/>
      <c r="H334" s="26"/>
      <c r="I334" s="26"/>
      <c r="J334" s="26"/>
      <c r="K334" s="26"/>
      <c r="L334" s="26"/>
      <c r="M334" s="26"/>
      <c r="N334" s="26"/>
      <c r="O334" s="26"/>
      <c r="P334" s="26"/>
      <c r="Q334" s="26"/>
      <c r="S334" s="26"/>
      <c r="T334" s="25"/>
      <c r="U334" s="24"/>
      <c r="V334" s="24"/>
      <c r="W334" s="24"/>
      <c r="X334" s="26"/>
      <c r="Y334" s="26"/>
      <c r="Z334" s="24"/>
      <c r="AA334" s="26"/>
      <c r="AB334" s="25"/>
      <c r="AC334" s="24"/>
      <c r="AD334" s="24"/>
      <c r="AE334" s="24"/>
      <c r="AF334" s="26"/>
      <c r="AG334" s="26"/>
      <c r="AH334" s="24"/>
      <c r="AI334" s="26"/>
      <c r="AJ334" s="25"/>
      <c r="AK334" s="24"/>
      <c r="AL334" s="24"/>
      <c r="AM334" s="24"/>
      <c r="AN334" s="26"/>
      <c r="AO334" s="26"/>
      <c r="AP334" s="24"/>
      <c r="AQ334" s="24"/>
      <c r="AR334" s="24"/>
      <c r="AS334" s="28"/>
      <c r="AT334" s="28"/>
      <c r="AU334" s="28"/>
      <c r="AV334" s="28"/>
      <c r="AW334" s="28"/>
      <c r="AX334" s="28"/>
      <c r="AY334" s="28"/>
      <c r="AZ334" s="28"/>
      <c r="BA334" s="28"/>
      <c r="BB334" s="28"/>
      <c r="BC334" s="28"/>
      <c r="BD334" s="28"/>
      <c r="BE334" s="28"/>
      <c r="BF334" s="28"/>
      <c r="BG334" s="28"/>
      <c r="BH334" s="28"/>
      <c r="BI334" s="28"/>
      <c r="BJ334" s="24"/>
      <c r="BK334" s="28"/>
      <c r="BL334" s="28"/>
      <c r="BM334" s="28"/>
      <c r="BN334" s="28"/>
      <c r="BO334" s="28"/>
      <c r="BP334" s="28"/>
      <c r="BQ334" s="24"/>
      <c r="BR334" s="28"/>
      <c r="BS334" s="28"/>
      <c r="BT334" s="28"/>
      <c r="BU334" s="24"/>
      <c r="BV334" s="28"/>
      <c r="BW334" s="28"/>
      <c r="BX334" s="28"/>
    </row>
    <row r="335" spans="1:76">
      <c r="A335" s="24"/>
      <c r="B335" s="28"/>
      <c r="C335" s="25"/>
      <c r="D335" s="26"/>
      <c r="E335" s="24"/>
      <c r="F335" s="24"/>
      <c r="G335" s="26"/>
      <c r="H335" s="26"/>
      <c r="I335" s="26"/>
      <c r="J335" s="26"/>
      <c r="K335" s="26"/>
      <c r="L335" s="26"/>
      <c r="M335" s="26"/>
      <c r="N335" s="26"/>
      <c r="O335" s="26"/>
      <c r="P335" s="26"/>
      <c r="Q335" s="26"/>
      <c r="S335" s="26"/>
      <c r="T335" s="25"/>
      <c r="U335" s="24"/>
      <c r="V335" s="24"/>
      <c r="W335" s="24"/>
      <c r="X335" s="26"/>
      <c r="Y335" s="26"/>
      <c r="Z335" s="24"/>
      <c r="AA335" s="26"/>
      <c r="AB335" s="25"/>
      <c r="AC335" s="24"/>
      <c r="AD335" s="24"/>
      <c r="AE335" s="24"/>
      <c r="AF335" s="26"/>
      <c r="AG335" s="26"/>
      <c r="AH335" s="24"/>
      <c r="AI335" s="26"/>
      <c r="AJ335" s="25"/>
      <c r="AK335" s="24"/>
      <c r="AL335" s="24"/>
      <c r="AM335" s="24"/>
      <c r="AN335" s="26"/>
      <c r="AO335" s="26"/>
      <c r="AP335" s="24"/>
      <c r="AQ335" s="24"/>
      <c r="AR335" s="24"/>
      <c r="AS335" s="28"/>
      <c r="AT335" s="28"/>
      <c r="AU335" s="28"/>
      <c r="AV335" s="28"/>
      <c r="AW335" s="28"/>
      <c r="AX335" s="28"/>
      <c r="AY335" s="28"/>
      <c r="AZ335" s="28"/>
      <c r="BA335" s="28"/>
      <c r="BB335" s="28"/>
      <c r="BC335" s="28"/>
      <c r="BD335" s="28"/>
      <c r="BE335" s="28"/>
      <c r="BF335" s="28"/>
      <c r="BG335" s="28"/>
      <c r="BH335" s="28"/>
      <c r="BI335" s="28"/>
      <c r="BJ335" s="24"/>
      <c r="BK335" s="28"/>
      <c r="BL335" s="28"/>
      <c r="BM335" s="28"/>
      <c r="BN335" s="28"/>
      <c r="BO335" s="28"/>
      <c r="BP335" s="28"/>
      <c r="BQ335" s="24"/>
      <c r="BR335" s="28"/>
      <c r="BS335" s="28"/>
      <c r="BT335" s="28"/>
      <c r="BU335" s="24"/>
      <c r="BV335" s="28"/>
      <c r="BW335" s="28"/>
      <c r="BX335" s="28"/>
    </row>
    <row r="336" spans="1:76">
      <c r="A336" s="24"/>
      <c r="B336" s="28"/>
      <c r="C336" s="25"/>
      <c r="D336" s="26"/>
      <c r="E336" s="24"/>
      <c r="F336" s="24"/>
      <c r="G336" s="26"/>
      <c r="H336" s="26"/>
      <c r="I336" s="26"/>
      <c r="J336" s="26"/>
      <c r="K336" s="26"/>
      <c r="L336" s="26"/>
      <c r="M336" s="26"/>
      <c r="N336" s="26"/>
      <c r="O336" s="26"/>
      <c r="P336" s="26"/>
      <c r="Q336" s="26"/>
      <c r="S336" s="26"/>
      <c r="T336" s="25"/>
      <c r="U336" s="24"/>
      <c r="V336" s="24"/>
      <c r="W336" s="24"/>
      <c r="X336" s="26"/>
      <c r="Y336" s="26"/>
      <c r="Z336" s="24"/>
      <c r="AA336" s="26"/>
      <c r="AB336" s="25"/>
      <c r="AC336" s="24"/>
      <c r="AD336" s="24"/>
      <c r="AE336" s="24"/>
      <c r="AF336" s="26"/>
      <c r="AG336" s="26"/>
      <c r="AH336" s="24"/>
      <c r="AI336" s="26"/>
      <c r="AJ336" s="25"/>
      <c r="AK336" s="24"/>
      <c r="AL336" s="24"/>
      <c r="AM336" s="24"/>
      <c r="AN336" s="26"/>
      <c r="AO336" s="26"/>
      <c r="AP336" s="24"/>
      <c r="AQ336" s="24"/>
      <c r="AR336" s="24"/>
      <c r="AS336" s="28"/>
      <c r="AT336" s="28"/>
      <c r="AU336" s="28"/>
      <c r="AV336" s="28"/>
      <c r="AW336" s="28"/>
      <c r="AX336" s="28"/>
      <c r="AY336" s="28"/>
      <c r="AZ336" s="28"/>
      <c r="BA336" s="28"/>
      <c r="BB336" s="28"/>
      <c r="BC336" s="28"/>
      <c r="BD336" s="28"/>
      <c r="BE336" s="28"/>
      <c r="BF336" s="28"/>
      <c r="BG336" s="28"/>
      <c r="BH336" s="28"/>
      <c r="BI336" s="28"/>
      <c r="BJ336" s="24"/>
      <c r="BK336" s="28"/>
      <c r="BL336" s="28"/>
      <c r="BM336" s="28"/>
      <c r="BN336" s="28"/>
      <c r="BO336" s="28"/>
      <c r="BP336" s="28"/>
      <c r="BQ336" s="24"/>
      <c r="BR336" s="28"/>
      <c r="BS336" s="28"/>
      <c r="BT336" s="28"/>
      <c r="BU336" s="24"/>
      <c r="BV336" s="28"/>
      <c r="BW336" s="28"/>
      <c r="BX336" s="28"/>
    </row>
    <row r="337" spans="1:76">
      <c r="A337" s="24"/>
      <c r="B337" s="28"/>
      <c r="C337" s="25"/>
      <c r="D337" s="26"/>
      <c r="E337" s="24"/>
      <c r="F337" s="24"/>
      <c r="G337" s="26"/>
      <c r="H337" s="26"/>
      <c r="I337" s="26"/>
      <c r="J337" s="26"/>
      <c r="K337" s="26"/>
      <c r="L337" s="26"/>
      <c r="M337" s="26"/>
      <c r="N337" s="26"/>
      <c r="O337" s="26"/>
      <c r="P337" s="26"/>
      <c r="Q337" s="26"/>
      <c r="S337" s="26"/>
      <c r="T337" s="25"/>
      <c r="U337" s="24"/>
      <c r="V337" s="24"/>
      <c r="W337" s="24"/>
      <c r="X337" s="26"/>
      <c r="Y337" s="26"/>
      <c r="Z337" s="24"/>
      <c r="AA337" s="26"/>
      <c r="AB337" s="25"/>
      <c r="AC337" s="24"/>
      <c r="AD337" s="24"/>
      <c r="AE337" s="24"/>
      <c r="AF337" s="26"/>
      <c r="AG337" s="26"/>
      <c r="AH337" s="24"/>
      <c r="AI337" s="26"/>
      <c r="AJ337" s="25"/>
      <c r="AK337" s="24"/>
      <c r="AL337" s="24"/>
      <c r="AM337" s="24"/>
      <c r="AN337" s="26"/>
      <c r="AO337" s="26"/>
      <c r="AP337" s="24"/>
      <c r="AQ337" s="24"/>
      <c r="AR337" s="24"/>
      <c r="AS337" s="28"/>
      <c r="AT337" s="28"/>
      <c r="AU337" s="28"/>
      <c r="AV337" s="28"/>
      <c r="AW337" s="28"/>
      <c r="AX337" s="28"/>
      <c r="AY337" s="28"/>
      <c r="AZ337" s="28"/>
      <c r="BA337" s="28"/>
      <c r="BB337" s="28"/>
      <c r="BC337" s="28"/>
      <c r="BD337" s="28"/>
      <c r="BE337" s="28"/>
      <c r="BF337" s="28"/>
      <c r="BG337" s="28"/>
      <c r="BH337" s="28"/>
      <c r="BI337" s="28"/>
      <c r="BJ337" s="24"/>
      <c r="BK337" s="28"/>
      <c r="BL337" s="28"/>
      <c r="BM337" s="28"/>
      <c r="BN337" s="28"/>
      <c r="BO337" s="28"/>
      <c r="BP337" s="28"/>
      <c r="BQ337" s="24"/>
      <c r="BR337" s="28"/>
      <c r="BS337" s="28"/>
      <c r="BT337" s="28"/>
      <c r="BU337" s="24"/>
      <c r="BV337" s="28"/>
      <c r="BW337" s="28"/>
      <c r="BX337" s="28"/>
    </row>
    <row r="338" spans="1:76">
      <c r="A338" s="24"/>
      <c r="B338" s="28"/>
      <c r="C338" s="25"/>
      <c r="D338" s="26"/>
      <c r="E338" s="24"/>
      <c r="F338" s="24"/>
      <c r="G338" s="26"/>
      <c r="H338" s="26"/>
      <c r="I338" s="26"/>
      <c r="J338" s="26"/>
      <c r="K338" s="26"/>
      <c r="L338" s="26"/>
      <c r="M338" s="26"/>
      <c r="N338" s="26"/>
      <c r="O338" s="26"/>
      <c r="P338" s="26"/>
      <c r="Q338" s="26"/>
      <c r="S338" s="26"/>
      <c r="T338" s="25"/>
      <c r="U338" s="24"/>
      <c r="V338" s="24"/>
      <c r="W338" s="24"/>
      <c r="X338" s="26"/>
      <c r="Y338" s="26"/>
      <c r="Z338" s="24"/>
      <c r="AA338" s="26"/>
      <c r="AB338" s="25"/>
      <c r="AC338" s="24"/>
      <c r="AD338" s="24"/>
      <c r="AE338" s="24"/>
      <c r="AF338" s="26"/>
      <c r="AG338" s="26"/>
      <c r="AH338" s="24"/>
      <c r="AI338" s="26"/>
      <c r="AJ338" s="25"/>
      <c r="AK338" s="24"/>
      <c r="AL338" s="24"/>
      <c r="AM338" s="24"/>
      <c r="AN338" s="26"/>
      <c r="AO338" s="26"/>
      <c r="AP338" s="24"/>
      <c r="AQ338" s="24"/>
      <c r="AR338" s="24"/>
      <c r="AS338" s="28"/>
      <c r="AT338" s="28"/>
      <c r="AU338" s="28"/>
      <c r="AV338" s="28"/>
      <c r="AW338" s="28"/>
      <c r="AX338" s="28"/>
      <c r="AY338" s="28"/>
      <c r="AZ338" s="28"/>
      <c r="BA338" s="28"/>
      <c r="BB338" s="28"/>
      <c r="BC338" s="28"/>
      <c r="BD338" s="28"/>
      <c r="BE338" s="28"/>
      <c r="BF338" s="28"/>
      <c r="BG338" s="28"/>
      <c r="BH338" s="28"/>
      <c r="BI338" s="28"/>
      <c r="BJ338" s="24"/>
      <c r="BK338" s="28"/>
      <c r="BL338" s="28"/>
      <c r="BM338" s="28"/>
      <c r="BN338" s="28"/>
      <c r="BO338" s="28"/>
      <c r="BP338" s="28"/>
      <c r="BQ338" s="24"/>
      <c r="BR338" s="28"/>
      <c r="BS338" s="28"/>
      <c r="BT338" s="28"/>
      <c r="BU338" s="24"/>
      <c r="BV338" s="28"/>
      <c r="BW338" s="28"/>
      <c r="BX338" s="28"/>
    </row>
    <row r="339" spans="1:76">
      <c r="A339" s="24"/>
      <c r="B339" s="28"/>
      <c r="C339" s="25"/>
      <c r="D339" s="26"/>
      <c r="E339" s="24"/>
      <c r="F339" s="24"/>
      <c r="G339" s="26"/>
      <c r="H339" s="26"/>
      <c r="I339" s="26"/>
      <c r="J339" s="26"/>
      <c r="K339" s="26"/>
      <c r="L339" s="26"/>
      <c r="M339" s="26"/>
      <c r="N339" s="26"/>
      <c r="O339" s="26"/>
      <c r="P339" s="26"/>
      <c r="Q339" s="26"/>
      <c r="S339" s="26"/>
      <c r="T339" s="25"/>
      <c r="U339" s="24"/>
      <c r="V339" s="24"/>
      <c r="W339" s="24"/>
      <c r="X339" s="26"/>
      <c r="Y339" s="26"/>
      <c r="Z339" s="24"/>
      <c r="AA339" s="26"/>
      <c r="AB339" s="25"/>
      <c r="AC339" s="24"/>
      <c r="AD339" s="24"/>
      <c r="AE339" s="24"/>
      <c r="AF339" s="26"/>
      <c r="AG339" s="26"/>
      <c r="AH339" s="24"/>
      <c r="AI339" s="26"/>
      <c r="AJ339" s="25"/>
      <c r="AK339" s="24"/>
      <c r="AL339" s="24"/>
      <c r="AM339" s="24"/>
      <c r="AN339" s="26"/>
      <c r="AO339" s="26"/>
      <c r="AP339" s="24"/>
      <c r="AQ339" s="24"/>
      <c r="AR339" s="24"/>
      <c r="AS339" s="28"/>
      <c r="AT339" s="28"/>
      <c r="AU339" s="28"/>
      <c r="AV339" s="28"/>
      <c r="AW339" s="28"/>
      <c r="AX339" s="28"/>
      <c r="AY339" s="28"/>
      <c r="AZ339" s="28"/>
      <c r="BA339" s="28"/>
      <c r="BB339" s="28"/>
      <c r="BC339" s="28"/>
      <c r="BD339" s="28"/>
      <c r="BE339" s="28"/>
      <c r="BF339" s="28"/>
      <c r="BG339" s="28"/>
      <c r="BH339" s="28"/>
      <c r="BI339" s="28"/>
      <c r="BJ339" s="24"/>
      <c r="BK339" s="28"/>
      <c r="BL339" s="28"/>
      <c r="BM339" s="28"/>
      <c r="BN339" s="28"/>
      <c r="BO339" s="28"/>
      <c r="BP339" s="28"/>
      <c r="BQ339" s="24"/>
      <c r="BR339" s="28"/>
      <c r="BS339" s="28"/>
      <c r="BT339" s="28"/>
      <c r="BU339" s="24"/>
      <c r="BV339" s="28"/>
      <c r="BW339" s="28"/>
      <c r="BX339" s="28"/>
    </row>
    <row r="340" spans="1:76">
      <c r="A340" s="24"/>
      <c r="B340" s="28"/>
      <c r="C340" s="25"/>
      <c r="D340" s="26"/>
      <c r="E340" s="24"/>
      <c r="F340" s="24"/>
      <c r="G340" s="26"/>
      <c r="H340" s="26"/>
      <c r="I340" s="26"/>
      <c r="J340" s="26"/>
      <c r="K340" s="26"/>
      <c r="L340" s="26"/>
      <c r="M340" s="26"/>
      <c r="N340" s="26"/>
      <c r="O340" s="26"/>
      <c r="P340" s="26"/>
      <c r="Q340" s="26"/>
      <c r="S340" s="26"/>
      <c r="T340" s="25"/>
      <c r="U340" s="24"/>
      <c r="V340" s="24"/>
      <c r="W340" s="24"/>
      <c r="X340" s="26"/>
      <c r="Y340" s="26"/>
      <c r="Z340" s="24"/>
      <c r="AA340" s="26"/>
      <c r="AB340" s="25"/>
      <c r="AC340" s="24"/>
      <c r="AD340" s="24"/>
      <c r="AE340" s="24"/>
      <c r="AF340" s="26"/>
      <c r="AG340" s="26"/>
      <c r="AH340" s="24"/>
      <c r="AI340" s="26"/>
      <c r="AJ340" s="25"/>
      <c r="AK340" s="24"/>
      <c r="AL340" s="24"/>
      <c r="AM340" s="24"/>
      <c r="AN340" s="26"/>
      <c r="AO340" s="26"/>
      <c r="AP340" s="24"/>
      <c r="AQ340" s="24"/>
      <c r="AR340" s="24"/>
      <c r="AS340" s="28"/>
      <c r="AT340" s="28"/>
      <c r="AU340" s="28"/>
      <c r="AV340" s="28"/>
      <c r="AW340" s="28"/>
      <c r="AX340" s="28"/>
      <c r="AY340" s="28"/>
      <c r="AZ340" s="28"/>
      <c r="BA340" s="28"/>
      <c r="BB340" s="28"/>
      <c r="BC340" s="28"/>
      <c r="BD340" s="28"/>
      <c r="BE340" s="28"/>
      <c r="BF340" s="28"/>
      <c r="BG340" s="28"/>
      <c r="BH340" s="28"/>
      <c r="BI340" s="28"/>
      <c r="BJ340" s="24"/>
      <c r="BK340" s="28"/>
      <c r="BL340" s="28"/>
      <c r="BM340" s="28"/>
      <c r="BN340" s="28"/>
      <c r="BO340" s="28"/>
      <c r="BP340" s="28"/>
      <c r="BQ340" s="24"/>
      <c r="BR340" s="28"/>
      <c r="BS340" s="28"/>
      <c r="BT340" s="28"/>
      <c r="BU340" s="24"/>
      <c r="BV340" s="28"/>
      <c r="BW340" s="28"/>
      <c r="BX340" s="28"/>
    </row>
    <row r="341" spans="1:76">
      <c r="A341" s="24"/>
      <c r="B341" s="28"/>
      <c r="C341" s="25"/>
      <c r="D341" s="26"/>
      <c r="E341" s="24"/>
      <c r="F341" s="24"/>
      <c r="G341" s="26"/>
      <c r="H341" s="26"/>
      <c r="I341" s="26"/>
      <c r="J341" s="26"/>
      <c r="K341" s="26"/>
      <c r="L341" s="26"/>
      <c r="M341" s="26"/>
      <c r="N341" s="26"/>
      <c r="O341" s="26"/>
      <c r="P341" s="26"/>
      <c r="Q341" s="26"/>
      <c r="S341" s="26"/>
      <c r="T341" s="25"/>
      <c r="U341" s="24"/>
      <c r="V341" s="24"/>
      <c r="W341" s="24"/>
      <c r="X341" s="26"/>
      <c r="Y341" s="26"/>
      <c r="Z341" s="24"/>
      <c r="AA341" s="26"/>
      <c r="AB341" s="25"/>
      <c r="AC341" s="24"/>
      <c r="AD341" s="24"/>
      <c r="AE341" s="24"/>
      <c r="AF341" s="26"/>
      <c r="AG341" s="26"/>
      <c r="AH341" s="24"/>
      <c r="AI341" s="26"/>
      <c r="AJ341" s="25"/>
      <c r="AK341" s="24"/>
      <c r="AL341" s="24"/>
      <c r="AM341" s="24"/>
      <c r="AN341" s="26"/>
      <c r="AO341" s="26"/>
      <c r="AP341" s="24"/>
      <c r="AQ341" s="24"/>
      <c r="AR341" s="24"/>
      <c r="AS341" s="28"/>
      <c r="AT341" s="28"/>
      <c r="AU341" s="28"/>
      <c r="AV341" s="28"/>
      <c r="AW341" s="28"/>
      <c r="AX341" s="28"/>
      <c r="AY341" s="28"/>
      <c r="AZ341" s="28"/>
      <c r="BA341" s="28"/>
      <c r="BB341" s="28"/>
      <c r="BC341" s="28"/>
      <c r="BD341" s="28"/>
      <c r="BE341" s="28"/>
      <c r="BF341" s="28"/>
      <c r="BG341" s="28"/>
      <c r="BH341" s="28"/>
      <c r="BI341" s="28"/>
      <c r="BJ341" s="24"/>
      <c r="BK341" s="28"/>
      <c r="BL341" s="28"/>
      <c r="BM341" s="28"/>
      <c r="BN341" s="28"/>
      <c r="BO341" s="28"/>
      <c r="BP341" s="28"/>
      <c r="BQ341" s="24"/>
      <c r="BR341" s="28"/>
      <c r="BS341" s="28"/>
      <c r="BT341" s="28"/>
      <c r="BU341" s="24"/>
      <c r="BV341" s="28"/>
      <c r="BW341" s="28"/>
      <c r="BX341" s="28"/>
    </row>
    <row r="342" spans="1:76">
      <c r="A342" s="24"/>
      <c r="B342" s="28"/>
      <c r="C342" s="25"/>
      <c r="D342" s="26"/>
      <c r="E342" s="24"/>
      <c r="F342" s="24"/>
      <c r="G342" s="26"/>
      <c r="H342" s="26"/>
      <c r="I342" s="26"/>
      <c r="J342" s="26"/>
      <c r="K342" s="26"/>
      <c r="L342" s="26"/>
      <c r="M342" s="26"/>
      <c r="N342" s="26"/>
      <c r="O342" s="26"/>
      <c r="P342" s="26"/>
      <c r="Q342" s="26"/>
      <c r="S342" s="26"/>
      <c r="T342" s="25"/>
      <c r="U342" s="24"/>
      <c r="V342" s="24"/>
      <c r="W342" s="24"/>
      <c r="X342" s="26"/>
      <c r="Y342" s="26"/>
      <c r="Z342" s="24"/>
      <c r="AA342" s="26"/>
      <c r="AB342" s="25"/>
      <c r="AC342" s="24"/>
      <c r="AD342" s="24"/>
      <c r="AE342" s="24"/>
      <c r="AF342" s="26"/>
      <c r="AG342" s="26"/>
      <c r="AH342" s="24"/>
      <c r="AI342" s="26"/>
      <c r="AJ342" s="25"/>
      <c r="AK342" s="24"/>
      <c r="AL342" s="24"/>
      <c r="AM342" s="24"/>
      <c r="AN342" s="26"/>
      <c r="AO342" s="26"/>
      <c r="AP342" s="24"/>
      <c r="AQ342" s="24"/>
      <c r="AR342" s="24"/>
      <c r="AS342" s="28"/>
      <c r="AT342" s="28"/>
      <c r="AU342" s="28"/>
      <c r="AV342" s="28"/>
      <c r="AW342" s="28"/>
      <c r="AX342" s="28"/>
      <c r="AY342" s="28"/>
      <c r="AZ342" s="28"/>
      <c r="BA342" s="28"/>
      <c r="BB342" s="28"/>
      <c r="BC342" s="28"/>
      <c r="BD342" s="28"/>
      <c r="BE342" s="28"/>
      <c r="BF342" s="28"/>
      <c r="BG342" s="28"/>
      <c r="BH342" s="28"/>
      <c r="BI342" s="28"/>
      <c r="BJ342" s="24"/>
      <c r="BK342" s="28"/>
      <c r="BL342" s="28"/>
      <c r="BM342" s="28"/>
      <c r="BN342" s="28"/>
      <c r="BO342" s="28"/>
      <c r="BP342" s="28"/>
      <c r="BQ342" s="24"/>
      <c r="BR342" s="28"/>
      <c r="BS342" s="28"/>
      <c r="BT342" s="28"/>
      <c r="BU342" s="24"/>
      <c r="BV342" s="28"/>
      <c r="BW342" s="28"/>
      <c r="BX342" s="28"/>
    </row>
    <row r="343" spans="1:76">
      <c r="A343" s="24"/>
      <c r="B343" s="28"/>
      <c r="C343" s="25"/>
      <c r="D343" s="26"/>
      <c r="E343" s="24"/>
      <c r="F343" s="24"/>
      <c r="G343" s="26"/>
      <c r="H343" s="26"/>
      <c r="I343" s="26"/>
      <c r="J343" s="26"/>
      <c r="K343" s="26"/>
      <c r="L343" s="26"/>
      <c r="M343" s="26"/>
      <c r="N343" s="26"/>
      <c r="O343" s="26"/>
      <c r="P343" s="26"/>
      <c r="Q343" s="26"/>
      <c r="S343" s="26"/>
      <c r="T343" s="25"/>
      <c r="U343" s="24"/>
      <c r="V343" s="24"/>
      <c r="W343" s="24"/>
      <c r="X343" s="26"/>
      <c r="Y343" s="26"/>
      <c r="Z343" s="24"/>
      <c r="AA343" s="26"/>
      <c r="AB343" s="25"/>
      <c r="AC343" s="24"/>
      <c r="AD343" s="24"/>
      <c r="AE343" s="24"/>
      <c r="AF343" s="26"/>
      <c r="AG343" s="26"/>
      <c r="AH343" s="24"/>
      <c r="AI343" s="26"/>
      <c r="AJ343" s="25"/>
      <c r="AK343" s="24"/>
      <c r="AL343" s="24"/>
      <c r="AM343" s="24"/>
      <c r="AN343" s="26"/>
      <c r="AO343" s="26"/>
      <c r="AP343" s="24"/>
      <c r="AQ343" s="24"/>
      <c r="AR343" s="24"/>
      <c r="AS343" s="28"/>
      <c r="AT343" s="28"/>
      <c r="AU343" s="28"/>
      <c r="AV343" s="28"/>
      <c r="AW343" s="28"/>
      <c r="AX343" s="28"/>
      <c r="AY343" s="28"/>
      <c r="AZ343" s="28"/>
      <c r="BA343" s="28"/>
      <c r="BB343" s="28"/>
      <c r="BC343" s="28"/>
      <c r="BD343" s="28"/>
      <c r="BE343" s="28"/>
      <c r="BF343" s="28"/>
      <c r="BG343" s="28"/>
      <c r="BH343" s="28"/>
      <c r="BI343" s="28"/>
      <c r="BJ343" s="24"/>
      <c r="BK343" s="28"/>
      <c r="BL343" s="28"/>
      <c r="BM343" s="28"/>
      <c r="BN343" s="28"/>
      <c r="BO343" s="28"/>
      <c r="BP343" s="28"/>
      <c r="BQ343" s="24"/>
      <c r="BR343" s="28"/>
      <c r="BS343" s="28"/>
      <c r="BT343" s="28"/>
      <c r="BU343" s="24"/>
      <c r="BV343" s="28"/>
      <c r="BW343" s="28"/>
      <c r="BX343" s="28"/>
    </row>
    <row r="344" spans="1:76">
      <c r="A344" s="24"/>
      <c r="B344" s="28"/>
      <c r="C344" s="25"/>
      <c r="D344" s="26"/>
      <c r="E344" s="24"/>
      <c r="F344" s="24"/>
      <c r="G344" s="26"/>
      <c r="H344" s="26"/>
      <c r="I344" s="26"/>
      <c r="J344" s="26"/>
      <c r="K344" s="26"/>
      <c r="L344" s="26"/>
      <c r="M344" s="26"/>
      <c r="N344" s="26"/>
      <c r="O344" s="26"/>
      <c r="P344" s="26"/>
      <c r="Q344" s="26"/>
      <c r="S344" s="26"/>
      <c r="T344" s="25"/>
      <c r="U344" s="24"/>
      <c r="V344" s="24"/>
      <c r="W344" s="24"/>
      <c r="X344" s="26"/>
      <c r="Y344" s="26"/>
      <c r="Z344" s="24"/>
      <c r="AA344" s="26"/>
      <c r="AB344" s="25"/>
      <c r="AC344" s="24"/>
      <c r="AD344" s="24"/>
      <c r="AE344" s="24"/>
      <c r="AF344" s="26"/>
      <c r="AG344" s="26"/>
      <c r="AH344" s="24"/>
      <c r="AI344" s="26"/>
      <c r="AJ344" s="25"/>
      <c r="AK344" s="24"/>
      <c r="AL344" s="24"/>
      <c r="AM344" s="24"/>
      <c r="AN344" s="26"/>
      <c r="AO344" s="26"/>
      <c r="AP344" s="24"/>
      <c r="AQ344" s="24"/>
      <c r="AR344" s="24"/>
      <c r="AS344" s="28"/>
      <c r="AT344" s="28"/>
      <c r="AU344" s="28"/>
      <c r="AV344" s="28"/>
      <c r="AW344" s="28"/>
      <c r="AX344" s="28"/>
      <c r="AY344" s="28"/>
      <c r="AZ344" s="28"/>
      <c r="BA344" s="28"/>
      <c r="BB344" s="28"/>
      <c r="BC344" s="28"/>
      <c r="BD344" s="28"/>
      <c r="BE344" s="28"/>
      <c r="BF344" s="28"/>
      <c r="BG344" s="28"/>
      <c r="BH344" s="28"/>
      <c r="BI344" s="28"/>
      <c r="BJ344" s="24"/>
      <c r="BK344" s="28"/>
      <c r="BL344" s="28"/>
      <c r="BM344" s="28"/>
      <c r="BN344" s="28"/>
      <c r="BO344" s="28"/>
      <c r="BP344" s="28"/>
      <c r="BQ344" s="24"/>
      <c r="BR344" s="28"/>
      <c r="BS344" s="28"/>
      <c r="BT344" s="28"/>
      <c r="BU344" s="24"/>
      <c r="BV344" s="28"/>
      <c r="BW344" s="28"/>
      <c r="BX344" s="28"/>
    </row>
    <row r="345" spans="1:76">
      <c r="A345" s="24"/>
      <c r="B345" s="28"/>
      <c r="C345" s="25"/>
      <c r="D345" s="26"/>
      <c r="E345" s="24"/>
      <c r="F345" s="24"/>
      <c r="G345" s="26"/>
      <c r="H345" s="26"/>
      <c r="I345" s="26"/>
      <c r="J345" s="26"/>
      <c r="K345" s="26"/>
      <c r="L345" s="26"/>
      <c r="M345" s="26"/>
      <c r="N345" s="26"/>
      <c r="O345" s="26"/>
      <c r="P345" s="26"/>
      <c r="Q345" s="26"/>
      <c r="S345" s="26"/>
      <c r="T345" s="25"/>
      <c r="U345" s="24"/>
      <c r="V345" s="24"/>
      <c r="W345" s="24"/>
      <c r="X345" s="26"/>
      <c r="Y345" s="26"/>
      <c r="Z345" s="24"/>
      <c r="AA345" s="26"/>
      <c r="AB345" s="25"/>
      <c r="AC345" s="24"/>
      <c r="AD345" s="24"/>
      <c r="AE345" s="24"/>
      <c r="AF345" s="26"/>
      <c r="AG345" s="26"/>
      <c r="AH345" s="24"/>
      <c r="AI345" s="26"/>
      <c r="AJ345" s="25"/>
      <c r="AK345" s="24"/>
      <c r="AL345" s="24"/>
      <c r="AM345" s="24"/>
      <c r="AN345" s="26"/>
      <c r="AO345" s="26"/>
      <c r="AP345" s="24"/>
      <c r="AQ345" s="24"/>
      <c r="AR345" s="24"/>
      <c r="AS345" s="28"/>
      <c r="AT345" s="28"/>
      <c r="AU345" s="28"/>
      <c r="AV345" s="28"/>
      <c r="AW345" s="28"/>
      <c r="AX345" s="28"/>
      <c r="AY345" s="28"/>
      <c r="AZ345" s="28"/>
      <c r="BA345" s="28"/>
      <c r="BB345" s="28"/>
      <c r="BC345" s="28"/>
      <c r="BD345" s="28"/>
      <c r="BE345" s="28"/>
      <c r="BF345" s="28"/>
      <c r="BG345" s="28"/>
      <c r="BH345" s="28"/>
      <c r="BI345" s="28"/>
      <c r="BJ345" s="24"/>
      <c r="BK345" s="28"/>
      <c r="BL345" s="28"/>
      <c r="BM345" s="28"/>
      <c r="BN345" s="28"/>
      <c r="BO345" s="28"/>
      <c r="BP345" s="28"/>
      <c r="BQ345" s="24"/>
      <c r="BR345" s="28"/>
      <c r="BS345" s="28"/>
      <c r="BT345" s="28"/>
      <c r="BU345" s="24"/>
      <c r="BV345" s="28"/>
      <c r="BW345" s="28"/>
      <c r="BX345" s="28"/>
    </row>
    <row r="346" spans="1:76">
      <c r="A346" s="24"/>
      <c r="B346" s="28"/>
      <c r="C346" s="25"/>
      <c r="D346" s="26"/>
      <c r="E346" s="24"/>
      <c r="F346" s="24"/>
      <c r="G346" s="26"/>
      <c r="H346" s="26"/>
      <c r="I346" s="26"/>
      <c r="J346" s="26"/>
      <c r="K346" s="26"/>
      <c r="L346" s="26"/>
      <c r="M346" s="26"/>
      <c r="N346" s="26"/>
      <c r="O346" s="26"/>
      <c r="P346" s="26"/>
      <c r="Q346" s="26"/>
      <c r="S346" s="26"/>
      <c r="T346" s="25"/>
      <c r="U346" s="24"/>
      <c r="V346" s="24"/>
      <c r="W346" s="24"/>
      <c r="X346" s="26"/>
      <c r="Y346" s="26"/>
      <c r="Z346" s="24"/>
      <c r="AA346" s="26"/>
      <c r="AB346" s="25"/>
      <c r="AC346" s="24"/>
      <c r="AD346" s="24"/>
      <c r="AE346" s="24"/>
      <c r="AF346" s="26"/>
      <c r="AG346" s="26"/>
      <c r="AH346" s="24"/>
      <c r="AI346" s="26"/>
      <c r="AJ346" s="25"/>
      <c r="AK346" s="24"/>
      <c r="AL346" s="24"/>
      <c r="AM346" s="24"/>
      <c r="AN346" s="26"/>
      <c r="AO346" s="26"/>
      <c r="AP346" s="24"/>
      <c r="AQ346" s="24"/>
      <c r="AR346" s="24"/>
      <c r="AS346" s="28"/>
      <c r="AT346" s="28"/>
      <c r="AU346" s="28"/>
      <c r="AV346" s="28"/>
      <c r="AW346" s="28"/>
      <c r="AX346" s="28"/>
      <c r="AY346" s="28"/>
      <c r="AZ346" s="28"/>
      <c r="BA346" s="28"/>
      <c r="BB346" s="28"/>
      <c r="BC346" s="28"/>
      <c r="BD346" s="28"/>
      <c r="BE346" s="28"/>
      <c r="BF346" s="28"/>
      <c r="BG346" s="28"/>
      <c r="BH346" s="28"/>
      <c r="BI346" s="28"/>
      <c r="BJ346" s="24"/>
      <c r="BK346" s="28"/>
      <c r="BL346" s="28"/>
      <c r="BM346" s="28"/>
      <c r="BN346" s="28"/>
      <c r="BO346" s="28"/>
      <c r="BP346" s="28"/>
      <c r="BQ346" s="24"/>
      <c r="BR346" s="28"/>
      <c r="BS346" s="28"/>
      <c r="BT346" s="28"/>
      <c r="BU346" s="24"/>
      <c r="BV346" s="28"/>
      <c r="BW346" s="28"/>
      <c r="BX346" s="28"/>
    </row>
    <row r="347" spans="1:76">
      <c r="A347" s="24"/>
      <c r="B347" s="28"/>
      <c r="C347" s="25"/>
      <c r="D347" s="26"/>
      <c r="E347" s="24"/>
      <c r="F347" s="24"/>
      <c r="G347" s="26"/>
      <c r="H347" s="26"/>
      <c r="I347" s="26"/>
      <c r="J347" s="26"/>
      <c r="K347" s="26"/>
      <c r="L347" s="26"/>
      <c r="M347" s="26"/>
      <c r="N347" s="26"/>
      <c r="O347" s="26"/>
      <c r="P347" s="26"/>
      <c r="Q347" s="26"/>
      <c r="S347" s="26"/>
      <c r="T347" s="25"/>
      <c r="U347" s="24"/>
      <c r="V347" s="24"/>
      <c r="W347" s="24"/>
      <c r="X347" s="26"/>
      <c r="Y347" s="26"/>
      <c r="Z347" s="24"/>
      <c r="AA347" s="26"/>
      <c r="AB347" s="25"/>
      <c r="AC347" s="24"/>
      <c r="AD347" s="24"/>
      <c r="AE347" s="24"/>
      <c r="AF347" s="26"/>
      <c r="AG347" s="26"/>
      <c r="AH347" s="24"/>
      <c r="AI347" s="26"/>
      <c r="AJ347" s="25"/>
      <c r="AK347" s="24"/>
      <c r="AL347" s="24"/>
      <c r="AM347" s="24"/>
      <c r="AN347" s="26"/>
      <c r="AO347" s="26"/>
      <c r="AP347" s="24"/>
      <c r="AQ347" s="24"/>
      <c r="AR347" s="24"/>
      <c r="AS347" s="28"/>
      <c r="AT347" s="28"/>
      <c r="AU347" s="28"/>
      <c r="AV347" s="28"/>
      <c r="AW347" s="28"/>
      <c r="AX347" s="28"/>
      <c r="AY347" s="28"/>
      <c r="AZ347" s="28"/>
      <c r="BA347" s="28"/>
      <c r="BB347" s="28"/>
      <c r="BC347" s="28"/>
      <c r="BD347" s="28"/>
      <c r="BE347" s="28"/>
      <c r="BF347" s="28"/>
      <c r="BG347" s="28"/>
      <c r="BH347" s="28"/>
      <c r="BI347" s="28"/>
      <c r="BJ347" s="24"/>
      <c r="BK347" s="28"/>
      <c r="BL347" s="28"/>
      <c r="BM347" s="28"/>
      <c r="BN347" s="28"/>
      <c r="BO347" s="28"/>
      <c r="BP347" s="28"/>
      <c r="BQ347" s="24"/>
      <c r="BR347" s="28"/>
      <c r="BS347" s="28"/>
      <c r="BT347" s="28"/>
      <c r="BU347" s="24"/>
      <c r="BV347" s="28"/>
      <c r="BW347" s="28"/>
      <c r="BX347" s="28"/>
    </row>
    <row r="348" spans="1:76">
      <c r="A348" s="24"/>
      <c r="B348" s="28"/>
      <c r="C348" s="25"/>
      <c r="D348" s="26"/>
      <c r="E348" s="24"/>
      <c r="F348" s="24"/>
      <c r="G348" s="26"/>
      <c r="H348" s="26"/>
      <c r="I348" s="26"/>
      <c r="J348" s="26"/>
      <c r="K348" s="26"/>
      <c r="L348" s="26"/>
      <c r="M348" s="26"/>
      <c r="N348" s="26"/>
      <c r="O348" s="26"/>
      <c r="P348" s="26"/>
      <c r="Q348" s="26"/>
      <c r="S348" s="26"/>
      <c r="T348" s="25"/>
      <c r="U348" s="24"/>
      <c r="V348" s="24"/>
      <c r="W348" s="24"/>
      <c r="X348" s="26"/>
      <c r="Y348" s="26"/>
      <c r="Z348" s="24"/>
      <c r="AA348" s="26"/>
      <c r="AB348" s="25"/>
      <c r="AC348" s="24"/>
      <c r="AD348" s="24"/>
      <c r="AE348" s="24"/>
      <c r="AF348" s="26"/>
      <c r="AG348" s="26"/>
      <c r="AH348" s="24"/>
      <c r="AI348" s="26"/>
      <c r="AJ348" s="25"/>
      <c r="AK348" s="24"/>
      <c r="AL348" s="24"/>
      <c r="AM348" s="24"/>
      <c r="AN348" s="26"/>
      <c r="AO348" s="26"/>
      <c r="AP348" s="24"/>
      <c r="AQ348" s="24"/>
      <c r="AR348" s="24"/>
      <c r="AS348" s="28"/>
      <c r="AT348" s="28"/>
      <c r="AU348" s="28"/>
      <c r="AV348" s="28"/>
      <c r="AW348" s="28"/>
      <c r="AX348" s="28"/>
      <c r="AY348" s="28"/>
      <c r="AZ348" s="28"/>
      <c r="BA348" s="28"/>
      <c r="BB348" s="28"/>
      <c r="BC348" s="28"/>
      <c r="BD348" s="28"/>
      <c r="BE348" s="28"/>
      <c r="BF348" s="28"/>
      <c r="BG348" s="28"/>
      <c r="BH348" s="28"/>
      <c r="BI348" s="28"/>
      <c r="BJ348" s="24"/>
      <c r="BK348" s="28"/>
      <c r="BL348" s="28"/>
      <c r="BM348" s="28"/>
      <c r="BN348" s="28"/>
      <c r="BO348" s="28"/>
      <c r="BP348" s="28"/>
      <c r="BQ348" s="24"/>
      <c r="BR348" s="28"/>
      <c r="BS348" s="28"/>
      <c r="BT348" s="28"/>
      <c r="BU348" s="24"/>
      <c r="BV348" s="28"/>
      <c r="BW348" s="28"/>
      <c r="BX348" s="28"/>
    </row>
    <row r="349" spans="1:76">
      <c r="A349" s="24"/>
      <c r="B349" s="28"/>
      <c r="C349" s="25"/>
      <c r="D349" s="26"/>
      <c r="E349" s="24"/>
      <c r="F349" s="24"/>
      <c r="G349" s="26"/>
      <c r="H349" s="26"/>
      <c r="I349" s="26"/>
      <c r="J349" s="26"/>
      <c r="K349" s="26"/>
      <c r="L349" s="26"/>
      <c r="M349" s="26"/>
      <c r="N349" s="26"/>
      <c r="O349" s="26"/>
      <c r="P349" s="26"/>
      <c r="Q349" s="26"/>
      <c r="S349" s="26"/>
      <c r="T349" s="25"/>
      <c r="U349" s="24"/>
      <c r="V349" s="24"/>
      <c r="W349" s="24"/>
      <c r="X349" s="26"/>
      <c r="Y349" s="26"/>
      <c r="Z349" s="24"/>
      <c r="AA349" s="26"/>
      <c r="AB349" s="25"/>
      <c r="AC349" s="24"/>
      <c r="AD349" s="24"/>
      <c r="AE349" s="24"/>
      <c r="AF349" s="26"/>
      <c r="AG349" s="26"/>
      <c r="AH349" s="24"/>
      <c r="AI349" s="26"/>
      <c r="AJ349" s="25"/>
      <c r="AK349" s="24"/>
      <c r="AL349" s="24"/>
      <c r="AM349" s="24"/>
      <c r="AN349" s="26"/>
      <c r="AO349" s="26"/>
      <c r="AP349" s="24"/>
      <c r="AQ349" s="24"/>
      <c r="AR349" s="24"/>
      <c r="AS349" s="28"/>
      <c r="AT349" s="28"/>
      <c r="AU349" s="28"/>
      <c r="AV349" s="28"/>
      <c r="AW349" s="28"/>
      <c r="AX349" s="28"/>
      <c r="AY349" s="28"/>
      <c r="AZ349" s="28"/>
      <c r="BA349" s="28"/>
      <c r="BB349" s="28"/>
      <c r="BC349" s="28"/>
      <c r="BD349" s="28"/>
      <c r="BE349" s="28"/>
      <c r="BF349" s="28"/>
      <c r="BG349" s="28"/>
      <c r="BH349" s="28"/>
      <c r="BI349" s="28"/>
      <c r="BJ349" s="24"/>
      <c r="BK349" s="28"/>
      <c r="BL349" s="28"/>
      <c r="BM349" s="28"/>
      <c r="BN349" s="28"/>
      <c r="BO349" s="28"/>
      <c r="BP349" s="28"/>
      <c r="BQ349" s="24"/>
      <c r="BR349" s="28"/>
      <c r="BS349" s="28"/>
      <c r="BT349" s="28"/>
      <c r="BU349" s="24"/>
      <c r="BV349" s="28"/>
      <c r="BW349" s="28"/>
      <c r="BX349" s="28"/>
    </row>
    <row r="350" spans="1:76">
      <c r="A350" s="24"/>
      <c r="B350" s="28"/>
      <c r="C350" s="25"/>
      <c r="D350" s="26"/>
      <c r="E350" s="24"/>
      <c r="F350" s="24"/>
      <c r="G350" s="26"/>
      <c r="H350" s="26"/>
      <c r="I350" s="26"/>
      <c r="J350" s="26"/>
      <c r="K350" s="26"/>
      <c r="L350" s="26"/>
      <c r="M350" s="26"/>
      <c r="N350" s="26"/>
      <c r="O350" s="26"/>
      <c r="P350" s="26"/>
      <c r="Q350" s="26"/>
      <c r="S350" s="26"/>
      <c r="T350" s="25"/>
      <c r="U350" s="24"/>
      <c r="V350" s="24"/>
      <c r="W350" s="24"/>
      <c r="X350" s="26"/>
      <c r="Y350" s="26"/>
      <c r="Z350" s="24"/>
      <c r="AA350" s="26"/>
      <c r="AB350" s="25"/>
      <c r="AC350" s="24"/>
      <c r="AD350" s="24"/>
      <c r="AE350" s="24"/>
      <c r="AF350" s="26"/>
      <c r="AG350" s="26"/>
      <c r="AH350" s="24"/>
      <c r="AI350" s="26"/>
      <c r="AJ350" s="25"/>
      <c r="AK350" s="24"/>
      <c r="AL350" s="24"/>
      <c r="AM350" s="24"/>
      <c r="AN350" s="26"/>
      <c r="AO350" s="26"/>
      <c r="AP350" s="24"/>
      <c r="AQ350" s="24"/>
      <c r="AR350" s="24"/>
      <c r="AS350" s="28"/>
      <c r="AT350" s="28"/>
      <c r="AU350" s="28"/>
      <c r="AV350" s="28"/>
      <c r="AW350" s="28"/>
      <c r="AX350" s="28"/>
      <c r="AY350" s="28"/>
      <c r="AZ350" s="28"/>
      <c r="BA350" s="28"/>
      <c r="BB350" s="28"/>
      <c r="BC350" s="28"/>
      <c r="BD350" s="28"/>
      <c r="BE350" s="28"/>
      <c r="BF350" s="28"/>
      <c r="BG350" s="28"/>
      <c r="BH350" s="28"/>
      <c r="BI350" s="28"/>
      <c r="BJ350" s="24"/>
      <c r="BK350" s="28"/>
      <c r="BL350" s="28"/>
      <c r="BM350" s="28"/>
      <c r="BN350" s="28"/>
      <c r="BO350" s="28"/>
      <c r="BP350" s="28"/>
      <c r="BQ350" s="24"/>
      <c r="BR350" s="28"/>
      <c r="BS350" s="28"/>
      <c r="BT350" s="28"/>
      <c r="BU350" s="24"/>
      <c r="BV350" s="28"/>
      <c r="BW350" s="28"/>
      <c r="BX350" s="28"/>
    </row>
    <row r="351" spans="1:76">
      <c r="A351" s="24"/>
      <c r="B351" s="28"/>
      <c r="C351" s="25"/>
      <c r="D351" s="26"/>
      <c r="E351" s="24"/>
      <c r="F351" s="24"/>
      <c r="G351" s="26"/>
      <c r="H351" s="26"/>
      <c r="I351" s="26"/>
      <c r="J351" s="26"/>
      <c r="K351" s="26"/>
      <c r="L351" s="26"/>
      <c r="M351" s="26"/>
      <c r="N351" s="26"/>
      <c r="O351" s="26"/>
      <c r="P351" s="26"/>
      <c r="Q351" s="26"/>
      <c r="S351" s="26"/>
      <c r="T351" s="25"/>
      <c r="U351" s="24"/>
      <c r="V351" s="24"/>
      <c r="W351" s="24"/>
      <c r="X351" s="26"/>
      <c r="Y351" s="26"/>
      <c r="Z351" s="24"/>
      <c r="AA351" s="26"/>
      <c r="AB351" s="25"/>
      <c r="AC351" s="24"/>
      <c r="AD351" s="24"/>
      <c r="AE351" s="24"/>
      <c r="AF351" s="26"/>
      <c r="AG351" s="26"/>
      <c r="AH351" s="24"/>
      <c r="AI351" s="26"/>
      <c r="AJ351" s="25"/>
      <c r="AK351" s="24"/>
      <c r="AL351" s="24"/>
      <c r="AM351" s="24"/>
      <c r="AN351" s="26"/>
      <c r="AO351" s="26"/>
      <c r="AP351" s="24"/>
      <c r="AQ351" s="24"/>
      <c r="AR351" s="24"/>
      <c r="AS351" s="28"/>
      <c r="AT351" s="28"/>
      <c r="AU351" s="28"/>
      <c r="AV351" s="28"/>
      <c r="AW351" s="28"/>
      <c r="AX351" s="28"/>
      <c r="AY351" s="28"/>
      <c r="AZ351" s="28"/>
      <c r="BA351" s="28"/>
      <c r="BB351" s="28"/>
      <c r="BC351" s="28"/>
      <c r="BD351" s="28"/>
      <c r="BE351" s="28"/>
      <c r="BF351" s="28"/>
      <c r="BG351" s="28"/>
      <c r="BH351" s="28"/>
      <c r="BI351" s="28"/>
      <c r="BJ351" s="24"/>
      <c r="BK351" s="28"/>
      <c r="BL351" s="28"/>
      <c r="BM351" s="28"/>
      <c r="BN351" s="28"/>
      <c r="BO351" s="28"/>
      <c r="BP351" s="28"/>
      <c r="BQ351" s="24"/>
      <c r="BR351" s="28"/>
      <c r="BS351" s="28"/>
      <c r="BT351" s="28"/>
      <c r="BU351" s="24"/>
      <c r="BV351" s="28"/>
      <c r="BW351" s="28"/>
      <c r="BX351" s="28"/>
    </row>
    <row r="352" spans="1:76">
      <c r="A352" s="24"/>
      <c r="B352" s="28"/>
      <c r="C352" s="25"/>
      <c r="D352" s="26"/>
      <c r="E352" s="24"/>
      <c r="F352" s="24"/>
      <c r="G352" s="26"/>
      <c r="H352" s="26"/>
      <c r="I352" s="26"/>
      <c r="J352" s="26"/>
      <c r="K352" s="26"/>
      <c r="L352" s="26"/>
      <c r="M352" s="26"/>
      <c r="N352" s="26"/>
      <c r="O352" s="26"/>
      <c r="P352" s="26"/>
      <c r="Q352" s="26"/>
      <c r="S352" s="26"/>
      <c r="T352" s="25"/>
      <c r="U352" s="24"/>
      <c r="V352" s="24"/>
      <c r="W352" s="24"/>
      <c r="X352" s="26"/>
      <c r="Y352" s="26"/>
      <c r="Z352" s="24"/>
      <c r="AA352" s="26"/>
      <c r="AB352" s="25"/>
      <c r="AC352" s="24"/>
      <c r="AD352" s="24"/>
      <c r="AE352" s="24"/>
      <c r="AF352" s="26"/>
      <c r="AG352" s="26"/>
      <c r="AH352" s="24"/>
      <c r="AI352" s="26"/>
      <c r="AJ352" s="25"/>
      <c r="AK352" s="24"/>
      <c r="AL352" s="24"/>
      <c r="AM352" s="24"/>
      <c r="AN352" s="26"/>
      <c r="AO352" s="26"/>
      <c r="AP352" s="24"/>
      <c r="AQ352" s="24"/>
      <c r="AR352" s="24"/>
      <c r="AS352" s="28"/>
      <c r="AT352" s="28"/>
      <c r="AU352" s="28"/>
      <c r="AV352" s="28"/>
      <c r="AW352" s="28"/>
      <c r="AX352" s="28"/>
      <c r="AY352" s="28"/>
      <c r="AZ352" s="28"/>
      <c r="BA352" s="28"/>
      <c r="BB352" s="28"/>
      <c r="BC352" s="28"/>
      <c r="BD352" s="28"/>
      <c r="BE352" s="28"/>
      <c r="BF352" s="28"/>
      <c r="BG352" s="28"/>
      <c r="BH352" s="28"/>
      <c r="BI352" s="28"/>
      <c r="BJ352" s="24"/>
      <c r="BK352" s="28"/>
      <c r="BL352" s="28"/>
      <c r="BM352" s="28"/>
      <c r="BN352" s="28"/>
      <c r="BO352" s="28"/>
      <c r="BP352" s="28"/>
      <c r="BQ352" s="24"/>
      <c r="BR352" s="28"/>
      <c r="BS352" s="28"/>
      <c r="BT352" s="28"/>
      <c r="BU352" s="24"/>
      <c r="BV352" s="28"/>
      <c r="BW352" s="28"/>
      <c r="BX352" s="28"/>
    </row>
    <row r="353" spans="1:76">
      <c r="A353" s="24"/>
      <c r="B353" s="28"/>
      <c r="C353" s="25"/>
      <c r="D353" s="26"/>
      <c r="E353" s="24"/>
      <c r="F353" s="24"/>
      <c r="G353" s="26"/>
      <c r="H353" s="26"/>
      <c r="I353" s="26"/>
      <c r="J353" s="26"/>
      <c r="K353" s="26"/>
      <c r="L353" s="26"/>
      <c r="M353" s="26"/>
      <c r="N353" s="26"/>
      <c r="O353" s="26"/>
      <c r="P353" s="26"/>
      <c r="Q353" s="26"/>
      <c r="S353" s="26"/>
      <c r="T353" s="25"/>
      <c r="U353" s="24"/>
      <c r="V353" s="24"/>
      <c r="W353" s="24"/>
      <c r="X353" s="26"/>
      <c r="Y353" s="26"/>
      <c r="Z353" s="24"/>
      <c r="AA353" s="26"/>
      <c r="AB353" s="25"/>
      <c r="AC353" s="24"/>
      <c r="AD353" s="24"/>
      <c r="AE353" s="24"/>
      <c r="AF353" s="26"/>
      <c r="AG353" s="26"/>
      <c r="AH353" s="24"/>
      <c r="AI353" s="26"/>
      <c r="AJ353" s="25"/>
      <c r="AK353" s="24"/>
      <c r="AL353" s="24"/>
      <c r="AM353" s="24"/>
      <c r="AN353" s="26"/>
      <c r="AO353" s="26"/>
      <c r="AP353" s="24"/>
      <c r="AQ353" s="24"/>
      <c r="AR353" s="24"/>
      <c r="AS353" s="28"/>
      <c r="AT353" s="28"/>
      <c r="AU353" s="28"/>
      <c r="AV353" s="28"/>
      <c r="AW353" s="28"/>
      <c r="AX353" s="28"/>
      <c r="AY353" s="28"/>
      <c r="AZ353" s="28"/>
      <c r="BA353" s="28"/>
      <c r="BB353" s="28"/>
      <c r="BC353" s="28"/>
      <c r="BD353" s="28"/>
      <c r="BE353" s="28"/>
      <c r="BF353" s="28"/>
      <c r="BG353" s="28"/>
      <c r="BH353" s="28"/>
      <c r="BI353" s="28"/>
      <c r="BJ353" s="24"/>
      <c r="BK353" s="28"/>
      <c r="BL353" s="28"/>
      <c r="BM353" s="28"/>
      <c r="BN353" s="28"/>
      <c r="BO353" s="28"/>
      <c r="BP353" s="28"/>
      <c r="BQ353" s="24"/>
      <c r="BR353" s="28"/>
      <c r="BS353" s="28"/>
      <c r="BT353" s="28"/>
      <c r="BU353" s="24"/>
      <c r="BV353" s="28"/>
      <c r="BW353" s="28"/>
      <c r="BX353" s="28"/>
    </row>
    <row r="354" spans="1:76">
      <c r="A354" s="24"/>
      <c r="B354" s="28"/>
      <c r="C354" s="25"/>
      <c r="D354" s="26"/>
      <c r="E354" s="24"/>
      <c r="F354" s="24"/>
      <c r="G354" s="26"/>
      <c r="H354" s="26"/>
      <c r="I354" s="26"/>
      <c r="J354" s="26"/>
      <c r="K354" s="26"/>
      <c r="L354" s="26"/>
      <c r="M354" s="26"/>
      <c r="N354" s="26"/>
      <c r="O354" s="26"/>
      <c r="P354" s="26"/>
      <c r="Q354" s="26"/>
      <c r="S354" s="26"/>
      <c r="T354" s="25"/>
      <c r="U354" s="24"/>
      <c r="V354" s="24"/>
      <c r="W354" s="24"/>
      <c r="X354" s="26"/>
      <c r="Y354" s="26"/>
      <c r="Z354" s="24"/>
      <c r="AA354" s="26"/>
      <c r="AB354" s="25"/>
      <c r="AC354" s="24"/>
      <c r="AD354" s="24"/>
      <c r="AE354" s="24"/>
      <c r="AF354" s="26"/>
      <c r="AG354" s="26"/>
      <c r="AH354" s="24"/>
      <c r="AI354" s="26"/>
      <c r="AJ354" s="25"/>
      <c r="AK354" s="24"/>
      <c r="AL354" s="24"/>
      <c r="AM354" s="24"/>
      <c r="AN354" s="26"/>
      <c r="AO354" s="26"/>
      <c r="AP354" s="24"/>
      <c r="AQ354" s="24"/>
      <c r="AR354" s="24"/>
      <c r="AS354" s="28"/>
      <c r="AT354" s="28"/>
      <c r="AU354" s="28"/>
      <c r="AV354" s="28"/>
      <c r="AW354" s="28"/>
      <c r="AX354" s="28"/>
      <c r="AY354" s="28"/>
      <c r="AZ354" s="28"/>
      <c r="BA354" s="28"/>
      <c r="BB354" s="28"/>
      <c r="BC354" s="28"/>
      <c r="BD354" s="28"/>
      <c r="BE354" s="28"/>
      <c r="BF354" s="28"/>
      <c r="BG354" s="28"/>
      <c r="BH354" s="28"/>
      <c r="BI354" s="28"/>
      <c r="BJ354" s="24"/>
      <c r="BK354" s="28"/>
      <c r="BL354" s="28"/>
      <c r="BM354" s="28"/>
      <c r="BN354" s="28"/>
      <c r="BO354" s="28"/>
      <c r="BP354" s="28"/>
      <c r="BQ354" s="24"/>
      <c r="BR354" s="28"/>
      <c r="BS354" s="28"/>
      <c r="BT354" s="28"/>
      <c r="BU354" s="24"/>
      <c r="BV354" s="28"/>
      <c r="BW354" s="28"/>
      <c r="BX354" s="28"/>
    </row>
    <row r="355" spans="1:76">
      <c r="A355" s="24"/>
      <c r="B355" s="28"/>
      <c r="C355" s="25"/>
      <c r="D355" s="26"/>
      <c r="E355" s="24"/>
      <c r="F355" s="24"/>
      <c r="G355" s="26"/>
      <c r="H355" s="26"/>
      <c r="I355" s="26"/>
      <c r="J355" s="26"/>
      <c r="K355" s="26"/>
      <c r="L355" s="26"/>
      <c r="M355" s="26"/>
      <c r="N355" s="26"/>
      <c r="O355" s="26"/>
      <c r="P355" s="26"/>
      <c r="Q355" s="26"/>
      <c r="S355" s="26"/>
      <c r="T355" s="25"/>
      <c r="U355" s="24"/>
      <c r="V355" s="24"/>
      <c r="W355" s="24"/>
      <c r="X355" s="26"/>
      <c r="Y355" s="26"/>
      <c r="Z355" s="24"/>
      <c r="AA355" s="26"/>
      <c r="AB355" s="25"/>
      <c r="AC355" s="24"/>
      <c r="AD355" s="24"/>
      <c r="AE355" s="24"/>
      <c r="AF355" s="26"/>
      <c r="AG355" s="26"/>
      <c r="AH355" s="24"/>
      <c r="AI355" s="26"/>
      <c r="AJ355" s="25"/>
      <c r="AK355" s="24"/>
      <c r="AL355" s="24"/>
      <c r="AM355" s="24"/>
      <c r="AN355" s="26"/>
      <c r="AO355" s="26"/>
      <c r="AP355" s="24"/>
      <c r="AQ355" s="24"/>
      <c r="AR355" s="24"/>
      <c r="AS355" s="28"/>
      <c r="AT355" s="28"/>
      <c r="AU355" s="28"/>
      <c r="AV355" s="28"/>
      <c r="AW355" s="28"/>
      <c r="AX355" s="28"/>
      <c r="AY355" s="28"/>
      <c r="AZ355" s="28"/>
      <c r="BA355" s="28"/>
      <c r="BB355" s="28"/>
      <c r="BC355" s="28"/>
      <c r="BD355" s="28"/>
      <c r="BE355" s="28"/>
      <c r="BF355" s="28"/>
      <c r="BG355" s="28"/>
      <c r="BH355" s="28"/>
      <c r="BI355" s="28"/>
      <c r="BJ355" s="24"/>
      <c r="BK355" s="28"/>
      <c r="BL355" s="28"/>
      <c r="BM355" s="28"/>
      <c r="BN355" s="28"/>
      <c r="BO355" s="28"/>
      <c r="BP355" s="28"/>
      <c r="BQ355" s="24"/>
      <c r="BR355" s="28"/>
      <c r="BS355" s="28"/>
      <c r="BT355" s="28"/>
      <c r="BU355" s="24"/>
      <c r="BV355" s="28"/>
      <c r="BW355" s="28"/>
      <c r="BX355" s="28"/>
    </row>
    <row r="356" spans="1:76">
      <c r="A356" s="24"/>
      <c r="B356" s="28"/>
      <c r="C356" s="25"/>
      <c r="D356" s="26"/>
      <c r="E356" s="24"/>
      <c r="F356" s="24"/>
      <c r="G356" s="26"/>
      <c r="H356" s="26"/>
      <c r="I356" s="26"/>
      <c r="J356" s="26"/>
      <c r="K356" s="26"/>
      <c r="L356" s="26"/>
      <c r="M356" s="26"/>
      <c r="N356" s="26"/>
      <c r="O356" s="26"/>
      <c r="P356" s="26"/>
      <c r="Q356" s="26"/>
      <c r="S356" s="26"/>
      <c r="T356" s="25"/>
      <c r="U356" s="24"/>
      <c r="V356" s="24"/>
      <c r="W356" s="24"/>
      <c r="X356" s="26"/>
      <c r="Y356" s="26"/>
      <c r="Z356" s="24"/>
      <c r="AA356" s="26"/>
      <c r="AB356" s="25"/>
      <c r="AC356" s="24"/>
      <c r="AD356" s="24"/>
      <c r="AE356" s="24"/>
      <c r="AF356" s="26"/>
      <c r="AG356" s="26"/>
      <c r="AH356" s="24"/>
      <c r="AI356" s="26"/>
      <c r="AJ356" s="25"/>
      <c r="AK356" s="24"/>
      <c r="AL356" s="24"/>
      <c r="AM356" s="24"/>
      <c r="AN356" s="26"/>
      <c r="AO356" s="26"/>
      <c r="AP356" s="24"/>
      <c r="AQ356" s="24"/>
      <c r="AR356" s="24"/>
      <c r="AS356" s="28"/>
      <c r="AT356" s="28"/>
      <c r="AU356" s="28"/>
      <c r="AV356" s="28"/>
      <c r="AW356" s="28"/>
      <c r="AX356" s="28"/>
      <c r="AY356" s="28"/>
      <c r="AZ356" s="28"/>
      <c r="BA356" s="28"/>
      <c r="BB356" s="28"/>
      <c r="BC356" s="28"/>
      <c r="BD356" s="28"/>
      <c r="BE356" s="28"/>
      <c r="BF356" s="28"/>
      <c r="BG356" s="28"/>
      <c r="BH356" s="28"/>
      <c r="BI356" s="28"/>
      <c r="BJ356" s="24"/>
      <c r="BK356" s="28"/>
      <c r="BL356" s="28"/>
      <c r="BM356" s="28"/>
      <c r="BN356" s="28"/>
      <c r="BO356" s="28"/>
      <c r="BP356" s="28"/>
      <c r="BQ356" s="24"/>
      <c r="BR356" s="28"/>
      <c r="BS356" s="28"/>
      <c r="BT356" s="28"/>
      <c r="BU356" s="24"/>
      <c r="BV356" s="28"/>
      <c r="BW356" s="28"/>
      <c r="BX356" s="28"/>
    </row>
    <row r="357" spans="1:76">
      <c r="A357" s="24"/>
      <c r="B357" s="28"/>
      <c r="C357" s="25"/>
      <c r="D357" s="26"/>
      <c r="E357" s="24"/>
      <c r="F357" s="24"/>
      <c r="G357" s="26"/>
      <c r="H357" s="26"/>
      <c r="I357" s="26"/>
      <c r="J357" s="26"/>
      <c r="K357" s="26"/>
      <c r="L357" s="26"/>
      <c r="M357" s="26"/>
      <c r="N357" s="26"/>
      <c r="O357" s="26"/>
      <c r="P357" s="26"/>
      <c r="Q357" s="26"/>
      <c r="S357" s="26"/>
      <c r="T357" s="25"/>
      <c r="U357" s="24"/>
      <c r="V357" s="24"/>
      <c r="W357" s="24"/>
      <c r="X357" s="26"/>
      <c r="Y357" s="26"/>
      <c r="Z357" s="24"/>
      <c r="AA357" s="26"/>
      <c r="AB357" s="25"/>
      <c r="AC357" s="24"/>
      <c r="AD357" s="24"/>
      <c r="AE357" s="24"/>
      <c r="AF357" s="26"/>
      <c r="AG357" s="26"/>
      <c r="AH357" s="24"/>
      <c r="AI357" s="26"/>
      <c r="AJ357" s="25"/>
      <c r="AK357" s="24"/>
      <c r="AL357" s="24"/>
      <c r="AM357" s="24"/>
      <c r="AN357" s="26"/>
      <c r="AO357" s="26"/>
      <c r="AP357" s="24"/>
      <c r="AQ357" s="24"/>
      <c r="AR357" s="24"/>
      <c r="AS357" s="28"/>
      <c r="AT357" s="28"/>
      <c r="AU357" s="28"/>
      <c r="AV357" s="28"/>
      <c r="AW357" s="28"/>
      <c r="AX357" s="28"/>
      <c r="AY357" s="28"/>
      <c r="AZ357" s="28"/>
      <c r="BA357" s="28"/>
      <c r="BB357" s="28"/>
      <c r="BC357" s="28"/>
      <c r="BD357" s="28"/>
      <c r="BE357" s="28"/>
      <c r="BF357" s="28"/>
      <c r="BG357" s="28"/>
      <c r="BH357" s="28"/>
      <c r="BI357" s="28"/>
      <c r="BJ357" s="24"/>
      <c r="BK357" s="28"/>
      <c r="BL357" s="28"/>
      <c r="BM357" s="28"/>
      <c r="BN357" s="28"/>
      <c r="BO357" s="28"/>
      <c r="BP357" s="28"/>
      <c r="BQ357" s="24"/>
      <c r="BR357" s="28"/>
      <c r="BS357" s="28"/>
      <c r="BT357" s="28"/>
      <c r="BU357" s="24"/>
      <c r="BV357" s="28"/>
      <c r="BW357" s="28"/>
      <c r="BX357" s="28"/>
    </row>
    <row r="358" spans="1:76">
      <c r="A358" s="24"/>
      <c r="B358" s="28"/>
      <c r="C358" s="25"/>
      <c r="D358" s="26"/>
      <c r="E358" s="24"/>
      <c r="F358" s="24"/>
      <c r="G358" s="26"/>
      <c r="H358" s="26"/>
      <c r="I358" s="26"/>
      <c r="J358" s="26"/>
      <c r="K358" s="26"/>
      <c r="L358" s="26"/>
      <c r="M358" s="26"/>
      <c r="N358" s="26"/>
      <c r="O358" s="26"/>
      <c r="P358" s="26"/>
      <c r="Q358" s="26"/>
      <c r="S358" s="26"/>
      <c r="T358" s="25"/>
      <c r="U358" s="24"/>
      <c r="V358" s="24"/>
      <c r="W358" s="24"/>
      <c r="X358" s="26"/>
      <c r="Y358" s="26"/>
      <c r="Z358" s="24"/>
      <c r="AA358" s="26"/>
      <c r="AB358" s="25"/>
      <c r="AC358" s="24"/>
      <c r="AD358" s="24"/>
      <c r="AE358" s="24"/>
      <c r="AF358" s="26"/>
      <c r="AG358" s="26"/>
      <c r="AH358" s="24"/>
      <c r="AI358" s="26"/>
      <c r="AJ358" s="25"/>
      <c r="AK358" s="24"/>
      <c r="AL358" s="24"/>
      <c r="AM358" s="24"/>
      <c r="AN358" s="26"/>
      <c r="AO358" s="26"/>
      <c r="AP358" s="24"/>
      <c r="AQ358" s="24"/>
      <c r="AR358" s="24"/>
      <c r="AS358" s="28"/>
      <c r="AT358" s="28"/>
      <c r="AU358" s="28"/>
      <c r="AV358" s="28"/>
      <c r="AW358" s="28"/>
      <c r="AX358" s="28"/>
      <c r="AY358" s="28"/>
      <c r="AZ358" s="28"/>
      <c r="BA358" s="28"/>
      <c r="BB358" s="28"/>
      <c r="BC358" s="28"/>
      <c r="BD358" s="28"/>
      <c r="BE358" s="28"/>
      <c r="BF358" s="28"/>
      <c r="BG358" s="28"/>
      <c r="BH358" s="28"/>
      <c r="BI358" s="28"/>
      <c r="BJ358" s="24"/>
      <c r="BK358" s="28"/>
      <c r="BL358" s="28"/>
      <c r="BM358" s="28"/>
      <c r="BN358" s="28"/>
      <c r="BO358" s="28"/>
      <c r="BP358" s="28"/>
      <c r="BQ358" s="24"/>
      <c r="BR358" s="28"/>
      <c r="BS358" s="28"/>
      <c r="BT358" s="28"/>
      <c r="BU358" s="24"/>
      <c r="BV358" s="28"/>
      <c r="BW358" s="28"/>
      <c r="BX358" s="28"/>
    </row>
    <row r="359" spans="1:76">
      <c r="A359" s="24"/>
      <c r="B359" s="28"/>
      <c r="C359" s="25"/>
      <c r="D359" s="26"/>
      <c r="E359" s="24"/>
      <c r="F359" s="24"/>
      <c r="G359" s="26"/>
      <c r="H359" s="26"/>
      <c r="I359" s="26"/>
      <c r="J359" s="26"/>
      <c r="K359" s="26"/>
      <c r="L359" s="26"/>
      <c r="M359" s="26"/>
      <c r="N359" s="26"/>
      <c r="O359" s="26"/>
      <c r="P359" s="26"/>
      <c r="Q359" s="26"/>
      <c r="S359" s="26"/>
      <c r="T359" s="25"/>
      <c r="U359" s="24"/>
      <c r="V359" s="24"/>
      <c r="W359" s="24"/>
      <c r="X359" s="26"/>
      <c r="Y359" s="26"/>
      <c r="Z359" s="24"/>
      <c r="AA359" s="26"/>
      <c r="AB359" s="25"/>
      <c r="AC359" s="24"/>
      <c r="AD359" s="24"/>
      <c r="AE359" s="24"/>
      <c r="AF359" s="26"/>
      <c r="AG359" s="26"/>
      <c r="AH359" s="24"/>
      <c r="AI359" s="26"/>
      <c r="AJ359" s="25"/>
      <c r="AK359" s="24"/>
      <c r="AL359" s="24"/>
      <c r="AM359" s="24"/>
      <c r="AN359" s="26"/>
      <c r="AO359" s="26"/>
      <c r="AP359" s="24"/>
      <c r="AQ359" s="24"/>
      <c r="AR359" s="24"/>
      <c r="AS359" s="28"/>
      <c r="AT359" s="28"/>
      <c r="AU359" s="28"/>
      <c r="AV359" s="28"/>
      <c r="AW359" s="28"/>
      <c r="AX359" s="28"/>
      <c r="AY359" s="28"/>
      <c r="AZ359" s="28"/>
      <c r="BA359" s="28"/>
      <c r="BB359" s="28"/>
      <c r="BC359" s="28"/>
      <c r="BD359" s="28"/>
      <c r="BE359" s="28"/>
      <c r="BF359" s="28"/>
      <c r="BG359" s="28"/>
      <c r="BH359" s="28"/>
      <c r="BI359" s="28"/>
      <c r="BJ359" s="24"/>
      <c r="BK359" s="28"/>
      <c r="BL359" s="28"/>
      <c r="BM359" s="28"/>
      <c r="BN359" s="28"/>
      <c r="BO359" s="28"/>
      <c r="BP359" s="28"/>
      <c r="BQ359" s="24"/>
      <c r="BR359" s="28"/>
      <c r="BS359" s="28"/>
      <c r="BT359" s="28"/>
      <c r="BU359" s="24"/>
      <c r="BV359" s="28"/>
      <c r="BW359" s="28"/>
      <c r="BX359" s="28"/>
    </row>
    <row r="360" spans="1:76">
      <c r="A360" s="24"/>
      <c r="B360" s="28"/>
      <c r="C360" s="25"/>
      <c r="D360" s="26"/>
      <c r="E360" s="24"/>
      <c r="F360" s="24"/>
      <c r="G360" s="26"/>
      <c r="H360" s="26"/>
      <c r="I360" s="26"/>
      <c r="J360" s="26"/>
      <c r="K360" s="26"/>
      <c r="L360" s="26"/>
      <c r="M360" s="26"/>
      <c r="N360" s="26"/>
      <c r="O360" s="26"/>
      <c r="P360" s="26"/>
      <c r="Q360" s="26"/>
      <c r="S360" s="26"/>
      <c r="T360" s="25"/>
      <c r="U360" s="24"/>
      <c r="V360" s="24"/>
      <c r="W360" s="24"/>
      <c r="X360" s="26"/>
      <c r="Y360" s="26"/>
      <c r="Z360" s="24"/>
      <c r="AA360" s="26"/>
      <c r="AB360" s="25"/>
      <c r="AC360" s="24"/>
      <c r="AD360" s="24"/>
      <c r="AE360" s="24"/>
      <c r="AF360" s="26"/>
      <c r="AG360" s="26"/>
      <c r="AH360" s="24"/>
      <c r="AI360" s="26"/>
      <c r="AJ360" s="25"/>
      <c r="AK360" s="24"/>
      <c r="AL360" s="24"/>
      <c r="AM360" s="24"/>
      <c r="AN360" s="26"/>
      <c r="AO360" s="26"/>
      <c r="AP360" s="24"/>
      <c r="AQ360" s="24"/>
      <c r="AR360" s="24"/>
      <c r="AS360" s="28"/>
      <c r="AT360" s="28"/>
      <c r="AU360" s="28"/>
      <c r="AV360" s="28"/>
      <c r="AW360" s="28"/>
      <c r="AX360" s="28"/>
      <c r="AY360" s="28"/>
      <c r="AZ360" s="28"/>
      <c r="BA360" s="28"/>
      <c r="BB360" s="28"/>
      <c r="BC360" s="28"/>
      <c r="BD360" s="28"/>
      <c r="BE360" s="28"/>
      <c r="BF360" s="28"/>
      <c r="BG360" s="28"/>
      <c r="BH360" s="28"/>
      <c r="BI360" s="28"/>
      <c r="BJ360" s="24"/>
      <c r="BK360" s="28"/>
      <c r="BL360" s="28"/>
      <c r="BM360" s="28"/>
      <c r="BN360" s="28"/>
      <c r="BO360" s="28"/>
      <c r="BP360" s="28"/>
      <c r="BQ360" s="24"/>
      <c r="BR360" s="28"/>
      <c r="BS360" s="28"/>
      <c r="BT360" s="28"/>
      <c r="BU360" s="24"/>
      <c r="BV360" s="28"/>
      <c r="BW360" s="28"/>
      <c r="BX360" s="28"/>
    </row>
    <row r="361" spans="1:76">
      <c r="A361" s="24"/>
      <c r="B361" s="28"/>
      <c r="C361" s="25"/>
      <c r="D361" s="26"/>
      <c r="E361" s="24"/>
      <c r="F361" s="24"/>
      <c r="G361" s="26"/>
      <c r="H361" s="26"/>
      <c r="I361" s="26"/>
      <c r="J361" s="26"/>
      <c r="K361" s="26"/>
      <c r="L361" s="26"/>
      <c r="M361" s="26"/>
      <c r="N361" s="26"/>
      <c r="O361" s="26"/>
      <c r="P361" s="26"/>
      <c r="Q361" s="26"/>
      <c r="S361" s="26"/>
      <c r="T361" s="25"/>
      <c r="U361" s="24"/>
      <c r="V361" s="24"/>
      <c r="W361" s="24"/>
      <c r="X361" s="26"/>
      <c r="Y361" s="26"/>
      <c r="Z361" s="24"/>
      <c r="AA361" s="26"/>
      <c r="AB361" s="25"/>
      <c r="AC361" s="24"/>
      <c r="AD361" s="24"/>
      <c r="AE361" s="24"/>
      <c r="AF361" s="26"/>
      <c r="AG361" s="26"/>
      <c r="AH361" s="24"/>
      <c r="AI361" s="26"/>
      <c r="AJ361" s="25"/>
      <c r="AK361" s="24"/>
      <c r="AL361" s="24"/>
      <c r="AM361" s="24"/>
      <c r="AN361" s="26"/>
      <c r="AO361" s="26"/>
      <c r="AP361" s="24"/>
      <c r="AQ361" s="24"/>
      <c r="AR361" s="24"/>
      <c r="AS361" s="28"/>
      <c r="AT361" s="28"/>
      <c r="AU361" s="28"/>
      <c r="AV361" s="28"/>
      <c r="AW361" s="28"/>
      <c r="AX361" s="28"/>
      <c r="AY361" s="28"/>
      <c r="AZ361" s="28"/>
      <c r="BA361" s="28"/>
      <c r="BB361" s="28"/>
      <c r="BC361" s="28"/>
      <c r="BD361" s="28"/>
      <c r="BE361" s="28"/>
      <c r="BF361" s="28"/>
      <c r="BG361" s="28"/>
      <c r="BH361" s="28"/>
      <c r="BI361" s="28"/>
      <c r="BJ361" s="24"/>
      <c r="BK361" s="28"/>
      <c r="BL361" s="28"/>
      <c r="BM361" s="28"/>
      <c r="BN361" s="28"/>
      <c r="BO361" s="28"/>
      <c r="BP361" s="28"/>
      <c r="BQ361" s="24"/>
      <c r="BR361" s="28"/>
      <c r="BS361" s="28"/>
      <c r="BT361" s="28"/>
      <c r="BU361" s="24"/>
      <c r="BV361" s="28"/>
      <c r="BW361" s="28"/>
      <c r="BX361" s="28"/>
    </row>
    <row r="362" spans="1:76">
      <c r="A362" s="24"/>
      <c r="B362" s="28"/>
      <c r="C362" s="25"/>
      <c r="D362" s="26"/>
      <c r="E362" s="24"/>
      <c r="F362" s="24"/>
      <c r="G362" s="26"/>
      <c r="H362" s="26"/>
      <c r="I362" s="26"/>
      <c r="J362" s="26"/>
      <c r="K362" s="26"/>
      <c r="L362" s="26"/>
      <c r="M362" s="26"/>
      <c r="N362" s="26"/>
      <c r="O362" s="26"/>
      <c r="P362" s="26"/>
      <c r="Q362" s="26"/>
      <c r="S362" s="26"/>
      <c r="T362" s="25"/>
      <c r="U362" s="24"/>
      <c r="V362" s="24"/>
      <c r="W362" s="24"/>
      <c r="X362" s="26"/>
      <c r="Y362" s="26"/>
      <c r="Z362" s="24"/>
      <c r="AA362" s="26"/>
      <c r="AB362" s="25"/>
      <c r="AC362" s="24"/>
      <c r="AD362" s="24"/>
      <c r="AE362" s="24"/>
      <c r="AF362" s="26"/>
      <c r="AG362" s="26"/>
      <c r="AH362" s="24"/>
      <c r="AI362" s="26"/>
      <c r="AJ362" s="25"/>
      <c r="AK362" s="24"/>
      <c r="AL362" s="24"/>
      <c r="AM362" s="24"/>
      <c r="AN362" s="26"/>
      <c r="AO362" s="26"/>
      <c r="AP362" s="24"/>
      <c r="AQ362" s="24"/>
      <c r="AR362" s="24"/>
      <c r="AS362" s="28"/>
      <c r="AT362" s="28"/>
      <c r="AU362" s="28"/>
      <c r="AV362" s="28"/>
      <c r="AW362" s="28"/>
      <c r="AX362" s="28"/>
      <c r="AY362" s="28"/>
      <c r="AZ362" s="28"/>
      <c r="BA362" s="28"/>
      <c r="BB362" s="28"/>
      <c r="BC362" s="28"/>
      <c r="BD362" s="28"/>
      <c r="BE362" s="28"/>
      <c r="BF362" s="28"/>
      <c r="BG362" s="28"/>
      <c r="BH362" s="28"/>
      <c r="BI362" s="28"/>
      <c r="BJ362" s="24"/>
      <c r="BK362" s="28"/>
      <c r="BL362" s="28"/>
      <c r="BM362" s="28"/>
      <c r="BN362" s="28"/>
      <c r="BO362" s="28"/>
      <c r="BP362" s="28"/>
      <c r="BQ362" s="24"/>
      <c r="BR362" s="28"/>
      <c r="BS362" s="28"/>
      <c r="BT362" s="28"/>
      <c r="BU362" s="24"/>
      <c r="BV362" s="28"/>
      <c r="BW362" s="28"/>
      <c r="BX362" s="28"/>
    </row>
    <row r="363" spans="1:76">
      <c r="A363" s="24"/>
      <c r="B363" s="28"/>
      <c r="C363" s="25"/>
      <c r="D363" s="26"/>
      <c r="E363" s="24"/>
      <c r="F363" s="24"/>
      <c r="G363" s="26"/>
      <c r="H363" s="26"/>
      <c r="I363" s="26"/>
      <c r="J363" s="26"/>
      <c r="K363" s="26"/>
      <c r="L363" s="26"/>
      <c r="M363" s="26"/>
      <c r="N363" s="26"/>
      <c r="O363" s="26"/>
      <c r="P363" s="26"/>
      <c r="Q363" s="26"/>
      <c r="S363" s="26"/>
      <c r="T363" s="25"/>
      <c r="U363" s="24"/>
      <c r="V363" s="24"/>
      <c r="W363" s="24"/>
      <c r="X363" s="26"/>
      <c r="Y363" s="26"/>
      <c r="Z363" s="24"/>
      <c r="AA363" s="26"/>
      <c r="AB363" s="25"/>
      <c r="AC363" s="24"/>
      <c r="AD363" s="24"/>
      <c r="AE363" s="24"/>
      <c r="AF363" s="26"/>
      <c r="AG363" s="26"/>
      <c r="AH363" s="24"/>
      <c r="AI363" s="26"/>
      <c r="AJ363" s="25"/>
      <c r="AK363" s="24"/>
      <c r="AL363" s="24"/>
      <c r="AM363" s="24"/>
      <c r="AN363" s="26"/>
      <c r="AO363" s="26"/>
      <c r="AP363" s="24"/>
      <c r="AQ363" s="24"/>
      <c r="AR363" s="24"/>
      <c r="AS363" s="28"/>
      <c r="AT363" s="28"/>
      <c r="AU363" s="28"/>
      <c r="AV363" s="28"/>
      <c r="AW363" s="28"/>
      <c r="AX363" s="28"/>
      <c r="AY363" s="28"/>
      <c r="AZ363" s="28"/>
      <c r="BA363" s="28"/>
      <c r="BB363" s="28"/>
      <c r="BC363" s="28"/>
      <c r="BD363" s="28"/>
      <c r="BE363" s="28"/>
      <c r="BF363" s="28"/>
      <c r="BG363" s="28"/>
      <c r="BH363" s="28"/>
      <c r="BI363" s="28"/>
      <c r="BJ363" s="24"/>
      <c r="BK363" s="28"/>
      <c r="BL363" s="28"/>
      <c r="BM363" s="28"/>
      <c r="BN363" s="28"/>
      <c r="BO363" s="28"/>
      <c r="BP363" s="28"/>
      <c r="BQ363" s="24"/>
      <c r="BR363" s="28"/>
      <c r="BS363" s="28"/>
      <c r="BT363" s="28"/>
      <c r="BU363" s="24"/>
      <c r="BV363" s="28"/>
      <c r="BW363" s="28"/>
      <c r="BX363" s="28"/>
    </row>
    <row r="364" spans="1:76">
      <c r="A364" s="24"/>
      <c r="B364" s="28"/>
      <c r="C364" s="25"/>
      <c r="D364" s="26"/>
      <c r="E364" s="24"/>
      <c r="F364" s="24"/>
      <c r="G364" s="26"/>
      <c r="H364" s="26"/>
      <c r="I364" s="26"/>
      <c r="J364" s="26"/>
      <c r="K364" s="26"/>
      <c r="L364" s="26"/>
      <c r="M364" s="26"/>
      <c r="N364" s="26"/>
      <c r="O364" s="26"/>
      <c r="P364" s="26"/>
      <c r="Q364" s="26"/>
      <c r="S364" s="26"/>
      <c r="T364" s="25"/>
      <c r="U364" s="24"/>
      <c r="V364" s="24"/>
      <c r="W364" s="24"/>
      <c r="X364" s="26"/>
      <c r="Y364" s="26"/>
      <c r="Z364" s="24"/>
      <c r="AA364" s="26"/>
      <c r="AB364" s="25"/>
      <c r="AC364" s="24"/>
      <c r="AD364" s="24"/>
      <c r="AE364" s="24"/>
      <c r="AF364" s="26"/>
      <c r="AG364" s="26"/>
      <c r="AH364" s="24"/>
      <c r="AI364" s="26"/>
      <c r="AJ364" s="25"/>
      <c r="AK364" s="24"/>
      <c r="AL364" s="24"/>
      <c r="AM364" s="24"/>
      <c r="AN364" s="26"/>
      <c r="AO364" s="26"/>
      <c r="AP364" s="24"/>
      <c r="AQ364" s="24"/>
      <c r="AR364" s="24"/>
      <c r="AS364" s="28"/>
      <c r="AT364" s="28"/>
      <c r="AU364" s="28"/>
      <c r="AV364" s="28"/>
      <c r="AW364" s="28"/>
      <c r="AX364" s="28"/>
      <c r="AY364" s="28"/>
      <c r="AZ364" s="28"/>
      <c r="BA364" s="28"/>
      <c r="BB364" s="28"/>
      <c r="BC364" s="28"/>
      <c r="BD364" s="28"/>
      <c r="BE364" s="28"/>
      <c r="BF364" s="28"/>
      <c r="BG364" s="28"/>
      <c r="BH364" s="28"/>
      <c r="BI364" s="28"/>
      <c r="BJ364" s="24"/>
      <c r="BK364" s="28"/>
      <c r="BL364" s="28"/>
      <c r="BM364" s="28"/>
      <c r="BN364" s="28"/>
      <c r="BO364" s="28"/>
      <c r="BP364" s="28"/>
      <c r="BQ364" s="24"/>
      <c r="BR364" s="28"/>
      <c r="BS364" s="28"/>
      <c r="BT364" s="28"/>
      <c r="BU364" s="24"/>
      <c r="BV364" s="28"/>
      <c r="BW364" s="28"/>
      <c r="BX364" s="28"/>
    </row>
    <row r="365" spans="1:76">
      <c r="A365" s="24"/>
      <c r="B365" s="28"/>
      <c r="C365" s="25"/>
      <c r="D365" s="26"/>
      <c r="E365" s="24"/>
      <c r="F365" s="24"/>
      <c r="G365" s="26"/>
      <c r="H365" s="26"/>
      <c r="I365" s="26"/>
      <c r="J365" s="26"/>
      <c r="K365" s="26"/>
      <c r="L365" s="26"/>
      <c r="M365" s="26"/>
      <c r="N365" s="26"/>
      <c r="O365" s="26"/>
      <c r="P365" s="26"/>
      <c r="Q365" s="26"/>
      <c r="S365" s="26"/>
      <c r="T365" s="25"/>
      <c r="U365" s="24"/>
      <c r="V365" s="24"/>
      <c r="W365" s="24"/>
      <c r="X365" s="26"/>
      <c r="Y365" s="26"/>
      <c r="Z365" s="24"/>
      <c r="AA365" s="26"/>
      <c r="AB365" s="25"/>
      <c r="AC365" s="24"/>
      <c r="AD365" s="24"/>
      <c r="AE365" s="24"/>
      <c r="AF365" s="26"/>
      <c r="AG365" s="26"/>
      <c r="AH365" s="24"/>
      <c r="AI365" s="26"/>
      <c r="AJ365" s="25"/>
      <c r="AK365" s="24"/>
      <c r="AL365" s="24"/>
      <c r="AM365" s="24"/>
      <c r="AN365" s="26"/>
      <c r="AO365" s="26"/>
      <c r="AP365" s="24"/>
      <c r="AQ365" s="24"/>
      <c r="AR365" s="24"/>
      <c r="AS365" s="28"/>
      <c r="AT365" s="28"/>
      <c r="AU365" s="28"/>
      <c r="AV365" s="28"/>
      <c r="AW365" s="28"/>
      <c r="AX365" s="28"/>
      <c r="AY365" s="28"/>
      <c r="AZ365" s="28"/>
      <c r="BA365" s="28"/>
      <c r="BB365" s="28"/>
      <c r="BC365" s="28"/>
      <c r="BD365" s="28"/>
      <c r="BE365" s="28"/>
      <c r="BF365" s="28"/>
      <c r="BG365" s="28"/>
      <c r="BH365" s="28"/>
      <c r="BI365" s="28"/>
      <c r="BJ365" s="24"/>
      <c r="BK365" s="28"/>
      <c r="BL365" s="28"/>
      <c r="BM365" s="28"/>
      <c r="BN365" s="28"/>
      <c r="BO365" s="28"/>
      <c r="BP365" s="28"/>
      <c r="BQ365" s="24"/>
      <c r="BR365" s="28"/>
      <c r="BS365" s="28"/>
      <c r="BT365" s="28"/>
      <c r="BU365" s="24"/>
      <c r="BV365" s="28"/>
      <c r="BW365" s="28"/>
      <c r="BX365" s="28"/>
    </row>
    <row r="366" spans="1:76">
      <c r="A366" s="24"/>
      <c r="B366" s="28"/>
      <c r="C366" s="25"/>
      <c r="D366" s="26"/>
      <c r="E366" s="24"/>
      <c r="F366" s="24"/>
      <c r="G366" s="26"/>
      <c r="H366" s="26"/>
      <c r="I366" s="26"/>
      <c r="J366" s="26"/>
      <c r="K366" s="26"/>
      <c r="L366" s="26"/>
      <c r="M366" s="26"/>
      <c r="N366" s="26"/>
      <c r="O366" s="26"/>
      <c r="P366" s="26"/>
      <c r="Q366" s="26"/>
      <c r="S366" s="26"/>
      <c r="T366" s="25"/>
      <c r="U366" s="24"/>
      <c r="V366" s="24"/>
      <c r="W366" s="24"/>
      <c r="X366" s="26"/>
      <c r="Y366" s="26"/>
      <c r="Z366" s="24"/>
      <c r="AA366" s="26"/>
      <c r="AB366" s="25"/>
      <c r="AC366" s="24"/>
      <c r="AD366" s="24"/>
      <c r="AE366" s="24"/>
      <c r="AF366" s="26"/>
      <c r="AG366" s="26"/>
      <c r="AH366" s="24"/>
      <c r="AI366" s="26"/>
      <c r="AJ366" s="25"/>
      <c r="AK366" s="24"/>
      <c r="AL366" s="24"/>
      <c r="AM366" s="24"/>
      <c r="AN366" s="26"/>
      <c r="AO366" s="26"/>
      <c r="AP366" s="24"/>
      <c r="AQ366" s="24"/>
      <c r="AR366" s="24"/>
      <c r="AS366" s="28"/>
      <c r="AT366" s="28"/>
      <c r="AU366" s="28"/>
      <c r="AV366" s="28"/>
      <c r="AW366" s="28"/>
      <c r="AX366" s="28"/>
      <c r="AY366" s="28"/>
      <c r="AZ366" s="28"/>
      <c r="BA366" s="28"/>
      <c r="BB366" s="28"/>
      <c r="BC366" s="28"/>
      <c r="BD366" s="28"/>
      <c r="BE366" s="28"/>
      <c r="BF366" s="28"/>
      <c r="BG366" s="28"/>
      <c r="BH366" s="28"/>
      <c r="BI366" s="28"/>
      <c r="BJ366" s="24"/>
      <c r="BK366" s="28"/>
      <c r="BL366" s="28"/>
      <c r="BM366" s="28"/>
      <c r="BN366" s="28"/>
      <c r="BO366" s="28"/>
      <c r="BP366" s="28"/>
      <c r="BQ366" s="24"/>
      <c r="BR366" s="28"/>
      <c r="BS366" s="28"/>
      <c r="BT366" s="28"/>
      <c r="BU366" s="24"/>
      <c r="BV366" s="28"/>
      <c r="BW366" s="28"/>
      <c r="BX366" s="28"/>
    </row>
    <row r="367" spans="1:76">
      <c r="A367" s="24"/>
      <c r="B367" s="28"/>
      <c r="C367" s="25"/>
      <c r="D367" s="26"/>
      <c r="E367" s="24"/>
      <c r="F367" s="24"/>
      <c r="G367" s="26"/>
      <c r="H367" s="26"/>
      <c r="I367" s="26"/>
      <c r="J367" s="26"/>
      <c r="K367" s="26"/>
      <c r="L367" s="26"/>
      <c r="M367" s="26"/>
      <c r="N367" s="26"/>
      <c r="O367" s="26"/>
      <c r="P367" s="26"/>
      <c r="Q367" s="26"/>
      <c r="S367" s="26"/>
      <c r="T367" s="25"/>
      <c r="U367" s="24"/>
      <c r="V367" s="24"/>
      <c r="W367" s="24"/>
      <c r="X367" s="26"/>
      <c r="Y367" s="26"/>
      <c r="Z367" s="24"/>
      <c r="AA367" s="26"/>
      <c r="AB367" s="25"/>
      <c r="AC367" s="24"/>
      <c r="AD367" s="24"/>
      <c r="AE367" s="24"/>
      <c r="AF367" s="26"/>
      <c r="AG367" s="26"/>
      <c r="AH367" s="24"/>
      <c r="AI367" s="26"/>
      <c r="AJ367" s="25"/>
      <c r="AK367" s="24"/>
      <c r="AL367" s="24"/>
      <c r="AM367" s="24"/>
      <c r="AN367" s="26"/>
      <c r="AO367" s="26"/>
      <c r="AP367" s="24"/>
      <c r="AQ367" s="24"/>
      <c r="AR367" s="24"/>
      <c r="AS367" s="28"/>
      <c r="AT367" s="28"/>
      <c r="AU367" s="28"/>
      <c r="AV367" s="28"/>
      <c r="AW367" s="28"/>
      <c r="AX367" s="28"/>
      <c r="AY367" s="28"/>
      <c r="AZ367" s="28"/>
      <c r="BA367" s="28"/>
      <c r="BB367" s="28"/>
      <c r="BC367" s="28"/>
      <c r="BD367" s="28"/>
      <c r="BE367" s="28"/>
      <c r="BF367" s="28"/>
      <c r="BG367" s="28"/>
      <c r="BH367" s="28"/>
      <c r="BI367" s="28"/>
      <c r="BJ367" s="24"/>
      <c r="BK367" s="28"/>
      <c r="BL367" s="28"/>
      <c r="BM367" s="28"/>
      <c r="BN367" s="28"/>
      <c r="BO367" s="28"/>
      <c r="BP367" s="28"/>
      <c r="BQ367" s="24"/>
      <c r="BR367" s="28"/>
      <c r="BS367" s="28"/>
      <c r="BT367" s="28"/>
      <c r="BU367" s="24"/>
      <c r="BV367" s="28"/>
      <c r="BW367" s="28"/>
      <c r="BX367" s="28"/>
    </row>
    <row r="368" spans="1:76">
      <c r="A368" s="24"/>
      <c r="B368" s="28"/>
      <c r="C368" s="25"/>
      <c r="D368" s="26"/>
      <c r="E368" s="24"/>
      <c r="F368" s="24"/>
      <c r="G368" s="26"/>
      <c r="H368" s="26"/>
      <c r="I368" s="26"/>
      <c r="J368" s="26"/>
      <c r="K368" s="26"/>
      <c r="L368" s="26"/>
      <c r="M368" s="26"/>
      <c r="N368" s="26"/>
      <c r="O368" s="26"/>
      <c r="P368" s="26"/>
      <c r="Q368" s="26"/>
      <c r="S368" s="26"/>
      <c r="T368" s="25"/>
      <c r="U368" s="24"/>
      <c r="V368" s="24"/>
      <c r="W368" s="24"/>
      <c r="X368" s="26"/>
      <c r="Y368" s="26"/>
      <c r="Z368" s="24"/>
      <c r="AA368" s="26"/>
      <c r="AB368" s="25"/>
      <c r="AC368" s="24"/>
      <c r="AD368" s="24"/>
      <c r="AE368" s="24"/>
      <c r="AF368" s="26"/>
      <c r="AG368" s="26"/>
      <c r="AH368" s="24"/>
      <c r="AI368" s="26"/>
      <c r="AJ368" s="25"/>
      <c r="AK368" s="24"/>
      <c r="AL368" s="24"/>
      <c r="AM368" s="24"/>
      <c r="AN368" s="26"/>
      <c r="AO368" s="26"/>
      <c r="AP368" s="24"/>
      <c r="AQ368" s="24"/>
      <c r="AR368" s="24"/>
      <c r="AS368" s="28"/>
      <c r="AT368" s="28"/>
      <c r="AU368" s="28"/>
      <c r="AV368" s="28"/>
      <c r="AW368" s="28"/>
      <c r="AX368" s="28"/>
      <c r="AY368" s="28"/>
      <c r="AZ368" s="28"/>
      <c r="BA368" s="28"/>
      <c r="BB368" s="28"/>
      <c r="BC368" s="28"/>
      <c r="BD368" s="28"/>
      <c r="BE368" s="28"/>
      <c r="BF368" s="28"/>
      <c r="BG368" s="28"/>
      <c r="BH368" s="28"/>
      <c r="BI368" s="28"/>
      <c r="BJ368" s="24"/>
      <c r="BK368" s="28"/>
      <c r="BL368" s="28"/>
      <c r="BM368" s="28"/>
      <c r="BN368" s="28"/>
      <c r="BO368" s="28"/>
      <c r="BP368" s="28"/>
      <c r="BQ368" s="24"/>
      <c r="BR368" s="28"/>
      <c r="BS368" s="28"/>
      <c r="BT368" s="28"/>
      <c r="BU368" s="24"/>
      <c r="BV368" s="28"/>
      <c r="BW368" s="28"/>
      <c r="BX368" s="28"/>
    </row>
    <row r="369" spans="1:76">
      <c r="A369" s="24"/>
      <c r="B369" s="28"/>
      <c r="C369" s="25"/>
      <c r="D369" s="26"/>
      <c r="E369" s="24"/>
      <c r="F369" s="24"/>
      <c r="G369" s="26"/>
      <c r="H369" s="26"/>
      <c r="I369" s="26"/>
      <c r="J369" s="26"/>
      <c r="K369" s="26"/>
      <c r="L369" s="26"/>
      <c r="M369" s="26"/>
      <c r="N369" s="26"/>
      <c r="O369" s="26"/>
      <c r="P369" s="26"/>
      <c r="Q369" s="26"/>
      <c r="S369" s="26"/>
      <c r="T369" s="25"/>
      <c r="U369" s="24"/>
      <c r="V369" s="24"/>
      <c r="W369" s="24"/>
      <c r="X369" s="26"/>
      <c r="Y369" s="26"/>
      <c r="Z369" s="24"/>
      <c r="AA369" s="26"/>
      <c r="AB369" s="25"/>
      <c r="AC369" s="24"/>
      <c r="AD369" s="24"/>
      <c r="AE369" s="24"/>
      <c r="AF369" s="26"/>
      <c r="AG369" s="26"/>
      <c r="AH369" s="24"/>
      <c r="AI369" s="26"/>
      <c r="AJ369" s="25"/>
      <c r="AK369" s="24"/>
      <c r="AL369" s="24"/>
      <c r="AM369" s="24"/>
      <c r="AN369" s="26"/>
      <c r="AO369" s="26"/>
      <c r="AP369" s="24"/>
      <c r="AQ369" s="24"/>
      <c r="AR369" s="24"/>
      <c r="AS369" s="28"/>
      <c r="AT369" s="28"/>
      <c r="AU369" s="28"/>
      <c r="AV369" s="28"/>
      <c r="AW369" s="28"/>
      <c r="AX369" s="28"/>
      <c r="AY369" s="28"/>
      <c r="AZ369" s="28"/>
      <c r="BA369" s="28"/>
      <c r="BB369" s="28"/>
      <c r="BC369" s="28"/>
      <c r="BD369" s="28"/>
      <c r="BE369" s="28"/>
      <c r="BF369" s="28"/>
      <c r="BG369" s="28"/>
      <c r="BH369" s="28"/>
      <c r="BI369" s="28"/>
      <c r="BJ369" s="24"/>
      <c r="BK369" s="28"/>
      <c r="BL369" s="28"/>
      <c r="BM369" s="28"/>
      <c r="BN369" s="28"/>
      <c r="BO369" s="28"/>
      <c r="BP369" s="28"/>
      <c r="BQ369" s="24"/>
      <c r="BR369" s="28"/>
      <c r="BS369" s="28"/>
      <c r="BT369" s="28"/>
      <c r="BU369" s="24"/>
      <c r="BV369" s="28"/>
      <c r="BW369" s="28"/>
      <c r="BX369" s="28"/>
    </row>
    <row r="370" spans="1:76">
      <c r="A370" s="24"/>
      <c r="B370" s="28"/>
      <c r="C370" s="25"/>
      <c r="D370" s="26"/>
      <c r="E370" s="24"/>
      <c r="F370" s="24"/>
      <c r="G370" s="26"/>
      <c r="H370" s="26"/>
      <c r="I370" s="26"/>
      <c r="J370" s="26"/>
      <c r="K370" s="26"/>
      <c r="L370" s="26"/>
      <c r="M370" s="26"/>
      <c r="N370" s="26"/>
      <c r="O370" s="26"/>
      <c r="P370" s="26"/>
      <c r="Q370" s="26"/>
      <c r="S370" s="26"/>
      <c r="T370" s="25"/>
      <c r="U370" s="24"/>
      <c r="V370" s="24"/>
      <c r="W370" s="24"/>
      <c r="X370" s="26"/>
      <c r="Y370" s="26"/>
      <c r="Z370" s="24"/>
      <c r="AA370" s="26"/>
      <c r="AB370" s="25"/>
      <c r="AC370" s="24"/>
      <c r="AD370" s="24"/>
      <c r="AE370" s="24"/>
      <c r="AF370" s="26"/>
      <c r="AG370" s="26"/>
      <c r="AH370" s="24"/>
      <c r="AI370" s="26"/>
      <c r="AJ370" s="25"/>
      <c r="AK370" s="24"/>
      <c r="AL370" s="24"/>
      <c r="AM370" s="24"/>
      <c r="AN370" s="26"/>
      <c r="AO370" s="26"/>
      <c r="AP370" s="24"/>
      <c r="AQ370" s="24"/>
      <c r="AR370" s="24"/>
      <c r="AS370" s="28"/>
      <c r="AT370" s="28"/>
      <c r="AU370" s="28"/>
      <c r="AV370" s="28"/>
      <c r="AW370" s="28"/>
      <c r="AX370" s="28"/>
      <c r="AY370" s="28"/>
      <c r="AZ370" s="28"/>
      <c r="BA370" s="28"/>
      <c r="BB370" s="28"/>
      <c r="BC370" s="28"/>
      <c r="BD370" s="28"/>
      <c r="BE370" s="28"/>
      <c r="BF370" s="28"/>
      <c r="BG370" s="28"/>
      <c r="BH370" s="28"/>
      <c r="BI370" s="28"/>
      <c r="BJ370" s="24"/>
      <c r="BK370" s="28"/>
      <c r="BL370" s="28"/>
      <c r="BM370" s="28"/>
      <c r="BN370" s="28"/>
      <c r="BO370" s="28"/>
      <c r="BP370" s="28"/>
      <c r="BQ370" s="24"/>
      <c r="BR370" s="28"/>
      <c r="BS370" s="28"/>
      <c r="BT370" s="28"/>
      <c r="BU370" s="24"/>
      <c r="BV370" s="28"/>
      <c r="BW370" s="28"/>
      <c r="BX370" s="28"/>
    </row>
    <row r="371" spans="1:76">
      <c r="A371" s="24"/>
      <c r="B371" s="28"/>
      <c r="C371" s="25"/>
      <c r="D371" s="26"/>
      <c r="E371" s="24"/>
      <c r="F371" s="24"/>
      <c r="G371" s="26"/>
      <c r="H371" s="26"/>
      <c r="I371" s="26"/>
      <c r="J371" s="26"/>
      <c r="K371" s="26"/>
      <c r="L371" s="26"/>
      <c r="M371" s="26"/>
      <c r="N371" s="26"/>
      <c r="O371" s="26"/>
      <c r="P371" s="26"/>
      <c r="Q371" s="26"/>
      <c r="S371" s="26"/>
      <c r="T371" s="25"/>
      <c r="U371" s="24"/>
      <c r="V371" s="24"/>
      <c r="W371" s="24"/>
      <c r="X371" s="26"/>
      <c r="Y371" s="26"/>
      <c r="Z371" s="24"/>
      <c r="AA371" s="26"/>
      <c r="AB371" s="25"/>
      <c r="AC371" s="24"/>
      <c r="AD371" s="24"/>
      <c r="AE371" s="24"/>
      <c r="AF371" s="26"/>
      <c r="AG371" s="26"/>
      <c r="AH371" s="24"/>
      <c r="AI371" s="26"/>
      <c r="AJ371" s="25"/>
      <c r="AK371" s="24"/>
      <c r="AL371" s="24"/>
      <c r="AM371" s="24"/>
      <c r="AN371" s="26"/>
      <c r="AO371" s="26"/>
      <c r="AP371" s="24"/>
      <c r="AQ371" s="24"/>
      <c r="AR371" s="24"/>
      <c r="AS371" s="28"/>
      <c r="AT371" s="28"/>
      <c r="AU371" s="28"/>
      <c r="AV371" s="28"/>
      <c r="AW371" s="28"/>
      <c r="AX371" s="28"/>
      <c r="AY371" s="28"/>
      <c r="AZ371" s="28"/>
      <c r="BA371" s="28"/>
      <c r="BB371" s="28"/>
      <c r="BC371" s="28"/>
      <c r="BD371" s="28"/>
      <c r="BE371" s="28"/>
      <c r="BF371" s="28"/>
      <c r="BG371" s="28"/>
      <c r="BH371" s="28"/>
      <c r="BI371" s="28"/>
      <c r="BJ371" s="24"/>
      <c r="BK371" s="28"/>
      <c r="BL371" s="28"/>
      <c r="BM371" s="28"/>
      <c r="BN371" s="28"/>
      <c r="BO371" s="28"/>
      <c r="BP371" s="28"/>
      <c r="BQ371" s="24"/>
      <c r="BR371" s="28"/>
      <c r="BS371" s="28"/>
      <c r="BT371" s="28"/>
      <c r="BU371" s="24"/>
      <c r="BV371" s="28"/>
      <c r="BW371" s="28"/>
      <c r="BX371" s="28"/>
    </row>
    <row r="372" spans="1:76">
      <c r="A372" s="24"/>
      <c r="B372" s="28"/>
      <c r="C372" s="25"/>
      <c r="D372" s="26"/>
      <c r="E372" s="24"/>
      <c r="F372" s="24"/>
      <c r="G372" s="26"/>
      <c r="H372" s="26"/>
      <c r="I372" s="26"/>
      <c r="J372" s="26"/>
      <c r="K372" s="26"/>
      <c r="L372" s="26"/>
      <c r="M372" s="26"/>
      <c r="N372" s="26"/>
      <c r="O372" s="26"/>
      <c r="P372" s="26"/>
      <c r="Q372" s="26"/>
      <c r="S372" s="26"/>
      <c r="T372" s="25"/>
      <c r="U372" s="24"/>
      <c r="V372" s="24"/>
      <c r="W372" s="24"/>
      <c r="X372" s="26"/>
      <c r="Y372" s="26"/>
      <c r="Z372" s="24"/>
      <c r="AA372" s="26"/>
      <c r="AB372" s="25"/>
      <c r="AC372" s="24"/>
      <c r="AD372" s="24"/>
      <c r="AE372" s="24"/>
      <c r="AF372" s="26"/>
      <c r="AG372" s="26"/>
      <c r="AH372" s="24"/>
      <c r="AI372" s="26"/>
      <c r="AJ372" s="25"/>
      <c r="AK372" s="24"/>
      <c r="AL372" s="24"/>
      <c r="AM372" s="24"/>
      <c r="AN372" s="26"/>
      <c r="AO372" s="26"/>
      <c r="AP372" s="24"/>
      <c r="AQ372" s="24"/>
      <c r="AR372" s="24"/>
      <c r="AS372" s="28"/>
      <c r="AT372" s="28"/>
      <c r="AU372" s="28"/>
      <c r="AV372" s="28"/>
      <c r="AW372" s="28"/>
      <c r="AX372" s="28"/>
      <c r="AY372" s="28"/>
      <c r="AZ372" s="28"/>
      <c r="BA372" s="28"/>
      <c r="BB372" s="28"/>
      <c r="BC372" s="28"/>
      <c r="BD372" s="28"/>
      <c r="BE372" s="28"/>
      <c r="BF372" s="28"/>
      <c r="BG372" s="28"/>
      <c r="BH372" s="28"/>
      <c r="BI372" s="28"/>
      <c r="BJ372" s="24"/>
      <c r="BK372" s="28"/>
      <c r="BL372" s="28"/>
      <c r="BM372" s="28"/>
      <c r="BN372" s="28"/>
      <c r="BO372" s="28"/>
      <c r="BP372" s="28"/>
      <c r="BQ372" s="24"/>
      <c r="BR372" s="28"/>
      <c r="BS372" s="28"/>
      <c r="BT372" s="28"/>
      <c r="BU372" s="24"/>
      <c r="BV372" s="28"/>
      <c r="BW372" s="28"/>
      <c r="BX372" s="28"/>
    </row>
    <row r="373" spans="1:76">
      <c r="A373" s="24"/>
      <c r="B373" s="28"/>
      <c r="C373" s="25"/>
      <c r="D373" s="26"/>
      <c r="E373" s="24"/>
      <c r="F373" s="24"/>
      <c r="G373" s="26"/>
      <c r="H373" s="26"/>
      <c r="I373" s="26"/>
      <c r="J373" s="26"/>
      <c r="K373" s="26"/>
      <c r="L373" s="26"/>
      <c r="M373" s="26"/>
      <c r="N373" s="26"/>
      <c r="O373" s="26"/>
      <c r="P373" s="26"/>
      <c r="Q373" s="26"/>
      <c r="S373" s="26"/>
      <c r="T373" s="25"/>
      <c r="U373" s="24"/>
      <c r="V373" s="24"/>
      <c r="W373" s="24"/>
      <c r="X373" s="26"/>
      <c r="Y373" s="26"/>
      <c r="Z373" s="24"/>
      <c r="AA373" s="26"/>
      <c r="AB373" s="25"/>
      <c r="AC373" s="24"/>
      <c r="AD373" s="24"/>
      <c r="AE373" s="24"/>
      <c r="AF373" s="26"/>
      <c r="AG373" s="26"/>
      <c r="AH373" s="24"/>
      <c r="AI373" s="26"/>
      <c r="AJ373" s="25"/>
      <c r="AK373" s="24"/>
      <c r="AL373" s="24"/>
      <c r="AM373" s="24"/>
      <c r="AN373" s="26"/>
      <c r="AO373" s="26"/>
      <c r="AP373" s="24"/>
      <c r="AQ373" s="24"/>
      <c r="AR373" s="24"/>
      <c r="AS373" s="28"/>
      <c r="AT373" s="28"/>
      <c r="AU373" s="28"/>
      <c r="AV373" s="28"/>
      <c r="AW373" s="28"/>
      <c r="AX373" s="28"/>
      <c r="AY373" s="28"/>
      <c r="AZ373" s="28"/>
      <c r="BA373" s="28"/>
      <c r="BB373" s="28"/>
      <c r="BC373" s="28"/>
      <c r="BD373" s="28"/>
      <c r="BE373" s="28"/>
      <c r="BF373" s="28"/>
      <c r="BG373" s="28"/>
      <c r="BH373" s="28"/>
      <c r="BI373" s="28"/>
      <c r="BJ373" s="24"/>
      <c r="BK373" s="28"/>
      <c r="BL373" s="28"/>
      <c r="BM373" s="28"/>
      <c r="BN373" s="28"/>
      <c r="BO373" s="28"/>
      <c r="BP373" s="28"/>
      <c r="BQ373" s="24"/>
      <c r="BR373" s="28"/>
      <c r="BS373" s="28"/>
      <c r="BT373" s="28"/>
      <c r="BU373" s="24"/>
      <c r="BV373" s="28"/>
      <c r="BW373" s="28"/>
      <c r="BX373" s="28"/>
    </row>
    <row r="374" spans="1:76">
      <c r="A374" s="24"/>
      <c r="B374" s="28"/>
      <c r="C374" s="25"/>
      <c r="D374" s="26"/>
      <c r="E374" s="24"/>
      <c r="F374" s="24"/>
      <c r="G374" s="26"/>
      <c r="H374" s="26"/>
      <c r="I374" s="26"/>
      <c r="J374" s="26"/>
      <c r="K374" s="26"/>
      <c r="L374" s="26"/>
      <c r="M374" s="26"/>
      <c r="N374" s="26"/>
      <c r="O374" s="26"/>
      <c r="P374" s="26"/>
      <c r="Q374" s="26"/>
      <c r="S374" s="26"/>
      <c r="T374" s="25"/>
      <c r="U374" s="24"/>
      <c r="V374" s="24"/>
      <c r="W374" s="24"/>
      <c r="X374" s="26"/>
      <c r="Y374" s="26"/>
      <c r="Z374" s="24"/>
      <c r="AA374" s="26"/>
      <c r="AB374" s="25"/>
      <c r="AC374" s="24"/>
      <c r="AD374" s="24"/>
      <c r="AE374" s="24"/>
      <c r="AF374" s="26"/>
      <c r="AG374" s="26"/>
      <c r="AH374" s="24"/>
      <c r="AI374" s="26"/>
      <c r="AJ374" s="25"/>
      <c r="AK374" s="24"/>
      <c r="AL374" s="24"/>
      <c r="AM374" s="24"/>
      <c r="AN374" s="26"/>
      <c r="AO374" s="26"/>
      <c r="AP374" s="24"/>
      <c r="AQ374" s="24"/>
      <c r="AR374" s="24"/>
      <c r="AS374" s="28"/>
      <c r="AT374" s="28"/>
      <c r="AU374" s="28"/>
      <c r="AV374" s="28"/>
      <c r="AW374" s="28"/>
      <c r="AX374" s="28"/>
      <c r="AY374" s="28"/>
      <c r="AZ374" s="28"/>
      <c r="BA374" s="28"/>
      <c r="BB374" s="28"/>
      <c r="BC374" s="28"/>
      <c r="BD374" s="28"/>
      <c r="BE374" s="28"/>
      <c r="BF374" s="28"/>
      <c r="BG374" s="28"/>
      <c r="BH374" s="28"/>
      <c r="BI374" s="28"/>
      <c r="BJ374" s="24"/>
      <c r="BK374" s="28"/>
      <c r="BL374" s="28"/>
      <c r="BM374" s="28"/>
      <c r="BN374" s="28"/>
      <c r="BO374" s="28"/>
      <c r="BP374" s="28"/>
      <c r="BQ374" s="24"/>
      <c r="BR374" s="28"/>
      <c r="BS374" s="28"/>
      <c r="BT374" s="28"/>
      <c r="BU374" s="24"/>
      <c r="BV374" s="28"/>
      <c r="BW374" s="28"/>
      <c r="BX374" s="28"/>
    </row>
    <row r="375" spans="1:76">
      <c r="A375" s="24"/>
      <c r="B375" s="28"/>
      <c r="C375" s="25"/>
      <c r="D375" s="26"/>
      <c r="E375" s="24"/>
      <c r="F375" s="24"/>
      <c r="G375" s="26"/>
      <c r="H375" s="26"/>
      <c r="I375" s="26"/>
      <c r="J375" s="26"/>
      <c r="K375" s="26"/>
      <c r="L375" s="26"/>
      <c r="M375" s="26"/>
      <c r="N375" s="26"/>
      <c r="O375" s="26"/>
      <c r="P375" s="26"/>
      <c r="Q375" s="26"/>
      <c r="S375" s="26"/>
      <c r="T375" s="25"/>
      <c r="U375" s="24"/>
      <c r="V375" s="24"/>
      <c r="W375" s="24"/>
      <c r="X375" s="26"/>
      <c r="Y375" s="26"/>
      <c r="Z375" s="24"/>
      <c r="AA375" s="26"/>
      <c r="AB375" s="25"/>
      <c r="AC375" s="24"/>
      <c r="AD375" s="24"/>
      <c r="AE375" s="24"/>
      <c r="AF375" s="26"/>
      <c r="AG375" s="26"/>
      <c r="AH375" s="24"/>
      <c r="AI375" s="26"/>
      <c r="AJ375" s="25"/>
      <c r="AK375" s="24"/>
      <c r="AL375" s="24"/>
      <c r="AM375" s="24"/>
      <c r="AN375" s="26"/>
      <c r="AO375" s="26"/>
      <c r="AP375" s="24"/>
      <c r="AQ375" s="24"/>
      <c r="AR375" s="24"/>
      <c r="AS375" s="28"/>
      <c r="AT375" s="28"/>
      <c r="AU375" s="28"/>
      <c r="AV375" s="28"/>
      <c r="AW375" s="28"/>
      <c r="AX375" s="28"/>
      <c r="AY375" s="28"/>
      <c r="AZ375" s="28"/>
      <c r="BA375" s="28"/>
      <c r="BB375" s="28"/>
      <c r="BC375" s="28"/>
      <c r="BD375" s="28"/>
      <c r="BE375" s="28"/>
      <c r="BF375" s="28"/>
      <c r="BG375" s="28"/>
      <c r="BH375" s="28"/>
      <c r="BI375" s="28"/>
      <c r="BJ375" s="24"/>
      <c r="BK375" s="28"/>
      <c r="BL375" s="28"/>
      <c r="BM375" s="28"/>
      <c r="BN375" s="28"/>
      <c r="BO375" s="28"/>
      <c r="BP375" s="28"/>
      <c r="BQ375" s="24"/>
      <c r="BR375" s="28"/>
      <c r="BS375" s="28"/>
      <c r="BT375" s="28"/>
      <c r="BU375" s="24"/>
      <c r="BV375" s="28"/>
      <c r="BW375" s="28"/>
      <c r="BX375" s="28"/>
    </row>
    <row r="376" spans="1:76">
      <c r="A376" s="24"/>
      <c r="B376" s="28"/>
      <c r="C376" s="25"/>
      <c r="D376" s="26"/>
      <c r="E376" s="24"/>
      <c r="F376" s="24"/>
      <c r="G376" s="26"/>
      <c r="H376" s="26"/>
      <c r="I376" s="26"/>
      <c r="J376" s="26"/>
      <c r="K376" s="26"/>
      <c r="L376" s="26"/>
      <c r="M376" s="26"/>
      <c r="N376" s="26"/>
      <c r="O376" s="26"/>
      <c r="P376" s="26"/>
      <c r="Q376" s="26"/>
      <c r="S376" s="26"/>
      <c r="T376" s="25"/>
      <c r="U376" s="24"/>
      <c r="V376" s="24"/>
      <c r="W376" s="24"/>
      <c r="X376" s="26"/>
      <c r="Y376" s="26"/>
      <c r="Z376" s="24"/>
      <c r="AA376" s="26"/>
      <c r="AB376" s="25"/>
      <c r="AC376" s="24"/>
      <c r="AD376" s="24"/>
      <c r="AE376" s="24"/>
      <c r="AF376" s="26"/>
      <c r="AG376" s="26"/>
      <c r="AH376" s="24"/>
      <c r="AI376" s="26"/>
      <c r="AJ376" s="25"/>
      <c r="AK376" s="24"/>
      <c r="AL376" s="24"/>
      <c r="AM376" s="24"/>
      <c r="AN376" s="26"/>
      <c r="AO376" s="26"/>
      <c r="AP376" s="24"/>
      <c r="AQ376" s="24"/>
      <c r="AR376" s="24"/>
      <c r="AS376" s="28"/>
      <c r="AT376" s="28"/>
      <c r="AU376" s="28"/>
      <c r="AV376" s="28"/>
      <c r="AW376" s="28"/>
      <c r="AX376" s="28"/>
      <c r="AY376" s="28"/>
      <c r="AZ376" s="28"/>
      <c r="BA376" s="28"/>
      <c r="BB376" s="28"/>
      <c r="BC376" s="28"/>
      <c r="BD376" s="28"/>
      <c r="BE376" s="28"/>
      <c r="BF376" s="28"/>
      <c r="BG376" s="28"/>
      <c r="BH376" s="28"/>
      <c r="BI376" s="28"/>
      <c r="BJ376" s="24"/>
      <c r="BK376" s="28"/>
      <c r="BL376" s="28"/>
      <c r="BM376" s="28"/>
      <c r="BN376" s="28"/>
      <c r="BO376" s="28"/>
      <c r="BP376" s="28"/>
      <c r="BQ376" s="24"/>
      <c r="BR376" s="28"/>
      <c r="BS376" s="28"/>
      <c r="BT376" s="28"/>
      <c r="BU376" s="24"/>
      <c r="BV376" s="28"/>
      <c r="BW376" s="28"/>
      <c r="BX376" s="28"/>
    </row>
    <row r="377" spans="1:76">
      <c r="A377" s="24"/>
      <c r="B377" s="28"/>
      <c r="C377" s="25"/>
      <c r="D377" s="26"/>
      <c r="E377" s="24"/>
      <c r="F377" s="24"/>
      <c r="G377" s="26"/>
      <c r="H377" s="26"/>
      <c r="I377" s="26"/>
      <c r="J377" s="26"/>
      <c r="K377" s="26"/>
      <c r="L377" s="26"/>
      <c r="M377" s="26"/>
      <c r="N377" s="26"/>
      <c r="O377" s="26"/>
      <c r="P377" s="26"/>
      <c r="Q377" s="26"/>
      <c r="S377" s="26"/>
      <c r="T377" s="25"/>
      <c r="U377" s="24"/>
      <c r="V377" s="24"/>
      <c r="W377" s="24"/>
      <c r="X377" s="26"/>
      <c r="Y377" s="26"/>
      <c r="Z377" s="24"/>
      <c r="AA377" s="26"/>
      <c r="AB377" s="25"/>
      <c r="AC377" s="24"/>
      <c r="AD377" s="24"/>
      <c r="AE377" s="24"/>
      <c r="AF377" s="26"/>
      <c r="AG377" s="26"/>
      <c r="AH377" s="24"/>
      <c r="AI377" s="26"/>
      <c r="AJ377" s="25"/>
      <c r="AK377" s="24"/>
      <c r="AL377" s="24"/>
      <c r="AM377" s="24"/>
      <c r="AN377" s="26"/>
      <c r="AO377" s="26"/>
      <c r="AP377" s="24"/>
      <c r="AQ377" s="24"/>
      <c r="AR377" s="24"/>
      <c r="AS377" s="28"/>
      <c r="AT377" s="28"/>
      <c r="AU377" s="28"/>
      <c r="AV377" s="28"/>
      <c r="AW377" s="28"/>
      <c r="AX377" s="28"/>
      <c r="AY377" s="28"/>
      <c r="AZ377" s="28"/>
      <c r="BA377" s="28"/>
      <c r="BB377" s="28"/>
      <c r="BC377" s="28"/>
      <c r="BD377" s="28"/>
      <c r="BE377" s="28"/>
      <c r="BF377" s="28"/>
      <c r="BG377" s="28"/>
      <c r="BH377" s="28"/>
      <c r="BI377" s="28"/>
      <c r="BJ377" s="24"/>
      <c r="BK377" s="28"/>
      <c r="BL377" s="28"/>
      <c r="BM377" s="28"/>
      <c r="BN377" s="28"/>
      <c r="BO377" s="28"/>
      <c r="BP377" s="28"/>
      <c r="BQ377" s="24"/>
      <c r="BR377" s="28"/>
      <c r="BS377" s="28"/>
      <c r="BT377" s="28"/>
      <c r="BU377" s="24"/>
      <c r="BV377" s="28"/>
      <c r="BW377" s="28"/>
      <c r="BX377" s="28"/>
    </row>
    <row r="378" spans="1:76">
      <c r="A378" s="24"/>
      <c r="B378" s="28"/>
      <c r="C378" s="25"/>
      <c r="D378" s="26"/>
      <c r="E378" s="24"/>
      <c r="F378" s="24"/>
      <c r="G378" s="26"/>
      <c r="H378" s="26"/>
      <c r="I378" s="26"/>
      <c r="J378" s="26"/>
      <c r="K378" s="26"/>
      <c r="L378" s="26"/>
      <c r="M378" s="26"/>
      <c r="N378" s="26"/>
      <c r="O378" s="26"/>
      <c r="P378" s="26"/>
      <c r="Q378" s="26"/>
      <c r="S378" s="26"/>
      <c r="T378" s="25"/>
      <c r="U378" s="24"/>
      <c r="V378" s="24"/>
      <c r="W378" s="24"/>
      <c r="X378" s="26"/>
      <c r="Y378" s="26"/>
      <c r="Z378" s="24"/>
      <c r="AA378" s="26"/>
      <c r="AB378" s="25"/>
      <c r="AC378" s="24"/>
      <c r="AD378" s="24"/>
      <c r="AE378" s="24"/>
      <c r="AF378" s="26"/>
      <c r="AG378" s="26"/>
      <c r="AH378" s="24"/>
      <c r="AI378" s="26"/>
      <c r="AJ378" s="25"/>
      <c r="AK378" s="24"/>
      <c r="AL378" s="24"/>
      <c r="AM378" s="24"/>
      <c r="AN378" s="26"/>
      <c r="AO378" s="26"/>
      <c r="AP378" s="24"/>
      <c r="AQ378" s="24"/>
      <c r="AR378" s="24"/>
      <c r="AS378" s="28"/>
      <c r="AT378" s="28"/>
      <c r="AU378" s="28"/>
      <c r="AV378" s="28"/>
      <c r="AW378" s="28"/>
      <c r="AX378" s="28"/>
      <c r="AY378" s="28"/>
      <c r="AZ378" s="28"/>
      <c r="BA378" s="28"/>
      <c r="BB378" s="28"/>
      <c r="BC378" s="28"/>
      <c r="BD378" s="28"/>
      <c r="BE378" s="28"/>
      <c r="BF378" s="28"/>
      <c r="BG378" s="28"/>
      <c r="BH378" s="28"/>
      <c r="BI378" s="28"/>
      <c r="BJ378" s="24"/>
      <c r="BK378" s="28"/>
      <c r="BL378" s="28"/>
      <c r="BM378" s="28"/>
      <c r="BN378" s="28"/>
      <c r="BO378" s="28"/>
      <c r="BP378" s="28"/>
      <c r="BQ378" s="24"/>
      <c r="BR378" s="28"/>
      <c r="BS378" s="28"/>
      <c r="BT378" s="28"/>
      <c r="BU378" s="24"/>
      <c r="BV378" s="28"/>
      <c r="BW378" s="28"/>
      <c r="BX378" s="28"/>
    </row>
    <row r="379" spans="1:76">
      <c r="A379" s="24"/>
      <c r="B379" s="28"/>
      <c r="C379" s="25"/>
      <c r="D379" s="26"/>
      <c r="E379" s="24"/>
      <c r="F379" s="24"/>
      <c r="G379" s="26"/>
      <c r="H379" s="26"/>
      <c r="I379" s="26"/>
      <c r="J379" s="26"/>
      <c r="K379" s="26"/>
      <c r="L379" s="26"/>
      <c r="M379" s="26"/>
      <c r="N379" s="26"/>
      <c r="O379" s="26"/>
      <c r="P379" s="26"/>
      <c r="Q379" s="26"/>
      <c r="S379" s="26"/>
      <c r="T379" s="25"/>
      <c r="U379" s="24"/>
      <c r="V379" s="24"/>
      <c r="W379" s="24"/>
      <c r="X379" s="26"/>
      <c r="Y379" s="26"/>
      <c r="Z379" s="24"/>
      <c r="AA379" s="26"/>
      <c r="AB379" s="25"/>
      <c r="AC379" s="24"/>
      <c r="AD379" s="24"/>
      <c r="AE379" s="24"/>
      <c r="AF379" s="26"/>
      <c r="AG379" s="26"/>
      <c r="AH379" s="24"/>
      <c r="AI379" s="26"/>
      <c r="AJ379" s="25"/>
      <c r="AK379" s="24"/>
      <c r="AL379" s="24"/>
      <c r="AM379" s="24"/>
      <c r="AN379" s="26"/>
      <c r="AO379" s="26"/>
      <c r="AP379" s="24"/>
      <c r="AQ379" s="24"/>
      <c r="AR379" s="24"/>
      <c r="AS379" s="28"/>
      <c r="AT379" s="28"/>
      <c r="AU379" s="28"/>
      <c r="AV379" s="28"/>
      <c r="AW379" s="28"/>
      <c r="AX379" s="28"/>
      <c r="AY379" s="28"/>
      <c r="AZ379" s="28"/>
      <c r="BA379" s="28"/>
      <c r="BB379" s="28"/>
      <c r="BC379" s="28"/>
      <c r="BD379" s="28"/>
      <c r="BE379" s="28"/>
      <c r="BF379" s="28"/>
      <c r="BG379" s="28"/>
      <c r="BH379" s="28"/>
      <c r="BI379" s="28"/>
      <c r="BJ379" s="24"/>
      <c r="BK379" s="28"/>
      <c r="BL379" s="28"/>
      <c r="BM379" s="28"/>
      <c r="BN379" s="28"/>
      <c r="BO379" s="28"/>
      <c r="BP379" s="28"/>
      <c r="BQ379" s="24"/>
      <c r="BR379" s="28"/>
      <c r="BS379" s="28"/>
      <c r="BT379" s="28"/>
      <c r="BU379" s="24"/>
      <c r="BV379" s="28"/>
      <c r="BW379" s="28"/>
      <c r="BX379" s="28"/>
    </row>
    <row r="380" spans="1:76">
      <c r="A380" s="24"/>
      <c r="B380" s="28"/>
      <c r="C380" s="25"/>
      <c r="D380" s="26"/>
      <c r="E380" s="24"/>
      <c r="F380" s="24"/>
      <c r="G380" s="26"/>
      <c r="H380" s="26"/>
      <c r="I380" s="26"/>
      <c r="J380" s="26"/>
      <c r="K380" s="26"/>
      <c r="L380" s="26"/>
      <c r="M380" s="26"/>
      <c r="N380" s="26"/>
      <c r="O380" s="26"/>
      <c r="P380" s="26"/>
      <c r="Q380" s="26"/>
      <c r="S380" s="26"/>
      <c r="T380" s="25"/>
      <c r="U380" s="24"/>
      <c r="V380" s="24"/>
      <c r="W380" s="24"/>
      <c r="X380" s="26"/>
      <c r="Y380" s="26"/>
      <c r="Z380" s="24"/>
      <c r="AA380" s="26"/>
      <c r="AB380" s="25"/>
      <c r="AC380" s="24"/>
      <c r="AD380" s="24"/>
      <c r="AE380" s="24"/>
      <c r="AF380" s="26"/>
      <c r="AG380" s="26"/>
      <c r="AH380" s="24"/>
      <c r="AI380" s="26"/>
      <c r="AJ380" s="25"/>
      <c r="AK380" s="24"/>
      <c r="AL380" s="24"/>
      <c r="AM380" s="24"/>
      <c r="AN380" s="26"/>
      <c r="AO380" s="26"/>
      <c r="AP380" s="24"/>
      <c r="AQ380" s="24"/>
      <c r="AR380" s="24"/>
      <c r="AS380" s="28"/>
      <c r="AT380" s="28"/>
      <c r="AU380" s="28"/>
      <c r="AV380" s="28"/>
      <c r="AW380" s="28"/>
      <c r="AX380" s="28"/>
      <c r="AY380" s="28"/>
      <c r="AZ380" s="28"/>
      <c r="BA380" s="28"/>
      <c r="BB380" s="28"/>
      <c r="BC380" s="28"/>
      <c r="BD380" s="28"/>
      <c r="BE380" s="28"/>
      <c r="BF380" s="28"/>
      <c r="BG380" s="28"/>
      <c r="BH380" s="28"/>
      <c r="BI380" s="28"/>
      <c r="BJ380" s="24"/>
      <c r="BK380" s="28"/>
      <c r="BL380" s="28"/>
      <c r="BM380" s="28"/>
      <c r="BN380" s="28"/>
      <c r="BO380" s="28"/>
      <c r="BP380" s="28"/>
      <c r="BQ380" s="24"/>
      <c r="BR380" s="28"/>
      <c r="BS380" s="28"/>
      <c r="BT380" s="28"/>
      <c r="BU380" s="24"/>
      <c r="BV380" s="28"/>
      <c r="BW380" s="28"/>
      <c r="BX380" s="28"/>
    </row>
    <row r="381" spans="1:76">
      <c r="A381" s="24"/>
      <c r="B381" s="28"/>
      <c r="C381" s="25"/>
      <c r="D381" s="26"/>
      <c r="E381" s="24"/>
      <c r="F381" s="24"/>
      <c r="G381" s="26"/>
      <c r="H381" s="26"/>
      <c r="I381" s="26"/>
      <c r="J381" s="26"/>
      <c r="K381" s="26"/>
      <c r="L381" s="26"/>
      <c r="M381" s="26"/>
      <c r="N381" s="26"/>
      <c r="O381" s="26"/>
      <c r="P381" s="26"/>
      <c r="Q381" s="26"/>
      <c r="S381" s="26"/>
      <c r="T381" s="25"/>
      <c r="U381" s="24"/>
      <c r="V381" s="24"/>
      <c r="W381" s="24"/>
      <c r="X381" s="26"/>
      <c r="Y381" s="26"/>
      <c r="Z381" s="24"/>
      <c r="AA381" s="26"/>
      <c r="AB381" s="25"/>
      <c r="AC381" s="24"/>
      <c r="AD381" s="24"/>
      <c r="AE381" s="24"/>
      <c r="AF381" s="26"/>
      <c r="AG381" s="26"/>
      <c r="AH381" s="24"/>
      <c r="AI381" s="26"/>
      <c r="AJ381" s="25"/>
      <c r="AK381" s="24"/>
      <c r="AL381" s="24"/>
      <c r="AM381" s="24"/>
      <c r="AN381" s="26"/>
      <c r="AO381" s="26"/>
      <c r="AP381" s="24"/>
      <c r="AQ381" s="24"/>
      <c r="AR381" s="24"/>
      <c r="AS381" s="28"/>
      <c r="AT381" s="28"/>
      <c r="AU381" s="28"/>
      <c r="AV381" s="28"/>
      <c r="AW381" s="28"/>
      <c r="AX381" s="28"/>
      <c r="AY381" s="28"/>
      <c r="AZ381" s="28"/>
      <c r="BA381" s="28"/>
      <c r="BB381" s="28"/>
      <c r="BC381" s="28"/>
      <c r="BD381" s="28"/>
      <c r="BE381" s="28"/>
      <c r="BF381" s="28"/>
      <c r="BG381" s="28"/>
      <c r="BH381" s="28"/>
      <c r="BI381" s="28"/>
      <c r="BJ381" s="24"/>
      <c r="BK381" s="28"/>
      <c r="BL381" s="28"/>
      <c r="BM381" s="28"/>
      <c r="BN381" s="28"/>
      <c r="BO381" s="28"/>
      <c r="BP381" s="28"/>
      <c r="BQ381" s="24"/>
      <c r="BR381" s="28"/>
      <c r="BS381" s="28"/>
      <c r="BT381" s="28"/>
      <c r="BU381" s="24"/>
      <c r="BV381" s="28"/>
      <c r="BW381" s="28"/>
      <c r="BX381" s="28"/>
    </row>
    <row r="382" spans="1:76">
      <c r="A382" s="24"/>
      <c r="B382" s="28"/>
      <c r="C382" s="25"/>
      <c r="D382" s="26"/>
      <c r="E382" s="24"/>
      <c r="F382" s="24"/>
      <c r="G382" s="26"/>
      <c r="H382" s="26"/>
      <c r="I382" s="26"/>
      <c r="J382" s="26"/>
      <c r="K382" s="26"/>
      <c r="L382" s="26"/>
      <c r="M382" s="26"/>
      <c r="N382" s="26"/>
      <c r="O382" s="26"/>
      <c r="P382" s="26"/>
      <c r="Q382" s="26"/>
      <c r="S382" s="26"/>
      <c r="T382" s="25"/>
      <c r="U382" s="24"/>
      <c r="V382" s="24"/>
      <c r="W382" s="24"/>
      <c r="X382" s="26"/>
      <c r="Y382" s="26"/>
      <c r="Z382" s="24"/>
      <c r="AA382" s="26"/>
      <c r="AB382" s="25"/>
      <c r="AC382" s="24"/>
      <c r="AD382" s="24"/>
      <c r="AE382" s="24"/>
      <c r="AF382" s="26"/>
      <c r="AG382" s="26"/>
      <c r="AH382" s="24"/>
      <c r="AI382" s="26"/>
      <c r="AJ382" s="25"/>
      <c r="AK382" s="24"/>
      <c r="AL382" s="24"/>
      <c r="AM382" s="24"/>
      <c r="AN382" s="26"/>
      <c r="AO382" s="26"/>
      <c r="AP382" s="24"/>
      <c r="AQ382" s="24"/>
      <c r="AR382" s="24"/>
      <c r="AS382" s="28"/>
      <c r="AT382" s="28"/>
      <c r="AU382" s="28"/>
      <c r="AV382" s="28"/>
      <c r="AW382" s="28"/>
      <c r="AX382" s="28"/>
      <c r="AY382" s="28"/>
      <c r="AZ382" s="28"/>
      <c r="BA382" s="28"/>
      <c r="BB382" s="28"/>
      <c r="BC382" s="28"/>
      <c r="BD382" s="28"/>
      <c r="BE382" s="28"/>
      <c r="BF382" s="28"/>
      <c r="BG382" s="28"/>
      <c r="BH382" s="28"/>
      <c r="BI382" s="28"/>
      <c r="BJ382" s="24"/>
      <c r="BK382" s="28"/>
      <c r="BL382" s="28"/>
      <c r="BM382" s="28"/>
      <c r="BN382" s="28"/>
      <c r="BO382" s="28"/>
      <c r="BP382" s="28"/>
      <c r="BQ382" s="24"/>
      <c r="BR382" s="28"/>
      <c r="BS382" s="28"/>
      <c r="BT382" s="28"/>
      <c r="BU382" s="24"/>
      <c r="BV382" s="28"/>
      <c r="BW382" s="28"/>
      <c r="BX382" s="28"/>
    </row>
    <row r="383" spans="1:76">
      <c r="A383" s="24"/>
      <c r="B383" s="28"/>
      <c r="C383" s="25"/>
      <c r="D383" s="26"/>
      <c r="E383" s="24"/>
      <c r="F383" s="24"/>
      <c r="G383" s="26"/>
      <c r="H383" s="26"/>
      <c r="I383" s="26"/>
      <c r="J383" s="26"/>
      <c r="K383" s="26"/>
      <c r="L383" s="26"/>
      <c r="M383" s="26"/>
      <c r="N383" s="26"/>
      <c r="O383" s="26"/>
      <c r="P383" s="26"/>
      <c r="Q383" s="26"/>
      <c r="S383" s="26"/>
      <c r="T383" s="25"/>
      <c r="U383" s="24"/>
      <c r="V383" s="24"/>
      <c r="W383" s="24"/>
      <c r="X383" s="26"/>
      <c r="Y383" s="26"/>
      <c r="Z383" s="24"/>
      <c r="AA383" s="26"/>
      <c r="AB383" s="25"/>
      <c r="AC383" s="24"/>
      <c r="AD383" s="24"/>
      <c r="AE383" s="24"/>
      <c r="AF383" s="26"/>
      <c r="AG383" s="26"/>
      <c r="AH383" s="24"/>
      <c r="AI383" s="26"/>
      <c r="AJ383" s="25"/>
      <c r="AK383" s="24"/>
      <c r="AL383" s="24"/>
      <c r="AM383" s="24"/>
      <c r="AN383" s="26"/>
      <c r="AO383" s="26"/>
      <c r="AP383" s="24"/>
      <c r="AQ383" s="24"/>
      <c r="AR383" s="24"/>
      <c r="AS383" s="28"/>
      <c r="AT383" s="28"/>
      <c r="AU383" s="28"/>
      <c r="AV383" s="28"/>
      <c r="AW383" s="28"/>
      <c r="AX383" s="28"/>
      <c r="AY383" s="28"/>
      <c r="AZ383" s="28"/>
      <c r="BA383" s="28"/>
      <c r="BB383" s="28"/>
      <c r="BC383" s="28"/>
      <c r="BD383" s="28"/>
      <c r="BE383" s="28"/>
      <c r="BF383" s="28"/>
      <c r="BG383" s="28"/>
      <c r="BH383" s="28"/>
      <c r="BI383" s="28"/>
      <c r="BJ383" s="24"/>
      <c r="BK383" s="28"/>
      <c r="BL383" s="28"/>
      <c r="BM383" s="28"/>
      <c r="BN383" s="28"/>
      <c r="BO383" s="28"/>
      <c r="BP383" s="28"/>
      <c r="BQ383" s="24"/>
      <c r="BR383" s="28"/>
      <c r="BS383" s="28"/>
      <c r="BT383" s="28"/>
      <c r="BU383" s="24"/>
      <c r="BV383" s="28"/>
      <c r="BW383" s="28"/>
      <c r="BX383" s="28"/>
    </row>
    <row r="384" spans="1:76">
      <c r="A384" s="24"/>
      <c r="B384" s="28"/>
      <c r="C384" s="25"/>
      <c r="D384" s="26"/>
      <c r="E384" s="24"/>
      <c r="F384" s="24"/>
      <c r="G384" s="26"/>
      <c r="H384" s="26"/>
      <c r="I384" s="26"/>
      <c r="J384" s="26"/>
      <c r="K384" s="26"/>
      <c r="L384" s="26"/>
      <c r="M384" s="26"/>
      <c r="N384" s="26"/>
      <c r="O384" s="26"/>
      <c r="P384" s="26"/>
      <c r="Q384" s="26"/>
      <c r="S384" s="26"/>
      <c r="T384" s="25"/>
      <c r="U384" s="24"/>
      <c r="V384" s="24"/>
      <c r="W384" s="24"/>
      <c r="X384" s="26"/>
      <c r="Y384" s="26"/>
      <c r="Z384" s="24"/>
      <c r="AA384" s="26"/>
      <c r="AB384" s="25"/>
      <c r="AC384" s="24"/>
      <c r="AD384" s="24"/>
      <c r="AE384" s="24"/>
      <c r="AF384" s="26"/>
      <c r="AG384" s="26"/>
      <c r="AH384" s="24"/>
      <c r="AI384" s="26"/>
      <c r="AJ384" s="25"/>
      <c r="AK384" s="24"/>
      <c r="AL384" s="24"/>
      <c r="AM384" s="24"/>
      <c r="AN384" s="26"/>
      <c r="AO384" s="26"/>
      <c r="AP384" s="24"/>
      <c r="AQ384" s="24"/>
      <c r="AR384" s="24"/>
      <c r="AS384" s="28"/>
      <c r="AT384" s="28"/>
      <c r="AU384" s="28"/>
      <c r="AV384" s="28"/>
      <c r="AW384" s="28"/>
      <c r="AX384" s="28"/>
      <c r="AY384" s="28"/>
      <c r="AZ384" s="28"/>
      <c r="BA384" s="28"/>
      <c r="BB384" s="28"/>
      <c r="BC384" s="28"/>
      <c r="BD384" s="28"/>
      <c r="BE384" s="28"/>
      <c r="BF384" s="28"/>
      <c r="BG384" s="28"/>
      <c r="BH384" s="28"/>
      <c r="BI384" s="28"/>
      <c r="BJ384" s="24"/>
      <c r="BK384" s="28"/>
      <c r="BL384" s="28"/>
      <c r="BM384" s="28"/>
      <c r="BN384" s="28"/>
      <c r="BO384" s="28"/>
      <c r="BP384" s="28"/>
      <c r="BQ384" s="24"/>
      <c r="BR384" s="28"/>
      <c r="BS384" s="28"/>
      <c r="BT384" s="28"/>
      <c r="BU384" s="24"/>
      <c r="BV384" s="28"/>
      <c r="BW384" s="28"/>
      <c r="BX384" s="28"/>
    </row>
    <row r="385" spans="1:76">
      <c r="A385" s="24"/>
      <c r="B385" s="28"/>
      <c r="C385" s="25"/>
      <c r="D385" s="26"/>
      <c r="E385" s="24"/>
      <c r="F385" s="24"/>
      <c r="G385" s="26"/>
      <c r="H385" s="26"/>
      <c r="I385" s="26"/>
      <c r="J385" s="26"/>
      <c r="K385" s="26"/>
      <c r="L385" s="26"/>
      <c r="M385" s="26"/>
      <c r="N385" s="26"/>
      <c r="O385" s="26"/>
      <c r="P385" s="26"/>
      <c r="Q385" s="26"/>
      <c r="S385" s="26"/>
      <c r="T385" s="25"/>
      <c r="U385" s="24"/>
      <c r="V385" s="24"/>
      <c r="W385" s="24"/>
      <c r="X385" s="26"/>
      <c r="Y385" s="26"/>
      <c r="Z385" s="24"/>
      <c r="AA385" s="26"/>
      <c r="AB385" s="25"/>
      <c r="AC385" s="24"/>
      <c r="AD385" s="24"/>
      <c r="AE385" s="24"/>
      <c r="AF385" s="26"/>
      <c r="AG385" s="26"/>
      <c r="AH385" s="24"/>
      <c r="AI385" s="26"/>
      <c r="AJ385" s="25"/>
      <c r="AK385" s="24"/>
      <c r="AL385" s="24"/>
      <c r="AM385" s="24"/>
      <c r="AN385" s="26"/>
      <c r="AO385" s="26"/>
      <c r="AP385" s="24"/>
      <c r="AQ385" s="24"/>
      <c r="AR385" s="24"/>
      <c r="AS385" s="28"/>
      <c r="AT385" s="28"/>
      <c r="AU385" s="28"/>
      <c r="AV385" s="28"/>
      <c r="AW385" s="28"/>
      <c r="AX385" s="28"/>
      <c r="AY385" s="28"/>
      <c r="AZ385" s="28"/>
      <c r="BA385" s="28"/>
      <c r="BB385" s="28"/>
      <c r="BC385" s="28"/>
      <c r="BD385" s="28"/>
      <c r="BE385" s="28"/>
      <c r="BF385" s="28"/>
      <c r="BG385" s="28"/>
      <c r="BH385" s="28"/>
      <c r="BI385" s="28"/>
      <c r="BJ385" s="24"/>
      <c r="BK385" s="28"/>
      <c r="BL385" s="28"/>
      <c r="BM385" s="28"/>
      <c r="BN385" s="28"/>
      <c r="BO385" s="28"/>
      <c r="BP385" s="28"/>
      <c r="BQ385" s="24"/>
      <c r="BR385" s="28"/>
      <c r="BS385" s="28"/>
      <c r="BT385" s="28"/>
      <c r="BU385" s="24"/>
      <c r="BV385" s="28"/>
      <c r="BW385" s="28"/>
      <c r="BX385" s="28"/>
    </row>
    <row r="386" spans="1:76">
      <c r="A386" s="24"/>
      <c r="B386" s="28"/>
      <c r="C386" s="25"/>
      <c r="D386" s="26"/>
      <c r="E386" s="24"/>
      <c r="F386" s="24"/>
      <c r="G386" s="26"/>
      <c r="H386" s="26"/>
      <c r="I386" s="26"/>
      <c r="J386" s="26"/>
      <c r="K386" s="26"/>
      <c r="L386" s="26"/>
      <c r="M386" s="26"/>
      <c r="N386" s="26"/>
      <c r="O386" s="26"/>
      <c r="P386" s="26"/>
      <c r="Q386" s="26"/>
      <c r="S386" s="26"/>
      <c r="T386" s="25"/>
      <c r="U386" s="24"/>
      <c r="V386" s="24"/>
      <c r="W386" s="24"/>
      <c r="X386" s="26"/>
      <c r="Y386" s="26"/>
      <c r="Z386" s="24"/>
      <c r="AA386" s="26"/>
      <c r="AB386" s="25"/>
      <c r="AC386" s="24"/>
      <c r="AD386" s="24"/>
      <c r="AE386" s="24"/>
      <c r="AF386" s="26"/>
      <c r="AG386" s="26"/>
      <c r="AH386" s="24"/>
      <c r="AI386" s="26"/>
      <c r="AJ386" s="25"/>
      <c r="AK386" s="24"/>
      <c r="AL386" s="24"/>
      <c r="AM386" s="24"/>
      <c r="AN386" s="26"/>
      <c r="AO386" s="26"/>
      <c r="AP386" s="24"/>
      <c r="AQ386" s="24"/>
      <c r="AR386" s="24"/>
      <c r="AS386" s="28"/>
      <c r="AT386" s="28"/>
      <c r="AU386" s="28"/>
      <c r="AV386" s="28"/>
      <c r="AW386" s="28"/>
      <c r="AX386" s="28"/>
      <c r="AY386" s="28"/>
      <c r="AZ386" s="28"/>
      <c r="BA386" s="28"/>
      <c r="BB386" s="28"/>
      <c r="BC386" s="28"/>
      <c r="BD386" s="28"/>
      <c r="BE386" s="28"/>
      <c r="BF386" s="28"/>
      <c r="BG386" s="28"/>
      <c r="BH386" s="28"/>
      <c r="BI386" s="28"/>
      <c r="BJ386" s="24"/>
      <c r="BK386" s="28"/>
      <c r="BL386" s="28"/>
      <c r="BM386" s="28"/>
      <c r="BN386" s="28"/>
      <c r="BO386" s="28"/>
      <c r="BP386" s="28"/>
      <c r="BQ386" s="24"/>
      <c r="BR386" s="28"/>
      <c r="BS386" s="28"/>
      <c r="BT386" s="28"/>
      <c r="BU386" s="24"/>
      <c r="BV386" s="28"/>
      <c r="BW386" s="28"/>
      <c r="BX386" s="28"/>
    </row>
    <row r="387" spans="1:76">
      <c r="A387" s="24"/>
      <c r="B387" s="28"/>
      <c r="C387" s="25"/>
      <c r="D387" s="26"/>
      <c r="E387" s="24"/>
      <c r="F387" s="24"/>
      <c r="G387" s="26"/>
      <c r="H387" s="26"/>
      <c r="I387" s="26"/>
      <c r="J387" s="26"/>
      <c r="K387" s="26"/>
      <c r="L387" s="26"/>
      <c r="M387" s="26"/>
      <c r="N387" s="26"/>
      <c r="O387" s="26"/>
      <c r="P387" s="26"/>
      <c r="Q387" s="26"/>
      <c r="S387" s="26"/>
      <c r="T387" s="25"/>
      <c r="U387" s="24"/>
      <c r="V387" s="24"/>
      <c r="W387" s="24"/>
      <c r="X387" s="26"/>
      <c r="Y387" s="26"/>
      <c r="Z387" s="24"/>
      <c r="AA387" s="26"/>
      <c r="AB387" s="25"/>
      <c r="AC387" s="24"/>
      <c r="AD387" s="24"/>
      <c r="AE387" s="24"/>
      <c r="AF387" s="26"/>
      <c r="AG387" s="26"/>
      <c r="AH387" s="24"/>
      <c r="AI387" s="26"/>
      <c r="AJ387" s="25"/>
      <c r="AK387" s="24"/>
      <c r="AL387" s="24"/>
      <c r="AM387" s="24"/>
      <c r="AN387" s="26"/>
      <c r="AO387" s="26"/>
      <c r="AP387" s="24"/>
      <c r="AQ387" s="24"/>
      <c r="AR387" s="24"/>
      <c r="AS387" s="28"/>
      <c r="AT387" s="28"/>
      <c r="AU387" s="28"/>
      <c r="AV387" s="28"/>
      <c r="AW387" s="28"/>
      <c r="AX387" s="28"/>
      <c r="AY387" s="28"/>
      <c r="AZ387" s="28"/>
      <c r="BA387" s="28"/>
      <c r="BB387" s="28"/>
      <c r="BC387" s="28"/>
      <c r="BD387" s="28"/>
      <c r="BE387" s="28"/>
      <c r="BF387" s="28"/>
      <c r="BG387" s="28"/>
      <c r="BH387" s="28"/>
      <c r="BI387" s="28"/>
      <c r="BJ387" s="24"/>
      <c r="BK387" s="28"/>
      <c r="BL387" s="28"/>
      <c r="BM387" s="28"/>
      <c r="BN387" s="28"/>
      <c r="BO387" s="28"/>
      <c r="BP387" s="28"/>
      <c r="BQ387" s="24"/>
      <c r="BR387" s="28"/>
      <c r="BS387" s="28"/>
      <c r="BT387" s="28"/>
      <c r="BU387" s="24"/>
      <c r="BV387" s="28"/>
      <c r="BW387" s="28"/>
      <c r="BX387" s="28"/>
    </row>
    <row r="388" spans="1:76">
      <c r="A388" s="24"/>
      <c r="B388" s="28"/>
      <c r="C388" s="25"/>
      <c r="D388" s="26"/>
      <c r="E388" s="24"/>
      <c r="F388" s="24"/>
      <c r="G388" s="26"/>
      <c r="H388" s="26"/>
      <c r="I388" s="26"/>
      <c r="J388" s="26"/>
      <c r="K388" s="26"/>
      <c r="L388" s="26"/>
      <c r="M388" s="26"/>
      <c r="N388" s="26"/>
      <c r="O388" s="26"/>
      <c r="P388" s="26"/>
      <c r="Q388" s="26"/>
      <c r="S388" s="26"/>
      <c r="T388" s="25"/>
      <c r="U388" s="24"/>
      <c r="V388" s="24"/>
      <c r="W388" s="24"/>
      <c r="X388" s="26"/>
      <c r="Y388" s="26"/>
      <c r="Z388" s="24"/>
      <c r="AA388" s="26"/>
      <c r="AB388" s="25"/>
      <c r="AC388" s="24"/>
      <c r="AD388" s="24"/>
      <c r="AE388" s="24"/>
      <c r="AF388" s="26"/>
      <c r="AG388" s="26"/>
      <c r="AH388" s="24"/>
      <c r="AI388" s="26"/>
      <c r="AJ388" s="25"/>
      <c r="AK388" s="24"/>
      <c r="AL388" s="24"/>
      <c r="AM388" s="24"/>
      <c r="AN388" s="26"/>
      <c r="AO388" s="26"/>
      <c r="AP388" s="24"/>
      <c r="AQ388" s="24"/>
      <c r="AR388" s="24"/>
      <c r="AS388" s="28"/>
      <c r="AT388" s="28"/>
      <c r="AU388" s="28"/>
      <c r="AV388" s="28"/>
      <c r="AW388" s="28"/>
      <c r="AX388" s="28"/>
      <c r="AY388" s="28"/>
      <c r="AZ388" s="28"/>
      <c r="BA388" s="28"/>
      <c r="BB388" s="28"/>
      <c r="BC388" s="28"/>
      <c r="BD388" s="28"/>
      <c r="BE388" s="28"/>
      <c r="BF388" s="28"/>
      <c r="BG388" s="28"/>
      <c r="BH388" s="28"/>
      <c r="BI388" s="28"/>
      <c r="BJ388" s="24"/>
      <c r="BK388" s="28"/>
      <c r="BL388" s="28"/>
      <c r="BM388" s="28"/>
      <c r="BN388" s="28"/>
      <c r="BO388" s="28"/>
      <c r="BP388" s="28"/>
      <c r="BQ388" s="24"/>
      <c r="BR388" s="28"/>
      <c r="BS388" s="28"/>
      <c r="BT388" s="28"/>
      <c r="BU388" s="24"/>
      <c r="BV388" s="28"/>
      <c r="BW388" s="28"/>
      <c r="BX388" s="28"/>
    </row>
    <row r="389" spans="1:76">
      <c r="A389" s="24"/>
      <c r="B389" s="28"/>
      <c r="C389" s="25"/>
      <c r="D389" s="26"/>
      <c r="E389" s="24"/>
      <c r="F389" s="24"/>
      <c r="G389" s="26"/>
      <c r="H389" s="26"/>
      <c r="I389" s="26"/>
      <c r="J389" s="26"/>
      <c r="K389" s="26"/>
      <c r="L389" s="26"/>
      <c r="M389" s="26"/>
      <c r="N389" s="26"/>
      <c r="O389" s="26"/>
      <c r="P389" s="26"/>
      <c r="Q389" s="26"/>
      <c r="S389" s="26"/>
      <c r="T389" s="25"/>
      <c r="U389" s="24"/>
      <c r="V389" s="24"/>
      <c r="W389" s="24"/>
      <c r="X389" s="26"/>
      <c r="Y389" s="26"/>
      <c r="Z389" s="24"/>
      <c r="AA389" s="26"/>
      <c r="AB389" s="25"/>
      <c r="AC389" s="24"/>
      <c r="AD389" s="24"/>
      <c r="AE389" s="24"/>
      <c r="AF389" s="26"/>
      <c r="AG389" s="26"/>
      <c r="AH389" s="24"/>
      <c r="AI389" s="26"/>
      <c r="AJ389" s="25"/>
      <c r="AK389" s="24"/>
      <c r="AL389" s="24"/>
      <c r="AM389" s="24"/>
      <c r="AN389" s="26"/>
      <c r="AO389" s="26"/>
      <c r="AP389" s="24"/>
      <c r="AQ389" s="24"/>
      <c r="AR389" s="24"/>
      <c r="AS389" s="28"/>
      <c r="AT389" s="28"/>
      <c r="AU389" s="28"/>
      <c r="AV389" s="28"/>
      <c r="AW389" s="28"/>
      <c r="AX389" s="28"/>
      <c r="AY389" s="28"/>
      <c r="AZ389" s="28"/>
      <c r="BA389" s="28"/>
      <c r="BB389" s="28"/>
      <c r="BC389" s="28"/>
      <c r="BD389" s="28"/>
      <c r="BE389" s="28"/>
      <c r="BF389" s="28"/>
      <c r="BG389" s="28"/>
      <c r="BH389" s="28"/>
      <c r="BI389" s="28"/>
      <c r="BJ389" s="24"/>
      <c r="BK389" s="28"/>
      <c r="BL389" s="28"/>
      <c r="BM389" s="28"/>
      <c r="BN389" s="28"/>
      <c r="BO389" s="28"/>
      <c r="BP389" s="28"/>
      <c r="BQ389" s="24"/>
      <c r="BR389" s="28"/>
      <c r="BS389" s="28"/>
      <c r="BT389" s="28"/>
      <c r="BU389" s="24"/>
      <c r="BV389" s="28"/>
      <c r="BW389" s="28"/>
      <c r="BX389" s="28"/>
    </row>
    <row r="390" spans="1:76">
      <c r="A390" s="24"/>
      <c r="B390" s="28"/>
      <c r="C390" s="25"/>
      <c r="D390" s="26"/>
      <c r="E390" s="24"/>
      <c r="F390" s="24"/>
      <c r="G390" s="26"/>
      <c r="H390" s="26"/>
      <c r="I390" s="26"/>
      <c r="J390" s="26"/>
      <c r="K390" s="26"/>
      <c r="L390" s="26"/>
      <c r="M390" s="26"/>
      <c r="N390" s="26"/>
      <c r="O390" s="26"/>
      <c r="P390" s="26"/>
      <c r="Q390" s="26"/>
      <c r="S390" s="26"/>
      <c r="T390" s="25"/>
      <c r="U390" s="24"/>
      <c r="V390" s="24"/>
      <c r="W390" s="24"/>
      <c r="X390" s="26"/>
      <c r="Y390" s="26"/>
      <c r="Z390" s="24"/>
      <c r="AA390" s="26"/>
      <c r="AB390" s="25"/>
      <c r="AC390" s="24"/>
      <c r="AD390" s="24"/>
      <c r="AE390" s="24"/>
      <c r="AF390" s="26"/>
      <c r="AG390" s="26"/>
      <c r="AH390" s="24"/>
      <c r="AI390" s="26"/>
      <c r="AJ390" s="25"/>
      <c r="AK390" s="24"/>
      <c r="AL390" s="24"/>
      <c r="AM390" s="24"/>
      <c r="AN390" s="26"/>
      <c r="AO390" s="26"/>
      <c r="AP390" s="24"/>
      <c r="AQ390" s="24"/>
      <c r="AR390" s="24"/>
      <c r="AS390" s="28"/>
      <c r="AT390" s="28"/>
      <c r="AU390" s="28"/>
      <c r="AV390" s="28"/>
      <c r="AW390" s="28"/>
      <c r="AX390" s="28"/>
      <c r="AY390" s="28"/>
      <c r="AZ390" s="28"/>
      <c r="BA390" s="28"/>
      <c r="BB390" s="28"/>
      <c r="BC390" s="28"/>
      <c r="BD390" s="28"/>
      <c r="BE390" s="28"/>
      <c r="BF390" s="28"/>
      <c r="BG390" s="28"/>
      <c r="BH390" s="28"/>
      <c r="BI390" s="28"/>
      <c r="BJ390" s="24"/>
      <c r="BK390" s="28"/>
      <c r="BL390" s="28"/>
      <c r="BM390" s="28"/>
      <c r="BN390" s="28"/>
      <c r="BO390" s="28"/>
      <c r="BP390" s="28"/>
      <c r="BQ390" s="24"/>
      <c r="BR390" s="28"/>
      <c r="BS390" s="28"/>
      <c r="BT390" s="28"/>
      <c r="BU390" s="24"/>
      <c r="BV390" s="28"/>
      <c r="BW390" s="28"/>
      <c r="BX390" s="28"/>
    </row>
    <row r="391" spans="1:76">
      <c r="A391" s="24"/>
      <c r="B391" s="28"/>
      <c r="C391" s="25"/>
      <c r="D391" s="26"/>
      <c r="E391" s="24"/>
      <c r="F391" s="24"/>
      <c r="G391" s="26"/>
      <c r="H391" s="26"/>
      <c r="I391" s="26"/>
      <c r="J391" s="26"/>
      <c r="K391" s="26"/>
      <c r="L391" s="26"/>
      <c r="M391" s="26"/>
      <c r="N391" s="26"/>
      <c r="O391" s="26"/>
      <c r="P391" s="26"/>
      <c r="Q391" s="26"/>
      <c r="S391" s="26"/>
      <c r="T391" s="25"/>
      <c r="U391" s="24"/>
      <c r="V391" s="24"/>
      <c r="W391" s="24"/>
      <c r="X391" s="26"/>
      <c r="Y391" s="26"/>
      <c r="Z391" s="24"/>
      <c r="AA391" s="26"/>
      <c r="AB391" s="25"/>
      <c r="AC391" s="24"/>
      <c r="AD391" s="24"/>
      <c r="AE391" s="24"/>
      <c r="AF391" s="26"/>
      <c r="AG391" s="26"/>
      <c r="AH391" s="24"/>
      <c r="AI391" s="26"/>
      <c r="AJ391" s="25"/>
      <c r="AK391" s="24"/>
      <c r="AL391" s="24"/>
      <c r="AM391" s="24"/>
      <c r="AN391" s="26"/>
      <c r="AO391" s="26"/>
      <c r="AP391" s="24"/>
      <c r="AQ391" s="24"/>
      <c r="AR391" s="24"/>
      <c r="AS391" s="28"/>
      <c r="AT391" s="28"/>
      <c r="AU391" s="28"/>
      <c r="AV391" s="28"/>
      <c r="AW391" s="28"/>
      <c r="AX391" s="28"/>
      <c r="AY391" s="28"/>
      <c r="AZ391" s="28"/>
      <c r="BA391" s="28"/>
      <c r="BB391" s="28"/>
      <c r="BC391" s="28"/>
      <c r="BD391" s="28"/>
      <c r="BE391" s="28"/>
      <c r="BF391" s="28"/>
      <c r="BG391" s="28"/>
      <c r="BH391" s="28"/>
      <c r="BI391" s="28"/>
      <c r="BJ391" s="24"/>
      <c r="BK391" s="28"/>
      <c r="BL391" s="28"/>
      <c r="BM391" s="28"/>
      <c r="BN391" s="28"/>
      <c r="BO391" s="28"/>
      <c r="BP391" s="28"/>
      <c r="BQ391" s="24"/>
      <c r="BR391" s="28"/>
      <c r="BS391" s="28"/>
      <c r="BT391" s="28"/>
      <c r="BU391" s="24"/>
      <c r="BV391" s="28"/>
      <c r="BW391" s="28"/>
      <c r="BX391" s="28"/>
    </row>
    <row r="392" spans="1:76">
      <c r="A392" s="24"/>
      <c r="B392" s="28"/>
      <c r="C392" s="25"/>
      <c r="D392" s="26"/>
      <c r="E392" s="24"/>
      <c r="F392" s="24"/>
      <c r="G392" s="26"/>
      <c r="H392" s="26"/>
      <c r="I392" s="26"/>
      <c r="J392" s="26"/>
      <c r="K392" s="26"/>
      <c r="L392" s="26"/>
      <c r="M392" s="26"/>
      <c r="N392" s="26"/>
      <c r="O392" s="26"/>
      <c r="P392" s="26"/>
      <c r="Q392" s="26"/>
      <c r="S392" s="26"/>
      <c r="T392" s="25"/>
      <c r="U392" s="24"/>
      <c r="V392" s="24"/>
      <c r="W392" s="24"/>
      <c r="X392" s="26"/>
      <c r="Y392" s="26"/>
      <c r="Z392" s="24"/>
      <c r="AA392" s="26"/>
      <c r="AB392" s="25"/>
      <c r="AC392" s="24"/>
      <c r="AD392" s="24"/>
      <c r="AE392" s="24"/>
      <c r="AF392" s="26"/>
      <c r="AG392" s="26"/>
      <c r="AH392" s="24"/>
      <c r="AI392" s="26"/>
      <c r="AJ392" s="25"/>
      <c r="AK392" s="24"/>
      <c r="AL392" s="24"/>
      <c r="AM392" s="24"/>
      <c r="AN392" s="26"/>
      <c r="AO392" s="26"/>
      <c r="AP392" s="24"/>
      <c r="AQ392" s="24"/>
      <c r="AR392" s="24"/>
      <c r="AS392" s="28"/>
      <c r="AT392" s="28"/>
      <c r="AU392" s="28"/>
      <c r="AV392" s="28"/>
      <c r="AW392" s="28"/>
      <c r="AX392" s="28"/>
      <c r="AY392" s="28"/>
      <c r="AZ392" s="28"/>
      <c r="BA392" s="28"/>
      <c r="BB392" s="28"/>
      <c r="BC392" s="28"/>
      <c r="BD392" s="28"/>
      <c r="BE392" s="28"/>
      <c r="BF392" s="28"/>
      <c r="BG392" s="28"/>
      <c r="BH392" s="28"/>
      <c r="BI392" s="28"/>
      <c r="BJ392" s="24"/>
      <c r="BK392" s="28"/>
      <c r="BL392" s="28"/>
      <c r="BM392" s="28"/>
      <c r="BN392" s="28"/>
      <c r="BO392" s="28"/>
      <c r="BP392" s="28"/>
      <c r="BQ392" s="24"/>
      <c r="BR392" s="28"/>
      <c r="BS392" s="28"/>
      <c r="BT392" s="28"/>
      <c r="BU392" s="24"/>
      <c r="BV392" s="28"/>
      <c r="BW392" s="28"/>
      <c r="BX392" s="28"/>
    </row>
    <row r="393" spans="1:76">
      <c r="A393" s="24"/>
      <c r="B393" s="28"/>
      <c r="C393" s="25"/>
      <c r="D393" s="26"/>
      <c r="E393" s="24"/>
      <c r="F393" s="24"/>
      <c r="G393" s="26"/>
      <c r="H393" s="26"/>
      <c r="I393" s="26"/>
      <c r="J393" s="26"/>
      <c r="K393" s="26"/>
      <c r="L393" s="26"/>
      <c r="M393" s="26"/>
      <c r="N393" s="26"/>
      <c r="O393" s="26"/>
      <c r="P393" s="26"/>
      <c r="Q393" s="26"/>
      <c r="S393" s="26"/>
      <c r="T393" s="25"/>
      <c r="U393" s="24"/>
      <c r="V393" s="24"/>
      <c r="W393" s="24"/>
      <c r="X393" s="26"/>
      <c r="Y393" s="26"/>
      <c r="Z393" s="24"/>
      <c r="AA393" s="26"/>
      <c r="AB393" s="25"/>
      <c r="AC393" s="24"/>
      <c r="AD393" s="24"/>
      <c r="AE393" s="24"/>
      <c r="AF393" s="26"/>
      <c r="AG393" s="26"/>
      <c r="AH393" s="24"/>
      <c r="AI393" s="26"/>
      <c r="AJ393" s="25"/>
      <c r="AK393" s="24"/>
      <c r="AL393" s="24"/>
      <c r="AM393" s="24"/>
      <c r="AN393" s="26"/>
      <c r="AO393" s="26"/>
      <c r="AP393" s="24"/>
      <c r="AQ393" s="24"/>
      <c r="AR393" s="24"/>
      <c r="AS393" s="28"/>
      <c r="AT393" s="28"/>
      <c r="AU393" s="28"/>
      <c r="AV393" s="28"/>
      <c r="AW393" s="28"/>
      <c r="AX393" s="28"/>
      <c r="AY393" s="28"/>
      <c r="AZ393" s="28"/>
      <c r="BA393" s="28"/>
      <c r="BB393" s="28"/>
      <c r="BC393" s="28"/>
      <c r="BD393" s="28"/>
      <c r="BE393" s="28"/>
      <c r="BF393" s="28"/>
      <c r="BG393" s="28"/>
      <c r="BH393" s="28"/>
      <c r="BI393" s="28"/>
      <c r="BJ393" s="24"/>
      <c r="BK393" s="28"/>
      <c r="BL393" s="28"/>
      <c r="BM393" s="28"/>
      <c r="BN393" s="28"/>
      <c r="BO393" s="28"/>
      <c r="BP393" s="28"/>
      <c r="BQ393" s="24"/>
      <c r="BR393" s="28"/>
      <c r="BS393" s="28"/>
      <c r="BT393" s="28"/>
      <c r="BU393" s="24"/>
      <c r="BV393" s="28"/>
      <c r="BW393" s="28"/>
      <c r="BX393" s="28"/>
    </row>
    <row r="394" spans="1:76">
      <c r="A394" s="24"/>
      <c r="B394" s="28"/>
      <c r="C394" s="25"/>
      <c r="D394" s="26"/>
      <c r="E394" s="24"/>
      <c r="F394" s="24"/>
      <c r="G394" s="26"/>
      <c r="H394" s="26"/>
      <c r="I394" s="26"/>
      <c r="J394" s="26"/>
      <c r="K394" s="26"/>
      <c r="L394" s="26"/>
      <c r="M394" s="26"/>
      <c r="N394" s="26"/>
      <c r="O394" s="26"/>
      <c r="P394" s="26"/>
      <c r="Q394" s="26"/>
      <c r="S394" s="26"/>
      <c r="T394" s="25"/>
      <c r="U394" s="24"/>
      <c r="V394" s="24"/>
      <c r="W394" s="24"/>
      <c r="X394" s="26"/>
      <c r="Y394" s="26"/>
      <c r="Z394" s="24"/>
      <c r="AA394" s="26"/>
      <c r="AB394" s="25"/>
      <c r="AC394" s="24"/>
      <c r="AD394" s="24"/>
      <c r="AE394" s="24"/>
      <c r="AF394" s="26"/>
      <c r="AG394" s="26"/>
      <c r="AH394" s="24"/>
      <c r="AI394" s="26"/>
      <c r="AJ394" s="25"/>
      <c r="AK394" s="24"/>
      <c r="AL394" s="24"/>
      <c r="AM394" s="24"/>
      <c r="AN394" s="26"/>
      <c r="AO394" s="26"/>
      <c r="AP394" s="24"/>
      <c r="AQ394" s="24"/>
      <c r="AR394" s="24"/>
      <c r="AS394" s="28"/>
      <c r="AT394" s="28"/>
      <c r="AU394" s="28"/>
      <c r="AV394" s="28"/>
      <c r="AW394" s="28"/>
      <c r="AX394" s="28"/>
      <c r="AY394" s="28"/>
      <c r="AZ394" s="28"/>
      <c r="BA394" s="28"/>
      <c r="BB394" s="28"/>
      <c r="BC394" s="28"/>
      <c r="BD394" s="28"/>
      <c r="BE394" s="28"/>
      <c r="BF394" s="28"/>
      <c r="BG394" s="28"/>
      <c r="BH394" s="28"/>
      <c r="BI394" s="28"/>
      <c r="BJ394" s="24"/>
      <c r="BK394" s="28"/>
      <c r="BL394" s="28"/>
      <c r="BM394" s="28"/>
      <c r="BN394" s="28"/>
      <c r="BO394" s="28"/>
      <c r="BP394" s="28"/>
      <c r="BQ394" s="24"/>
      <c r="BR394" s="28"/>
      <c r="BS394" s="28"/>
      <c r="BT394" s="28"/>
      <c r="BU394" s="24"/>
      <c r="BV394" s="28"/>
      <c r="BW394" s="28"/>
      <c r="BX394" s="28"/>
    </row>
    <row r="395" spans="1:76">
      <c r="A395" s="24"/>
      <c r="B395" s="28"/>
      <c r="C395" s="25"/>
      <c r="D395" s="26"/>
      <c r="E395" s="24"/>
      <c r="F395" s="24"/>
      <c r="G395" s="26"/>
      <c r="H395" s="26"/>
      <c r="I395" s="26"/>
      <c r="J395" s="26"/>
      <c r="K395" s="26"/>
      <c r="L395" s="26"/>
      <c r="M395" s="26"/>
      <c r="N395" s="26"/>
      <c r="O395" s="26"/>
      <c r="P395" s="26"/>
      <c r="Q395" s="26"/>
      <c r="S395" s="26"/>
      <c r="T395" s="25"/>
      <c r="U395" s="24"/>
      <c r="V395" s="24"/>
      <c r="W395" s="24"/>
      <c r="X395" s="26"/>
      <c r="Y395" s="26"/>
      <c r="Z395" s="24"/>
      <c r="AA395" s="26"/>
      <c r="AB395" s="25"/>
      <c r="AC395" s="24"/>
      <c r="AD395" s="24"/>
      <c r="AE395" s="24"/>
      <c r="AF395" s="26"/>
      <c r="AG395" s="26"/>
      <c r="AH395" s="24"/>
      <c r="AI395" s="26"/>
      <c r="AJ395" s="25"/>
      <c r="AK395" s="24"/>
      <c r="AL395" s="24"/>
      <c r="AM395" s="24"/>
      <c r="AN395" s="26"/>
      <c r="AO395" s="26"/>
      <c r="AP395" s="24"/>
      <c r="AQ395" s="24"/>
      <c r="AR395" s="24"/>
      <c r="AS395" s="28"/>
      <c r="AT395" s="28"/>
      <c r="AU395" s="28"/>
      <c r="AV395" s="28"/>
      <c r="AW395" s="28"/>
      <c r="AX395" s="28"/>
      <c r="AY395" s="28"/>
      <c r="AZ395" s="28"/>
      <c r="BA395" s="28"/>
      <c r="BB395" s="28"/>
      <c r="BC395" s="28"/>
      <c r="BD395" s="28"/>
      <c r="BE395" s="28"/>
      <c r="BF395" s="28"/>
      <c r="BG395" s="28"/>
      <c r="BH395" s="28"/>
      <c r="BI395" s="28"/>
      <c r="BJ395" s="24"/>
      <c r="BK395" s="28"/>
      <c r="BL395" s="28"/>
      <c r="BM395" s="28"/>
      <c r="BN395" s="28"/>
      <c r="BO395" s="28"/>
      <c r="BP395" s="28"/>
      <c r="BQ395" s="24"/>
      <c r="BR395" s="28"/>
      <c r="BS395" s="28"/>
      <c r="BT395" s="28"/>
      <c r="BU395" s="24"/>
      <c r="BV395" s="28"/>
      <c r="BW395" s="28"/>
      <c r="BX395" s="28"/>
    </row>
    <row r="396" spans="1:76">
      <c r="A396" s="24"/>
      <c r="B396" s="28"/>
      <c r="C396" s="25"/>
      <c r="D396" s="26"/>
      <c r="E396" s="24"/>
      <c r="F396" s="24"/>
      <c r="G396" s="26"/>
      <c r="H396" s="26"/>
      <c r="I396" s="26"/>
      <c r="J396" s="26"/>
      <c r="K396" s="26"/>
      <c r="L396" s="26"/>
      <c r="M396" s="26"/>
      <c r="N396" s="26"/>
      <c r="O396" s="26"/>
      <c r="P396" s="26"/>
      <c r="Q396" s="26"/>
      <c r="S396" s="26"/>
      <c r="T396" s="25"/>
      <c r="U396" s="24"/>
      <c r="V396" s="24"/>
      <c r="W396" s="24"/>
      <c r="X396" s="26"/>
      <c r="Y396" s="26"/>
      <c r="Z396" s="24"/>
      <c r="AA396" s="26"/>
      <c r="AB396" s="25"/>
      <c r="AC396" s="24"/>
      <c r="AD396" s="24"/>
      <c r="AE396" s="24"/>
      <c r="AF396" s="26"/>
      <c r="AG396" s="26"/>
      <c r="AH396" s="24"/>
      <c r="AI396" s="26"/>
      <c r="AJ396" s="25"/>
      <c r="AK396" s="24"/>
      <c r="AL396" s="24"/>
      <c r="AM396" s="24"/>
      <c r="AN396" s="26"/>
      <c r="AO396" s="26"/>
      <c r="AP396" s="24"/>
      <c r="AQ396" s="24"/>
      <c r="AR396" s="24"/>
      <c r="AS396" s="28"/>
      <c r="AT396" s="28"/>
      <c r="AU396" s="28"/>
      <c r="AV396" s="28"/>
      <c r="AW396" s="28"/>
      <c r="AX396" s="28"/>
      <c r="AY396" s="28"/>
      <c r="AZ396" s="28"/>
      <c r="BA396" s="28"/>
      <c r="BB396" s="28"/>
      <c r="BC396" s="28"/>
      <c r="BD396" s="28"/>
      <c r="BE396" s="28"/>
      <c r="BF396" s="28"/>
      <c r="BG396" s="28"/>
      <c r="BH396" s="28"/>
      <c r="BI396" s="28"/>
      <c r="BJ396" s="24"/>
      <c r="BK396" s="28"/>
      <c r="BL396" s="28"/>
      <c r="BM396" s="28"/>
      <c r="BN396" s="28"/>
      <c r="BO396" s="28"/>
      <c r="BP396" s="28"/>
      <c r="BQ396" s="24"/>
      <c r="BR396" s="28"/>
      <c r="BS396" s="28"/>
      <c r="BT396" s="28"/>
      <c r="BU396" s="24"/>
      <c r="BV396" s="28"/>
      <c r="BW396" s="28"/>
      <c r="BX396" s="28"/>
    </row>
    <row r="397" spans="1:76">
      <c r="A397" s="24"/>
      <c r="B397" s="28"/>
      <c r="C397" s="25"/>
      <c r="D397" s="26"/>
      <c r="E397" s="24"/>
      <c r="F397" s="24"/>
      <c r="G397" s="26"/>
      <c r="H397" s="26"/>
      <c r="I397" s="26"/>
      <c r="J397" s="26"/>
      <c r="K397" s="26"/>
      <c r="L397" s="26"/>
      <c r="M397" s="26"/>
      <c r="N397" s="26"/>
      <c r="O397" s="26"/>
      <c r="P397" s="26"/>
      <c r="Q397" s="26"/>
      <c r="S397" s="26"/>
      <c r="T397" s="25"/>
      <c r="U397" s="24"/>
      <c r="V397" s="24"/>
      <c r="W397" s="24"/>
      <c r="X397" s="26"/>
      <c r="Y397" s="26"/>
      <c r="Z397" s="24"/>
      <c r="AA397" s="26"/>
      <c r="AB397" s="25"/>
      <c r="AC397" s="24"/>
      <c r="AD397" s="24"/>
      <c r="AE397" s="24"/>
      <c r="AF397" s="26"/>
      <c r="AG397" s="26"/>
      <c r="AH397" s="24"/>
      <c r="AI397" s="26"/>
      <c r="AJ397" s="25"/>
      <c r="AK397" s="24"/>
      <c r="AL397" s="24"/>
      <c r="AM397" s="24"/>
      <c r="AN397" s="26"/>
      <c r="AO397" s="26"/>
      <c r="AP397" s="24"/>
      <c r="AQ397" s="24"/>
      <c r="AR397" s="24"/>
      <c r="AS397" s="28"/>
      <c r="AT397" s="28"/>
      <c r="AU397" s="28"/>
      <c r="AV397" s="28"/>
      <c r="AW397" s="28"/>
      <c r="AX397" s="28"/>
      <c r="AY397" s="28"/>
      <c r="AZ397" s="28"/>
      <c r="BA397" s="28"/>
      <c r="BB397" s="28"/>
      <c r="BC397" s="28"/>
      <c r="BD397" s="28"/>
      <c r="BE397" s="28"/>
      <c r="BF397" s="28"/>
      <c r="BG397" s="28"/>
      <c r="BH397" s="28"/>
      <c r="BI397" s="28"/>
      <c r="BJ397" s="24"/>
      <c r="BK397" s="28"/>
      <c r="BL397" s="28"/>
      <c r="BM397" s="28"/>
      <c r="BN397" s="28"/>
      <c r="BO397" s="28"/>
      <c r="BP397" s="28"/>
      <c r="BQ397" s="24"/>
      <c r="BR397" s="28"/>
      <c r="BS397" s="28"/>
      <c r="BT397" s="28"/>
      <c r="BU397" s="24"/>
      <c r="BV397" s="28"/>
      <c r="BW397" s="28"/>
      <c r="BX397" s="28"/>
    </row>
    <row r="398" spans="1:76">
      <c r="A398" s="24"/>
      <c r="B398" s="28"/>
      <c r="C398" s="25"/>
      <c r="D398" s="26"/>
      <c r="E398" s="24"/>
      <c r="F398" s="24"/>
      <c r="G398" s="26"/>
      <c r="H398" s="26"/>
      <c r="I398" s="26"/>
      <c r="J398" s="26"/>
      <c r="K398" s="26"/>
      <c r="L398" s="26"/>
      <c r="M398" s="26"/>
      <c r="N398" s="26"/>
      <c r="O398" s="26"/>
      <c r="P398" s="26"/>
      <c r="Q398" s="26"/>
      <c r="S398" s="26"/>
      <c r="T398" s="25"/>
      <c r="U398" s="24"/>
      <c r="V398" s="24"/>
      <c r="W398" s="24"/>
      <c r="X398" s="26"/>
      <c r="Y398" s="26"/>
      <c r="Z398" s="24"/>
      <c r="AA398" s="26"/>
      <c r="AB398" s="25"/>
      <c r="AC398" s="24"/>
      <c r="AD398" s="24"/>
      <c r="AE398" s="24"/>
      <c r="AF398" s="26"/>
      <c r="AG398" s="26"/>
      <c r="AH398" s="24"/>
      <c r="AI398" s="26"/>
      <c r="AJ398" s="25"/>
      <c r="AK398" s="24"/>
      <c r="AL398" s="24"/>
      <c r="AM398" s="24"/>
      <c r="AN398" s="26"/>
      <c r="AO398" s="26"/>
      <c r="AP398" s="24"/>
      <c r="AQ398" s="24"/>
      <c r="AR398" s="24"/>
      <c r="AS398" s="28"/>
      <c r="AT398" s="28"/>
      <c r="AU398" s="28"/>
      <c r="AV398" s="28"/>
      <c r="AW398" s="28"/>
      <c r="AX398" s="28"/>
      <c r="AY398" s="28"/>
      <c r="AZ398" s="28"/>
      <c r="BA398" s="28"/>
      <c r="BB398" s="28"/>
      <c r="BC398" s="28"/>
      <c r="BD398" s="28"/>
      <c r="BE398" s="28"/>
      <c r="BF398" s="28"/>
      <c r="BG398" s="28"/>
      <c r="BH398" s="28"/>
      <c r="BI398" s="28"/>
      <c r="BJ398" s="24"/>
      <c r="BK398" s="28"/>
      <c r="BL398" s="28"/>
      <c r="BM398" s="28"/>
      <c r="BN398" s="28"/>
      <c r="BO398" s="28"/>
      <c r="BP398" s="28"/>
      <c r="BQ398" s="24"/>
      <c r="BR398" s="28"/>
      <c r="BS398" s="28"/>
      <c r="BT398" s="28"/>
      <c r="BU398" s="24"/>
      <c r="BV398" s="28"/>
      <c r="BW398" s="28"/>
      <c r="BX398" s="28"/>
    </row>
    <row r="399" spans="1:76">
      <c r="A399" s="24"/>
      <c r="B399" s="28"/>
      <c r="C399" s="25"/>
      <c r="D399" s="26"/>
      <c r="E399" s="24"/>
      <c r="F399" s="24"/>
      <c r="G399" s="26"/>
      <c r="H399" s="26"/>
      <c r="I399" s="26"/>
      <c r="J399" s="26"/>
      <c r="K399" s="26"/>
      <c r="L399" s="26"/>
      <c r="M399" s="26"/>
      <c r="N399" s="26"/>
      <c r="O399" s="26"/>
      <c r="P399" s="26"/>
      <c r="Q399" s="26"/>
      <c r="S399" s="26"/>
      <c r="T399" s="25"/>
      <c r="U399" s="24"/>
      <c r="V399" s="24"/>
      <c r="W399" s="24"/>
      <c r="X399" s="26"/>
      <c r="Y399" s="26"/>
      <c r="Z399" s="24"/>
      <c r="AA399" s="26"/>
      <c r="AB399" s="25"/>
      <c r="AC399" s="24"/>
      <c r="AD399" s="24"/>
      <c r="AE399" s="24"/>
      <c r="AF399" s="26"/>
      <c r="AG399" s="26"/>
      <c r="AH399" s="24"/>
      <c r="AI399" s="26"/>
      <c r="AJ399" s="25"/>
      <c r="AK399" s="24"/>
      <c r="AL399" s="24"/>
      <c r="AM399" s="24"/>
      <c r="AN399" s="26"/>
      <c r="AO399" s="26"/>
      <c r="AP399" s="24"/>
      <c r="AQ399" s="24"/>
      <c r="AR399" s="24"/>
      <c r="AS399" s="28"/>
      <c r="AT399" s="28"/>
      <c r="AU399" s="28"/>
      <c r="AV399" s="28"/>
      <c r="AW399" s="28"/>
      <c r="AX399" s="28"/>
      <c r="AY399" s="28"/>
      <c r="AZ399" s="28"/>
      <c r="BA399" s="28"/>
      <c r="BB399" s="28"/>
      <c r="BC399" s="28"/>
      <c r="BD399" s="28"/>
      <c r="BE399" s="28"/>
      <c r="BF399" s="28"/>
      <c r="BG399" s="28"/>
      <c r="BH399" s="28"/>
      <c r="BI399" s="28"/>
      <c r="BJ399" s="24"/>
      <c r="BK399" s="28"/>
      <c r="BL399" s="28"/>
      <c r="BM399" s="28"/>
      <c r="BN399" s="28"/>
      <c r="BO399" s="28"/>
      <c r="BP399" s="28"/>
      <c r="BQ399" s="24"/>
      <c r="BR399" s="28"/>
      <c r="BS399" s="28"/>
      <c r="BT399" s="28"/>
      <c r="BU399" s="24"/>
      <c r="BV399" s="28"/>
      <c r="BW399" s="28"/>
      <c r="BX399" s="28"/>
    </row>
    <row r="400" spans="1:76">
      <c r="A400" s="24"/>
      <c r="B400" s="28"/>
      <c r="C400" s="25"/>
      <c r="D400" s="26"/>
      <c r="E400" s="24"/>
      <c r="F400" s="24"/>
      <c r="G400" s="26"/>
      <c r="H400" s="26"/>
      <c r="I400" s="26"/>
      <c r="J400" s="26"/>
      <c r="K400" s="26"/>
      <c r="L400" s="26"/>
      <c r="M400" s="26"/>
      <c r="N400" s="26"/>
      <c r="O400" s="26"/>
      <c r="P400" s="26"/>
      <c r="Q400" s="26"/>
      <c r="S400" s="26"/>
      <c r="T400" s="25"/>
      <c r="U400" s="24"/>
      <c r="V400" s="24"/>
      <c r="W400" s="24"/>
      <c r="X400" s="26"/>
      <c r="Y400" s="26"/>
      <c r="Z400" s="24"/>
      <c r="AA400" s="26"/>
      <c r="AB400" s="25"/>
      <c r="AC400" s="24"/>
      <c r="AD400" s="24"/>
      <c r="AE400" s="24"/>
      <c r="AF400" s="26"/>
      <c r="AG400" s="26"/>
      <c r="AH400" s="24"/>
      <c r="AI400" s="26"/>
      <c r="AJ400" s="25"/>
      <c r="AK400" s="24"/>
      <c r="AL400" s="24"/>
      <c r="AM400" s="24"/>
      <c r="AN400" s="26"/>
      <c r="AO400" s="26"/>
      <c r="AP400" s="24"/>
      <c r="AQ400" s="24"/>
      <c r="AR400" s="24"/>
      <c r="AS400" s="28"/>
      <c r="AT400" s="28"/>
      <c r="AU400" s="28"/>
      <c r="AV400" s="28"/>
      <c r="AW400" s="28"/>
      <c r="AX400" s="28"/>
      <c r="AY400" s="28"/>
      <c r="AZ400" s="28"/>
      <c r="BA400" s="28"/>
      <c r="BB400" s="28"/>
      <c r="BC400" s="28"/>
      <c r="BD400" s="28"/>
      <c r="BE400" s="28"/>
      <c r="BF400" s="28"/>
      <c r="BG400" s="28"/>
      <c r="BH400" s="28"/>
      <c r="BI400" s="28"/>
      <c r="BJ400" s="24"/>
      <c r="BK400" s="28"/>
      <c r="BL400" s="28"/>
      <c r="BM400" s="28"/>
      <c r="BN400" s="28"/>
      <c r="BO400" s="28"/>
      <c r="BP400" s="28"/>
      <c r="BQ400" s="24"/>
      <c r="BR400" s="28"/>
      <c r="BS400" s="28"/>
      <c r="BT400" s="28"/>
      <c r="BU400" s="24"/>
      <c r="BV400" s="28"/>
      <c r="BW400" s="28"/>
      <c r="BX400" s="28"/>
    </row>
    <row r="401" spans="1:76">
      <c r="A401" s="24"/>
      <c r="B401" s="28"/>
      <c r="C401" s="25"/>
      <c r="D401" s="26"/>
      <c r="E401" s="24"/>
      <c r="F401" s="24"/>
      <c r="G401" s="26"/>
      <c r="H401" s="26"/>
      <c r="I401" s="26"/>
      <c r="J401" s="26"/>
      <c r="K401" s="26"/>
      <c r="L401" s="26"/>
      <c r="M401" s="26"/>
      <c r="N401" s="26"/>
      <c r="O401" s="26"/>
      <c r="P401" s="26"/>
      <c r="Q401" s="26"/>
      <c r="S401" s="26"/>
      <c r="T401" s="25"/>
      <c r="U401" s="24"/>
      <c r="V401" s="24"/>
      <c r="W401" s="24"/>
      <c r="X401" s="26"/>
      <c r="Y401" s="26"/>
      <c r="Z401" s="24"/>
      <c r="AA401" s="26"/>
      <c r="AB401" s="25"/>
      <c r="AC401" s="24"/>
      <c r="AD401" s="24"/>
      <c r="AE401" s="24"/>
      <c r="AF401" s="26"/>
      <c r="AG401" s="26"/>
      <c r="AH401" s="24"/>
      <c r="AI401" s="26"/>
      <c r="AJ401" s="25"/>
      <c r="AK401" s="24"/>
      <c r="AL401" s="24"/>
      <c r="AM401" s="24"/>
      <c r="AN401" s="26"/>
      <c r="AO401" s="26"/>
      <c r="AP401" s="24"/>
      <c r="AQ401" s="24"/>
      <c r="AR401" s="24"/>
      <c r="AS401" s="28"/>
      <c r="AT401" s="28"/>
      <c r="AU401" s="28"/>
      <c r="AV401" s="28"/>
      <c r="AW401" s="28"/>
      <c r="AX401" s="28"/>
      <c r="AY401" s="28"/>
      <c r="AZ401" s="28"/>
      <c r="BA401" s="28"/>
      <c r="BB401" s="28"/>
      <c r="BC401" s="28"/>
      <c r="BD401" s="28"/>
      <c r="BE401" s="28"/>
      <c r="BF401" s="28"/>
      <c r="BG401" s="28"/>
      <c r="BH401" s="28"/>
      <c r="BI401" s="28"/>
      <c r="BJ401" s="24"/>
      <c r="BK401" s="28"/>
      <c r="BL401" s="28"/>
      <c r="BM401" s="28"/>
      <c r="BN401" s="28"/>
      <c r="BO401" s="28"/>
      <c r="BP401" s="28"/>
      <c r="BQ401" s="24"/>
      <c r="BR401" s="28"/>
      <c r="BS401" s="28"/>
      <c r="BT401" s="28"/>
      <c r="BU401" s="24"/>
      <c r="BV401" s="28"/>
      <c r="BW401" s="28"/>
      <c r="BX401" s="28"/>
    </row>
    <row r="402" spans="1:76">
      <c r="A402" s="24"/>
      <c r="B402" s="28"/>
      <c r="C402" s="25"/>
      <c r="D402" s="26"/>
      <c r="E402" s="24"/>
      <c r="F402" s="24"/>
      <c r="G402" s="26"/>
      <c r="H402" s="26"/>
      <c r="I402" s="26"/>
      <c r="J402" s="26"/>
      <c r="K402" s="26"/>
      <c r="L402" s="26"/>
      <c r="M402" s="26"/>
      <c r="N402" s="26"/>
      <c r="O402" s="26"/>
      <c r="P402" s="26"/>
      <c r="Q402" s="26"/>
      <c r="S402" s="26"/>
      <c r="T402" s="25"/>
      <c r="U402" s="24"/>
      <c r="V402" s="24"/>
      <c r="W402" s="24"/>
      <c r="X402" s="26"/>
      <c r="Y402" s="26"/>
      <c r="Z402" s="24"/>
      <c r="AA402" s="26"/>
      <c r="AB402" s="25"/>
      <c r="AC402" s="24"/>
      <c r="AD402" s="24"/>
      <c r="AE402" s="24"/>
      <c r="AF402" s="26"/>
      <c r="AG402" s="26"/>
      <c r="AH402" s="24"/>
      <c r="AI402" s="26"/>
      <c r="AJ402" s="25"/>
      <c r="AK402" s="24"/>
      <c r="AL402" s="24"/>
      <c r="AM402" s="24"/>
      <c r="AN402" s="26"/>
      <c r="AO402" s="26"/>
      <c r="AP402" s="24"/>
      <c r="AQ402" s="24"/>
      <c r="AR402" s="24"/>
      <c r="AS402" s="28"/>
      <c r="AT402" s="28"/>
      <c r="AU402" s="28"/>
      <c r="AV402" s="28"/>
      <c r="AW402" s="28"/>
      <c r="AX402" s="28"/>
      <c r="AY402" s="28"/>
      <c r="AZ402" s="28"/>
      <c r="BA402" s="28"/>
      <c r="BB402" s="28"/>
      <c r="BC402" s="28"/>
      <c r="BD402" s="28"/>
      <c r="BE402" s="28"/>
      <c r="BF402" s="28"/>
      <c r="BG402" s="28"/>
      <c r="BH402" s="28"/>
      <c r="BI402" s="28"/>
      <c r="BJ402" s="24"/>
      <c r="BK402" s="28"/>
      <c r="BL402" s="28"/>
      <c r="BM402" s="28"/>
      <c r="BN402" s="28"/>
      <c r="BO402" s="28"/>
      <c r="BP402" s="28"/>
      <c r="BQ402" s="24"/>
      <c r="BR402" s="28"/>
      <c r="BS402" s="28"/>
      <c r="BT402" s="28"/>
      <c r="BU402" s="24"/>
      <c r="BV402" s="28"/>
      <c r="BW402" s="28"/>
      <c r="BX402" s="28"/>
    </row>
    <row r="403" spans="1:76">
      <c r="A403" s="24"/>
      <c r="B403" s="28"/>
      <c r="C403" s="25"/>
      <c r="D403" s="26"/>
      <c r="E403" s="24"/>
      <c r="F403" s="24"/>
      <c r="G403" s="26"/>
      <c r="H403" s="26"/>
      <c r="I403" s="26"/>
      <c r="J403" s="26"/>
      <c r="K403" s="26"/>
      <c r="L403" s="26"/>
      <c r="M403" s="26"/>
      <c r="N403" s="26"/>
      <c r="O403" s="26"/>
      <c r="P403" s="26"/>
      <c r="Q403" s="26"/>
      <c r="S403" s="26"/>
      <c r="T403" s="25"/>
      <c r="U403" s="24"/>
      <c r="V403" s="24"/>
      <c r="W403" s="24"/>
      <c r="X403" s="26"/>
      <c r="Y403" s="26"/>
      <c r="Z403" s="24"/>
      <c r="AA403" s="26"/>
      <c r="AB403" s="25"/>
      <c r="AC403" s="24"/>
      <c r="AD403" s="24"/>
      <c r="AE403" s="24"/>
      <c r="AF403" s="26"/>
      <c r="AG403" s="26"/>
      <c r="AH403" s="24"/>
      <c r="AI403" s="26"/>
      <c r="AJ403" s="25"/>
      <c r="AK403" s="24"/>
      <c r="AL403" s="24"/>
      <c r="AM403" s="24"/>
      <c r="AN403" s="26"/>
      <c r="AO403" s="26"/>
      <c r="AP403" s="24"/>
      <c r="AQ403" s="24"/>
      <c r="AR403" s="24"/>
      <c r="AS403" s="28"/>
      <c r="AT403" s="28"/>
      <c r="AU403" s="28"/>
      <c r="AV403" s="28"/>
      <c r="AW403" s="28"/>
      <c r="AX403" s="28"/>
      <c r="AY403" s="28"/>
      <c r="AZ403" s="28"/>
      <c r="BA403" s="28"/>
      <c r="BB403" s="28"/>
      <c r="BC403" s="28"/>
      <c r="BD403" s="28"/>
      <c r="BE403" s="28"/>
      <c r="BF403" s="28"/>
      <c r="BG403" s="28"/>
      <c r="BH403" s="28"/>
      <c r="BI403" s="28"/>
      <c r="BJ403" s="24"/>
      <c r="BK403" s="28"/>
      <c r="BL403" s="28"/>
      <c r="BM403" s="28"/>
      <c r="BN403" s="28"/>
      <c r="BO403" s="28"/>
      <c r="BP403" s="28"/>
      <c r="BQ403" s="24"/>
      <c r="BR403" s="28"/>
      <c r="BS403" s="28"/>
      <c r="BT403" s="28"/>
      <c r="BU403" s="24"/>
      <c r="BV403" s="28"/>
      <c r="BW403" s="28"/>
      <c r="BX403" s="28"/>
    </row>
    <row r="404" spans="1:76">
      <c r="A404" s="24"/>
      <c r="B404" s="28"/>
      <c r="C404" s="25"/>
      <c r="D404" s="26"/>
      <c r="E404" s="24"/>
      <c r="F404" s="24"/>
      <c r="G404" s="26"/>
      <c r="H404" s="26"/>
      <c r="I404" s="26"/>
      <c r="J404" s="26"/>
      <c r="K404" s="26"/>
      <c r="L404" s="26"/>
      <c r="M404" s="26"/>
      <c r="N404" s="26"/>
      <c r="O404" s="26"/>
      <c r="P404" s="26"/>
      <c r="Q404" s="26"/>
      <c r="S404" s="26"/>
      <c r="T404" s="25"/>
      <c r="U404" s="24"/>
      <c r="V404" s="24"/>
      <c r="W404" s="24"/>
      <c r="X404" s="26"/>
      <c r="Y404" s="26"/>
      <c r="Z404" s="24"/>
      <c r="AA404" s="26"/>
      <c r="AB404" s="25"/>
      <c r="AC404" s="24"/>
      <c r="AD404" s="24"/>
      <c r="AE404" s="24"/>
      <c r="AF404" s="26"/>
      <c r="AG404" s="26"/>
      <c r="AH404" s="24"/>
      <c r="AI404" s="26"/>
      <c r="AJ404" s="25"/>
      <c r="AK404" s="24"/>
      <c r="AL404" s="24"/>
      <c r="AM404" s="24"/>
      <c r="AN404" s="26"/>
      <c r="AO404" s="26"/>
      <c r="AP404" s="24"/>
      <c r="AQ404" s="24"/>
      <c r="AR404" s="24"/>
      <c r="AS404" s="28"/>
      <c r="AT404" s="28"/>
      <c r="AU404" s="28"/>
      <c r="AV404" s="28"/>
      <c r="AW404" s="28"/>
      <c r="AX404" s="28"/>
      <c r="AY404" s="28"/>
      <c r="AZ404" s="28"/>
      <c r="BA404" s="28"/>
      <c r="BB404" s="28"/>
      <c r="BC404" s="28"/>
      <c r="BD404" s="28"/>
      <c r="BE404" s="28"/>
      <c r="BF404" s="28"/>
      <c r="BG404" s="28"/>
      <c r="BH404" s="28"/>
      <c r="BI404" s="28"/>
      <c r="BJ404" s="24"/>
      <c r="BK404" s="28"/>
      <c r="BL404" s="28"/>
      <c r="BM404" s="28"/>
      <c r="BN404" s="28"/>
      <c r="BO404" s="28"/>
      <c r="BP404" s="28"/>
      <c r="BQ404" s="24"/>
      <c r="BR404" s="28"/>
      <c r="BS404" s="28"/>
      <c r="BT404" s="28"/>
      <c r="BU404" s="24"/>
      <c r="BV404" s="28"/>
      <c r="BW404" s="28"/>
      <c r="BX404" s="28"/>
    </row>
    <row r="405" spans="1:76">
      <c r="A405" s="24"/>
      <c r="B405" s="28"/>
      <c r="C405" s="25"/>
      <c r="D405" s="26"/>
      <c r="E405" s="24"/>
      <c r="F405" s="24"/>
      <c r="G405" s="26"/>
      <c r="H405" s="26"/>
      <c r="I405" s="26"/>
      <c r="J405" s="26"/>
      <c r="K405" s="26"/>
      <c r="L405" s="26"/>
      <c r="M405" s="26"/>
      <c r="N405" s="26"/>
      <c r="O405" s="26"/>
      <c r="P405" s="26"/>
      <c r="Q405" s="26"/>
      <c r="S405" s="26"/>
      <c r="T405" s="25"/>
      <c r="U405" s="24"/>
      <c r="V405" s="24"/>
      <c r="W405" s="24"/>
      <c r="X405" s="26"/>
      <c r="Y405" s="26"/>
      <c r="Z405" s="24"/>
      <c r="AA405" s="26"/>
      <c r="AB405" s="25"/>
      <c r="AC405" s="24"/>
      <c r="AD405" s="24"/>
      <c r="AE405" s="24"/>
      <c r="AF405" s="26"/>
      <c r="AG405" s="26"/>
      <c r="AH405" s="24"/>
      <c r="AI405" s="26"/>
      <c r="AJ405" s="25"/>
      <c r="AK405" s="24"/>
      <c r="AL405" s="24"/>
      <c r="AM405" s="24"/>
      <c r="AN405" s="26"/>
      <c r="AO405" s="26"/>
      <c r="AP405" s="24"/>
      <c r="AQ405" s="24"/>
      <c r="AR405" s="24"/>
      <c r="AS405" s="28"/>
      <c r="AT405" s="28"/>
      <c r="AU405" s="28"/>
      <c r="AV405" s="28"/>
      <c r="AW405" s="28"/>
      <c r="AX405" s="28"/>
      <c r="AY405" s="28"/>
      <c r="AZ405" s="28"/>
      <c r="BA405" s="28"/>
      <c r="BB405" s="28"/>
      <c r="BC405" s="28"/>
      <c r="BD405" s="28"/>
      <c r="BE405" s="28"/>
      <c r="BF405" s="28"/>
      <c r="BG405" s="28"/>
      <c r="BH405" s="28"/>
      <c r="BI405" s="28"/>
      <c r="BJ405" s="24"/>
      <c r="BK405" s="28"/>
      <c r="BL405" s="28"/>
      <c r="BM405" s="28"/>
      <c r="BN405" s="28"/>
      <c r="BO405" s="28"/>
      <c r="BP405" s="28"/>
      <c r="BQ405" s="24"/>
      <c r="BR405" s="28"/>
      <c r="BS405" s="28"/>
      <c r="BT405" s="28"/>
      <c r="BU405" s="24"/>
      <c r="BV405" s="28"/>
      <c r="BW405" s="28"/>
      <c r="BX405" s="28"/>
    </row>
    <row r="406" spans="1:76">
      <c r="A406" s="24"/>
      <c r="B406" s="28"/>
      <c r="C406" s="25"/>
      <c r="D406" s="26"/>
      <c r="E406" s="24"/>
      <c r="F406" s="24"/>
      <c r="G406" s="26"/>
      <c r="H406" s="26"/>
      <c r="I406" s="26"/>
      <c r="J406" s="26"/>
      <c r="K406" s="26"/>
      <c r="L406" s="26"/>
      <c r="M406" s="26"/>
      <c r="N406" s="26"/>
      <c r="O406" s="26"/>
      <c r="P406" s="26"/>
      <c r="Q406" s="26"/>
      <c r="S406" s="26"/>
      <c r="T406" s="25"/>
      <c r="U406" s="24"/>
      <c r="V406" s="24"/>
      <c r="W406" s="24"/>
      <c r="X406" s="26"/>
      <c r="Y406" s="26"/>
      <c r="Z406" s="24"/>
      <c r="AA406" s="26"/>
      <c r="AB406" s="25"/>
      <c r="AC406" s="24"/>
      <c r="AD406" s="24"/>
      <c r="AE406" s="24"/>
      <c r="AF406" s="26"/>
      <c r="AG406" s="26"/>
      <c r="AH406" s="24"/>
      <c r="AI406" s="26"/>
      <c r="AJ406" s="25"/>
      <c r="AK406" s="24"/>
      <c r="AL406" s="24"/>
      <c r="AM406" s="24"/>
      <c r="AN406" s="26"/>
      <c r="AO406" s="26"/>
      <c r="AP406" s="24"/>
      <c r="AQ406" s="24"/>
      <c r="AR406" s="24"/>
      <c r="AS406" s="28"/>
      <c r="AT406" s="28"/>
      <c r="AU406" s="28"/>
      <c r="AV406" s="28"/>
      <c r="AW406" s="28"/>
      <c r="AX406" s="28"/>
      <c r="AY406" s="28"/>
      <c r="AZ406" s="28"/>
      <c r="BA406" s="28"/>
      <c r="BB406" s="28"/>
      <c r="BC406" s="28"/>
      <c r="BD406" s="28"/>
      <c r="BE406" s="28"/>
      <c r="BF406" s="28"/>
      <c r="BG406" s="28"/>
      <c r="BH406" s="28"/>
      <c r="BI406" s="28"/>
      <c r="BJ406" s="24"/>
      <c r="BK406" s="28"/>
      <c r="BL406" s="28"/>
      <c r="BM406" s="28"/>
      <c r="BN406" s="28"/>
      <c r="BO406" s="28"/>
      <c r="BP406" s="28"/>
      <c r="BQ406" s="24"/>
      <c r="BR406" s="28"/>
      <c r="BS406" s="28"/>
      <c r="BT406" s="28"/>
      <c r="BU406" s="24"/>
      <c r="BV406" s="28"/>
      <c r="BW406" s="28"/>
      <c r="BX406" s="28"/>
    </row>
    <row r="407" spans="1:76">
      <c r="A407" s="24"/>
      <c r="B407" s="28"/>
      <c r="C407" s="25"/>
      <c r="D407" s="26"/>
      <c r="E407" s="24"/>
      <c r="F407" s="24"/>
      <c r="G407" s="26"/>
      <c r="H407" s="26"/>
      <c r="I407" s="26"/>
      <c r="J407" s="26"/>
      <c r="K407" s="26"/>
      <c r="L407" s="26"/>
      <c r="M407" s="26"/>
      <c r="N407" s="26"/>
      <c r="O407" s="26"/>
      <c r="P407" s="26"/>
      <c r="Q407" s="26"/>
      <c r="S407" s="26"/>
      <c r="T407" s="25"/>
      <c r="U407" s="24"/>
      <c r="V407" s="24"/>
      <c r="W407" s="24"/>
      <c r="X407" s="26"/>
      <c r="Y407" s="26"/>
      <c r="Z407" s="24"/>
      <c r="AA407" s="26"/>
      <c r="AB407" s="25"/>
      <c r="AC407" s="24"/>
      <c r="AD407" s="24"/>
      <c r="AE407" s="24"/>
      <c r="AF407" s="26"/>
      <c r="AG407" s="26"/>
      <c r="AH407" s="24"/>
      <c r="AI407" s="26"/>
      <c r="AJ407" s="25"/>
      <c r="AK407" s="24"/>
      <c r="AL407" s="24"/>
      <c r="AM407" s="24"/>
      <c r="AN407" s="26"/>
      <c r="AO407" s="26"/>
      <c r="AP407" s="24"/>
      <c r="AQ407" s="24"/>
      <c r="AR407" s="24"/>
      <c r="AS407" s="28"/>
      <c r="AT407" s="28"/>
      <c r="AU407" s="28"/>
      <c r="AV407" s="28"/>
      <c r="AW407" s="28"/>
      <c r="AX407" s="28"/>
      <c r="AY407" s="28"/>
      <c r="AZ407" s="28"/>
      <c r="BA407" s="28"/>
      <c r="BB407" s="28"/>
      <c r="BC407" s="28"/>
      <c r="BD407" s="28"/>
      <c r="BE407" s="28"/>
      <c r="BF407" s="28"/>
      <c r="BG407" s="28"/>
      <c r="BH407" s="28"/>
      <c r="BI407" s="28"/>
      <c r="BJ407" s="24"/>
      <c r="BK407" s="28"/>
      <c r="BL407" s="28"/>
      <c r="BM407" s="28"/>
      <c r="BN407" s="28"/>
      <c r="BO407" s="28"/>
      <c r="BP407" s="28"/>
      <c r="BQ407" s="24"/>
      <c r="BR407" s="28"/>
      <c r="BS407" s="28"/>
      <c r="BT407" s="28"/>
      <c r="BU407" s="24"/>
      <c r="BV407" s="28"/>
      <c r="BW407" s="28"/>
      <c r="BX407" s="28"/>
    </row>
    <row r="408" spans="1:76">
      <c r="A408" s="24"/>
      <c r="B408" s="28"/>
      <c r="C408" s="25"/>
      <c r="D408" s="26"/>
      <c r="E408" s="24"/>
      <c r="F408" s="24"/>
      <c r="G408" s="26"/>
      <c r="H408" s="26"/>
      <c r="I408" s="26"/>
      <c r="J408" s="26"/>
      <c r="K408" s="26"/>
      <c r="L408" s="26"/>
      <c r="M408" s="26"/>
      <c r="N408" s="26"/>
      <c r="O408" s="26"/>
      <c r="P408" s="26"/>
      <c r="Q408" s="26"/>
      <c r="S408" s="26"/>
      <c r="T408" s="25"/>
      <c r="U408" s="24"/>
      <c r="V408" s="24"/>
      <c r="W408" s="24"/>
      <c r="X408" s="26"/>
      <c r="Y408" s="26"/>
      <c r="Z408" s="24"/>
      <c r="AA408" s="26"/>
      <c r="AB408" s="25"/>
      <c r="AC408" s="24"/>
      <c r="AD408" s="24"/>
      <c r="AE408" s="24"/>
      <c r="AF408" s="26"/>
      <c r="AG408" s="26"/>
      <c r="AH408" s="24"/>
      <c r="AI408" s="26"/>
      <c r="AJ408" s="25"/>
      <c r="AK408" s="24"/>
      <c r="AL408" s="24"/>
      <c r="AM408" s="24"/>
      <c r="AN408" s="26"/>
      <c r="AO408" s="26"/>
      <c r="AP408" s="24"/>
      <c r="AQ408" s="24"/>
      <c r="AR408" s="24"/>
      <c r="AS408" s="28"/>
      <c r="AT408" s="28"/>
      <c r="AU408" s="28"/>
      <c r="AV408" s="28"/>
      <c r="AW408" s="28"/>
      <c r="AX408" s="28"/>
      <c r="AY408" s="28"/>
      <c r="AZ408" s="28"/>
      <c r="BA408" s="28"/>
      <c r="BB408" s="28"/>
      <c r="BC408" s="28"/>
      <c r="BD408" s="28"/>
      <c r="BE408" s="28"/>
      <c r="BF408" s="28"/>
      <c r="BG408" s="28"/>
      <c r="BH408" s="28"/>
      <c r="BI408" s="28"/>
      <c r="BJ408" s="24"/>
      <c r="BK408" s="28"/>
      <c r="BL408" s="28"/>
      <c r="BM408" s="28"/>
      <c r="BN408" s="28"/>
      <c r="BO408" s="28"/>
      <c r="BP408" s="28"/>
      <c r="BQ408" s="24"/>
      <c r="BR408" s="28"/>
      <c r="BS408" s="28"/>
      <c r="BT408" s="28"/>
      <c r="BU408" s="24"/>
      <c r="BV408" s="28"/>
      <c r="BW408" s="28"/>
      <c r="BX408" s="28"/>
    </row>
    <row r="409" spans="1:76">
      <c r="A409" s="24"/>
      <c r="B409" s="28"/>
      <c r="C409" s="25"/>
      <c r="D409" s="26"/>
      <c r="E409" s="24"/>
      <c r="F409" s="24"/>
      <c r="G409" s="26"/>
      <c r="H409" s="26"/>
      <c r="I409" s="26"/>
      <c r="J409" s="26"/>
      <c r="K409" s="26"/>
      <c r="L409" s="26"/>
      <c r="M409" s="26"/>
      <c r="N409" s="26"/>
      <c r="O409" s="26"/>
      <c r="P409" s="26"/>
      <c r="Q409" s="26"/>
      <c r="S409" s="26"/>
      <c r="T409" s="25"/>
      <c r="U409" s="24"/>
      <c r="V409" s="24"/>
      <c r="W409" s="24"/>
      <c r="X409" s="26"/>
      <c r="Y409" s="26"/>
      <c r="Z409" s="24"/>
      <c r="AA409" s="26"/>
      <c r="AB409" s="25"/>
      <c r="AC409" s="24"/>
      <c r="AD409" s="24"/>
      <c r="AE409" s="24"/>
      <c r="AF409" s="26"/>
      <c r="AG409" s="26"/>
      <c r="AH409" s="24"/>
      <c r="AI409" s="26"/>
      <c r="AJ409" s="25"/>
      <c r="AK409" s="24"/>
      <c r="AL409" s="24"/>
      <c r="AM409" s="24"/>
      <c r="AN409" s="26"/>
      <c r="AO409" s="26"/>
      <c r="AP409" s="24"/>
      <c r="AQ409" s="24"/>
      <c r="AR409" s="24"/>
      <c r="AS409" s="28"/>
      <c r="AT409" s="28"/>
      <c r="AU409" s="28"/>
      <c r="AV409" s="28"/>
      <c r="AW409" s="28"/>
      <c r="AX409" s="28"/>
      <c r="AY409" s="28"/>
      <c r="AZ409" s="28"/>
      <c r="BA409" s="28"/>
      <c r="BB409" s="28"/>
      <c r="BC409" s="28"/>
      <c r="BD409" s="28"/>
      <c r="BE409" s="28"/>
      <c r="BF409" s="28"/>
      <c r="BG409" s="28"/>
      <c r="BH409" s="28"/>
      <c r="BI409" s="28"/>
      <c r="BJ409" s="24"/>
      <c r="BK409" s="28"/>
      <c r="BL409" s="28"/>
      <c r="BM409" s="28"/>
      <c r="BN409" s="28"/>
      <c r="BO409" s="28"/>
      <c r="BP409" s="28"/>
      <c r="BQ409" s="24"/>
      <c r="BR409" s="28"/>
      <c r="BS409" s="28"/>
      <c r="BT409" s="28"/>
      <c r="BU409" s="24"/>
      <c r="BV409" s="28"/>
      <c r="BW409" s="28"/>
      <c r="BX409" s="28"/>
    </row>
    <row r="410" spans="1:76">
      <c r="A410" s="24"/>
      <c r="B410" s="28"/>
      <c r="C410" s="25"/>
      <c r="D410" s="26"/>
      <c r="E410" s="24"/>
      <c r="F410" s="24"/>
      <c r="G410" s="26"/>
      <c r="H410" s="26"/>
      <c r="I410" s="26"/>
      <c r="J410" s="26"/>
      <c r="K410" s="26"/>
      <c r="L410" s="26"/>
      <c r="M410" s="26"/>
      <c r="N410" s="26"/>
      <c r="O410" s="26"/>
      <c r="P410" s="26"/>
      <c r="Q410" s="26"/>
      <c r="S410" s="26"/>
      <c r="T410" s="25"/>
      <c r="U410" s="24"/>
      <c r="V410" s="24"/>
      <c r="W410" s="24"/>
      <c r="X410" s="26"/>
      <c r="Y410" s="26"/>
      <c r="Z410" s="24"/>
      <c r="AA410" s="26"/>
      <c r="AB410" s="25"/>
      <c r="AC410" s="24"/>
      <c r="AD410" s="24"/>
      <c r="AE410" s="24"/>
      <c r="AF410" s="26"/>
      <c r="AG410" s="26"/>
      <c r="AH410" s="24"/>
      <c r="AI410" s="26"/>
      <c r="AJ410" s="25"/>
      <c r="AK410" s="24"/>
      <c r="AL410" s="24"/>
      <c r="AM410" s="24"/>
      <c r="AN410" s="26"/>
      <c r="AO410" s="26"/>
      <c r="AP410" s="24"/>
      <c r="AQ410" s="24"/>
      <c r="AR410" s="24"/>
      <c r="AS410" s="28"/>
      <c r="AT410" s="28"/>
      <c r="AU410" s="28"/>
      <c r="AV410" s="28"/>
      <c r="AW410" s="28"/>
      <c r="AX410" s="28"/>
      <c r="AY410" s="28"/>
      <c r="AZ410" s="28"/>
      <c r="BA410" s="28"/>
      <c r="BB410" s="28"/>
      <c r="BC410" s="28"/>
      <c r="BD410" s="28"/>
      <c r="BE410" s="28"/>
      <c r="BF410" s="28"/>
      <c r="BG410" s="28"/>
      <c r="BH410" s="28"/>
      <c r="BI410" s="28"/>
      <c r="BJ410" s="24"/>
      <c r="BK410" s="28"/>
      <c r="BL410" s="28"/>
      <c r="BM410" s="28"/>
      <c r="BN410" s="28"/>
      <c r="BO410" s="28"/>
      <c r="BP410" s="28"/>
      <c r="BQ410" s="24"/>
      <c r="BR410" s="28"/>
      <c r="BS410" s="28"/>
      <c r="BT410" s="28"/>
      <c r="BU410" s="24"/>
      <c r="BV410" s="28"/>
      <c r="BW410" s="28"/>
      <c r="BX410" s="28"/>
    </row>
    <row r="411" spans="1:76">
      <c r="A411" s="24"/>
      <c r="B411" s="28"/>
      <c r="C411" s="25"/>
      <c r="D411" s="26"/>
      <c r="E411" s="24"/>
      <c r="F411" s="24"/>
      <c r="G411" s="26"/>
      <c r="H411" s="26"/>
      <c r="I411" s="26"/>
      <c r="J411" s="26"/>
      <c r="K411" s="26"/>
      <c r="L411" s="26"/>
      <c r="M411" s="26"/>
      <c r="N411" s="26"/>
      <c r="O411" s="26"/>
      <c r="P411" s="26"/>
      <c r="Q411" s="26"/>
      <c r="S411" s="26"/>
      <c r="T411" s="25"/>
      <c r="U411" s="24"/>
      <c r="V411" s="24"/>
      <c r="W411" s="24"/>
      <c r="X411" s="26"/>
      <c r="Y411" s="26"/>
      <c r="Z411" s="24"/>
      <c r="AA411" s="26"/>
      <c r="AB411" s="25"/>
      <c r="AC411" s="24"/>
      <c r="AD411" s="24"/>
      <c r="AE411" s="24"/>
      <c r="AF411" s="26"/>
      <c r="AG411" s="26"/>
      <c r="AH411" s="24"/>
      <c r="AI411" s="26"/>
      <c r="AJ411" s="25"/>
      <c r="AK411" s="24"/>
      <c r="AL411" s="24"/>
      <c r="AM411" s="24"/>
      <c r="AN411" s="26"/>
      <c r="AO411" s="26"/>
      <c r="AP411" s="24"/>
      <c r="AQ411" s="24"/>
      <c r="AR411" s="24"/>
      <c r="AS411" s="28"/>
      <c r="AT411" s="28"/>
      <c r="AU411" s="28"/>
      <c r="AV411" s="28"/>
      <c r="AW411" s="28"/>
      <c r="AX411" s="28"/>
      <c r="AY411" s="28"/>
      <c r="AZ411" s="28"/>
      <c r="BA411" s="28"/>
      <c r="BB411" s="28"/>
      <c r="BC411" s="28"/>
      <c r="BD411" s="28"/>
      <c r="BE411" s="28"/>
      <c r="BF411" s="28"/>
      <c r="BG411" s="28"/>
      <c r="BH411" s="28"/>
      <c r="BI411" s="28"/>
      <c r="BJ411" s="24"/>
      <c r="BK411" s="28"/>
      <c r="BL411" s="28"/>
      <c r="BM411" s="28"/>
      <c r="BN411" s="28"/>
      <c r="BO411" s="28"/>
      <c r="BP411" s="28"/>
      <c r="BQ411" s="24"/>
      <c r="BR411" s="28"/>
      <c r="BS411" s="28"/>
      <c r="BT411" s="28"/>
      <c r="BU411" s="24"/>
      <c r="BV411" s="28"/>
      <c r="BW411" s="28"/>
      <c r="BX411" s="28"/>
    </row>
    <row r="412" spans="1:76">
      <c r="A412" s="24"/>
      <c r="B412" s="28"/>
      <c r="C412" s="25"/>
      <c r="D412" s="26"/>
      <c r="E412" s="24"/>
      <c r="F412" s="24"/>
      <c r="G412" s="26"/>
      <c r="H412" s="26"/>
      <c r="I412" s="26"/>
      <c r="J412" s="26"/>
      <c r="K412" s="26"/>
      <c r="L412" s="26"/>
      <c r="M412" s="26"/>
      <c r="N412" s="26"/>
      <c r="O412" s="26"/>
      <c r="P412" s="26"/>
      <c r="Q412" s="26"/>
      <c r="S412" s="26"/>
      <c r="T412" s="25"/>
      <c r="U412" s="24"/>
      <c r="V412" s="24"/>
      <c r="W412" s="24"/>
      <c r="X412" s="26"/>
      <c r="Y412" s="26"/>
      <c r="Z412" s="24"/>
      <c r="AA412" s="26"/>
      <c r="AB412" s="25"/>
      <c r="AC412" s="24"/>
      <c r="AD412" s="24"/>
      <c r="AE412" s="24"/>
      <c r="AF412" s="26"/>
      <c r="AG412" s="26"/>
      <c r="AH412" s="24"/>
      <c r="AI412" s="26"/>
      <c r="AJ412" s="25"/>
      <c r="AK412" s="24"/>
      <c r="AL412" s="24"/>
      <c r="AM412" s="24"/>
      <c r="AN412" s="26"/>
      <c r="AO412" s="26"/>
      <c r="AP412" s="24"/>
      <c r="AQ412" s="24"/>
      <c r="AR412" s="24"/>
      <c r="AS412" s="28"/>
      <c r="AT412" s="28"/>
      <c r="AU412" s="28"/>
      <c r="AV412" s="28"/>
      <c r="AW412" s="28"/>
      <c r="AX412" s="28"/>
      <c r="AY412" s="28"/>
      <c r="AZ412" s="28"/>
      <c r="BA412" s="28"/>
      <c r="BB412" s="28"/>
      <c r="BC412" s="28"/>
      <c r="BD412" s="28"/>
      <c r="BE412" s="28"/>
      <c r="BF412" s="28"/>
      <c r="BG412" s="28"/>
      <c r="BH412" s="28"/>
      <c r="BI412" s="28"/>
      <c r="BJ412" s="24"/>
      <c r="BK412" s="28"/>
      <c r="BL412" s="28"/>
      <c r="BM412" s="28"/>
      <c r="BN412" s="28"/>
      <c r="BO412" s="28"/>
      <c r="BP412" s="28"/>
      <c r="BQ412" s="24"/>
      <c r="BR412" s="28"/>
      <c r="BS412" s="28"/>
      <c r="BT412" s="28"/>
      <c r="BU412" s="24"/>
      <c r="BV412" s="28"/>
      <c r="BW412" s="28"/>
      <c r="BX412" s="28"/>
    </row>
    <row r="413" spans="1:76">
      <c r="A413" s="24"/>
      <c r="B413" s="28"/>
      <c r="C413" s="25"/>
      <c r="D413" s="26"/>
      <c r="E413" s="24"/>
      <c r="F413" s="24"/>
      <c r="G413" s="26"/>
      <c r="H413" s="26"/>
      <c r="I413" s="26"/>
      <c r="J413" s="26"/>
      <c r="K413" s="26"/>
      <c r="L413" s="26"/>
      <c r="M413" s="26"/>
      <c r="N413" s="26"/>
      <c r="O413" s="26"/>
      <c r="P413" s="26"/>
      <c r="Q413" s="26"/>
      <c r="S413" s="26"/>
      <c r="T413" s="25"/>
      <c r="U413" s="24"/>
      <c r="V413" s="24"/>
      <c r="W413" s="24"/>
      <c r="X413" s="26"/>
      <c r="Y413" s="26"/>
      <c r="Z413" s="24"/>
      <c r="AA413" s="26"/>
      <c r="AB413" s="25"/>
      <c r="AC413" s="24"/>
      <c r="AD413" s="24"/>
      <c r="AE413" s="24"/>
      <c r="AF413" s="26"/>
      <c r="AG413" s="26"/>
      <c r="AH413" s="24"/>
      <c r="AI413" s="26"/>
      <c r="AJ413" s="25"/>
      <c r="AK413" s="24"/>
      <c r="AL413" s="24"/>
      <c r="AM413" s="24"/>
      <c r="AN413" s="26"/>
      <c r="AO413" s="26"/>
      <c r="AP413" s="24"/>
      <c r="AQ413" s="24"/>
      <c r="AR413" s="24"/>
      <c r="AS413" s="28"/>
      <c r="AT413" s="28"/>
      <c r="AU413" s="28"/>
      <c r="AV413" s="28"/>
      <c r="AW413" s="28"/>
      <c r="AX413" s="28"/>
      <c r="AY413" s="28"/>
      <c r="AZ413" s="28"/>
      <c r="BA413" s="28"/>
      <c r="BB413" s="28"/>
      <c r="BC413" s="28"/>
      <c r="BD413" s="28"/>
      <c r="BE413" s="28"/>
      <c r="BF413" s="28"/>
      <c r="BG413" s="28"/>
      <c r="BH413" s="28"/>
      <c r="BI413" s="28"/>
      <c r="BJ413" s="24"/>
      <c r="BK413" s="28"/>
      <c r="BL413" s="28"/>
      <c r="BM413" s="28"/>
      <c r="BN413" s="28"/>
      <c r="BO413" s="28"/>
      <c r="BP413" s="28"/>
      <c r="BQ413" s="24"/>
      <c r="BR413" s="28"/>
      <c r="BS413" s="28"/>
      <c r="BT413" s="28"/>
      <c r="BU413" s="24"/>
      <c r="BV413" s="28"/>
      <c r="BW413" s="28"/>
      <c r="BX413" s="28"/>
    </row>
    <row r="414" spans="1:76">
      <c r="A414" s="24"/>
      <c r="B414" s="28"/>
      <c r="C414" s="25"/>
      <c r="D414" s="26"/>
      <c r="E414" s="24"/>
      <c r="F414" s="24"/>
      <c r="G414" s="26"/>
      <c r="H414" s="26"/>
      <c r="I414" s="26"/>
      <c r="J414" s="26"/>
      <c r="K414" s="26"/>
      <c r="L414" s="26"/>
      <c r="M414" s="26"/>
      <c r="N414" s="26"/>
      <c r="O414" s="26"/>
      <c r="P414" s="26"/>
      <c r="Q414" s="26"/>
      <c r="S414" s="26"/>
      <c r="T414" s="25"/>
      <c r="U414" s="24"/>
      <c r="V414" s="24"/>
      <c r="W414" s="24"/>
      <c r="X414" s="26"/>
      <c r="Y414" s="26"/>
      <c r="Z414" s="24"/>
      <c r="AA414" s="26"/>
      <c r="AB414" s="25"/>
      <c r="AC414" s="24"/>
      <c r="AD414" s="24"/>
      <c r="AE414" s="24"/>
      <c r="AF414" s="26"/>
      <c r="AG414" s="26"/>
      <c r="AH414" s="24"/>
      <c r="AI414" s="26"/>
      <c r="AJ414" s="25"/>
      <c r="AK414" s="24"/>
      <c r="AL414" s="24"/>
      <c r="AM414" s="24"/>
      <c r="AN414" s="26"/>
      <c r="AO414" s="26"/>
      <c r="AP414" s="24"/>
      <c r="AQ414" s="24"/>
      <c r="AR414" s="24"/>
      <c r="AS414" s="28"/>
      <c r="AT414" s="28"/>
      <c r="AU414" s="28"/>
      <c r="AV414" s="28"/>
      <c r="AW414" s="28"/>
      <c r="AX414" s="28"/>
      <c r="AY414" s="28"/>
      <c r="AZ414" s="28"/>
      <c r="BA414" s="28"/>
      <c r="BB414" s="28"/>
      <c r="BC414" s="28"/>
      <c r="BD414" s="28"/>
      <c r="BE414" s="28"/>
      <c r="BF414" s="28"/>
      <c r="BG414" s="28"/>
      <c r="BH414" s="28"/>
      <c r="BI414" s="28"/>
      <c r="BJ414" s="24"/>
      <c r="BK414" s="28"/>
      <c r="BL414" s="28"/>
      <c r="BM414" s="28"/>
      <c r="BN414" s="28"/>
      <c r="BO414" s="28"/>
      <c r="BP414" s="28"/>
      <c r="BQ414" s="24"/>
      <c r="BR414" s="28"/>
      <c r="BS414" s="28"/>
      <c r="BT414" s="28"/>
      <c r="BU414" s="24"/>
      <c r="BV414" s="28"/>
      <c r="BW414" s="28"/>
      <c r="BX414" s="28"/>
    </row>
    <row r="415" spans="1:76">
      <c r="A415" s="24"/>
      <c r="B415" s="28"/>
      <c r="C415" s="25"/>
      <c r="D415" s="26"/>
      <c r="E415" s="24"/>
      <c r="F415" s="24"/>
      <c r="G415" s="26"/>
      <c r="H415" s="26"/>
      <c r="I415" s="26"/>
      <c r="J415" s="26"/>
      <c r="K415" s="26"/>
      <c r="L415" s="26"/>
      <c r="M415" s="26"/>
      <c r="N415" s="26"/>
      <c r="O415" s="26"/>
      <c r="P415" s="26"/>
      <c r="Q415" s="26"/>
      <c r="S415" s="26"/>
      <c r="T415" s="25"/>
      <c r="U415" s="24"/>
      <c r="V415" s="24"/>
      <c r="W415" s="24"/>
      <c r="X415" s="26"/>
      <c r="Y415" s="26"/>
      <c r="Z415" s="24"/>
      <c r="AA415" s="26"/>
      <c r="AB415" s="25"/>
      <c r="AC415" s="24"/>
      <c r="AD415" s="24"/>
      <c r="AE415" s="24"/>
      <c r="AF415" s="26"/>
      <c r="AG415" s="26"/>
      <c r="AH415" s="24"/>
      <c r="AI415" s="26"/>
      <c r="AJ415" s="25"/>
      <c r="AK415" s="24"/>
      <c r="AL415" s="24"/>
      <c r="AM415" s="24"/>
      <c r="AN415" s="26"/>
      <c r="AO415" s="26"/>
      <c r="AP415" s="24"/>
      <c r="AQ415" s="24"/>
      <c r="AR415" s="24"/>
      <c r="AS415" s="28"/>
      <c r="AT415" s="28"/>
      <c r="AU415" s="28"/>
      <c r="AV415" s="28"/>
      <c r="AW415" s="28"/>
      <c r="AX415" s="28"/>
      <c r="AY415" s="28"/>
      <c r="AZ415" s="28"/>
      <c r="BA415" s="28"/>
      <c r="BB415" s="28"/>
      <c r="BC415" s="28"/>
      <c r="BD415" s="28"/>
      <c r="BE415" s="28"/>
      <c r="BF415" s="28"/>
      <c r="BG415" s="28"/>
      <c r="BH415" s="28"/>
      <c r="BI415" s="28"/>
      <c r="BJ415" s="24"/>
      <c r="BK415" s="28"/>
      <c r="BL415" s="28"/>
      <c r="BM415" s="28"/>
      <c r="BN415" s="28"/>
      <c r="BO415" s="28"/>
      <c r="BP415" s="28"/>
      <c r="BQ415" s="24"/>
      <c r="BR415" s="28"/>
      <c r="BS415" s="28"/>
      <c r="BT415" s="28"/>
      <c r="BU415" s="24"/>
      <c r="BV415" s="28"/>
      <c r="BW415" s="28"/>
      <c r="BX415" s="28"/>
    </row>
    <row r="416" spans="1:76">
      <c r="A416" s="24"/>
      <c r="B416" s="28"/>
      <c r="C416" s="25"/>
      <c r="D416" s="26"/>
      <c r="E416" s="24"/>
      <c r="F416" s="24"/>
      <c r="G416" s="26"/>
      <c r="H416" s="26"/>
      <c r="I416" s="26"/>
      <c r="J416" s="26"/>
      <c r="K416" s="26"/>
      <c r="L416" s="26"/>
      <c r="M416" s="26"/>
      <c r="N416" s="26"/>
      <c r="O416" s="26"/>
      <c r="P416" s="26"/>
      <c r="Q416" s="26"/>
      <c r="S416" s="26"/>
      <c r="T416" s="25"/>
      <c r="U416" s="24"/>
      <c r="V416" s="24"/>
      <c r="W416" s="24"/>
      <c r="X416" s="26"/>
      <c r="Y416" s="26"/>
      <c r="Z416" s="24"/>
      <c r="AA416" s="26"/>
      <c r="AB416" s="25"/>
      <c r="AC416" s="24"/>
      <c r="AD416" s="24"/>
      <c r="AE416" s="24"/>
      <c r="AF416" s="26"/>
      <c r="AG416" s="26"/>
      <c r="AH416" s="24"/>
      <c r="AI416" s="26"/>
      <c r="AJ416" s="25"/>
      <c r="AK416" s="24"/>
      <c r="AL416" s="24"/>
      <c r="AM416" s="24"/>
      <c r="AN416" s="26"/>
      <c r="AO416" s="26"/>
      <c r="AP416" s="24"/>
      <c r="AQ416" s="24"/>
      <c r="AR416" s="24"/>
      <c r="AS416" s="28"/>
      <c r="AT416" s="28"/>
      <c r="AU416" s="28"/>
      <c r="AV416" s="28"/>
      <c r="AW416" s="28"/>
      <c r="AX416" s="28"/>
      <c r="AY416" s="28"/>
      <c r="AZ416" s="28"/>
      <c r="BA416" s="28"/>
      <c r="BB416" s="28"/>
      <c r="BC416" s="28"/>
      <c r="BD416" s="28"/>
      <c r="BE416" s="28"/>
      <c r="BF416" s="28"/>
      <c r="BG416" s="28"/>
      <c r="BH416" s="28"/>
      <c r="BI416" s="28"/>
      <c r="BJ416" s="24"/>
      <c r="BK416" s="28"/>
      <c r="BL416" s="28"/>
      <c r="BM416" s="28"/>
      <c r="BN416" s="28"/>
      <c r="BO416" s="28"/>
      <c r="BP416" s="28"/>
      <c r="BQ416" s="24"/>
      <c r="BR416" s="28"/>
      <c r="BS416" s="28"/>
      <c r="BT416" s="28"/>
      <c r="BU416" s="24"/>
      <c r="BV416" s="28"/>
      <c r="BW416" s="28"/>
      <c r="BX416" s="28"/>
    </row>
    <row r="417" spans="1:76">
      <c r="A417" s="24"/>
      <c r="B417" s="28"/>
      <c r="C417" s="25"/>
      <c r="D417" s="26"/>
      <c r="E417" s="24"/>
      <c r="F417" s="24"/>
      <c r="G417" s="26"/>
      <c r="H417" s="26"/>
      <c r="I417" s="26"/>
      <c r="J417" s="26"/>
      <c r="K417" s="26"/>
      <c r="L417" s="26"/>
      <c r="M417" s="26"/>
      <c r="N417" s="26"/>
      <c r="O417" s="26"/>
      <c r="P417" s="26"/>
      <c r="Q417" s="26"/>
      <c r="S417" s="26"/>
      <c r="T417" s="25"/>
      <c r="U417" s="24"/>
      <c r="V417" s="24"/>
      <c r="W417" s="24"/>
      <c r="X417" s="26"/>
      <c r="Y417" s="26"/>
      <c r="Z417" s="24"/>
      <c r="AA417" s="26"/>
      <c r="AB417" s="25"/>
      <c r="AC417" s="24"/>
      <c r="AD417" s="24"/>
      <c r="AE417" s="24"/>
      <c r="AF417" s="26"/>
      <c r="AG417" s="26"/>
      <c r="AH417" s="24"/>
      <c r="AI417" s="26"/>
      <c r="AJ417" s="25"/>
      <c r="AK417" s="24"/>
      <c r="AL417" s="24"/>
      <c r="AM417" s="24"/>
      <c r="AN417" s="26"/>
      <c r="AO417" s="26"/>
      <c r="AP417" s="24"/>
      <c r="AQ417" s="24"/>
      <c r="AR417" s="24"/>
      <c r="AS417" s="28"/>
      <c r="AT417" s="28"/>
      <c r="AU417" s="28"/>
      <c r="AV417" s="28"/>
      <c r="AW417" s="28"/>
      <c r="AX417" s="28"/>
      <c r="AY417" s="28"/>
      <c r="AZ417" s="28"/>
      <c r="BA417" s="28"/>
      <c r="BB417" s="28"/>
      <c r="BC417" s="28"/>
      <c r="BD417" s="28"/>
      <c r="BE417" s="28"/>
      <c r="BF417" s="28"/>
      <c r="BG417" s="28"/>
      <c r="BH417" s="28"/>
      <c r="BI417" s="28"/>
      <c r="BJ417" s="24"/>
      <c r="BK417" s="28"/>
      <c r="BL417" s="28"/>
      <c r="BM417" s="28"/>
      <c r="BN417" s="28"/>
      <c r="BO417" s="28"/>
      <c r="BP417" s="28"/>
      <c r="BQ417" s="24"/>
      <c r="BR417" s="28"/>
      <c r="BS417" s="28"/>
      <c r="BT417" s="28"/>
      <c r="BU417" s="24"/>
      <c r="BV417" s="28"/>
      <c r="BW417" s="28"/>
      <c r="BX417" s="28"/>
    </row>
    <row r="418" spans="1:76">
      <c r="A418" s="24"/>
      <c r="B418" s="28"/>
      <c r="C418" s="25"/>
      <c r="D418" s="26"/>
      <c r="E418" s="24"/>
      <c r="F418" s="24"/>
      <c r="G418" s="26"/>
      <c r="H418" s="26"/>
      <c r="I418" s="26"/>
      <c r="J418" s="26"/>
      <c r="K418" s="26"/>
      <c r="L418" s="26"/>
      <c r="M418" s="26"/>
      <c r="N418" s="26"/>
      <c r="O418" s="26"/>
      <c r="P418" s="26"/>
      <c r="Q418" s="26"/>
      <c r="S418" s="26"/>
      <c r="T418" s="25"/>
      <c r="U418" s="24"/>
      <c r="V418" s="24"/>
      <c r="W418" s="24"/>
      <c r="X418" s="26"/>
      <c r="Y418" s="26"/>
      <c r="Z418" s="24"/>
      <c r="AA418" s="26"/>
      <c r="AB418" s="25"/>
      <c r="AC418" s="24"/>
      <c r="AD418" s="24"/>
      <c r="AE418" s="24"/>
      <c r="AF418" s="26"/>
      <c r="AG418" s="26"/>
      <c r="AH418" s="24"/>
      <c r="AI418" s="26"/>
      <c r="AJ418" s="25"/>
      <c r="AK418" s="24"/>
      <c r="AL418" s="24"/>
      <c r="AM418" s="24"/>
      <c r="AN418" s="26"/>
      <c r="AO418" s="26"/>
      <c r="AP418" s="24"/>
      <c r="AQ418" s="24"/>
      <c r="AR418" s="24"/>
      <c r="AS418" s="28"/>
      <c r="AT418" s="28"/>
      <c r="AU418" s="28"/>
      <c r="AV418" s="28"/>
      <c r="AW418" s="28"/>
      <c r="AX418" s="28"/>
      <c r="AY418" s="28"/>
      <c r="AZ418" s="28"/>
      <c r="BA418" s="28"/>
      <c r="BB418" s="28"/>
      <c r="BC418" s="28"/>
      <c r="BD418" s="28"/>
      <c r="BE418" s="28"/>
      <c r="BF418" s="28"/>
      <c r="BG418" s="28"/>
      <c r="BH418" s="28"/>
      <c r="BI418" s="28"/>
      <c r="BJ418" s="24"/>
      <c r="BK418" s="28"/>
      <c r="BL418" s="28"/>
      <c r="BM418" s="28"/>
      <c r="BN418" s="28"/>
      <c r="BO418" s="28"/>
      <c r="BP418" s="28"/>
      <c r="BQ418" s="24"/>
      <c r="BR418" s="28"/>
      <c r="BS418" s="28"/>
      <c r="BT418" s="28"/>
      <c r="BU418" s="24"/>
      <c r="BV418" s="28"/>
      <c r="BW418" s="28"/>
      <c r="BX418" s="28"/>
    </row>
    <row r="419" spans="1:76">
      <c r="A419" s="24"/>
      <c r="B419" s="28"/>
      <c r="C419" s="25"/>
      <c r="D419" s="26"/>
      <c r="E419" s="24"/>
      <c r="F419" s="24"/>
      <c r="G419" s="26"/>
      <c r="H419" s="26"/>
      <c r="I419" s="26"/>
      <c r="J419" s="26"/>
      <c r="K419" s="26"/>
      <c r="L419" s="26"/>
      <c r="M419" s="26"/>
      <c r="N419" s="26"/>
      <c r="O419" s="26"/>
      <c r="P419" s="26"/>
      <c r="Q419" s="26"/>
      <c r="S419" s="26"/>
      <c r="T419" s="25"/>
      <c r="U419" s="24"/>
      <c r="V419" s="24"/>
      <c r="W419" s="24"/>
      <c r="X419" s="26"/>
      <c r="Y419" s="26"/>
      <c r="Z419" s="24"/>
      <c r="AA419" s="26"/>
      <c r="AB419" s="25"/>
      <c r="AC419" s="24"/>
      <c r="AD419" s="24"/>
      <c r="AE419" s="24"/>
      <c r="AF419" s="26"/>
      <c r="AG419" s="26"/>
      <c r="AH419" s="24"/>
      <c r="AI419" s="26"/>
      <c r="AJ419" s="25"/>
      <c r="AK419" s="24"/>
      <c r="AL419" s="24"/>
      <c r="AM419" s="24"/>
      <c r="AN419" s="26"/>
      <c r="AO419" s="26"/>
      <c r="AP419" s="24"/>
      <c r="AQ419" s="24"/>
      <c r="AR419" s="24"/>
      <c r="AS419" s="28"/>
      <c r="AT419" s="28"/>
      <c r="AU419" s="28"/>
      <c r="AV419" s="28"/>
      <c r="AW419" s="28"/>
      <c r="AX419" s="28"/>
      <c r="AY419" s="28"/>
      <c r="AZ419" s="28"/>
      <c r="BA419" s="28"/>
      <c r="BB419" s="28"/>
      <c r="BC419" s="28"/>
      <c r="BD419" s="28"/>
      <c r="BE419" s="28"/>
      <c r="BF419" s="28"/>
      <c r="BG419" s="28"/>
      <c r="BH419" s="28"/>
      <c r="BI419" s="28"/>
      <c r="BJ419" s="24"/>
      <c r="BK419" s="28"/>
      <c r="BL419" s="28"/>
      <c r="BM419" s="28"/>
      <c r="BN419" s="28"/>
      <c r="BO419" s="28"/>
      <c r="BP419" s="28"/>
      <c r="BQ419" s="24"/>
      <c r="BR419" s="28"/>
      <c r="BS419" s="28"/>
      <c r="BT419" s="28"/>
      <c r="BU419" s="24"/>
      <c r="BV419" s="28"/>
      <c r="BW419" s="28"/>
      <c r="BX419" s="28"/>
    </row>
    <row r="420" spans="1:76">
      <c r="A420" s="24"/>
      <c r="B420" s="28"/>
      <c r="C420" s="25"/>
      <c r="D420" s="26"/>
      <c r="E420" s="24"/>
      <c r="F420" s="24"/>
      <c r="G420" s="26"/>
      <c r="H420" s="26"/>
      <c r="I420" s="26"/>
      <c r="J420" s="26"/>
      <c r="K420" s="26"/>
      <c r="L420" s="26"/>
      <c r="M420" s="26"/>
      <c r="N420" s="26"/>
      <c r="O420" s="26"/>
      <c r="P420" s="26"/>
      <c r="Q420" s="26"/>
      <c r="S420" s="26"/>
      <c r="T420" s="25"/>
      <c r="U420" s="24"/>
      <c r="V420" s="24"/>
      <c r="W420" s="24"/>
      <c r="X420" s="26"/>
      <c r="Y420" s="26"/>
      <c r="Z420" s="24"/>
      <c r="AA420" s="26"/>
      <c r="AB420" s="25"/>
      <c r="AC420" s="24"/>
      <c r="AD420" s="24"/>
      <c r="AE420" s="24"/>
      <c r="AF420" s="26"/>
      <c r="AG420" s="26"/>
      <c r="AH420" s="24"/>
      <c r="AI420" s="26"/>
      <c r="AJ420" s="25"/>
      <c r="AK420" s="24"/>
      <c r="AL420" s="24"/>
      <c r="AM420" s="24"/>
      <c r="AN420" s="26"/>
      <c r="AO420" s="26"/>
      <c r="AP420" s="24"/>
      <c r="AQ420" s="24"/>
      <c r="AR420" s="24"/>
      <c r="AS420" s="28"/>
      <c r="AT420" s="28"/>
      <c r="AU420" s="28"/>
      <c r="AV420" s="28"/>
      <c r="AW420" s="28"/>
      <c r="AX420" s="28"/>
      <c r="AY420" s="28"/>
      <c r="AZ420" s="28"/>
      <c r="BA420" s="28"/>
      <c r="BB420" s="28"/>
      <c r="BC420" s="28"/>
      <c r="BD420" s="28"/>
      <c r="BE420" s="28"/>
      <c r="BF420" s="28"/>
      <c r="BG420" s="28"/>
      <c r="BH420" s="28"/>
      <c r="BI420" s="28"/>
      <c r="BJ420" s="24"/>
      <c r="BK420" s="28"/>
      <c r="BL420" s="28"/>
      <c r="BM420" s="28"/>
      <c r="BN420" s="28"/>
      <c r="BO420" s="28"/>
      <c r="BP420" s="28"/>
      <c r="BQ420" s="24"/>
      <c r="BR420" s="28"/>
      <c r="BS420" s="28"/>
      <c r="BT420" s="28"/>
      <c r="BU420" s="24"/>
      <c r="BV420" s="28"/>
      <c r="BW420" s="28"/>
      <c r="BX420" s="28"/>
    </row>
    <row r="421" spans="1:76">
      <c r="A421" s="24"/>
      <c r="B421" s="28"/>
      <c r="C421" s="25"/>
      <c r="D421" s="26"/>
      <c r="E421" s="24"/>
      <c r="F421" s="24"/>
      <c r="G421" s="26"/>
      <c r="H421" s="26"/>
      <c r="I421" s="26"/>
      <c r="J421" s="26"/>
      <c r="K421" s="26"/>
      <c r="L421" s="26"/>
      <c r="M421" s="26"/>
      <c r="N421" s="26"/>
      <c r="O421" s="26"/>
      <c r="P421" s="26"/>
      <c r="Q421" s="26"/>
      <c r="S421" s="26"/>
      <c r="T421" s="25"/>
      <c r="U421" s="24"/>
      <c r="V421" s="24"/>
      <c r="W421" s="24"/>
      <c r="X421" s="26"/>
      <c r="Y421" s="26"/>
      <c r="Z421" s="24"/>
      <c r="AA421" s="26"/>
      <c r="AB421" s="25"/>
      <c r="AC421" s="24"/>
      <c r="AD421" s="24"/>
      <c r="AE421" s="24"/>
      <c r="AF421" s="26"/>
      <c r="AG421" s="26"/>
      <c r="AH421" s="24"/>
      <c r="AI421" s="26"/>
      <c r="AJ421" s="25"/>
      <c r="AK421" s="24"/>
      <c r="AL421" s="24"/>
      <c r="AM421" s="24"/>
      <c r="AN421" s="26"/>
      <c r="AO421" s="26"/>
      <c r="AP421" s="24"/>
      <c r="AQ421" s="24"/>
      <c r="AR421" s="24"/>
      <c r="AS421" s="28"/>
      <c r="AT421" s="28"/>
      <c r="AU421" s="28"/>
      <c r="AV421" s="28"/>
      <c r="AW421" s="28"/>
      <c r="AX421" s="28"/>
      <c r="AY421" s="28"/>
      <c r="AZ421" s="28"/>
      <c r="BA421" s="28"/>
      <c r="BB421" s="28"/>
      <c r="BC421" s="28"/>
      <c r="BD421" s="28"/>
      <c r="BE421" s="28"/>
      <c r="BF421" s="28"/>
      <c r="BG421" s="28"/>
      <c r="BH421" s="28"/>
      <c r="BI421" s="28"/>
      <c r="BJ421" s="24"/>
      <c r="BK421" s="28"/>
      <c r="BL421" s="28"/>
      <c r="BM421" s="28"/>
      <c r="BN421" s="28"/>
      <c r="BO421" s="28"/>
      <c r="BP421" s="28"/>
      <c r="BQ421" s="24"/>
      <c r="BR421" s="28"/>
      <c r="BS421" s="28"/>
      <c r="BT421" s="28"/>
      <c r="BU421" s="24"/>
      <c r="BV421" s="28"/>
      <c r="BW421" s="28"/>
      <c r="BX421" s="28"/>
    </row>
    <row r="422" spans="1:76">
      <c r="A422" s="24"/>
      <c r="B422" s="28"/>
      <c r="C422" s="25"/>
      <c r="D422" s="26"/>
      <c r="E422" s="24"/>
      <c r="F422" s="24"/>
      <c r="G422" s="26"/>
      <c r="H422" s="26"/>
      <c r="I422" s="26"/>
      <c r="J422" s="26"/>
      <c r="K422" s="26"/>
      <c r="L422" s="26"/>
      <c r="M422" s="26"/>
      <c r="N422" s="26"/>
      <c r="O422" s="26"/>
      <c r="P422" s="26"/>
      <c r="Q422" s="26"/>
      <c r="S422" s="26"/>
      <c r="T422" s="25"/>
      <c r="U422" s="24"/>
      <c r="V422" s="24"/>
      <c r="W422" s="24"/>
      <c r="X422" s="26"/>
      <c r="Y422" s="26"/>
      <c r="Z422" s="24"/>
      <c r="AA422" s="26"/>
      <c r="AB422" s="25"/>
      <c r="AC422" s="24"/>
      <c r="AD422" s="24"/>
      <c r="AE422" s="24"/>
      <c r="AF422" s="26"/>
      <c r="AG422" s="26"/>
      <c r="AH422" s="24"/>
      <c r="AI422" s="26"/>
      <c r="AJ422" s="25"/>
      <c r="AK422" s="24"/>
      <c r="AL422" s="24"/>
      <c r="AM422" s="24"/>
      <c r="AN422" s="26"/>
      <c r="AO422" s="26"/>
      <c r="AP422" s="24"/>
      <c r="AQ422" s="24"/>
      <c r="AR422" s="24"/>
      <c r="AS422" s="28"/>
      <c r="AT422" s="28"/>
      <c r="AU422" s="28"/>
      <c r="AV422" s="28"/>
      <c r="AW422" s="28"/>
      <c r="AX422" s="28"/>
      <c r="AY422" s="28"/>
      <c r="AZ422" s="28"/>
      <c r="BA422" s="28"/>
      <c r="BB422" s="28"/>
      <c r="BC422" s="28"/>
      <c r="BD422" s="28"/>
      <c r="BE422" s="28"/>
      <c r="BF422" s="28"/>
      <c r="BG422" s="28"/>
      <c r="BH422" s="28"/>
      <c r="BI422" s="28"/>
      <c r="BJ422" s="24"/>
      <c r="BK422" s="28"/>
      <c r="BL422" s="28"/>
      <c r="BM422" s="28"/>
      <c r="BN422" s="28"/>
      <c r="BO422" s="28"/>
      <c r="BP422" s="28"/>
      <c r="BQ422" s="24"/>
      <c r="BR422" s="28"/>
      <c r="BS422" s="28"/>
      <c r="BT422" s="28"/>
      <c r="BU422" s="24"/>
      <c r="BV422" s="28"/>
      <c r="BW422" s="28"/>
      <c r="BX422" s="28"/>
    </row>
    <row r="423" spans="1:76">
      <c r="A423" s="24"/>
      <c r="B423" s="28"/>
      <c r="C423" s="25"/>
      <c r="D423" s="26"/>
      <c r="E423" s="24"/>
      <c r="F423" s="24"/>
      <c r="G423" s="26"/>
      <c r="H423" s="26"/>
      <c r="I423" s="26"/>
      <c r="J423" s="26"/>
      <c r="K423" s="26"/>
      <c r="L423" s="26"/>
      <c r="M423" s="26"/>
      <c r="N423" s="26"/>
      <c r="O423" s="26"/>
      <c r="P423" s="26"/>
      <c r="Q423" s="26"/>
      <c r="S423" s="26"/>
      <c r="T423" s="25"/>
      <c r="U423" s="24"/>
      <c r="V423" s="24"/>
      <c r="W423" s="24"/>
      <c r="X423" s="26"/>
      <c r="Y423" s="26"/>
      <c r="Z423" s="24"/>
      <c r="AA423" s="26"/>
      <c r="AB423" s="25"/>
      <c r="AC423" s="24"/>
      <c r="AD423" s="24"/>
      <c r="AE423" s="24"/>
      <c r="AF423" s="26"/>
      <c r="AG423" s="26"/>
      <c r="AH423" s="24"/>
      <c r="AI423" s="26"/>
      <c r="AJ423" s="25"/>
      <c r="AK423" s="24"/>
      <c r="AL423" s="24"/>
      <c r="AM423" s="24"/>
      <c r="AN423" s="26"/>
      <c r="AO423" s="26"/>
      <c r="AP423" s="24"/>
      <c r="AQ423" s="24"/>
      <c r="AR423" s="24"/>
      <c r="AS423" s="28"/>
      <c r="AT423" s="28"/>
      <c r="AU423" s="28"/>
      <c r="AV423" s="28"/>
      <c r="AW423" s="28"/>
      <c r="AX423" s="28"/>
      <c r="AY423" s="28"/>
      <c r="AZ423" s="28"/>
      <c r="BA423" s="28"/>
      <c r="BB423" s="28"/>
      <c r="BC423" s="28"/>
      <c r="BD423" s="28"/>
      <c r="BE423" s="28"/>
      <c r="BF423" s="28"/>
      <c r="BG423" s="28"/>
      <c r="BH423" s="28"/>
      <c r="BI423" s="28"/>
      <c r="BJ423" s="24"/>
      <c r="BK423" s="28"/>
      <c r="BL423" s="28"/>
      <c r="BM423" s="28"/>
      <c r="BN423" s="28"/>
      <c r="BO423" s="28"/>
      <c r="BP423" s="28"/>
      <c r="BQ423" s="24"/>
      <c r="BR423" s="28"/>
      <c r="BS423" s="28"/>
      <c r="BT423" s="28"/>
      <c r="BU423" s="24"/>
      <c r="BV423" s="28"/>
      <c r="BW423" s="28"/>
      <c r="BX423" s="28"/>
    </row>
    <row r="424" spans="1:76">
      <c r="A424" s="24"/>
      <c r="B424" s="28"/>
      <c r="C424" s="25"/>
      <c r="D424" s="26"/>
      <c r="E424" s="24"/>
      <c r="F424" s="24"/>
      <c r="G424" s="26"/>
      <c r="H424" s="26"/>
      <c r="I424" s="26"/>
      <c r="J424" s="26"/>
      <c r="K424" s="26"/>
      <c r="L424" s="26"/>
      <c r="M424" s="26"/>
      <c r="N424" s="26"/>
      <c r="O424" s="26"/>
      <c r="P424" s="26"/>
      <c r="Q424" s="26"/>
      <c r="S424" s="26"/>
      <c r="T424" s="25"/>
      <c r="U424" s="24"/>
      <c r="V424" s="24"/>
      <c r="W424" s="24"/>
      <c r="X424" s="26"/>
      <c r="Y424" s="26"/>
      <c r="Z424" s="24"/>
      <c r="AA424" s="26"/>
      <c r="AB424" s="25"/>
      <c r="AC424" s="24"/>
      <c r="AD424" s="24"/>
      <c r="AE424" s="24"/>
      <c r="AF424" s="26"/>
      <c r="AG424" s="26"/>
      <c r="AH424" s="24"/>
      <c r="AI424" s="26"/>
      <c r="AJ424" s="25"/>
      <c r="AK424" s="24"/>
      <c r="AL424" s="24"/>
      <c r="AM424" s="24"/>
      <c r="AN424" s="26"/>
      <c r="AO424" s="26"/>
      <c r="AP424" s="24"/>
      <c r="AQ424" s="24"/>
      <c r="AR424" s="24"/>
      <c r="AS424" s="28"/>
      <c r="AT424" s="28"/>
      <c r="AU424" s="28"/>
      <c r="AV424" s="28"/>
      <c r="AW424" s="28"/>
      <c r="AX424" s="28"/>
      <c r="AY424" s="28"/>
      <c r="AZ424" s="28"/>
      <c r="BA424" s="28"/>
      <c r="BB424" s="28"/>
      <c r="BC424" s="28"/>
      <c r="BD424" s="28"/>
      <c r="BE424" s="28"/>
      <c r="BF424" s="28"/>
      <c r="BG424" s="28"/>
      <c r="BH424" s="28"/>
      <c r="BI424" s="28"/>
      <c r="BJ424" s="24"/>
      <c r="BK424" s="28"/>
      <c r="BL424" s="28"/>
      <c r="BM424" s="28"/>
      <c r="BN424" s="28"/>
      <c r="BO424" s="28"/>
      <c r="BP424" s="28"/>
      <c r="BQ424" s="24"/>
      <c r="BR424" s="28"/>
      <c r="BS424" s="28"/>
      <c r="BT424" s="28"/>
      <c r="BU424" s="24"/>
      <c r="BV424" s="28"/>
      <c r="BW424" s="28"/>
      <c r="BX424" s="28"/>
    </row>
    <row r="425" spans="1:76">
      <c r="A425" s="24"/>
      <c r="B425" s="28"/>
      <c r="C425" s="25"/>
      <c r="D425" s="26"/>
      <c r="E425" s="24"/>
      <c r="F425" s="24"/>
      <c r="G425" s="26"/>
      <c r="H425" s="26"/>
      <c r="I425" s="26"/>
      <c r="J425" s="26"/>
      <c r="K425" s="26"/>
      <c r="L425" s="26"/>
      <c r="M425" s="26"/>
      <c r="N425" s="26"/>
      <c r="O425" s="26"/>
      <c r="P425" s="26"/>
      <c r="Q425" s="26"/>
      <c r="S425" s="26"/>
      <c r="T425" s="25"/>
      <c r="U425" s="24"/>
      <c r="V425" s="24"/>
      <c r="W425" s="24"/>
      <c r="X425" s="26"/>
      <c r="Y425" s="26"/>
      <c r="Z425" s="24"/>
      <c r="AA425" s="26"/>
      <c r="AB425" s="25"/>
      <c r="AC425" s="24"/>
      <c r="AD425" s="24"/>
      <c r="AE425" s="24"/>
      <c r="AF425" s="26"/>
      <c r="AG425" s="26"/>
      <c r="AH425" s="24"/>
      <c r="AI425" s="26"/>
      <c r="AJ425" s="25"/>
      <c r="AK425" s="24"/>
      <c r="AL425" s="24"/>
      <c r="AM425" s="24"/>
      <c r="AN425" s="26"/>
      <c r="AO425" s="26"/>
      <c r="AP425" s="24"/>
      <c r="AQ425" s="24"/>
      <c r="AR425" s="24"/>
      <c r="AS425" s="28"/>
      <c r="AT425" s="28"/>
      <c r="AU425" s="28"/>
      <c r="AV425" s="28"/>
      <c r="AW425" s="28"/>
      <c r="AX425" s="28"/>
      <c r="AY425" s="28"/>
      <c r="AZ425" s="28"/>
      <c r="BA425" s="28"/>
      <c r="BB425" s="28"/>
      <c r="BC425" s="28"/>
      <c r="BD425" s="28"/>
      <c r="BE425" s="28"/>
      <c r="BF425" s="28"/>
      <c r="BG425" s="28"/>
      <c r="BH425" s="28"/>
      <c r="BI425" s="28"/>
      <c r="BJ425" s="24"/>
      <c r="BK425" s="28"/>
      <c r="BL425" s="28"/>
      <c r="BM425" s="28"/>
      <c r="BN425" s="28"/>
      <c r="BO425" s="28"/>
      <c r="BP425" s="28"/>
      <c r="BQ425" s="24"/>
      <c r="BR425" s="28"/>
      <c r="BS425" s="28"/>
      <c r="BT425" s="28"/>
      <c r="BU425" s="24"/>
      <c r="BV425" s="28"/>
      <c r="BW425" s="28"/>
      <c r="BX425" s="28"/>
    </row>
    <row r="426" spans="1:76">
      <c r="A426" s="24"/>
      <c r="B426" s="28"/>
      <c r="C426" s="25"/>
      <c r="D426" s="26"/>
      <c r="E426" s="24"/>
      <c r="F426" s="24"/>
      <c r="G426" s="26"/>
      <c r="H426" s="26"/>
      <c r="I426" s="26"/>
      <c r="J426" s="26"/>
      <c r="K426" s="26"/>
      <c r="L426" s="26"/>
      <c r="M426" s="26"/>
      <c r="N426" s="26"/>
      <c r="O426" s="26"/>
      <c r="P426" s="26"/>
      <c r="Q426" s="26"/>
      <c r="S426" s="26"/>
      <c r="T426" s="25"/>
      <c r="U426" s="24"/>
      <c r="V426" s="24"/>
      <c r="W426" s="24"/>
      <c r="X426" s="26"/>
      <c r="Y426" s="26"/>
      <c r="Z426" s="24"/>
      <c r="AA426" s="26"/>
      <c r="AB426" s="25"/>
      <c r="AC426" s="24"/>
      <c r="AD426" s="24"/>
      <c r="AE426" s="24"/>
      <c r="AF426" s="26"/>
      <c r="AG426" s="26"/>
      <c r="AH426" s="24"/>
      <c r="AI426" s="26"/>
      <c r="AJ426" s="25"/>
      <c r="AK426" s="24"/>
      <c r="AL426" s="24"/>
      <c r="AM426" s="24"/>
      <c r="AN426" s="26"/>
      <c r="AO426" s="26"/>
      <c r="AP426" s="24"/>
      <c r="AQ426" s="24"/>
      <c r="AR426" s="24"/>
      <c r="AS426" s="28"/>
      <c r="AT426" s="28"/>
      <c r="AU426" s="28"/>
      <c r="AV426" s="28"/>
      <c r="AW426" s="28"/>
      <c r="AX426" s="28"/>
      <c r="AY426" s="28"/>
      <c r="AZ426" s="28"/>
      <c r="BA426" s="28"/>
      <c r="BB426" s="28"/>
      <c r="BC426" s="28"/>
      <c r="BD426" s="28"/>
      <c r="BE426" s="28"/>
      <c r="BF426" s="28"/>
      <c r="BG426" s="28"/>
      <c r="BH426" s="28"/>
      <c r="BI426" s="28"/>
      <c r="BJ426" s="24"/>
      <c r="BK426" s="28"/>
      <c r="BL426" s="28"/>
      <c r="BM426" s="28"/>
      <c r="BN426" s="28"/>
      <c r="BO426" s="28"/>
      <c r="BP426" s="28"/>
      <c r="BQ426" s="24"/>
      <c r="BR426" s="28"/>
      <c r="BS426" s="28"/>
      <c r="BT426" s="28"/>
      <c r="BU426" s="24"/>
      <c r="BV426" s="28"/>
      <c r="BW426" s="28"/>
      <c r="BX426" s="28"/>
    </row>
    <row r="427" spans="1:76">
      <c r="A427" s="24"/>
      <c r="B427" s="28"/>
      <c r="C427" s="25"/>
      <c r="D427" s="26"/>
      <c r="E427" s="24"/>
      <c r="F427" s="24"/>
      <c r="G427" s="26"/>
      <c r="H427" s="26"/>
      <c r="I427" s="26"/>
      <c r="J427" s="26"/>
      <c r="K427" s="26"/>
      <c r="L427" s="26"/>
      <c r="M427" s="26"/>
      <c r="N427" s="26"/>
      <c r="O427" s="26"/>
      <c r="P427" s="26"/>
      <c r="Q427" s="26"/>
      <c r="S427" s="26"/>
      <c r="T427" s="25"/>
      <c r="U427" s="24"/>
      <c r="V427" s="24"/>
      <c r="W427" s="24"/>
      <c r="X427" s="26"/>
      <c r="Y427" s="26"/>
      <c r="Z427" s="24"/>
      <c r="AA427" s="26"/>
      <c r="AB427" s="25"/>
      <c r="AC427" s="24"/>
      <c r="AD427" s="24"/>
      <c r="AE427" s="24"/>
      <c r="AF427" s="26"/>
      <c r="AG427" s="26"/>
      <c r="AH427" s="24"/>
      <c r="AI427" s="26"/>
      <c r="AJ427" s="25"/>
      <c r="AK427" s="24"/>
      <c r="AL427" s="24"/>
      <c r="AM427" s="24"/>
      <c r="AN427" s="26"/>
      <c r="AO427" s="26"/>
      <c r="AP427" s="24"/>
      <c r="AQ427" s="24"/>
      <c r="AR427" s="24"/>
      <c r="AS427" s="28"/>
      <c r="AT427" s="28"/>
      <c r="AU427" s="28"/>
      <c r="AV427" s="28"/>
      <c r="AW427" s="28"/>
      <c r="AX427" s="28"/>
      <c r="AY427" s="28"/>
      <c r="AZ427" s="28"/>
      <c r="BA427" s="28"/>
      <c r="BB427" s="28"/>
      <c r="BC427" s="28"/>
      <c r="BD427" s="28"/>
      <c r="BE427" s="28"/>
      <c r="BF427" s="28"/>
      <c r="BG427" s="28"/>
      <c r="BH427" s="28"/>
      <c r="BI427" s="28"/>
      <c r="BJ427" s="24"/>
      <c r="BK427" s="28"/>
      <c r="BL427" s="28"/>
      <c r="BM427" s="28"/>
      <c r="BN427" s="28"/>
      <c r="BO427" s="28"/>
      <c r="BP427" s="28"/>
      <c r="BQ427" s="24"/>
      <c r="BR427" s="28"/>
      <c r="BS427" s="28"/>
      <c r="BT427" s="28"/>
      <c r="BU427" s="24"/>
      <c r="BV427" s="28"/>
      <c r="BW427" s="28"/>
      <c r="BX427" s="28"/>
    </row>
    <row r="428" spans="1:76">
      <c r="A428" s="24"/>
      <c r="B428" s="28"/>
      <c r="C428" s="25"/>
      <c r="D428" s="26"/>
      <c r="E428" s="24"/>
      <c r="F428" s="24"/>
      <c r="G428" s="26"/>
      <c r="H428" s="26"/>
      <c r="I428" s="26"/>
      <c r="J428" s="26"/>
      <c r="K428" s="26"/>
      <c r="L428" s="26"/>
      <c r="M428" s="26"/>
      <c r="N428" s="26"/>
      <c r="O428" s="26"/>
      <c r="P428" s="26"/>
      <c r="Q428" s="26"/>
      <c r="S428" s="26"/>
      <c r="T428" s="25"/>
      <c r="U428" s="24"/>
      <c r="V428" s="24"/>
      <c r="W428" s="24"/>
      <c r="X428" s="26"/>
      <c r="Y428" s="26"/>
      <c r="Z428" s="24"/>
      <c r="AA428" s="26"/>
      <c r="AB428" s="25"/>
      <c r="AC428" s="24"/>
      <c r="AD428" s="24"/>
      <c r="AE428" s="24"/>
      <c r="AF428" s="26"/>
      <c r="AG428" s="26"/>
      <c r="AH428" s="24"/>
      <c r="AI428" s="26"/>
      <c r="AJ428" s="25"/>
      <c r="AK428" s="24"/>
      <c r="AL428" s="24"/>
      <c r="AM428" s="24"/>
      <c r="AN428" s="26"/>
      <c r="AO428" s="26"/>
      <c r="AP428" s="24"/>
      <c r="AQ428" s="24"/>
      <c r="AR428" s="24"/>
      <c r="AS428" s="28"/>
      <c r="AT428" s="28"/>
      <c r="AU428" s="28"/>
      <c r="AV428" s="28"/>
      <c r="AW428" s="28"/>
      <c r="AX428" s="28"/>
      <c r="AY428" s="28"/>
      <c r="AZ428" s="28"/>
      <c r="BA428" s="28"/>
      <c r="BB428" s="28"/>
      <c r="BC428" s="28"/>
      <c r="BD428" s="28"/>
      <c r="BE428" s="28"/>
      <c r="BF428" s="28"/>
      <c r="BG428" s="28"/>
      <c r="BH428" s="28"/>
      <c r="BI428" s="28"/>
      <c r="BJ428" s="24"/>
      <c r="BK428" s="28"/>
      <c r="BL428" s="28"/>
      <c r="BM428" s="28"/>
      <c r="BN428" s="28"/>
      <c r="BO428" s="28"/>
      <c r="BP428" s="28"/>
      <c r="BQ428" s="24"/>
      <c r="BR428" s="28"/>
      <c r="BS428" s="28"/>
      <c r="BT428" s="28"/>
      <c r="BU428" s="24"/>
      <c r="BV428" s="28"/>
      <c r="BW428" s="28"/>
      <c r="BX428" s="28"/>
    </row>
    <row r="429" spans="1:76">
      <c r="A429" s="24"/>
      <c r="B429" s="28"/>
      <c r="C429" s="25"/>
      <c r="D429" s="26"/>
      <c r="E429" s="24"/>
      <c r="F429" s="24"/>
      <c r="G429" s="26"/>
      <c r="H429" s="26"/>
      <c r="I429" s="26"/>
      <c r="J429" s="26"/>
      <c r="K429" s="26"/>
      <c r="L429" s="26"/>
      <c r="M429" s="26"/>
      <c r="N429" s="26"/>
      <c r="O429" s="26"/>
      <c r="P429" s="26"/>
      <c r="Q429" s="26"/>
      <c r="S429" s="26"/>
      <c r="T429" s="25"/>
      <c r="U429" s="24"/>
      <c r="V429" s="24"/>
      <c r="W429" s="24"/>
      <c r="X429" s="26"/>
      <c r="Y429" s="26"/>
      <c r="Z429" s="24"/>
      <c r="AA429" s="26"/>
      <c r="AB429" s="25"/>
      <c r="AC429" s="24"/>
      <c r="AD429" s="24"/>
      <c r="AE429" s="24"/>
      <c r="AF429" s="26"/>
      <c r="AG429" s="26"/>
      <c r="AH429" s="24"/>
      <c r="AI429" s="26"/>
      <c r="AJ429" s="25"/>
      <c r="AK429" s="24"/>
      <c r="AL429" s="24"/>
      <c r="AM429" s="24"/>
      <c r="AN429" s="26"/>
      <c r="AO429" s="26"/>
      <c r="AP429" s="24"/>
      <c r="AQ429" s="24"/>
      <c r="AR429" s="24"/>
      <c r="AS429" s="28"/>
      <c r="AT429" s="28"/>
      <c r="AU429" s="28"/>
      <c r="AV429" s="28"/>
      <c r="AW429" s="28"/>
      <c r="AX429" s="28"/>
      <c r="AY429" s="28"/>
      <c r="AZ429" s="28"/>
      <c r="BA429" s="28"/>
      <c r="BB429" s="28"/>
      <c r="BC429" s="28"/>
      <c r="BD429" s="28"/>
      <c r="BE429" s="28"/>
      <c r="BF429" s="28"/>
      <c r="BG429" s="28"/>
      <c r="BH429" s="28"/>
      <c r="BI429" s="28"/>
      <c r="BJ429" s="24"/>
      <c r="BK429" s="28"/>
      <c r="BL429" s="28"/>
      <c r="BM429" s="28"/>
      <c r="BN429" s="28"/>
      <c r="BO429" s="28"/>
      <c r="BP429" s="28"/>
      <c r="BQ429" s="24"/>
      <c r="BR429" s="28"/>
      <c r="BS429" s="28"/>
      <c r="BT429" s="28"/>
      <c r="BU429" s="24"/>
      <c r="BV429" s="28"/>
      <c r="BW429" s="28"/>
      <c r="BX429" s="28"/>
    </row>
    <row r="430" spans="1:76">
      <c r="A430" s="24"/>
      <c r="B430" s="28"/>
      <c r="C430" s="25"/>
      <c r="D430" s="26"/>
      <c r="E430" s="24"/>
      <c r="F430" s="24"/>
      <c r="G430" s="26"/>
      <c r="H430" s="26"/>
      <c r="I430" s="26"/>
      <c r="J430" s="26"/>
      <c r="K430" s="26"/>
      <c r="L430" s="26"/>
      <c r="M430" s="26"/>
      <c r="N430" s="26"/>
      <c r="O430" s="26"/>
      <c r="P430" s="26"/>
      <c r="Q430" s="26"/>
      <c r="S430" s="26"/>
      <c r="T430" s="25"/>
      <c r="U430" s="24"/>
      <c r="V430" s="24"/>
      <c r="W430" s="24"/>
      <c r="X430" s="26"/>
      <c r="Y430" s="26"/>
      <c r="Z430" s="24"/>
      <c r="AA430" s="26"/>
      <c r="AB430" s="25"/>
      <c r="AC430" s="24"/>
      <c r="AD430" s="24"/>
      <c r="AE430" s="24"/>
      <c r="AF430" s="26"/>
      <c r="AG430" s="26"/>
      <c r="AH430" s="24"/>
      <c r="AI430" s="26"/>
      <c r="AJ430" s="25"/>
      <c r="AK430" s="24"/>
      <c r="AL430" s="24"/>
      <c r="AM430" s="24"/>
      <c r="AN430" s="26"/>
      <c r="AO430" s="26"/>
      <c r="AP430" s="24"/>
      <c r="AQ430" s="24"/>
      <c r="AR430" s="24"/>
      <c r="AS430" s="28"/>
      <c r="AT430" s="28"/>
      <c r="AU430" s="28"/>
      <c r="AV430" s="28"/>
      <c r="AW430" s="28"/>
      <c r="AX430" s="28"/>
      <c r="AY430" s="28"/>
      <c r="AZ430" s="28"/>
      <c r="BA430" s="28"/>
      <c r="BB430" s="28"/>
      <c r="BC430" s="28"/>
      <c r="BD430" s="28"/>
      <c r="BE430" s="28"/>
      <c r="BF430" s="28"/>
      <c r="BG430" s="28"/>
      <c r="BH430" s="28"/>
      <c r="BI430" s="28"/>
      <c r="BJ430" s="24"/>
      <c r="BK430" s="28"/>
      <c r="BL430" s="28"/>
      <c r="BM430" s="28"/>
      <c r="BN430" s="28"/>
      <c r="BO430" s="28"/>
      <c r="BP430" s="28"/>
      <c r="BQ430" s="24"/>
      <c r="BR430" s="28"/>
      <c r="BS430" s="28"/>
      <c r="BT430" s="28"/>
      <c r="BU430" s="24"/>
      <c r="BV430" s="28"/>
      <c r="BW430" s="28"/>
      <c r="BX430" s="28"/>
    </row>
    <row r="431" spans="1:76">
      <c r="A431" s="24"/>
      <c r="B431" s="28"/>
      <c r="C431" s="25"/>
      <c r="D431" s="26"/>
      <c r="E431" s="24"/>
      <c r="F431" s="24"/>
      <c r="G431" s="26"/>
      <c r="H431" s="26"/>
      <c r="I431" s="26"/>
      <c r="J431" s="26"/>
      <c r="K431" s="26"/>
      <c r="L431" s="26"/>
      <c r="M431" s="26"/>
      <c r="N431" s="26"/>
      <c r="O431" s="26"/>
      <c r="P431" s="26"/>
      <c r="Q431" s="26"/>
      <c r="S431" s="26"/>
      <c r="T431" s="25"/>
      <c r="U431" s="24"/>
      <c r="V431" s="24"/>
      <c r="W431" s="24"/>
      <c r="X431" s="26"/>
      <c r="Y431" s="26"/>
      <c r="Z431" s="24"/>
      <c r="AA431" s="26"/>
      <c r="AB431" s="25"/>
      <c r="AC431" s="24"/>
      <c r="AD431" s="24"/>
      <c r="AE431" s="24"/>
      <c r="AF431" s="26"/>
      <c r="AG431" s="26"/>
      <c r="AH431" s="24"/>
      <c r="AI431" s="26"/>
      <c r="AJ431" s="25"/>
      <c r="AK431" s="24"/>
      <c r="AL431" s="24"/>
      <c r="AM431" s="24"/>
      <c r="AN431" s="26"/>
      <c r="AO431" s="26"/>
      <c r="AP431" s="24"/>
      <c r="AQ431" s="24"/>
      <c r="AR431" s="24"/>
      <c r="AS431" s="28"/>
      <c r="AT431" s="28"/>
      <c r="AU431" s="28"/>
      <c r="AV431" s="28"/>
      <c r="AW431" s="28"/>
      <c r="AX431" s="28"/>
      <c r="AY431" s="28"/>
      <c r="AZ431" s="28"/>
      <c r="BA431" s="28"/>
      <c r="BB431" s="28"/>
      <c r="BC431" s="28"/>
      <c r="BD431" s="28"/>
      <c r="BE431" s="28"/>
      <c r="BF431" s="28"/>
      <c r="BG431" s="28"/>
      <c r="BH431" s="28"/>
      <c r="BI431" s="28"/>
      <c r="BJ431" s="24"/>
      <c r="BK431" s="28"/>
      <c r="BL431" s="28"/>
      <c r="BM431" s="28"/>
      <c r="BN431" s="28"/>
      <c r="BO431" s="28"/>
      <c r="BP431" s="28"/>
      <c r="BQ431" s="24"/>
      <c r="BR431" s="28"/>
      <c r="BS431" s="28"/>
      <c r="BT431" s="28"/>
      <c r="BU431" s="24"/>
      <c r="BV431" s="28"/>
      <c r="BW431" s="28"/>
      <c r="BX431" s="28"/>
    </row>
    <row r="432" spans="1:76">
      <c r="A432" s="24"/>
      <c r="B432" s="28"/>
      <c r="C432" s="25"/>
      <c r="D432" s="26"/>
      <c r="E432" s="24"/>
      <c r="F432" s="24"/>
      <c r="G432" s="26"/>
      <c r="H432" s="26"/>
      <c r="I432" s="26"/>
      <c r="J432" s="26"/>
      <c r="K432" s="26"/>
      <c r="L432" s="26"/>
      <c r="M432" s="26"/>
      <c r="N432" s="26"/>
      <c r="O432" s="26"/>
      <c r="P432" s="26"/>
      <c r="Q432" s="26"/>
      <c r="S432" s="26"/>
      <c r="T432" s="25"/>
      <c r="U432" s="24"/>
      <c r="V432" s="24"/>
      <c r="W432" s="24"/>
      <c r="X432" s="26"/>
      <c r="Y432" s="26"/>
      <c r="Z432" s="24"/>
      <c r="AA432" s="26"/>
      <c r="AB432" s="25"/>
      <c r="AC432" s="24"/>
      <c r="AD432" s="24"/>
      <c r="AE432" s="24"/>
      <c r="AF432" s="26"/>
      <c r="AG432" s="26"/>
      <c r="AH432" s="24"/>
      <c r="AI432" s="26"/>
      <c r="AJ432" s="25"/>
      <c r="AK432" s="24"/>
      <c r="AL432" s="24"/>
      <c r="AM432" s="24"/>
      <c r="AN432" s="26"/>
      <c r="AO432" s="26"/>
      <c r="AP432" s="24"/>
      <c r="AQ432" s="24"/>
      <c r="AR432" s="24"/>
      <c r="AS432" s="28"/>
      <c r="AT432" s="28"/>
      <c r="AU432" s="28"/>
      <c r="AV432" s="28"/>
      <c r="AW432" s="28"/>
      <c r="AX432" s="28"/>
      <c r="AY432" s="28"/>
      <c r="AZ432" s="28"/>
      <c r="BA432" s="28"/>
      <c r="BB432" s="28"/>
      <c r="BC432" s="28"/>
      <c r="BD432" s="28"/>
      <c r="BE432" s="28"/>
      <c r="BF432" s="28"/>
      <c r="BG432" s="28"/>
      <c r="BH432" s="28"/>
      <c r="BI432" s="28"/>
      <c r="BJ432" s="24"/>
      <c r="BK432" s="28"/>
      <c r="BL432" s="28"/>
      <c r="BM432" s="28"/>
      <c r="BN432" s="28"/>
      <c r="BO432" s="28"/>
      <c r="BP432" s="28"/>
      <c r="BQ432" s="24"/>
      <c r="BR432" s="28"/>
      <c r="BS432" s="28"/>
      <c r="BT432" s="28"/>
      <c r="BU432" s="24"/>
      <c r="BV432" s="28"/>
      <c r="BW432" s="28"/>
      <c r="BX432" s="28"/>
    </row>
    <row r="433" spans="1:76">
      <c r="A433" s="24"/>
      <c r="B433" s="28"/>
      <c r="C433" s="25"/>
      <c r="D433" s="26"/>
      <c r="E433" s="24"/>
      <c r="F433" s="24"/>
      <c r="G433" s="26"/>
      <c r="H433" s="26"/>
      <c r="I433" s="26"/>
      <c r="J433" s="26"/>
      <c r="K433" s="26"/>
      <c r="L433" s="26"/>
      <c r="M433" s="26"/>
      <c r="N433" s="26"/>
      <c r="O433" s="26"/>
      <c r="P433" s="26"/>
      <c r="Q433" s="26"/>
      <c r="S433" s="26"/>
      <c r="T433" s="25"/>
      <c r="U433" s="24"/>
      <c r="V433" s="24"/>
      <c r="W433" s="24"/>
      <c r="X433" s="26"/>
      <c r="Y433" s="26"/>
      <c r="Z433" s="24"/>
      <c r="AA433" s="26"/>
      <c r="AB433" s="25"/>
      <c r="AC433" s="24"/>
      <c r="AD433" s="24"/>
      <c r="AE433" s="24"/>
      <c r="AF433" s="26"/>
      <c r="AG433" s="26"/>
      <c r="AH433" s="24"/>
      <c r="AI433" s="26"/>
      <c r="AJ433" s="25"/>
      <c r="AK433" s="24"/>
      <c r="AL433" s="24"/>
      <c r="AM433" s="24"/>
      <c r="AN433" s="26"/>
      <c r="AO433" s="26"/>
      <c r="AP433" s="24"/>
      <c r="AQ433" s="24"/>
      <c r="AR433" s="24"/>
      <c r="AS433" s="28"/>
      <c r="AT433" s="28"/>
      <c r="AU433" s="28"/>
      <c r="AV433" s="28"/>
      <c r="AW433" s="28"/>
      <c r="AX433" s="28"/>
      <c r="AY433" s="28"/>
      <c r="AZ433" s="28"/>
      <c r="BA433" s="28"/>
      <c r="BB433" s="28"/>
      <c r="BC433" s="28"/>
      <c r="BD433" s="28"/>
      <c r="BE433" s="28"/>
      <c r="BF433" s="28"/>
      <c r="BG433" s="28"/>
      <c r="BH433" s="28"/>
      <c r="BI433" s="28"/>
      <c r="BJ433" s="24"/>
      <c r="BK433" s="28"/>
      <c r="BL433" s="28"/>
      <c r="BM433" s="28"/>
      <c r="BN433" s="28"/>
      <c r="BO433" s="28"/>
      <c r="BP433" s="28"/>
      <c r="BQ433" s="24"/>
      <c r="BR433" s="28"/>
      <c r="BS433" s="28"/>
      <c r="BT433" s="28"/>
      <c r="BU433" s="24"/>
      <c r="BV433" s="28"/>
      <c r="BW433" s="28"/>
      <c r="BX433" s="28"/>
    </row>
    <row r="434" spans="1:76">
      <c r="A434" s="24"/>
      <c r="B434" s="28"/>
      <c r="C434" s="25"/>
      <c r="D434" s="26"/>
      <c r="E434" s="24"/>
      <c r="F434" s="24"/>
      <c r="G434" s="26"/>
      <c r="H434" s="26"/>
      <c r="I434" s="26"/>
      <c r="J434" s="26"/>
      <c r="K434" s="26"/>
      <c r="L434" s="26"/>
      <c r="M434" s="26"/>
      <c r="N434" s="26"/>
      <c r="O434" s="26"/>
      <c r="P434" s="26"/>
      <c r="Q434" s="26"/>
      <c r="S434" s="26"/>
      <c r="T434" s="25"/>
      <c r="U434" s="24"/>
      <c r="V434" s="24"/>
      <c r="W434" s="24"/>
      <c r="X434" s="26"/>
      <c r="Y434" s="26"/>
      <c r="Z434" s="24"/>
      <c r="AA434" s="26"/>
      <c r="AB434" s="25"/>
      <c r="AC434" s="24"/>
      <c r="AD434" s="24"/>
      <c r="AE434" s="24"/>
      <c r="AF434" s="26"/>
      <c r="AG434" s="26"/>
      <c r="AH434" s="24"/>
      <c r="AI434" s="26"/>
      <c r="AJ434" s="25"/>
      <c r="AK434" s="24"/>
      <c r="AL434" s="24"/>
      <c r="AM434" s="24"/>
      <c r="AN434" s="26"/>
      <c r="AO434" s="26"/>
      <c r="AP434" s="24"/>
      <c r="AQ434" s="24"/>
      <c r="AR434" s="24"/>
      <c r="AS434" s="28"/>
      <c r="AT434" s="28"/>
      <c r="AU434" s="28"/>
      <c r="AV434" s="28"/>
      <c r="AW434" s="28"/>
      <c r="AX434" s="28"/>
      <c r="AY434" s="28"/>
      <c r="AZ434" s="28"/>
      <c r="BA434" s="28"/>
      <c r="BB434" s="28"/>
      <c r="BC434" s="28"/>
      <c r="BD434" s="28"/>
      <c r="BE434" s="28"/>
      <c r="BF434" s="28"/>
      <c r="BG434" s="28"/>
      <c r="BH434" s="28"/>
      <c r="BI434" s="28"/>
      <c r="BJ434" s="24"/>
      <c r="BK434" s="28"/>
      <c r="BL434" s="28"/>
      <c r="BM434" s="28"/>
      <c r="BN434" s="28"/>
      <c r="BO434" s="28"/>
      <c r="BP434" s="28"/>
      <c r="BQ434" s="24"/>
      <c r="BR434" s="28"/>
      <c r="BS434" s="28"/>
      <c r="BT434" s="28"/>
      <c r="BU434" s="24"/>
      <c r="BV434" s="28"/>
      <c r="BW434" s="28"/>
      <c r="BX434" s="28"/>
    </row>
    <row r="435" spans="1:76">
      <c r="A435" s="24"/>
      <c r="B435" s="28"/>
      <c r="C435" s="25"/>
      <c r="D435" s="26"/>
      <c r="E435" s="24"/>
      <c r="F435" s="24"/>
      <c r="G435" s="26"/>
      <c r="H435" s="26"/>
      <c r="I435" s="26"/>
      <c r="J435" s="26"/>
      <c r="K435" s="26"/>
      <c r="L435" s="26"/>
      <c r="M435" s="26"/>
      <c r="N435" s="26"/>
      <c r="O435" s="26"/>
      <c r="P435" s="26"/>
      <c r="Q435" s="26"/>
      <c r="S435" s="26"/>
      <c r="T435" s="25"/>
      <c r="U435" s="24"/>
      <c r="V435" s="24"/>
      <c r="W435" s="24"/>
      <c r="X435" s="26"/>
      <c r="Y435" s="26"/>
      <c r="Z435" s="24"/>
      <c r="AA435" s="26"/>
      <c r="AB435" s="25"/>
      <c r="AC435" s="24"/>
      <c r="AD435" s="24"/>
      <c r="AE435" s="24"/>
      <c r="AF435" s="26"/>
      <c r="AG435" s="26"/>
      <c r="AH435" s="24"/>
      <c r="AI435" s="26"/>
      <c r="AJ435" s="25"/>
      <c r="AK435" s="24"/>
      <c r="AL435" s="24"/>
      <c r="AM435" s="24"/>
      <c r="AN435" s="26"/>
      <c r="AO435" s="26"/>
      <c r="AP435" s="24"/>
      <c r="AQ435" s="24"/>
      <c r="AR435" s="24"/>
      <c r="AS435" s="28"/>
      <c r="AT435" s="28"/>
      <c r="AU435" s="28"/>
      <c r="AV435" s="28"/>
      <c r="AW435" s="28"/>
      <c r="AX435" s="28"/>
      <c r="AY435" s="28"/>
      <c r="AZ435" s="28"/>
      <c r="BA435" s="28"/>
      <c r="BB435" s="28"/>
      <c r="BC435" s="28"/>
      <c r="BD435" s="28"/>
      <c r="BE435" s="28"/>
      <c r="BF435" s="28"/>
      <c r="BG435" s="28"/>
      <c r="BH435" s="28"/>
      <c r="BI435" s="28"/>
      <c r="BJ435" s="24"/>
      <c r="BK435" s="28"/>
      <c r="BL435" s="28"/>
      <c r="BM435" s="28"/>
      <c r="BN435" s="28"/>
      <c r="BO435" s="28"/>
      <c r="BP435" s="28"/>
      <c r="BQ435" s="24"/>
      <c r="BR435" s="28"/>
      <c r="BS435" s="28"/>
      <c r="BT435" s="28"/>
      <c r="BU435" s="24"/>
      <c r="BV435" s="28"/>
      <c r="BW435" s="28"/>
      <c r="BX435" s="28"/>
    </row>
    <row r="436" spans="1:76">
      <c r="A436" s="24"/>
      <c r="B436" s="28"/>
      <c r="C436" s="25"/>
      <c r="D436" s="26"/>
      <c r="E436" s="24"/>
      <c r="F436" s="24"/>
      <c r="G436" s="26"/>
      <c r="H436" s="26"/>
      <c r="I436" s="26"/>
      <c r="J436" s="26"/>
      <c r="K436" s="26"/>
      <c r="L436" s="26"/>
      <c r="M436" s="26"/>
      <c r="N436" s="26"/>
      <c r="O436" s="26"/>
      <c r="P436" s="26"/>
      <c r="Q436" s="26"/>
      <c r="S436" s="26"/>
      <c r="T436" s="25"/>
      <c r="U436" s="24"/>
      <c r="V436" s="24"/>
      <c r="W436" s="24"/>
      <c r="X436" s="26"/>
      <c r="Y436" s="26"/>
      <c r="Z436" s="24"/>
      <c r="AA436" s="26"/>
      <c r="AB436" s="25"/>
      <c r="AC436" s="24"/>
      <c r="AD436" s="24"/>
      <c r="AE436" s="24"/>
      <c r="AF436" s="26"/>
      <c r="AG436" s="26"/>
      <c r="AH436" s="24"/>
      <c r="AI436" s="26"/>
      <c r="AJ436" s="25"/>
      <c r="AK436" s="24"/>
      <c r="AL436" s="24"/>
      <c r="AM436" s="24"/>
      <c r="AN436" s="26"/>
      <c r="AO436" s="26"/>
      <c r="AP436" s="24"/>
      <c r="AQ436" s="24"/>
      <c r="AR436" s="24"/>
      <c r="AS436" s="28"/>
      <c r="AT436" s="28"/>
      <c r="AU436" s="28"/>
      <c r="AV436" s="28"/>
      <c r="AW436" s="28"/>
      <c r="AX436" s="28"/>
      <c r="AY436" s="28"/>
      <c r="AZ436" s="28"/>
      <c r="BA436" s="28"/>
      <c r="BB436" s="28"/>
      <c r="BC436" s="28"/>
      <c r="BD436" s="28"/>
      <c r="BE436" s="28"/>
      <c r="BF436" s="28"/>
      <c r="BG436" s="28"/>
      <c r="BH436" s="28"/>
      <c r="BI436" s="28"/>
      <c r="BJ436" s="24"/>
      <c r="BK436" s="28"/>
      <c r="BL436" s="28"/>
      <c r="BM436" s="28"/>
      <c r="BN436" s="28"/>
      <c r="BO436" s="28"/>
      <c r="BP436" s="28"/>
      <c r="BQ436" s="24"/>
      <c r="BR436" s="28"/>
      <c r="BS436" s="28"/>
      <c r="BT436" s="28"/>
      <c r="BU436" s="24"/>
      <c r="BV436" s="28"/>
      <c r="BW436" s="28"/>
      <c r="BX436" s="28"/>
    </row>
    <row r="437" spans="1:76">
      <c r="A437" s="24"/>
      <c r="B437" s="28"/>
      <c r="C437" s="25"/>
      <c r="D437" s="26"/>
      <c r="E437" s="24"/>
      <c r="F437" s="24"/>
      <c r="G437" s="26"/>
      <c r="H437" s="26"/>
      <c r="I437" s="26"/>
      <c r="J437" s="26"/>
      <c r="K437" s="26"/>
      <c r="L437" s="26"/>
      <c r="M437" s="26"/>
      <c r="N437" s="26"/>
      <c r="O437" s="26"/>
      <c r="P437" s="26"/>
      <c r="Q437" s="26"/>
      <c r="S437" s="26"/>
      <c r="T437" s="25"/>
      <c r="U437" s="24"/>
      <c r="V437" s="24"/>
      <c r="W437" s="24"/>
      <c r="X437" s="26"/>
      <c r="Y437" s="26"/>
      <c r="Z437" s="24"/>
      <c r="AA437" s="26"/>
      <c r="AB437" s="25"/>
      <c r="AC437" s="24"/>
      <c r="AD437" s="24"/>
      <c r="AE437" s="24"/>
      <c r="AF437" s="26"/>
      <c r="AG437" s="26"/>
      <c r="AH437" s="24"/>
      <c r="AI437" s="26"/>
      <c r="AJ437" s="25"/>
      <c r="AK437" s="24"/>
      <c r="AL437" s="24"/>
      <c r="AM437" s="24"/>
      <c r="AN437" s="26"/>
      <c r="AO437" s="26"/>
      <c r="AP437" s="24"/>
      <c r="AQ437" s="24"/>
      <c r="AR437" s="24"/>
      <c r="AS437" s="28"/>
      <c r="AT437" s="28"/>
      <c r="AU437" s="28"/>
      <c r="AV437" s="28"/>
      <c r="AW437" s="28"/>
      <c r="AX437" s="28"/>
      <c r="AY437" s="28"/>
      <c r="AZ437" s="28"/>
      <c r="BA437" s="28"/>
      <c r="BB437" s="28"/>
      <c r="BC437" s="28"/>
      <c r="BD437" s="28"/>
      <c r="BE437" s="28"/>
      <c r="BF437" s="28"/>
      <c r="BG437" s="28"/>
      <c r="BH437" s="28"/>
      <c r="BI437" s="28"/>
      <c r="BJ437" s="24"/>
      <c r="BK437" s="28"/>
      <c r="BL437" s="28"/>
      <c r="BM437" s="28"/>
      <c r="BN437" s="28"/>
      <c r="BO437" s="28"/>
      <c r="BP437" s="28"/>
      <c r="BQ437" s="24"/>
      <c r="BR437" s="28"/>
      <c r="BS437" s="28"/>
      <c r="BT437" s="28"/>
      <c r="BU437" s="24"/>
      <c r="BV437" s="28"/>
      <c r="BW437" s="28"/>
      <c r="BX437" s="28"/>
    </row>
    <row r="438" spans="1:76">
      <c r="A438" s="24"/>
      <c r="B438" s="28"/>
      <c r="C438" s="25"/>
      <c r="D438" s="26"/>
      <c r="E438" s="24"/>
      <c r="F438" s="24"/>
      <c r="G438" s="26"/>
      <c r="H438" s="26"/>
      <c r="I438" s="26"/>
      <c r="J438" s="26"/>
      <c r="K438" s="26"/>
      <c r="L438" s="26"/>
      <c r="M438" s="26"/>
      <c r="N438" s="26"/>
      <c r="O438" s="26"/>
      <c r="P438" s="26"/>
      <c r="Q438" s="26"/>
      <c r="S438" s="26"/>
      <c r="T438" s="25"/>
      <c r="U438" s="24"/>
      <c r="V438" s="24"/>
      <c r="W438" s="24"/>
      <c r="X438" s="26"/>
      <c r="Y438" s="26"/>
      <c r="Z438" s="24"/>
      <c r="AA438" s="26"/>
      <c r="AB438" s="25"/>
      <c r="AC438" s="24"/>
      <c r="AD438" s="24"/>
      <c r="AE438" s="24"/>
      <c r="AF438" s="26"/>
      <c r="AG438" s="26"/>
      <c r="AH438" s="24"/>
      <c r="AI438" s="26"/>
      <c r="AJ438" s="25"/>
      <c r="AK438" s="24"/>
      <c r="AL438" s="24"/>
      <c r="AM438" s="24"/>
      <c r="AN438" s="26"/>
      <c r="AO438" s="26"/>
      <c r="AP438" s="24"/>
      <c r="AQ438" s="24"/>
      <c r="AR438" s="24"/>
      <c r="AS438" s="28"/>
      <c r="AT438" s="28"/>
      <c r="AU438" s="28"/>
      <c r="AV438" s="28"/>
      <c r="AW438" s="28"/>
      <c r="AX438" s="28"/>
      <c r="AY438" s="28"/>
      <c r="AZ438" s="28"/>
      <c r="BA438" s="28"/>
      <c r="BB438" s="28"/>
      <c r="BC438" s="28"/>
      <c r="BD438" s="28"/>
      <c r="BE438" s="28"/>
      <c r="BF438" s="28"/>
      <c r="BG438" s="28"/>
      <c r="BH438" s="28"/>
      <c r="BI438" s="28"/>
      <c r="BJ438" s="24"/>
      <c r="BK438" s="28"/>
      <c r="BL438" s="28"/>
      <c r="BM438" s="28"/>
      <c r="BN438" s="28"/>
      <c r="BO438" s="28"/>
      <c r="BP438" s="28"/>
      <c r="BQ438" s="24"/>
      <c r="BR438" s="28"/>
      <c r="BS438" s="28"/>
      <c r="BT438" s="28"/>
      <c r="BU438" s="24"/>
      <c r="BV438" s="28"/>
      <c r="BW438" s="28"/>
      <c r="BX438" s="28"/>
    </row>
    <row r="439" spans="1:76">
      <c r="A439" s="24"/>
      <c r="B439" s="28"/>
      <c r="C439" s="25"/>
      <c r="D439" s="26"/>
      <c r="E439" s="24"/>
      <c r="F439" s="24"/>
      <c r="G439" s="26"/>
      <c r="H439" s="26"/>
      <c r="I439" s="26"/>
      <c r="J439" s="26"/>
      <c r="K439" s="26"/>
      <c r="L439" s="26"/>
      <c r="M439" s="26"/>
      <c r="N439" s="26"/>
      <c r="O439" s="26"/>
      <c r="P439" s="26"/>
      <c r="Q439" s="26"/>
      <c r="S439" s="26"/>
      <c r="T439" s="25"/>
      <c r="U439" s="24"/>
      <c r="V439" s="24"/>
      <c r="W439" s="24"/>
      <c r="X439" s="26"/>
      <c r="Y439" s="26"/>
      <c r="Z439" s="24"/>
      <c r="AA439" s="26"/>
      <c r="AB439" s="25"/>
      <c r="AC439" s="24"/>
      <c r="AD439" s="24"/>
      <c r="AE439" s="24"/>
      <c r="AF439" s="26"/>
      <c r="AG439" s="26"/>
      <c r="AH439" s="24"/>
      <c r="AI439" s="26"/>
      <c r="AJ439" s="25"/>
      <c r="AK439" s="24"/>
      <c r="AL439" s="24"/>
      <c r="AM439" s="24"/>
      <c r="AN439" s="26"/>
      <c r="AO439" s="26"/>
      <c r="AP439" s="24"/>
      <c r="AQ439" s="24"/>
      <c r="AR439" s="24"/>
      <c r="AS439" s="28"/>
      <c r="AT439" s="28"/>
      <c r="AU439" s="28"/>
      <c r="AV439" s="28"/>
      <c r="AW439" s="28"/>
      <c r="AX439" s="28"/>
      <c r="AY439" s="28"/>
      <c r="AZ439" s="28"/>
      <c r="BA439" s="28"/>
      <c r="BB439" s="28"/>
      <c r="BC439" s="28"/>
      <c r="BD439" s="28"/>
      <c r="BE439" s="28"/>
      <c r="BF439" s="28"/>
      <c r="BG439" s="28"/>
      <c r="BH439" s="28"/>
      <c r="BI439" s="28"/>
      <c r="BJ439" s="24"/>
      <c r="BK439" s="28"/>
      <c r="BL439" s="28"/>
      <c r="BM439" s="28"/>
      <c r="BN439" s="28"/>
      <c r="BO439" s="28"/>
      <c r="BP439" s="28"/>
      <c r="BQ439" s="24"/>
      <c r="BR439" s="28"/>
      <c r="BS439" s="28"/>
      <c r="BT439" s="28"/>
      <c r="BU439" s="24"/>
      <c r="BV439" s="28"/>
      <c r="BW439" s="28"/>
      <c r="BX439" s="28"/>
    </row>
    <row r="440" spans="1:76">
      <c r="A440" s="24"/>
      <c r="B440" s="28"/>
      <c r="C440" s="25"/>
      <c r="D440" s="26"/>
      <c r="E440" s="24"/>
      <c r="F440" s="24"/>
      <c r="G440" s="26"/>
      <c r="H440" s="26"/>
      <c r="I440" s="26"/>
      <c r="J440" s="26"/>
      <c r="K440" s="26"/>
      <c r="L440" s="26"/>
      <c r="M440" s="26"/>
      <c r="N440" s="26"/>
      <c r="O440" s="26"/>
      <c r="P440" s="26"/>
      <c r="Q440" s="26"/>
      <c r="S440" s="26"/>
      <c r="T440" s="25"/>
      <c r="U440" s="24"/>
      <c r="V440" s="24"/>
      <c r="W440" s="24"/>
      <c r="X440" s="26"/>
      <c r="Y440" s="26"/>
      <c r="Z440" s="24"/>
      <c r="AA440" s="26"/>
      <c r="AB440" s="25"/>
      <c r="AC440" s="24"/>
      <c r="AD440" s="24"/>
      <c r="AE440" s="24"/>
      <c r="AF440" s="26"/>
      <c r="AG440" s="26"/>
      <c r="AH440" s="24"/>
      <c r="AI440" s="26"/>
      <c r="AJ440" s="25"/>
      <c r="AK440" s="24"/>
      <c r="AL440" s="24"/>
      <c r="AM440" s="24"/>
      <c r="AN440" s="26"/>
      <c r="AO440" s="26"/>
      <c r="AP440" s="24"/>
      <c r="AQ440" s="24"/>
      <c r="AR440" s="24"/>
      <c r="AS440" s="28"/>
      <c r="AT440" s="28"/>
      <c r="AU440" s="28"/>
      <c r="AV440" s="28"/>
      <c r="AW440" s="28"/>
      <c r="AX440" s="28"/>
      <c r="AY440" s="28"/>
      <c r="AZ440" s="28"/>
      <c r="BA440" s="28"/>
      <c r="BB440" s="28"/>
      <c r="BC440" s="28"/>
      <c r="BD440" s="28"/>
      <c r="BE440" s="28"/>
      <c r="BF440" s="28"/>
      <c r="BG440" s="28"/>
      <c r="BH440" s="28"/>
      <c r="BI440" s="28"/>
      <c r="BJ440" s="24"/>
      <c r="BK440" s="28"/>
      <c r="BL440" s="28"/>
      <c r="BM440" s="28"/>
      <c r="BN440" s="28"/>
      <c r="BO440" s="28"/>
      <c r="BP440" s="28"/>
      <c r="BQ440" s="24"/>
      <c r="BR440" s="28"/>
      <c r="BS440" s="28"/>
      <c r="BT440" s="28"/>
      <c r="BU440" s="24"/>
      <c r="BV440" s="28"/>
      <c r="BW440" s="28"/>
      <c r="BX440" s="28"/>
    </row>
    <row r="441" spans="1:76">
      <c r="A441" s="24"/>
      <c r="B441" s="28"/>
      <c r="C441" s="25"/>
      <c r="D441" s="26"/>
      <c r="E441" s="24"/>
      <c r="F441" s="24"/>
      <c r="G441" s="26"/>
      <c r="H441" s="26"/>
      <c r="I441" s="26"/>
      <c r="J441" s="26"/>
      <c r="K441" s="26"/>
      <c r="L441" s="26"/>
      <c r="M441" s="26"/>
      <c r="N441" s="26"/>
      <c r="O441" s="26"/>
      <c r="P441" s="26"/>
      <c r="Q441" s="26"/>
      <c r="S441" s="26"/>
      <c r="T441" s="25"/>
      <c r="U441" s="24"/>
      <c r="V441" s="24"/>
      <c r="W441" s="24"/>
      <c r="X441" s="26"/>
      <c r="Y441" s="26"/>
      <c r="Z441" s="24"/>
      <c r="AA441" s="26"/>
      <c r="AB441" s="25"/>
      <c r="AC441" s="24"/>
      <c r="AD441" s="24"/>
      <c r="AE441" s="24"/>
      <c r="AF441" s="26"/>
      <c r="AG441" s="26"/>
      <c r="AH441" s="24"/>
      <c r="AI441" s="26"/>
      <c r="AJ441" s="25"/>
      <c r="AK441" s="24"/>
      <c r="AL441" s="24"/>
      <c r="AM441" s="24"/>
      <c r="AN441" s="26"/>
      <c r="AO441" s="26"/>
      <c r="AP441" s="24"/>
      <c r="AQ441" s="24"/>
      <c r="AR441" s="24"/>
      <c r="AS441" s="28"/>
      <c r="AT441" s="28"/>
      <c r="AU441" s="28"/>
      <c r="AV441" s="28"/>
      <c r="AW441" s="28"/>
      <c r="AX441" s="28"/>
      <c r="AY441" s="28"/>
      <c r="AZ441" s="28"/>
      <c r="BA441" s="28"/>
      <c r="BB441" s="28"/>
      <c r="BC441" s="28"/>
      <c r="BD441" s="28"/>
      <c r="BE441" s="28"/>
      <c r="BF441" s="28"/>
      <c r="BG441" s="28"/>
      <c r="BH441" s="28"/>
      <c r="BI441" s="28"/>
      <c r="BJ441" s="24"/>
      <c r="BK441" s="28"/>
      <c r="BL441" s="28"/>
      <c r="BM441" s="28"/>
      <c r="BN441" s="28"/>
      <c r="BO441" s="28"/>
      <c r="BP441" s="28"/>
      <c r="BQ441" s="24"/>
      <c r="BR441" s="28"/>
      <c r="BS441" s="28"/>
      <c r="BT441" s="28"/>
      <c r="BU441" s="24"/>
      <c r="BV441" s="28"/>
      <c r="BW441" s="28"/>
      <c r="BX441" s="28"/>
    </row>
    <row r="442" spans="1:76">
      <c r="A442" s="24"/>
      <c r="B442" s="28"/>
      <c r="C442" s="25"/>
      <c r="D442" s="26"/>
      <c r="E442" s="24"/>
      <c r="F442" s="24"/>
      <c r="G442" s="26"/>
      <c r="H442" s="26"/>
      <c r="I442" s="26"/>
      <c r="J442" s="26"/>
      <c r="K442" s="26"/>
      <c r="L442" s="26"/>
      <c r="M442" s="26"/>
      <c r="N442" s="26"/>
      <c r="O442" s="26"/>
      <c r="P442" s="26"/>
      <c r="Q442" s="26"/>
      <c r="S442" s="26"/>
      <c r="T442" s="25"/>
      <c r="U442" s="24"/>
      <c r="V442" s="24"/>
      <c r="W442" s="24"/>
      <c r="X442" s="26"/>
      <c r="Y442" s="26"/>
      <c r="Z442" s="24"/>
      <c r="AA442" s="26"/>
      <c r="AB442" s="25"/>
      <c r="AC442" s="24"/>
      <c r="AD442" s="24"/>
      <c r="AE442" s="24"/>
      <c r="AF442" s="26"/>
      <c r="AG442" s="26"/>
      <c r="AH442" s="24"/>
      <c r="AI442" s="26"/>
      <c r="AJ442" s="25"/>
      <c r="AK442" s="24"/>
      <c r="AL442" s="24"/>
      <c r="AM442" s="24"/>
      <c r="AN442" s="26"/>
      <c r="AO442" s="26"/>
      <c r="AP442" s="24"/>
      <c r="AQ442" s="24"/>
      <c r="AR442" s="24"/>
      <c r="AS442" s="28"/>
      <c r="AT442" s="28"/>
      <c r="AU442" s="28"/>
      <c r="AV442" s="28"/>
      <c r="AW442" s="28"/>
      <c r="AX442" s="28"/>
      <c r="AY442" s="28"/>
      <c r="AZ442" s="28"/>
      <c r="BA442" s="28"/>
      <c r="BB442" s="28"/>
      <c r="BC442" s="28"/>
      <c r="BD442" s="28"/>
      <c r="BE442" s="28"/>
      <c r="BF442" s="28"/>
      <c r="BG442" s="28"/>
      <c r="BH442" s="28"/>
      <c r="BI442" s="28"/>
      <c r="BJ442" s="24"/>
      <c r="BK442" s="28"/>
      <c r="BL442" s="28"/>
      <c r="BM442" s="28"/>
      <c r="BN442" s="28"/>
      <c r="BO442" s="28"/>
      <c r="BP442" s="28"/>
      <c r="BQ442" s="24"/>
      <c r="BR442" s="28"/>
      <c r="BS442" s="28"/>
      <c r="BT442" s="28"/>
      <c r="BU442" s="24"/>
      <c r="BV442" s="28"/>
      <c r="BW442" s="28"/>
      <c r="BX442" s="28"/>
    </row>
    <row r="443" spans="1:76">
      <c r="A443" s="24"/>
      <c r="B443" s="28"/>
      <c r="C443" s="25"/>
      <c r="D443" s="26"/>
      <c r="E443" s="24"/>
      <c r="F443" s="24"/>
      <c r="G443" s="26"/>
      <c r="H443" s="26"/>
      <c r="I443" s="26"/>
      <c r="J443" s="26"/>
      <c r="K443" s="26"/>
      <c r="L443" s="26"/>
      <c r="M443" s="26"/>
      <c r="N443" s="26"/>
      <c r="O443" s="26"/>
      <c r="P443" s="26"/>
      <c r="Q443" s="26"/>
      <c r="S443" s="26"/>
      <c r="T443" s="25"/>
      <c r="U443" s="24"/>
      <c r="V443" s="24"/>
      <c r="W443" s="24"/>
      <c r="X443" s="26"/>
      <c r="Y443" s="26"/>
      <c r="Z443" s="24"/>
      <c r="AA443" s="26"/>
      <c r="AB443" s="25"/>
      <c r="AC443" s="24"/>
      <c r="AD443" s="24"/>
      <c r="AE443" s="24"/>
      <c r="AF443" s="26"/>
      <c r="AG443" s="26"/>
      <c r="AH443" s="24"/>
      <c r="AI443" s="26"/>
      <c r="AJ443" s="25"/>
      <c r="AK443" s="24"/>
      <c r="AL443" s="24"/>
      <c r="AM443" s="24"/>
      <c r="AN443" s="26"/>
      <c r="AO443" s="26"/>
      <c r="AP443" s="24"/>
      <c r="AQ443" s="24"/>
      <c r="AR443" s="24"/>
      <c r="AS443" s="28"/>
      <c r="AT443" s="28"/>
      <c r="AU443" s="28"/>
      <c r="AV443" s="28"/>
      <c r="AW443" s="28"/>
      <c r="AX443" s="28"/>
      <c r="AY443" s="28"/>
      <c r="AZ443" s="28"/>
      <c r="BA443" s="28"/>
      <c r="BB443" s="28"/>
      <c r="BC443" s="28"/>
      <c r="BD443" s="28"/>
      <c r="BE443" s="28"/>
      <c r="BF443" s="28"/>
      <c r="BG443" s="28"/>
      <c r="BH443" s="28"/>
      <c r="BI443" s="28"/>
      <c r="BJ443" s="24"/>
      <c r="BK443" s="28"/>
      <c r="BL443" s="28"/>
      <c r="BM443" s="28"/>
      <c r="BN443" s="28"/>
      <c r="BO443" s="28"/>
      <c r="BP443" s="28"/>
      <c r="BQ443" s="24"/>
      <c r="BR443" s="28"/>
      <c r="BS443" s="28"/>
      <c r="BT443" s="28"/>
      <c r="BU443" s="24"/>
      <c r="BV443" s="28"/>
      <c r="BW443" s="28"/>
      <c r="BX443" s="28"/>
    </row>
    <row r="444" spans="1:76">
      <c r="A444" s="24"/>
      <c r="B444" s="28"/>
      <c r="C444" s="25"/>
      <c r="D444" s="26"/>
      <c r="E444" s="24"/>
      <c r="F444" s="24"/>
      <c r="G444" s="26"/>
      <c r="H444" s="26"/>
      <c r="I444" s="26"/>
      <c r="J444" s="26"/>
      <c r="K444" s="26"/>
      <c r="L444" s="26"/>
      <c r="M444" s="26"/>
      <c r="N444" s="26"/>
      <c r="O444" s="26"/>
      <c r="P444" s="26"/>
      <c r="Q444" s="26"/>
      <c r="S444" s="26"/>
      <c r="T444" s="25"/>
      <c r="U444" s="24"/>
      <c r="V444" s="24"/>
      <c r="W444" s="24"/>
      <c r="X444" s="26"/>
      <c r="Y444" s="26"/>
      <c r="Z444" s="24"/>
      <c r="AA444" s="26"/>
      <c r="AB444" s="25"/>
      <c r="AC444" s="24"/>
      <c r="AD444" s="24"/>
      <c r="AE444" s="24"/>
      <c r="AF444" s="26"/>
      <c r="AG444" s="26"/>
      <c r="AH444" s="24"/>
      <c r="AI444" s="26"/>
      <c r="AJ444" s="25"/>
      <c r="AK444" s="24"/>
      <c r="AL444" s="24"/>
      <c r="AM444" s="24"/>
      <c r="AN444" s="26"/>
      <c r="AO444" s="26"/>
      <c r="AP444" s="24"/>
      <c r="AQ444" s="24"/>
      <c r="AR444" s="24"/>
      <c r="AS444" s="28"/>
      <c r="AT444" s="28"/>
      <c r="AU444" s="28"/>
      <c r="AV444" s="28"/>
      <c r="AW444" s="28"/>
      <c r="AX444" s="28"/>
      <c r="AY444" s="28"/>
      <c r="AZ444" s="28"/>
      <c r="BA444" s="28"/>
      <c r="BB444" s="28"/>
      <c r="BC444" s="28"/>
      <c r="BD444" s="28"/>
      <c r="BE444" s="28"/>
      <c r="BF444" s="28"/>
      <c r="BG444" s="28"/>
      <c r="BH444" s="28"/>
      <c r="BI444" s="28"/>
      <c r="BJ444" s="24"/>
      <c r="BK444" s="28"/>
      <c r="BL444" s="28"/>
      <c r="BM444" s="28"/>
      <c r="BN444" s="28"/>
      <c r="BO444" s="28"/>
      <c r="BP444" s="28"/>
      <c r="BQ444" s="24"/>
      <c r="BR444" s="28"/>
      <c r="BS444" s="28"/>
      <c r="BT444" s="28"/>
      <c r="BU444" s="24"/>
      <c r="BV444" s="28"/>
      <c r="BW444" s="28"/>
      <c r="BX444" s="28"/>
    </row>
    <row r="445" spans="1:76">
      <c r="A445" s="24"/>
      <c r="B445" s="28"/>
      <c r="C445" s="25"/>
      <c r="D445" s="26"/>
      <c r="E445" s="24"/>
      <c r="F445" s="24"/>
      <c r="G445" s="26"/>
      <c r="H445" s="26"/>
      <c r="I445" s="26"/>
      <c r="J445" s="26"/>
      <c r="K445" s="26"/>
      <c r="L445" s="26"/>
      <c r="M445" s="26"/>
      <c r="N445" s="26"/>
      <c r="O445" s="26"/>
      <c r="P445" s="26"/>
      <c r="Q445" s="26"/>
      <c r="S445" s="26"/>
      <c r="T445" s="25"/>
      <c r="U445" s="24"/>
      <c r="V445" s="24"/>
      <c r="W445" s="24"/>
      <c r="X445" s="26"/>
      <c r="Y445" s="26"/>
      <c r="Z445" s="24"/>
      <c r="AA445" s="26"/>
      <c r="AB445" s="25"/>
      <c r="AC445" s="24"/>
      <c r="AD445" s="24"/>
      <c r="AE445" s="24"/>
      <c r="AF445" s="26"/>
      <c r="AG445" s="26"/>
      <c r="AH445" s="24"/>
      <c r="AI445" s="26"/>
      <c r="AJ445" s="25"/>
      <c r="AK445" s="24"/>
      <c r="AL445" s="24"/>
      <c r="AM445" s="24"/>
      <c r="AN445" s="26"/>
      <c r="AO445" s="26"/>
      <c r="AP445" s="24"/>
      <c r="AQ445" s="24"/>
      <c r="AR445" s="24"/>
      <c r="AS445" s="28"/>
      <c r="AT445" s="28"/>
      <c r="AU445" s="28"/>
      <c r="AV445" s="28"/>
      <c r="AW445" s="28"/>
      <c r="AX445" s="28"/>
      <c r="AY445" s="28"/>
      <c r="AZ445" s="28"/>
      <c r="BA445" s="28"/>
      <c r="BB445" s="28"/>
      <c r="BC445" s="28"/>
      <c r="BD445" s="28"/>
      <c r="BE445" s="28"/>
      <c r="BF445" s="28"/>
      <c r="BG445" s="28"/>
      <c r="BH445" s="28"/>
      <c r="BI445" s="28"/>
      <c r="BJ445" s="24"/>
      <c r="BK445" s="28"/>
      <c r="BL445" s="28"/>
      <c r="BM445" s="28"/>
      <c r="BN445" s="28"/>
      <c r="BO445" s="28"/>
      <c r="BP445" s="28"/>
      <c r="BQ445" s="24"/>
      <c r="BR445" s="28"/>
      <c r="BS445" s="28"/>
      <c r="BT445" s="28"/>
      <c r="BU445" s="24"/>
      <c r="BV445" s="28"/>
      <c r="BW445" s="28"/>
      <c r="BX445" s="28"/>
    </row>
    <row r="446" spans="1:76">
      <c r="A446" s="24"/>
      <c r="B446" s="28"/>
      <c r="C446" s="25"/>
      <c r="D446" s="26"/>
      <c r="E446" s="24"/>
      <c r="F446" s="24"/>
      <c r="G446" s="26"/>
      <c r="H446" s="26"/>
      <c r="I446" s="26"/>
      <c r="J446" s="26"/>
      <c r="K446" s="26"/>
      <c r="L446" s="26"/>
      <c r="M446" s="26"/>
      <c r="N446" s="26"/>
      <c r="O446" s="26"/>
      <c r="P446" s="26"/>
      <c r="Q446" s="26"/>
      <c r="S446" s="26"/>
      <c r="T446" s="25"/>
      <c r="U446" s="24"/>
      <c r="V446" s="24"/>
      <c r="W446" s="24"/>
      <c r="X446" s="26"/>
      <c r="Y446" s="26"/>
      <c r="Z446" s="24"/>
      <c r="AA446" s="26"/>
      <c r="AB446" s="25"/>
      <c r="AC446" s="24"/>
      <c r="AD446" s="24"/>
      <c r="AE446" s="24"/>
      <c r="AF446" s="26"/>
      <c r="AG446" s="26"/>
      <c r="AH446" s="24"/>
      <c r="AI446" s="26"/>
      <c r="AJ446" s="25"/>
      <c r="AK446" s="24"/>
      <c r="AL446" s="24"/>
      <c r="AM446" s="24"/>
      <c r="AN446" s="26"/>
      <c r="AO446" s="26"/>
      <c r="AP446" s="24"/>
      <c r="AQ446" s="24"/>
      <c r="AR446" s="24"/>
      <c r="AS446" s="28"/>
      <c r="AT446" s="28"/>
      <c r="AU446" s="28"/>
      <c r="AV446" s="28"/>
      <c r="AW446" s="28"/>
      <c r="AX446" s="28"/>
      <c r="AY446" s="28"/>
      <c r="AZ446" s="28"/>
      <c r="BA446" s="28"/>
      <c r="BB446" s="28"/>
      <c r="BC446" s="28"/>
      <c r="BD446" s="28"/>
      <c r="BE446" s="28"/>
      <c r="BF446" s="28"/>
      <c r="BG446" s="28"/>
      <c r="BH446" s="28"/>
      <c r="BI446" s="28"/>
      <c r="BJ446" s="24"/>
      <c r="BK446" s="28"/>
      <c r="BL446" s="28"/>
      <c r="BM446" s="28"/>
      <c r="BN446" s="28"/>
      <c r="BO446" s="28"/>
      <c r="BP446" s="28"/>
      <c r="BQ446" s="24"/>
      <c r="BR446" s="28"/>
      <c r="BS446" s="28"/>
      <c r="BT446" s="28"/>
      <c r="BU446" s="24"/>
      <c r="BV446" s="28"/>
      <c r="BW446" s="28"/>
      <c r="BX446" s="28"/>
    </row>
    <row r="447" spans="1:76">
      <c r="A447" s="24"/>
      <c r="B447" s="28"/>
      <c r="C447" s="25"/>
      <c r="D447" s="26"/>
      <c r="E447" s="24"/>
      <c r="F447" s="24"/>
      <c r="G447" s="26"/>
      <c r="H447" s="26"/>
      <c r="I447" s="26"/>
      <c r="J447" s="26"/>
      <c r="K447" s="26"/>
      <c r="L447" s="26"/>
      <c r="M447" s="26"/>
      <c r="N447" s="26"/>
      <c r="O447" s="26"/>
      <c r="P447" s="26"/>
      <c r="Q447" s="26"/>
      <c r="S447" s="26"/>
      <c r="T447" s="25"/>
      <c r="U447" s="24"/>
      <c r="V447" s="24"/>
      <c r="W447" s="24"/>
      <c r="X447" s="26"/>
      <c r="Y447" s="26"/>
      <c r="Z447" s="24"/>
      <c r="AA447" s="26"/>
      <c r="AB447" s="25"/>
      <c r="AC447" s="24"/>
      <c r="AD447" s="24"/>
      <c r="AE447" s="24"/>
      <c r="AF447" s="26"/>
      <c r="AG447" s="26"/>
      <c r="AH447" s="24"/>
      <c r="AI447" s="26"/>
      <c r="AJ447" s="25"/>
      <c r="AK447" s="24"/>
      <c r="AL447" s="24"/>
      <c r="AM447" s="24"/>
      <c r="AN447" s="26"/>
      <c r="AO447" s="26"/>
      <c r="AP447" s="24"/>
      <c r="AQ447" s="24"/>
      <c r="AR447" s="24"/>
      <c r="AS447" s="28"/>
      <c r="AT447" s="28"/>
      <c r="AU447" s="28"/>
      <c r="AV447" s="28"/>
      <c r="AW447" s="28"/>
      <c r="AX447" s="28"/>
      <c r="AY447" s="28"/>
      <c r="AZ447" s="28"/>
      <c r="BA447" s="28"/>
      <c r="BB447" s="28"/>
      <c r="BC447" s="28"/>
      <c r="BD447" s="28"/>
      <c r="BE447" s="28"/>
      <c r="BF447" s="28"/>
      <c r="BG447" s="28"/>
      <c r="BH447" s="28"/>
      <c r="BI447" s="28"/>
      <c r="BJ447" s="24"/>
      <c r="BK447" s="28"/>
      <c r="BL447" s="28"/>
      <c r="BM447" s="28"/>
      <c r="BN447" s="28"/>
      <c r="BO447" s="28"/>
      <c r="BP447" s="28"/>
      <c r="BQ447" s="24"/>
      <c r="BR447" s="28"/>
      <c r="BS447" s="28"/>
      <c r="BT447" s="28"/>
      <c r="BU447" s="24"/>
      <c r="BV447" s="28"/>
      <c r="BW447" s="28"/>
      <c r="BX447" s="28"/>
    </row>
    <row r="448" spans="1:76">
      <c r="A448" s="24"/>
      <c r="B448" s="28"/>
      <c r="C448" s="25"/>
      <c r="D448" s="26"/>
      <c r="E448" s="24"/>
      <c r="F448" s="24"/>
      <c r="G448" s="26"/>
      <c r="H448" s="26"/>
      <c r="I448" s="26"/>
      <c r="J448" s="26"/>
      <c r="K448" s="26"/>
      <c r="L448" s="26"/>
      <c r="M448" s="26"/>
      <c r="N448" s="26"/>
      <c r="O448" s="26"/>
      <c r="P448" s="26"/>
      <c r="Q448" s="26"/>
      <c r="S448" s="26"/>
      <c r="T448" s="25"/>
      <c r="U448" s="24"/>
      <c r="V448" s="24"/>
      <c r="W448" s="24"/>
      <c r="X448" s="26"/>
      <c r="Y448" s="26"/>
      <c r="Z448" s="24"/>
      <c r="AA448" s="26"/>
      <c r="AB448" s="25"/>
      <c r="AC448" s="24"/>
      <c r="AD448" s="24"/>
      <c r="AE448" s="24"/>
      <c r="AF448" s="26"/>
      <c r="AG448" s="26"/>
      <c r="AH448" s="24"/>
      <c r="AK448" s="24"/>
      <c r="AL448" s="24"/>
      <c r="AM448" s="24"/>
      <c r="AN448" s="26"/>
      <c r="AO448" s="26"/>
      <c r="AP448" s="24"/>
      <c r="AQ448" s="24"/>
      <c r="AR448" s="24"/>
      <c r="AS448" s="28"/>
      <c r="AT448" s="28"/>
      <c r="AU448" s="28"/>
      <c r="AV448" s="28"/>
      <c r="AW448" s="28"/>
      <c r="AX448" s="28"/>
      <c r="AY448" s="28"/>
      <c r="AZ448" s="28"/>
      <c r="BA448" s="28"/>
      <c r="BB448" s="28"/>
      <c r="BC448" s="28"/>
      <c r="BD448" s="28"/>
      <c r="BE448" s="28"/>
      <c r="BF448" s="28"/>
      <c r="BG448" s="28"/>
      <c r="BH448" s="28"/>
      <c r="BI448" s="28"/>
      <c r="BJ448" s="24"/>
      <c r="BK448" s="28"/>
      <c r="BL448" s="28"/>
      <c r="BM448" s="28"/>
      <c r="BN448" s="28"/>
      <c r="BO448" s="28"/>
      <c r="BP448" s="28"/>
      <c r="BQ448" s="24"/>
      <c r="BR448" s="28"/>
      <c r="BS448" s="28"/>
      <c r="BT448" s="28"/>
      <c r="BU448" s="24"/>
      <c r="BV448" s="28"/>
      <c r="BW448" s="28"/>
      <c r="BX448" s="28"/>
    </row>
    <row r="449" spans="1:76">
      <c r="A449" s="24"/>
      <c r="B449" s="28"/>
      <c r="C449" s="25"/>
      <c r="D449" s="26"/>
      <c r="E449" s="24"/>
      <c r="F449" s="24"/>
      <c r="G449" s="26"/>
      <c r="H449" s="26"/>
      <c r="I449" s="26"/>
      <c r="J449" s="26"/>
      <c r="K449" s="26"/>
      <c r="L449" s="26"/>
      <c r="M449" s="26"/>
      <c r="N449" s="26"/>
      <c r="O449" s="26"/>
      <c r="P449" s="26"/>
      <c r="Q449" s="26"/>
      <c r="S449" s="26"/>
      <c r="T449" s="25"/>
      <c r="U449" s="24"/>
      <c r="V449" s="24"/>
      <c r="W449" s="24"/>
      <c r="X449" s="26"/>
      <c r="Y449" s="26"/>
      <c r="Z449" s="24"/>
      <c r="AA449" s="26"/>
      <c r="AB449" s="25"/>
      <c r="AC449" s="24"/>
      <c r="AD449" s="24"/>
      <c r="AE449" s="24"/>
      <c r="AF449" s="26"/>
      <c r="AG449" s="26"/>
      <c r="AH449" s="24"/>
      <c r="AK449" s="24"/>
      <c r="AL449" s="24"/>
      <c r="AM449" s="24"/>
      <c r="AN449" s="26"/>
      <c r="AO449" s="26"/>
      <c r="AP449" s="24"/>
      <c r="AQ449" s="24"/>
      <c r="AR449" s="24"/>
      <c r="AS449" s="28"/>
      <c r="AT449" s="28"/>
      <c r="AU449" s="28"/>
      <c r="AV449" s="28"/>
      <c r="AW449" s="28"/>
      <c r="AX449" s="28"/>
      <c r="AY449" s="28"/>
      <c r="AZ449" s="28"/>
      <c r="BA449" s="28"/>
      <c r="BB449" s="28"/>
      <c r="BC449" s="28"/>
      <c r="BD449" s="28"/>
      <c r="BE449" s="28"/>
      <c r="BF449" s="28"/>
      <c r="BG449" s="28"/>
      <c r="BH449" s="28"/>
      <c r="BI449" s="28"/>
      <c r="BJ449" s="24"/>
      <c r="BK449" s="28"/>
      <c r="BL449" s="28"/>
      <c r="BM449" s="28"/>
      <c r="BN449" s="28"/>
      <c r="BO449" s="28"/>
      <c r="BP449" s="28"/>
      <c r="BQ449" s="24"/>
      <c r="BR449" s="28"/>
      <c r="BS449" s="28"/>
      <c r="BT449" s="28"/>
      <c r="BU449" s="24"/>
      <c r="BV449" s="28"/>
      <c r="BW449" s="28"/>
      <c r="BX449" s="28"/>
    </row>
    <row r="450" spans="1:76">
      <c r="Y450" s="26"/>
      <c r="AG450" s="26"/>
      <c r="AO450" s="26"/>
      <c r="AQ450" s="24"/>
      <c r="AR450" s="24"/>
      <c r="AS450" s="28"/>
      <c r="AT450" s="28"/>
      <c r="AU450" s="28"/>
      <c r="AV450" s="28"/>
      <c r="AW450" s="28"/>
      <c r="AX450" s="28"/>
      <c r="AY450" s="28"/>
      <c r="AZ450" s="28"/>
      <c r="BA450" s="28"/>
      <c r="BB450" s="28"/>
      <c r="BC450" s="28"/>
      <c r="BD450" s="28"/>
      <c r="BE450" s="28"/>
      <c r="BF450" s="28"/>
      <c r="BG450" s="28"/>
      <c r="BH450" s="28"/>
      <c r="BI450" s="28"/>
      <c r="BJ450" s="24"/>
      <c r="BK450" s="28"/>
      <c r="BL450" s="28"/>
      <c r="BM450" s="28"/>
      <c r="BN450" s="28"/>
      <c r="BO450" s="28"/>
      <c r="BP450" s="28"/>
      <c r="BQ450" s="24"/>
      <c r="BR450" s="28"/>
      <c r="BS450" s="28"/>
      <c r="BT450" s="28"/>
      <c r="BU450" s="24"/>
      <c r="BV450" s="28"/>
      <c r="BW450" s="28"/>
      <c r="BX450" s="28"/>
    </row>
    <row r="451" spans="1:76">
      <c r="Y451" s="26"/>
      <c r="AG451" s="26"/>
      <c r="AO451" s="26"/>
      <c r="AQ451" s="24"/>
      <c r="AR451" s="24"/>
      <c r="AS451" s="28"/>
      <c r="AT451" s="28"/>
      <c r="AU451" s="28"/>
      <c r="AV451" s="28"/>
      <c r="AW451" s="28"/>
      <c r="AX451" s="28"/>
      <c r="AY451" s="28"/>
      <c r="AZ451" s="28"/>
      <c r="BA451" s="28"/>
      <c r="BB451" s="28"/>
      <c r="BC451" s="28"/>
      <c r="BD451" s="28"/>
      <c r="BE451" s="28"/>
      <c r="BF451" s="28"/>
      <c r="BG451" s="28"/>
      <c r="BH451" s="28"/>
      <c r="BI451" s="28"/>
      <c r="BJ451" s="24"/>
      <c r="BK451" s="28"/>
      <c r="BL451" s="28"/>
      <c r="BM451" s="28"/>
      <c r="BN451" s="28"/>
      <c r="BO451" s="28"/>
      <c r="BP451" s="28"/>
      <c r="BQ451" s="24"/>
      <c r="BR451" s="28"/>
      <c r="BS451" s="28"/>
      <c r="BT451" s="28"/>
      <c r="BU451" s="24"/>
      <c r="BV451" s="28"/>
      <c r="BW451" s="28"/>
      <c r="BX451" s="28"/>
    </row>
    <row r="452" spans="1:76">
      <c r="Y452" s="26"/>
      <c r="AG452" s="26"/>
      <c r="AO452" s="26"/>
      <c r="AQ452" s="24"/>
      <c r="AR452" s="24"/>
      <c r="AS452" s="28"/>
      <c r="AT452" s="28"/>
      <c r="AU452" s="28"/>
      <c r="AV452" s="28"/>
      <c r="AW452" s="28"/>
      <c r="AX452" s="28"/>
      <c r="AY452" s="28"/>
      <c r="AZ452" s="28"/>
      <c r="BA452" s="28"/>
      <c r="BB452" s="28"/>
      <c r="BC452" s="28"/>
      <c r="BD452" s="28"/>
      <c r="BE452" s="28"/>
      <c r="BF452" s="28"/>
      <c r="BG452" s="28"/>
      <c r="BH452" s="28"/>
      <c r="BI452" s="28"/>
      <c r="BJ452" s="24"/>
      <c r="BK452" s="28"/>
      <c r="BL452" s="28"/>
      <c r="BM452" s="28"/>
      <c r="BN452" s="28"/>
      <c r="BO452" s="28"/>
      <c r="BP452" s="28"/>
      <c r="BQ452" s="24"/>
      <c r="BR452" s="28"/>
      <c r="BS452" s="28"/>
      <c r="BT452" s="28"/>
      <c r="BU452" s="24"/>
      <c r="BV452" s="28"/>
      <c r="BW452" s="28"/>
      <c r="BX452" s="28"/>
    </row>
    <row r="453" spans="1:76">
      <c r="Y453" s="26"/>
      <c r="AG453" s="26"/>
      <c r="AO453" s="26"/>
      <c r="AQ453" s="24"/>
      <c r="AR453" s="24"/>
      <c r="AS453" s="28"/>
      <c r="AT453" s="28"/>
      <c r="AU453" s="28"/>
      <c r="AV453" s="28"/>
      <c r="AW453" s="28"/>
      <c r="AX453" s="28"/>
      <c r="AY453" s="28"/>
      <c r="AZ453" s="28"/>
      <c r="BA453" s="28"/>
      <c r="BB453" s="28"/>
      <c r="BC453" s="28"/>
      <c r="BD453" s="28"/>
      <c r="BE453" s="28"/>
      <c r="BF453" s="28"/>
      <c r="BG453" s="28"/>
      <c r="BH453" s="28"/>
      <c r="BI453" s="28"/>
      <c r="BJ453" s="24"/>
      <c r="BK453" s="28"/>
      <c r="BL453" s="28"/>
      <c r="BM453" s="28"/>
      <c r="BN453" s="28"/>
      <c r="BO453" s="28"/>
      <c r="BP453" s="28"/>
      <c r="BQ453" s="24"/>
      <c r="BR453" s="28"/>
      <c r="BS453" s="28"/>
      <c r="BT453" s="28"/>
      <c r="BU453" s="24"/>
      <c r="BV453" s="28"/>
      <c r="BW453" s="28"/>
      <c r="BX453" s="28"/>
    </row>
    <row r="454" spans="1:76">
      <c r="Y454" s="26"/>
      <c r="AG454" s="26"/>
      <c r="AO454" s="26"/>
      <c r="AQ454" s="24"/>
      <c r="AR454" s="24"/>
      <c r="AS454" s="28"/>
      <c r="AT454" s="28"/>
      <c r="AU454" s="28"/>
      <c r="AV454" s="28"/>
      <c r="AW454" s="28"/>
      <c r="AX454" s="28"/>
      <c r="AY454" s="28"/>
      <c r="AZ454" s="28"/>
      <c r="BA454" s="28"/>
      <c r="BB454" s="28"/>
      <c r="BC454" s="28"/>
      <c r="BD454" s="28"/>
      <c r="BE454" s="28"/>
      <c r="BF454" s="28"/>
      <c r="BG454" s="28"/>
      <c r="BH454" s="28"/>
      <c r="BI454" s="28"/>
      <c r="BJ454" s="24"/>
      <c r="BK454" s="28"/>
      <c r="BL454" s="28"/>
      <c r="BM454" s="28"/>
      <c r="BN454" s="28"/>
      <c r="BO454" s="28"/>
      <c r="BP454" s="28"/>
      <c r="BQ454" s="24"/>
      <c r="BR454" s="28"/>
      <c r="BS454" s="28"/>
      <c r="BT454" s="28"/>
      <c r="BU454" s="24"/>
      <c r="BV454" s="28"/>
      <c r="BW454" s="28"/>
      <c r="BX454" s="28"/>
    </row>
    <row r="455" spans="1:76">
      <c r="Y455" s="26"/>
      <c r="AG455" s="26"/>
      <c r="AO455" s="26"/>
      <c r="AQ455" s="24"/>
      <c r="AR455" s="24"/>
      <c r="AS455" s="28"/>
      <c r="AT455" s="28"/>
      <c r="AU455" s="28"/>
      <c r="AV455" s="28"/>
      <c r="AW455" s="28"/>
      <c r="AX455" s="28"/>
      <c r="AY455" s="28"/>
      <c r="AZ455" s="28"/>
      <c r="BA455" s="28"/>
      <c r="BB455" s="28"/>
      <c r="BC455" s="28"/>
      <c r="BD455" s="28"/>
      <c r="BE455" s="28"/>
      <c r="BF455" s="28"/>
      <c r="BG455" s="28"/>
      <c r="BH455" s="28"/>
      <c r="BI455" s="28"/>
      <c r="BJ455" s="24"/>
      <c r="BK455" s="28"/>
      <c r="BL455" s="28"/>
      <c r="BM455" s="28"/>
      <c r="BN455" s="28"/>
      <c r="BO455" s="28"/>
      <c r="BP455" s="28"/>
      <c r="BQ455" s="24"/>
      <c r="BR455" s="28"/>
      <c r="BS455" s="28"/>
      <c r="BT455" s="28"/>
      <c r="BU455" s="24"/>
      <c r="BV455" s="28"/>
      <c r="BW455" s="28"/>
      <c r="BX455" s="28"/>
    </row>
    <row r="456" spans="1:76">
      <c r="Y456" s="26"/>
      <c r="AG456" s="26"/>
      <c r="AO456" s="26"/>
      <c r="AQ456" s="24"/>
      <c r="AR456" s="24"/>
      <c r="AS456" s="28"/>
      <c r="AT456" s="28"/>
      <c r="AU456" s="28"/>
      <c r="AV456" s="28"/>
      <c r="AW456" s="28"/>
      <c r="AX456" s="28"/>
      <c r="AY456" s="28"/>
      <c r="AZ456" s="28"/>
      <c r="BA456" s="28"/>
      <c r="BB456" s="28"/>
      <c r="BC456" s="28"/>
      <c r="BD456" s="28"/>
      <c r="BE456" s="28"/>
      <c r="BF456" s="28"/>
      <c r="BG456" s="28"/>
      <c r="BH456" s="28"/>
      <c r="BI456" s="28"/>
      <c r="BJ456" s="24"/>
      <c r="BK456" s="28"/>
      <c r="BL456" s="28"/>
      <c r="BM456" s="28"/>
      <c r="BN456" s="28"/>
      <c r="BO456" s="28"/>
      <c r="BP456" s="28"/>
      <c r="BQ456" s="24"/>
      <c r="BR456" s="28"/>
      <c r="BS456" s="28"/>
      <c r="BT456" s="28"/>
      <c r="BU456" s="24"/>
      <c r="BV456" s="28"/>
      <c r="BW456" s="28"/>
      <c r="BX456" s="28"/>
    </row>
    <row r="457" spans="1:76">
      <c r="Y457" s="26"/>
      <c r="AG457" s="26"/>
      <c r="AO457" s="26"/>
      <c r="AQ457" s="24"/>
      <c r="AR457" s="24"/>
      <c r="AS457" s="28"/>
      <c r="AT457" s="28"/>
      <c r="AU457" s="28"/>
      <c r="AV457" s="28"/>
      <c r="AW457" s="28"/>
      <c r="AX457" s="28"/>
      <c r="AY457" s="28"/>
      <c r="AZ457" s="28"/>
      <c r="BA457" s="28"/>
      <c r="BB457" s="28"/>
      <c r="BC457" s="28"/>
      <c r="BD457" s="28"/>
      <c r="BE457" s="28"/>
      <c r="BF457" s="28"/>
      <c r="BG457" s="28"/>
      <c r="BH457" s="28"/>
      <c r="BI457" s="28"/>
      <c r="BJ457" s="24"/>
      <c r="BK457" s="28"/>
      <c r="BL457" s="28"/>
      <c r="BM457" s="28"/>
      <c r="BN457" s="28"/>
      <c r="BO457" s="28"/>
      <c r="BP457" s="28"/>
      <c r="BQ457" s="24"/>
      <c r="BR457" s="28"/>
      <c r="BS457" s="28"/>
      <c r="BT457" s="28"/>
      <c r="BU457" s="24"/>
      <c r="BV457" s="28"/>
      <c r="BW457" s="28"/>
      <c r="BX457" s="28"/>
    </row>
  </sheetData>
  <protectedRanges>
    <protectedRange sqref="E79:Q87 E67:Q75 E43:Q51 E91:Q99 E55:Q63 E31:Q39 E19:Q27" name="DDR2Data"/>
    <protectedRange sqref="E7:Q15" name="DDR2Data_1"/>
  </protectedRanges>
  <mergeCells count="2">
    <mergeCell ref="A1:D1"/>
    <mergeCell ref="E1:F1"/>
  </mergeCells>
  <phoneticPr fontId="25" type="noConversion"/>
  <conditionalFormatting sqref="BA7:BF15 BA19:BF27 AQ91:AY99 BA43:BF51 BA55:BF63 BA67:BF75 BA79:BF87 BA31:BF39 AQ7:AY15 AQ79:AY87 AQ67:AY75 AQ55:AY63 AQ43:AY51 AQ31:AY39 AQ19:AY27 BA91:BF99">
    <cfRule type="cellIs" dxfId="80" priority="1" stopIfTrue="1" operator="equal">
      <formula>"Pass"</formula>
    </cfRule>
    <cfRule type="cellIs" dxfId="79" priority="2" stopIfTrue="1" operator="notEqual">
      <formula>"Pass"</formula>
    </cfRule>
  </conditionalFormatting>
  <conditionalFormatting sqref="AZ7:AZ15 AZ19:AZ27 AZ31:AZ39 AZ43:AZ51 AZ55:AZ63 AZ67:AZ75 AZ79:AZ87 AZ91:AZ99">
    <cfRule type="cellIs" dxfId="78" priority="3" stopIfTrue="1" operator="equal">
      <formula>"Pass"</formula>
    </cfRule>
    <cfRule type="cellIs" dxfId="77" priority="4" stopIfTrue="1" operator="notEqual">
      <formula>"pass"</formula>
    </cfRule>
  </conditionalFormatting>
  <conditionalFormatting sqref="AJ91:AJ99 AJ79:AJ87 AJ67:AJ75 AJ55:AJ63 AJ43:AJ51 AJ31:AJ39 AJ19:AJ27 AB91:AB99 AB7:AB15 AB79:AB87 AB67:AB75 AB55:AB63 AB43:AB51 AB31:AB39 AB19:AB27 AJ7:AJ15">
    <cfRule type="cellIs" dxfId="76" priority="5" stopIfTrue="1" operator="greaterThan">
      <formula>6250</formula>
    </cfRule>
    <cfRule type="cellIs" dxfId="75" priority="6" stopIfTrue="1" operator="lessThan">
      <formula>6250</formula>
    </cfRule>
  </conditionalFormatting>
  <conditionalFormatting sqref="AN55:AO63 AN19:AO27 AN43:AO51 AN67:AO75 AN79:AO87 AN7:AO15 AN91:AO99 AN31:AO39 AF91:AG99 AF67:AG75 AF79:AG87 AF7:AG15 X91:Y99 AF19:AG27 AF31:AG39 AF55:AG63 X7:Y15 X55:Y63 X43:Y51 X31:Y39 X19:Y27 X79:Y87 X67:Y75 AF43:AG51">
    <cfRule type="cellIs" priority="7" stopIfTrue="1" operator="equal">
      <formula>"Pass"</formula>
    </cfRule>
    <cfRule type="cellIs" dxfId="74" priority="8" stopIfTrue="1" operator="notEqual">
      <formula>"Pass"</formula>
    </cfRule>
  </conditionalFormatting>
  <conditionalFormatting sqref="T19:T27 T79:T87 T43:T51 T55:T63 T7:T15 T67:T75 T31:T39 T91:T99">
    <cfRule type="cellIs" dxfId="73" priority="9" stopIfTrue="1" operator="greaterThan">
      <formula>4000</formula>
    </cfRule>
    <cfRule type="cellIs" dxfId="72" priority="10" stopIfTrue="1" operator="lessThan">
      <formula>4000</formula>
    </cfRule>
  </conditionalFormatting>
  <conditionalFormatting sqref="A1:BG1">
    <cfRule type="expression" dxfId="71" priority="11" stopIfTrue="1">
      <formula>$E$1 = "Fail"</formula>
    </cfRule>
    <cfRule type="expression" dxfId="70" priority="12"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37889" r:id="rId4">
          <objectPr defaultSize="0" autoPict="0" r:id="rId5">
            <anchor moveWithCells="1">
              <from>
                <xdr:col>4</xdr:col>
                <xdr:colOff>38100</xdr:colOff>
                <xdr:row>101</xdr:row>
                <xdr:rowOff>9525</xdr:rowOff>
              </from>
              <to>
                <xdr:col>15</xdr:col>
                <xdr:colOff>381000</xdr:colOff>
                <xdr:row>114</xdr:row>
                <xdr:rowOff>180975</xdr:rowOff>
              </to>
            </anchor>
          </objectPr>
        </oleObject>
      </mc:Choice>
      <mc:Fallback>
        <oleObject progId="Visio.Drawing.11" shapeId="37889"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AY136"/>
  <sheetViews>
    <sheetView topLeftCell="C63" zoomScale="75" workbookViewId="0">
      <selection activeCell="BJ134" sqref="BJ134"/>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41.7109375" customWidth="1"/>
    <col min="23" max="23" width="28.28515625" bestFit="1" customWidth="1"/>
    <col min="24" max="24" width="17.140625" bestFit="1" customWidth="1"/>
    <col min="25" max="25" width="14.5703125" bestFit="1" customWidth="1"/>
    <col min="26" max="26" width="16.140625" bestFit="1" customWidth="1"/>
    <col min="27" max="27" width="12" bestFit="1" customWidth="1"/>
    <col min="28" max="28" width="21.5703125" customWidth="1"/>
    <col min="29" max="29" width="23.7109375" customWidth="1"/>
    <col min="30" max="30" width="17.85546875" bestFit="1" customWidth="1"/>
    <col min="31" max="31" width="13.28515625" bestFit="1" customWidth="1"/>
    <col min="32" max="32" width="12.140625" bestFit="1" customWidth="1"/>
    <col min="33" max="33" width="12" bestFit="1" customWidth="1"/>
    <col min="34" max="34" width="25.140625" bestFit="1" customWidth="1"/>
    <col min="35" max="35" width="15.140625" bestFit="1" customWidth="1"/>
    <col min="36" max="36" width="25.140625" bestFit="1" customWidth="1"/>
    <col min="37" max="37" width="14.5703125" bestFit="1" customWidth="1"/>
    <col min="38" max="38" width="25.140625" bestFit="1" customWidth="1"/>
    <col min="39" max="39" width="15.7109375" bestFit="1" customWidth="1"/>
    <col min="40" max="40" width="16.140625" bestFit="1" customWidth="1"/>
    <col min="41" max="41" width="22.140625" customWidth="1"/>
    <col min="42" max="42" width="19.28515625" customWidth="1"/>
    <col min="43" max="43" width="18.28515625" customWidth="1"/>
    <col min="44" max="44" width="14.7109375" customWidth="1"/>
    <col min="46" max="46" width="17.42578125" customWidth="1"/>
    <col min="47" max="47" width="16.28515625" customWidth="1"/>
    <col min="48" max="48" width="23.28515625" customWidth="1"/>
    <col min="49" max="49" width="19.28515625" customWidth="1"/>
  </cols>
  <sheetData>
    <row r="1" spans="1:30" s="3" customFormat="1" ht="26.25">
      <c r="A1" s="1325" t="s">
        <v>228</v>
      </c>
      <c r="B1" s="1326"/>
      <c r="C1" s="1326"/>
      <c r="D1" s="1326"/>
      <c r="E1" s="1326"/>
      <c r="F1" s="1327" t="e">
        <f ca="1">IF(AND(AB7="Pass",AB8="Pass",AY34="Pass",AY35="Pass",AY60="Pass",AY61="Pass",AY86="Pass",AY87="Pass",AY112="Pass",AY113="Pass"),"Pass","Fail")</f>
        <v>#REF!</v>
      </c>
      <c r="G1" s="1327"/>
      <c r="H1" s="63"/>
      <c r="I1" s="63"/>
      <c r="J1" s="63"/>
      <c r="K1" s="63"/>
      <c r="L1" s="63"/>
      <c r="M1" s="63"/>
      <c r="N1" s="63"/>
      <c r="O1" s="63"/>
      <c r="P1" s="63"/>
      <c r="Q1" s="63"/>
      <c r="R1" s="63"/>
      <c r="S1" s="63"/>
      <c r="T1" s="63"/>
      <c r="U1" s="63"/>
      <c r="V1" s="63"/>
      <c r="W1" s="63"/>
      <c r="X1" s="63"/>
      <c r="Y1" s="63"/>
      <c r="Z1" s="64"/>
    </row>
    <row r="2" spans="1:30" s="97" customFormat="1">
      <c r="A2" s="245" t="s">
        <v>10</v>
      </c>
      <c r="B2" s="298" t="e">
        <f>'DDR2 Clocks - 4L'!B2</f>
        <v>#REF!</v>
      </c>
      <c r="C2" s="246"/>
      <c r="D2" s="246"/>
      <c r="E2" s="246"/>
      <c r="F2" s="143"/>
      <c r="G2" s="143"/>
      <c r="H2" s="247"/>
      <c r="I2" s="247"/>
      <c r="J2" s="247"/>
      <c r="K2" s="247"/>
      <c r="L2" s="247"/>
      <c r="M2" s="247"/>
      <c r="N2" s="247"/>
      <c r="O2" s="247"/>
      <c r="P2" s="247"/>
      <c r="Q2" s="247"/>
      <c r="R2" s="247"/>
      <c r="S2" s="247"/>
      <c r="T2" s="247"/>
      <c r="U2" s="247"/>
      <c r="V2" s="247"/>
      <c r="W2" s="247"/>
      <c r="X2" s="247"/>
      <c r="Y2" s="247"/>
      <c r="Z2" s="248"/>
    </row>
    <row r="3" spans="1:30" s="154" customFormat="1" ht="22.5">
      <c r="A3" s="249" t="s">
        <v>31</v>
      </c>
      <c r="B3" s="144" t="s">
        <v>14</v>
      </c>
      <c r="C3" s="145" t="s">
        <v>22</v>
      </c>
      <c r="D3" s="146"/>
      <c r="E3" s="147" t="e">
        <f>"EscapeLength L0 ["&amp;$B$2&amp;"]"</f>
        <v>#REF!</v>
      </c>
      <c r="F3" s="147" t="e">
        <f>"BreakoutLength L1["&amp; $B$2&amp;"]"</f>
        <v>#REF!</v>
      </c>
      <c r="G3" s="147" t="e">
        <f>"MainLength L2[" &amp;$B$2&amp; " ]"</f>
        <v>#REF!</v>
      </c>
      <c r="H3" s="147" t="e">
        <f>"BreakinLength S1  [" &amp;$B$2&amp;"]"</f>
        <v>#REF!</v>
      </c>
      <c r="I3" s="150"/>
      <c r="J3" s="151" t="e">
        <f>"Via-to-via (SODIMM-to-Rt) L3 [" &amp;$B$2&amp;"]"</f>
        <v>#REF!</v>
      </c>
      <c r="K3" s="151" t="e">
        <f>"Via-to-Rt L4 [" &amp;$B$2&amp;"]"</f>
        <v>#REF!</v>
      </c>
      <c r="L3" s="150"/>
      <c r="M3" s="149" t="e">
        <f>"Total MB Length(L0+L1+L2+S1)[" &amp;$B$2&amp;"]"</f>
        <v>#REF!</v>
      </c>
      <c r="N3" s="150" t="e">
        <f>"Total Pad-to-Pin Length (P1+L0+L1+L2+S1)["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IF($B$2="mil",1,0.0254)*35&amp;$B$2&amp;")"</f>
        <v>#REF!</v>
      </c>
      <c r="U3" s="153" t="e">
        <f>"L1 Length Test (&lt;=" &amp; IF($B$2="mil",1,0.0254)*500&amp;$B$2&amp;")"</f>
        <v>#REF!</v>
      </c>
      <c r="V3" s="153" t="e">
        <f>"S1 Length test (&lt;=" &amp; IF($B$2="mil",1,0.0254)*500 &amp;$B$2&amp;")"</f>
        <v>#REF!</v>
      </c>
      <c r="W3" s="150" t="e">
        <f>"Total Length    (L0+L1+L2+S1) Test ("&amp;IF($B$2="mil",1,0.0254)*500&amp;"-"&amp;IF($B$2="mil",1,0.0254)*4750&amp;IF($B$2="mil","mil","mm")&amp;")"</f>
        <v>#REF!</v>
      </c>
      <c r="X3" s="150" t="e">
        <f>"Total Length    (P1+L0+L1+L2+S1) Test (&lt;="&amp;IF($B$2="mil",1,25.4)*5250&amp;IF($B$2="mil","mil","mm")&amp;")"</f>
        <v>#REF!</v>
      </c>
      <c r="Y3" s="150" t="e">
        <f>"L3 Length Test (&lt;="&amp;IF($B$2="mil",1,0.0254)*1000&amp;$B$2&amp; ")"</f>
        <v>#REF!</v>
      </c>
      <c r="Z3" s="153" t="e">
        <f>"L4 Length Test (&lt;=" &amp; IF($B$2="mil",1,0.0254)*150&amp;$B$2&amp;") or (L3+L4&lt;= "&amp;IF($B$2="mil",1,0.0254)*1150&amp;$B$2&amp;")"</f>
        <v>#REF!</v>
      </c>
    </row>
    <row r="4" spans="1:30" s="162" customFormat="1" ht="11.25">
      <c r="A4" s="250" t="s">
        <v>211</v>
      </c>
      <c r="B4" s="155"/>
      <c r="C4" s="155"/>
      <c r="D4" s="156"/>
      <c r="E4" s="156"/>
      <c r="F4" s="156"/>
      <c r="G4" s="156"/>
      <c r="H4" s="156"/>
      <c r="I4" s="156"/>
      <c r="J4" s="156"/>
      <c r="K4" s="156"/>
      <c r="L4" s="156"/>
      <c r="M4" s="156"/>
      <c r="N4" s="157"/>
      <c r="O4" s="156"/>
      <c r="P4" s="156"/>
      <c r="Q4" s="156"/>
      <c r="R4" s="156"/>
      <c r="S4" s="156"/>
      <c r="T4" s="156"/>
      <c r="U4" s="156"/>
      <c r="V4" s="156"/>
      <c r="W4" s="156"/>
      <c r="X4" s="156"/>
      <c r="Y4" s="158"/>
      <c r="Z4" s="221"/>
      <c r="AA4" s="159"/>
      <c r="AB4" s="160"/>
      <c r="AC4" s="160"/>
      <c r="AD4" s="161"/>
    </row>
    <row r="5" spans="1:30" s="162" customFormat="1" ht="11.25">
      <c r="A5" s="251" t="s">
        <v>215</v>
      </c>
      <c r="B5" s="164"/>
      <c r="C5" s="164"/>
      <c r="D5" s="165"/>
      <c r="E5" s="166"/>
      <c r="F5" s="166"/>
      <c r="G5" s="166"/>
      <c r="H5" s="166"/>
      <c r="I5" s="167"/>
      <c r="J5" s="167"/>
      <c r="K5" s="166"/>
      <c r="L5" s="167"/>
      <c r="M5" s="166"/>
      <c r="N5" s="168"/>
      <c r="O5" s="170"/>
      <c r="P5" s="324" t="e">
        <f>MIN('DDR2 Clocks - 4L'!$O$22:$O$25)</f>
        <v>#REF!</v>
      </c>
      <c r="Q5" s="324" t="e">
        <f>MAX('DDR2 Clocks - 4L'!$O$22:$O$25)</f>
        <v>#REF!</v>
      </c>
      <c r="R5" s="172"/>
      <c r="S5" s="172"/>
      <c r="T5" s="172"/>
      <c r="U5" s="175"/>
      <c r="V5" s="176"/>
      <c r="W5" s="176"/>
      <c r="X5" s="176"/>
      <c r="Y5" s="177"/>
      <c r="Z5" s="176"/>
      <c r="AA5" s="161"/>
      <c r="AB5" s="178"/>
      <c r="AC5" s="178"/>
      <c r="AD5" s="161"/>
    </row>
    <row r="6" spans="1:30" s="162" customFormat="1" ht="11.25">
      <c r="A6" s="250" t="s">
        <v>238</v>
      </c>
      <c r="B6" s="155"/>
      <c r="C6" s="155"/>
      <c r="D6" s="179"/>
      <c r="E6" s="180"/>
      <c r="F6" s="180"/>
      <c r="G6" s="180"/>
      <c r="H6" s="180"/>
      <c r="I6" s="180"/>
      <c r="J6" s="181"/>
      <c r="K6" s="181"/>
      <c r="L6" s="180"/>
      <c r="M6" s="180"/>
      <c r="N6" s="180"/>
      <c r="O6" s="183"/>
      <c r="P6" s="183"/>
      <c r="Q6" s="184"/>
      <c r="R6" s="183"/>
      <c r="S6" s="183"/>
      <c r="T6" s="183"/>
      <c r="U6" s="183"/>
      <c r="V6" s="183"/>
      <c r="W6" s="183"/>
      <c r="X6" s="183"/>
      <c r="Y6" s="183"/>
      <c r="Z6" s="183"/>
    </row>
    <row r="7" spans="1:30" s="162" customFormat="1">
      <c r="A7" s="253" t="s">
        <v>61</v>
      </c>
      <c r="B7" s="185" t="s">
        <v>319</v>
      </c>
      <c r="C7" s="185">
        <v>325</v>
      </c>
      <c r="D7" s="226"/>
      <c r="E7" s="189">
        <v>29.7</v>
      </c>
      <c r="F7" s="189">
        <v>0</v>
      </c>
      <c r="G7" s="303">
        <v>1274.82</v>
      </c>
      <c r="H7" s="306">
        <v>108.78</v>
      </c>
      <c r="I7" s="204"/>
      <c r="J7" s="313">
        <v>0</v>
      </c>
      <c r="K7" s="315">
        <v>47.6</v>
      </c>
      <c r="L7" s="192"/>
      <c r="M7" s="278">
        <f t="shared" ref="M7:M20" si="0" xml:space="preserve"> E7+F7+G7+H7</f>
        <v>1413.3</v>
      </c>
      <c r="N7" s="278" t="e">
        <f t="shared" ref="N7:N20" si="1">IF($B$2="mil",1,0.0254)*C7+ M7</f>
        <v>#REF!</v>
      </c>
      <c r="O7" s="195"/>
      <c r="P7" s="197" t="e">
        <f>MAX($P$5:$Q$5)+IF($B$2="mil",1,0.0254)*DDR2Specs!$B$9</f>
        <v>#REF!</v>
      </c>
      <c r="Q7" s="197" t="e">
        <f>MIN($P$5:$Q$5)+IF($B$2="mil",1,0.0254)*DDR2Specs!$C$9</f>
        <v>#REF!</v>
      </c>
      <c r="R7" s="283" t="e">
        <f t="shared" ref="R7:R20" si="2">IF($N7&lt;$P7,$P7-$N7,"Pass")</f>
        <v>#REF!</v>
      </c>
      <c r="S7" s="284" t="e">
        <f t="shared" ref="S7:S20" si="3">IF($N7&gt;$Q7,$N7-$Q7,"Pass")</f>
        <v>#REF!</v>
      </c>
      <c r="T7" s="200" t="e">
        <f>IF($E7&lt;=IF($B$2="mil",1,0.0254)*35,"Pass",IF($B$2="mil",1,0.0254)*35-$E7)</f>
        <v>#REF!</v>
      </c>
      <c r="U7" s="201" t="e">
        <f>IF($F7&lt;=IF($B$2="mil",1,0.0254)*500,"Pass",IF($B$2="mil",1,0.0254)*500-$F7)</f>
        <v>#REF!</v>
      </c>
      <c r="V7" s="201" t="e">
        <f>IF($H7&lt;=IF($B$2="mil",1,0.0254)*500,"Pass",IF($B$2="mil",1,0.0254)*500-$H7)</f>
        <v>#REF!</v>
      </c>
      <c r="W7" s="201" t="e">
        <f t="shared" ref="W7:W20" si="4">IF(AND($M7&gt;=IF($B$2="mil",1,0.0254)*500, $M7&lt;=IF($B$2="mil",1,0.0254)*4500),"Pass",IF($B$2="mil",1,0.0254)*4500-$M7)</f>
        <v>#REF!</v>
      </c>
      <c r="X7" s="201" t="e">
        <f t="shared" ref="X7:X20" si="5">IF(AND($N7&gt;=IF($B$2="mil",1,0.0254)*500, $N7&lt;=IF($B$2="mil",1,0.0254)*5250),"Pass",IF($B$2="mil",1,0.0254)*5250-$N7)</f>
        <v>#REF!</v>
      </c>
      <c r="Y7" s="201" t="e">
        <f t="shared" ref="Y7:Y20" si="6">IF((J7&lt;=IF($B$2="mil",1,0.0254)*1000),"Pass",IF($B$2="mil",1,0.0254)*1000-J7)</f>
        <v>#REF!</v>
      </c>
      <c r="Z7" s="201" t="e">
        <f ca="1">CheckLength2(1150,J7,K7,0)</f>
        <v>#NAME?</v>
      </c>
      <c r="AA7" s="162" t="e">
        <f ca="1">IF(AND(R7="Pass",S7="Pass",T7="Pass",U7="Pass",V7="Pass",W7="Pass",X7="Pass",Y7="Pass",Z7="Pass"),"Pass","Fail")</f>
        <v>#REF!</v>
      </c>
      <c r="AB7" s="162" t="e">
        <f ca="1">IF(AND(AA7="Pass",AA8="Pass",AA9="Pass",AA10="Pass",AA11="Pass",AA12="Pass",AA13="Pass",AA14="Pass",AA15="Pass"),"Pass","Fail")</f>
        <v>#REF!</v>
      </c>
    </row>
    <row r="8" spans="1:30" s="162" customFormat="1">
      <c r="A8" s="253" t="s">
        <v>62</v>
      </c>
      <c r="B8" s="185" t="s">
        <v>320</v>
      </c>
      <c r="C8" s="185">
        <v>325.3</v>
      </c>
      <c r="D8" s="227"/>
      <c r="E8" s="189">
        <v>29.7</v>
      </c>
      <c r="F8" s="189">
        <v>0</v>
      </c>
      <c r="G8" s="303">
        <v>1197.43</v>
      </c>
      <c r="H8" s="306">
        <v>98.82</v>
      </c>
      <c r="I8" s="204"/>
      <c r="J8" s="313">
        <v>0</v>
      </c>
      <c r="K8" s="315">
        <v>73.38</v>
      </c>
      <c r="L8" s="192"/>
      <c r="M8" s="278">
        <f t="shared" si="0"/>
        <v>1325.95</v>
      </c>
      <c r="N8" s="278" t="e">
        <f t="shared" si="1"/>
        <v>#REF!</v>
      </c>
      <c r="O8" s="204"/>
      <c r="P8" s="197" t="e">
        <f>MAX($P$5:$Q$5)+IF($B$2="mil",1,0.0254)*DDR2Specs!$B$9</f>
        <v>#REF!</v>
      </c>
      <c r="Q8" s="197" t="e">
        <f>MIN($P$5:$Q$5)+IF($B$2="mil",1,0.0254)*DDR2Specs!$C$9</f>
        <v>#REF!</v>
      </c>
      <c r="R8" s="283" t="e">
        <f t="shared" si="2"/>
        <v>#REF!</v>
      </c>
      <c r="S8" s="284" t="e">
        <f t="shared" si="3"/>
        <v>#REF!</v>
      </c>
      <c r="T8" s="200" t="e">
        <f t="shared" ref="T8:T28" si="7">IF($E8&lt;=IF($B$2="mil",1,0.0254)*35,"Pass",IF($B$2="mil",1,0.0254)*35-$E8)</f>
        <v>#REF!</v>
      </c>
      <c r="U8" s="201" t="e">
        <f t="shared" ref="U8:U28" si="8">IF($F8&lt;=IF($B$2="mil",1,0.0254)*500,"Pass",IF($B$2="mil",1,0.0254)*500-$F8)</f>
        <v>#REF!</v>
      </c>
      <c r="V8" s="201" t="e">
        <f t="shared" ref="V8:V28" si="9">IF($H8&lt;=IF($B$2="mil",1,0.0254)*500,"Pass",IF($B$2="mil",1,0.0254)*500-$H8)</f>
        <v>#REF!</v>
      </c>
      <c r="W8" s="201" t="e">
        <f t="shared" si="4"/>
        <v>#REF!</v>
      </c>
      <c r="X8" s="201" t="e">
        <f t="shared" si="5"/>
        <v>#REF!</v>
      </c>
      <c r="Y8" s="201" t="e">
        <f t="shared" si="6"/>
        <v>#REF!</v>
      </c>
      <c r="Z8" s="201" t="e">
        <f t="shared" ref="Z8:Z19" ca="1" si="10">CheckLength2(1150,J8,K8,0)</f>
        <v>#NAME?</v>
      </c>
      <c r="AA8" s="162" t="e">
        <f t="shared" ref="AA8:AA20" ca="1" si="11">IF(AND(R8="Pass",S8="Pass",T8="Pass",U8="Pass",V8="Pass",W8="Pass",X8="Pass",Y8="Pass",Z8="Pass"),"Pass","Fail")</f>
        <v>#REF!</v>
      </c>
      <c r="AB8" s="162" t="e">
        <f ca="1">IF(AND(AA16="Pass",AA17="Pass",AA18="Pass",AA19="Pass",AA20="Pass",AA22="Pass",AA23="Pass",AA24="Pass",AA26="Pass",AA27="Pass",AA28="Pass"),"Pass","Fail")</f>
        <v>#REF!</v>
      </c>
    </row>
    <row r="9" spans="1:30" s="162" customFormat="1">
      <c r="A9" s="253" t="s">
        <v>63</v>
      </c>
      <c r="B9" s="185" t="s">
        <v>323</v>
      </c>
      <c r="C9" s="185">
        <v>430.7</v>
      </c>
      <c r="D9" s="237"/>
      <c r="E9" s="189">
        <v>29.7</v>
      </c>
      <c r="F9" s="189">
        <v>0</v>
      </c>
      <c r="G9" s="303">
        <v>1237.5999999999999</v>
      </c>
      <c r="H9" s="306">
        <v>61.6</v>
      </c>
      <c r="I9" s="238"/>
      <c r="J9" s="313">
        <v>0</v>
      </c>
      <c r="K9" s="315">
        <v>101.57</v>
      </c>
      <c r="L9" s="239"/>
      <c r="M9" s="278">
        <f t="shared" si="0"/>
        <v>1328.8999999999999</v>
      </c>
      <c r="N9" s="278" t="e">
        <f t="shared" si="1"/>
        <v>#REF!</v>
      </c>
      <c r="O9" s="238"/>
      <c r="P9" s="197" t="e">
        <f>MAX($P$5:$Q$5)+IF($B$2="mil",1,0.0254)*DDR2Specs!$B$9</f>
        <v>#REF!</v>
      </c>
      <c r="Q9" s="197" t="e">
        <f>MIN($P$5:$Q$5)+IF($B$2="mil",1,0.0254)*DDR2Specs!$C$9</f>
        <v>#REF!</v>
      </c>
      <c r="R9" s="283" t="e">
        <f t="shared" si="2"/>
        <v>#REF!</v>
      </c>
      <c r="S9" s="284" t="e">
        <f t="shared" si="3"/>
        <v>#REF!</v>
      </c>
      <c r="T9" s="200" t="e">
        <f t="shared" si="7"/>
        <v>#REF!</v>
      </c>
      <c r="U9" s="201" t="e">
        <f t="shared" si="8"/>
        <v>#REF!</v>
      </c>
      <c r="V9" s="201" t="e">
        <f t="shared" si="9"/>
        <v>#REF!</v>
      </c>
      <c r="W9" s="201" t="e">
        <f t="shared" si="4"/>
        <v>#REF!</v>
      </c>
      <c r="X9" s="201" t="e">
        <f t="shared" si="5"/>
        <v>#REF!</v>
      </c>
      <c r="Y9" s="201" t="e">
        <f t="shared" si="6"/>
        <v>#REF!</v>
      </c>
      <c r="Z9" s="201" t="e">
        <f t="shared" ca="1" si="10"/>
        <v>#NAME?</v>
      </c>
      <c r="AA9" s="162" t="e">
        <f t="shared" ca="1" si="11"/>
        <v>#REF!</v>
      </c>
    </row>
    <row r="10" spans="1:30" s="162" customFormat="1">
      <c r="A10" s="253" t="s">
        <v>64</v>
      </c>
      <c r="B10" s="185" t="s">
        <v>324</v>
      </c>
      <c r="C10" s="185">
        <v>308.89999999999998</v>
      </c>
      <c r="D10" s="237"/>
      <c r="E10" s="189">
        <v>29.7</v>
      </c>
      <c r="F10" s="189">
        <v>0</v>
      </c>
      <c r="G10" s="303">
        <v>1281.2</v>
      </c>
      <c r="H10" s="306">
        <v>58</v>
      </c>
      <c r="I10" s="238"/>
      <c r="J10" s="313">
        <v>0</v>
      </c>
      <c r="K10" s="315">
        <v>123.99</v>
      </c>
      <c r="L10" s="239"/>
      <c r="M10" s="278">
        <f t="shared" si="0"/>
        <v>1368.9</v>
      </c>
      <c r="N10" s="278" t="e">
        <f t="shared" si="1"/>
        <v>#REF!</v>
      </c>
      <c r="O10" s="238"/>
      <c r="P10" s="197" t="e">
        <f>MAX($P$5:$Q$5)+IF($B$2="mil",1,0.0254)*DDR2Specs!$B$9</f>
        <v>#REF!</v>
      </c>
      <c r="Q10" s="197" t="e">
        <f>MIN($P$5:$Q$5)+IF($B$2="mil",1,0.0254)*DDR2Specs!$C$9</f>
        <v>#REF!</v>
      </c>
      <c r="R10" s="283" t="e">
        <f t="shared" si="2"/>
        <v>#REF!</v>
      </c>
      <c r="S10" s="284" t="e">
        <f t="shared" si="3"/>
        <v>#REF!</v>
      </c>
      <c r="T10" s="200" t="e">
        <f t="shared" si="7"/>
        <v>#REF!</v>
      </c>
      <c r="U10" s="201" t="e">
        <f t="shared" si="8"/>
        <v>#REF!</v>
      </c>
      <c r="V10" s="201" t="e">
        <f t="shared" si="9"/>
        <v>#REF!</v>
      </c>
      <c r="W10" s="201" t="e">
        <f t="shared" si="4"/>
        <v>#REF!</v>
      </c>
      <c r="X10" s="201" t="e">
        <f t="shared" si="5"/>
        <v>#REF!</v>
      </c>
      <c r="Y10" s="201" t="e">
        <f t="shared" si="6"/>
        <v>#REF!</v>
      </c>
      <c r="Z10" s="201" t="e">
        <f t="shared" ca="1" si="10"/>
        <v>#NAME?</v>
      </c>
      <c r="AA10" s="162" t="e">
        <f t="shared" ca="1" si="11"/>
        <v>#REF!</v>
      </c>
    </row>
    <row r="11" spans="1:30" s="162" customFormat="1">
      <c r="A11" s="253" t="s">
        <v>65</v>
      </c>
      <c r="B11" s="185" t="s">
        <v>325</v>
      </c>
      <c r="C11" s="185">
        <v>606.29999999999995</v>
      </c>
      <c r="D11" s="237"/>
      <c r="E11" s="189">
        <v>29.7</v>
      </c>
      <c r="F11" s="189">
        <v>0</v>
      </c>
      <c r="G11" s="303">
        <v>1296.2</v>
      </c>
      <c r="H11" s="306">
        <v>117.39</v>
      </c>
      <c r="I11" s="238"/>
      <c r="J11" s="313">
        <v>0</v>
      </c>
      <c r="K11" s="315">
        <v>52.53</v>
      </c>
      <c r="L11" s="239"/>
      <c r="M11" s="278">
        <f t="shared" si="0"/>
        <v>1443.2900000000002</v>
      </c>
      <c r="N11" s="278" t="e">
        <f t="shared" si="1"/>
        <v>#REF!</v>
      </c>
      <c r="O11" s="238"/>
      <c r="P11" s="197" t="e">
        <f>MAX($P$5:$Q$5)+IF($B$2="mil",1,0.0254)*DDR2Specs!$B$9</f>
        <v>#REF!</v>
      </c>
      <c r="Q11" s="197" t="e">
        <f>MIN($P$5:$Q$5)+IF($B$2="mil",1,0.0254)*DDR2Specs!$C$9</f>
        <v>#REF!</v>
      </c>
      <c r="R11" s="283" t="e">
        <f t="shared" si="2"/>
        <v>#REF!</v>
      </c>
      <c r="S11" s="284" t="e">
        <f t="shared" si="3"/>
        <v>#REF!</v>
      </c>
      <c r="T11" s="200" t="e">
        <f t="shared" si="7"/>
        <v>#REF!</v>
      </c>
      <c r="U11" s="201" t="e">
        <f t="shared" si="8"/>
        <v>#REF!</v>
      </c>
      <c r="V11" s="201" t="e">
        <f t="shared" si="9"/>
        <v>#REF!</v>
      </c>
      <c r="W11" s="201" t="e">
        <f t="shared" si="4"/>
        <v>#REF!</v>
      </c>
      <c r="X11" s="201" t="e">
        <f t="shared" si="5"/>
        <v>#REF!</v>
      </c>
      <c r="Y11" s="201" t="e">
        <f t="shared" si="6"/>
        <v>#REF!</v>
      </c>
      <c r="Z11" s="201" t="e">
        <f t="shared" ca="1" si="10"/>
        <v>#NAME?</v>
      </c>
      <c r="AA11" s="162" t="e">
        <f t="shared" ca="1" si="11"/>
        <v>#REF!</v>
      </c>
    </row>
    <row r="12" spans="1:30" s="162" customFormat="1">
      <c r="A12" s="253" t="s">
        <v>66</v>
      </c>
      <c r="B12" s="185" t="s">
        <v>67</v>
      </c>
      <c r="C12" s="185">
        <v>499.7</v>
      </c>
      <c r="D12" s="237"/>
      <c r="E12" s="189">
        <v>29.7</v>
      </c>
      <c r="F12" s="189">
        <v>0</v>
      </c>
      <c r="G12" s="303">
        <v>1217.5</v>
      </c>
      <c r="H12" s="306">
        <v>111.23</v>
      </c>
      <c r="I12" s="238"/>
      <c r="J12" s="313">
        <v>0</v>
      </c>
      <c r="K12" s="315">
        <v>83.88</v>
      </c>
      <c r="L12" s="239"/>
      <c r="M12" s="278">
        <f t="shared" si="0"/>
        <v>1358.43</v>
      </c>
      <c r="N12" s="278" t="e">
        <f t="shared" si="1"/>
        <v>#REF!</v>
      </c>
      <c r="O12" s="238"/>
      <c r="P12" s="197" t="e">
        <f>MAX($P$5:$Q$5)+IF($B$2="mil",1,0.0254)*DDR2Specs!$B$9</f>
        <v>#REF!</v>
      </c>
      <c r="Q12" s="197" t="e">
        <f>MIN($P$5:$Q$5)+IF($B$2="mil",1,0.0254)*DDR2Specs!$C$9</f>
        <v>#REF!</v>
      </c>
      <c r="R12" s="283" t="e">
        <f t="shared" si="2"/>
        <v>#REF!</v>
      </c>
      <c r="S12" s="284" t="e">
        <f t="shared" si="3"/>
        <v>#REF!</v>
      </c>
      <c r="T12" s="200" t="e">
        <f t="shared" si="7"/>
        <v>#REF!</v>
      </c>
      <c r="U12" s="201" t="e">
        <f t="shared" si="8"/>
        <v>#REF!</v>
      </c>
      <c r="V12" s="201" t="e">
        <f t="shared" si="9"/>
        <v>#REF!</v>
      </c>
      <c r="W12" s="201" t="e">
        <f t="shared" si="4"/>
        <v>#REF!</v>
      </c>
      <c r="X12" s="201" t="e">
        <f t="shared" si="5"/>
        <v>#REF!</v>
      </c>
      <c r="Y12" s="201" t="e">
        <f t="shared" si="6"/>
        <v>#REF!</v>
      </c>
      <c r="Z12" s="201" t="e">
        <f t="shared" ca="1" si="10"/>
        <v>#NAME?</v>
      </c>
      <c r="AA12" s="162" t="e">
        <f t="shared" ca="1" si="11"/>
        <v>#REF!</v>
      </c>
    </row>
    <row r="13" spans="1:30" s="162" customFormat="1">
      <c r="A13" s="253" t="s">
        <v>68</v>
      </c>
      <c r="B13" s="185" t="s">
        <v>71</v>
      </c>
      <c r="C13" s="185">
        <v>527.6</v>
      </c>
      <c r="D13" s="237"/>
      <c r="E13" s="189">
        <v>29.7</v>
      </c>
      <c r="F13" s="189">
        <v>0</v>
      </c>
      <c r="G13" s="303">
        <v>1308.9000000000001</v>
      </c>
      <c r="H13" s="306">
        <v>62.51</v>
      </c>
      <c r="I13" s="238"/>
      <c r="J13" s="313">
        <v>0</v>
      </c>
      <c r="K13" s="315">
        <v>104.42</v>
      </c>
      <c r="L13" s="239"/>
      <c r="M13" s="278">
        <f t="shared" si="0"/>
        <v>1401.1100000000001</v>
      </c>
      <c r="N13" s="278" t="e">
        <f t="shared" si="1"/>
        <v>#REF!</v>
      </c>
      <c r="O13" s="238"/>
      <c r="P13" s="197" t="e">
        <f>MAX($P$5:$Q$5)+IF($B$2="mil",1,0.0254)*DDR2Specs!$B$9</f>
        <v>#REF!</v>
      </c>
      <c r="Q13" s="197" t="e">
        <f>MIN($P$5:$Q$5)+IF($B$2="mil",1,0.0254)*DDR2Specs!$C$9</f>
        <v>#REF!</v>
      </c>
      <c r="R13" s="283" t="e">
        <f t="shared" si="2"/>
        <v>#REF!</v>
      </c>
      <c r="S13" s="284" t="e">
        <f t="shared" si="3"/>
        <v>#REF!</v>
      </c>
      <c r="T13" s="200" t="e">
        <f t="shared" si="7"/>
        <v>#REF!</v>
      </c>
      <c r="U13" s="201" t="e">
        <f t="shared" si="8"/>
        <v>#REF!</v>
      </c>
      <c r="V13" s="201" t="e">
        <f t="shared" si="9"/>
        <v>#REF!</v>
      </c>
      <c r="W13" s="201" t="e">
        <f t="shared" si="4"/>
        <v>#REF!</v>
      </c>
      <c r="X13" s="201" t="e">
        <f t="shared" si="5"/>
        <v>#REF!</v>
      </c>
      <c r="Y13" s="201" t="e">
        <f t="shared" si="6"/>
        <v>#REF!</v>
      </c>
      <c r="Z13" s="201" t="e">
        <f t="shared" ca="1" si="10"/>
        <v>#NAME?</v>
      </c>
      <c r="AA13" s="162" t="e">
        <f t="shared" ca="1" si="11"/>
        <v>#REF!</v>
      </c>
    </row>
    <row r="14" spans="1:30" s="162" customFormat="1">
      <c r="A14" s="253" t="s">
        <v>69</v>
      </c>
      <c r="B14" s="185" t="s">
        <v>326</v>
      </c>
      <c r="C14" s="185">
        <v>562.9</v>
      </c>
      <c r="D14" s="237"/>
      <c r="E14" s="189">
        <v>29.7</v>
      </c>
      <c r="F14" s="189">
        <v>0</v>
      </c>
      <c r="G14" s="303">
        <v>1215.96</v>
      </c>
      <c r="H14" s="306">
        <v>115.4</v>
      </c>
      <c r="I14" s="238"/>
      <c r="J14" s="313">
        <v>0</v>
      </c>
      <c r="K14" s="315">
        <v>72.38</v>
      </c>
      <c r="L14" s="239"/>
      <c r="M14" s="278">
        <f t="shared" si="0"/>
        <v>1361.0600000000002</v>
      </c>
      <c r="N14" s="278" t="e">
        <f t="shared" si="1"/>
        <v>#REF!</v>
      </c>
      <c r="O14" s="238"/>
      <c r="P14" s="197" t="e">
        <f>MAX($P$5:$Q$5)+IF($B$2="mil",1,0.0254)*DDR2Specs!$B$9</f>
        <v>#REF!</v>
      </c>
      <c r="Q14" s="197" t="e">
        <f>MIN($P$5:$Q$5)+IF($B$2="mil",1,0.0254)*DDR2Specs!$C$9</f>
        <v>#REF!</v>
      </c>
      <c r="R14" s="283" t="e">
        <f t="shared" si="2"/>
        <v>#REF!</v>
      </c>
      <c r="S14" s="284" t="e">
        <f t="shared" si="3"/>
        <v>#REF!</v>
      </c>
      <c r="T14" s="200" t="e">
        <f t="shared" si="7"/>
        <v>#REF!</v>
      </c>
      <c r="U14" s="201" t="e">
        <f t="shared" si="8"/>
        <v>#REF!</v>
      </c>
      <c r="V14" s="201" t="e">
        <f t="shared" si="9"/>
        <v>#REF!</v>
      </c>
      <c r="W14" s="201" t="e">
        <f t="shared" si="4"/>
        <v>#REF!</v>
      </c>
      <c r="X14" s="201" t="e">
        <f t="shared" si="5"/>
        <v>#REF!</v>
      </c>
      <c r="Y14" s="201" t="e">
        <f t="shared" si="6"/>
        <v>#REF!</v>
      </c>
      <c r="Z14" s="201" t="e">
        <f t="shared" ca="1" si="10"/>
        <v>#NAME?</v>
      </c>
      <c r="AA14" s="162" t="e">
        <f t="shared" ca="1" si="11"/>
        <v>#REF!</v>
      </c>
    </row>
    <row r="15" spans="1:30" s="162" customFormat="1">
      <c r="A15" s="253" t="s">
        <v>70</v>
      </c>
      <c r="B15" s="185" t="s">
        <v>45</v>
      </c>
      <c r="C15" s="185">
        <v>545.6</v>
      </c>
      <c r="D15" s="237"/>
      <c r="E15" s="189">
        <v>29.7</v>
      </c>
      <c r="F15" s="189">
        <v>0</v>
      </c>
      <c r="G15" s="303">
        <v>1162.28</v>
      </c>
      <c r="H15" s="306">
        <v>119.25</v>
      </c>
      <c r="I15" s="238"/>
      <c r="J15" s="313">
        <v>0</v>
      </c>
      <c r="K15" s="315">
        <v>104.68</v>
      </c>
      <c r="L15" s="239"/>
      <c r="M15" s="278">
        <f t="shared" si="0"/>
        <v>1311.23</v>
      </c>
      <c r="N15" s="278" t="e">
        <f t="shared" si="1"/>
        <v>#REF!</v>
      </c>
      <c r="O15" s="238"/>
      <c r="P15" s="197" t="e">
        <f>MAX($P$5:$Q$5)+IF($B$2="mil",1,0.0254)*DDR2Specs!$B$9</f>
        <v>#REF!</v>
      </c>
      <c r="Q15" s="197" t="e">
        <f>MIN($P$5:$Q$5)+IF($B$2="mil",1,0.0254)*DDR2Specs!$C$9</f>
        <v>#REF!</v>
      </c>
      <c r="R15" s="283" t="e">
        <f t="shared" si="2"/>
        <v>#REF!</v>
      </c>
      <c r="S15" s="284" t="e">
        <f t="shared" si="3"/>
        <v>#REF!</v>
      </c>
      <c r="T15" s="200" t="e">
        <f t="shared" si="7"/>
        <v>#REF!</v>
      </c>
      <c r="U15" s="201" t="e">
        <f t="shared" si="8"/>
        <v>#REF!</v>
      </c>
      <c r="V15" s="201" t="e">
        <f t="shared" si="9"/>
        <v>#REF!</v>
      </c>
      <c r="W15" s="201" t="e">
        <f t="shared" si="4"/>
        <v>#REF!</v>
      </c>
      <c r="X15" s="201" t="e">
        <f t="shared" si="5"/>
        <v>#REF!</v>
      </c>
      <c r="Y15" s="201" t="e">
        <f t="shared" si="6"/>
        <v>#REF!</v>
      </c>
      <c r="Z15" s="201" t="e">
        <f t="shared" ca="1" si="10"/>
        <v>#NAME?</v>
      </c>
      <c r="AA15" s="162" t="e">
        <f t="shared" ca="1" si="11"/>
        <v>#REF!</v>
      </c>
    </row>
    <row r="16" spans="1:30" s="162" customFormat="1">
      <c r="A16" s="253" t="s">
        <v>72</v>
      </c>
      <c r="B16" s="185" t="s">
        <v>73</v>
      </c>
      <c r="C16" s="185">
        <v>599.9</v>
      </c>
      <c r="D16" s="237"/>
      <c r="E16" s="189">
        <v>29.7</v>
      </c>
      <c r="F16" s="189">
        <v>0</v>
      </c>
      <c r="G16" s="303">
        <v>1247.99</v>
      </c>
      <c r="H16" s="306">
        <v>155.77000000000001</v>
      </c>
      <c r="I16" s="238"/>
      <c r="J16" s="313">
        <v>0</v>
      </c>
      <c r="K16" s="315">
        <v>83.15</v>
      </c>
      <c r="L16" s="239"/>
      <c r="M16" s="278">
        <f t="shared" si="0"/>
        <v>1433.46</v>
      </c>
      <c r="N16" s="278" t="e">
        <f t="shared" si="1"/>
        <v>#REF!</v>
      </c>
      <c r="O16" s="238"/>
      <c r="P16" s="197" t="e">
        <f>MAX($P$5:$Q$5)+IF($B$2="mil",1,0.0254)*DDR2Specs!$B$9</f>
        <v>#REF!</v>
      </c>
      <c r="Q16" s="197" t="e">
        <f>MIN($P$5:$Q$5)+IF($B$2="mil",1,0.0254)*DDR2Specs!$C$9</f>
        <v>#REF!</v>
      </c>
      <c r="R16" s="283" t="e">
        <f t="shared" si="2"/>
        <v>#REF!</v>
      </c>
      <c r="S16" s="284" t="e">
        <f t="shared" si="3"/>
        <v>#REF!</v>
      </c>
      <c r="T16" s="200" t="e">
        <f t="shared" si="7"/>
        <v>#REF!</v>
      </c>
      <c r="U16" s="201" t="e">
        <f t="shared" si="8"/>
        <v>#REF!</v>
      </c>
      <c r="V16" s="201" t="e">
        <f t="shared" si="9"/>
        <v>#REF!</v>
      </c>
      <c r="W16" s="201" t="e">
        <f t="shared" si="4"/>
        <v>#REF!</v>
      </c>
      <c r="X16" s="201" t="e">
        <f t="shared" si="5"/>
        <v>#REF!</v>
      </c>
      <c r="Y16" s="201" t="e">
        <f t="shared" si="6"/>
        <v>#REF!</v>
      </c>
      <c r="Z16" s="201" t="e">
        <f t="shared" ca="1" si="10"/>
        <v>#NAME?</v>
      </c>
      <c r="AA16" s="162" t="e">
        <f t="shared" ca="1" si="11"/>
        <v>#REF!</v>
      </c>
    </row>
    <row r="17" spans="1:50" s="162" customFormat="1">
      <c r="A17" s="253" t="s">
        <v>74</v>
      </c>
      <c r="B17" s="185" t="s">
        <v>321</v>
      </c>
      <c r="C17" s="185">
        <v>305.2</v>
      </c>
      <c r="D17" s="237"/>
      <c r="E17" s="189">
        <v>29.7</v>
      </c>
      <c r="F17" s="189">
        <v>0</v>
      </c>
      <c r="G17" s="303">
        <v>1277.98</v>
      </c>
      <c r="H17" s="306">
        <v>58</v>
      </c>
      <c r="I17" s="238"/>
      <c r="J17" s="313">
        <v>0</v>
      </c>
      <c r="K17" s="315">
        <v>128.94999999999999</v>
      </c>
      <c r="L17" s="239"/>
      <c r="M17" s="278">
        <f t="shared" si="0"/>
        <v>1365.68</v>
      </c>
      <c r="N17" s="278" t="e">
        <f t="shared" si="1"/>
        <v>#REF!</v>
      </c>
      <c r="O17" s="238"/>
      <c r="P17" s="197" t="e">
        <f>MAX($P$5:$Q$5)+IF($B$2="mil",1,0.0254)*DDR2Specs!$B$9</f>
        <v>#REF!</v>
      </c>
      <c r="Q17" s="197" t="e">
        <f>MIN($P$5:$Q$5)+IF($B$2="mil",1,0.0254)*DDR2Specs!$C$9</f>
        <v>#REF!</v>
      </c>
      <c r="R17" s="283" t="e">
        <f t="shared" si="2"/>
        <v>#REF!</v>
      </c>
      <c r="S17" s="284" t="e">
        <f t="shared" si="3"/>
        <v>#REF!</v>
      </c>
      <c r="T17" s="200" t="e">
        <f t="shared" si="7"/>
        <v>#REF!</v>
      </c>
      <c r="U17" s="201" t="e">
        <f t="shared" si="8"/>
        <v>#REF!</v>
      </c>
      <c r="V17" s="201" t="e">
        <f t="shared" si="9"/>
        <v>#REF!</v>
      </c>
      <c r="W17" s="201" t="e">
        <f t="shared" si="4"/>
        <v>#REF!</v>
      </c>
      <c r="X17" s="201" t="e">
        <f t="shared" si="5"/>
        <v>#REF!</v>
      </c>
      <c r="Y17" s="201" t="e">
        <f t="shared" si="6"/>
        <v>#REF!</v>
      </c>
      <c r="Z17" s="201" t="e">
        <f t="shared" ca="1" si="10"/>
        <v>#NAME?</v>
      </c>
      <c r="AA17" s="162" t="e">
        <f t="shared" ca="1" si="11"/>
        <v>#REF!</v>
      </c>
    </row>
    <row r="18" spans="1:50" s="162" customFormat="1">
      <c r="A18" s="253" t="s">
        <v>75</v>
      </c>
      <c r="B18" s="185" t="s">
        <v>49</v>
      </c>
      <c r="C18" s="185">
        <v>598.4</v>
      </c>
      <c r="D18" s="237"/>
      <c r="E18" s="189">
        <v>29.7</v>
      </c>
      <c r="F18" s="189">
        <v>0</v>
      </c>
      <c r="G18" s="303">
        <v>1210.58</v>
      </c>
      <c r="H18" s="306">
        <v>82.56</v>
      </c>
      <c r="I18" s="238"/>
      <c r="J18" s="313">
        <v>0</v>
      </c>
      <c r="K18" s="315">
        <v>121.39</v>
      </c>
      <c r="L18" s="239"/>
      <c r="M18" s="278">
        <f t="shared" si="0"/>
        <v>1322.84</v>
      </c>
      <c r="N18" s="278" t="e">
        <f t="shared" si="1"/>
        <v>#REF!</v>
      </c>
      <c r="O18" s="238"/>
      <c r="P18" s="197" t="e">
        <f>MAX($P$5:$Q$5)+IF($B$2="mil",1,0.0254)*DDR2Specs!$B$9</f>
        <v>#REF!</v>
      </c>
      <c r="Q18" s="197" t="e">
        <f>MIN($P$5:$Q$5)+IF($B$2="mil",1,0.0254)*DDR2Specs!$C$9</f>
        <v>#REF!</v>
      </c>
      <c r="R18" s="283" t="e">
        <f t="shared" si="2"/>
        <v>#REF!</v>
      </c>
      <c r="S18" s="284" t="e">
        <f t="shared" si="3"/>
        <v>#REF!</v>
      </c>
      <c r="T18" s="200" t="e">
        <f t="shared" si="7"/>
        <v>#REF!</v>
      </c>
      <c r="U18" s="201" t="e">
        <f t="shared" si="8"/>
        <v>#REF!</v>
      </c>
      <c r="V18" s="201" t="e">
        <f t="shared" si="9"/>
        <v>#REF!</v>
      </c>
      <c r="W18" s="201" t="e">
        <f t="shared" si="4"/>
        <v>#REF!</v>
      </c>
      <c r="X18" s="201" t="e">
        <f t="shared" si="5"/>
        <v>#REF!</v>
      </c>
      <c r="Y18" s="201" t="e">
        <f t="shared" si="6"/>
        <v>#REF!</v>
      </c>
      <c r="Z18" s="201" t="e">
        <f t="shared" ca="1" si="10"/>
        <v>#NAME?</v>
      </c>
      <c r="AA18" s="162" t="e">
        <f t="shared" ca="1" si="11"/>
        <v>#REF!</v>
      </c>
    </row>
    <row r="19" spans="1:50" s="162" customFormat="1">
      <c r="A19" s="253" t="s">
        <v>76</v>
      </c>
      <c r="B19" s="185" t="s">
        <v>77</v>
      </c>
      <c r="C19" s="185">
        <v>542.79999999999995</v>
      </c>
      <c r="D19" s="237"/>
      <c r="E19" s="189">
        <v>29.7</v>
      </c>
      <c r="F19" s="189">
        <v>0</v>
      </c>
      <c r="G19" s="303">
        <v>1294.0999999999999</v>
      </c>
      <c r="H19" s="306">
        <v>119.05</v>
      </c>
      <c r="I19" s="238"/>
      <c r="J19" s="313">
        <v>0</v>
      </c>
      <c r="K19" s="315">
        <v>135.99</v>
      </c>
      <c r="L19" s="239"/>
      <c r="M19" s="278">
        <f t="shared" si="0"/>
        <v>1442.85</v>
      </c>
      <c r="N19" s="278" t="e">
        <f t="shared" si="1"/>
        <v>#REF!</v>
      </c>
      <c r="O19" s="238"/>
      <c r="P19" s="197" t="e">
        <f>MAX($P$5:$Q$5)+IF($B$2="mil",1,0.0254)*DDR2Specs!$B$9</f>
        <v>#REF!</v>
      </c>
      <c r="Q19" s="197" t="e">
        <f>MIN($P$5:$Q$5)+IF($B$2="mil",1,0.0254)*DDR2Specs!$C$9</f>
        <v>#REF!</v>
      </c>
      <c r="R19" s="283" t="e">
        <f t="shared" si="2"/>
        <v>#REF!</v>
      </c>
      <c r="S19" s="284" t="e">
        <f t="shared" si="3"/>
        <v>#REF!</v>
      </c>
      <c r="T19" s="200" t="e">
        <f t="shared" si="7"/>
        <v>#REF!</v>
      </c>
      <c r="U19" s="201" t="e">
        <f t="shared" si="8"/>
        <v>#REF!</v>
      </c>
      <c r="V19" s="201" t="e">
        <f t="shared" si="9"/>
        <v>#REF!</v>
      </c>
      <c r="W19" s="201" t="e">
        <f t="shared" si="4"/>
        <v>#REF!</v>
      </c>
      <c r="X19" s="201" t="e">
        <f t="shared" si="5"/>
        <v>#REF!</v>
      </c>
      <c r="Y19" s="201" t="e">
        <f t="shared" si="6"/>
        <v>#REF!</v>
      </c>
      <c r="Z19" s="201" t="e">
        <f t="shared" ca="1" si="10"/>
        <v>#NAME?</v>
      </c>
      <c r="AA19" s="162" t="e">
        <f t="shared" ca="1" si="11"/>
        <v>#REF!</v>
      </c>
    </row>
    <row r="20" spans="1:50" s="162" customFormat="1">
      <c r="A20" s="253" t="s">
        <v>78</v>
      </c>
      <c r="B20" s="185" t="s">
        <v>322</v>
      </c>
      <c r="C20" s="185">
        <v>392</v>
      </c>
      <c r="D20" s="375"/>
      <c r="E20" s="189">
        <v>29.7</v>
      </c>
      <c r="F20" s="189">
        <v>0</v>
      </c>
      <c r="G20" s="303">
        <v>1048.02</v>
      </c>
      <c r="H20" s="306">
        <v>58.41</v>
      </c>
      <c r="I20" s="238"/>
      <c r="J20" s="313">
        <v>0</v>
      </c>
      <c r="K20" s="315">
        <v>124.92</v>
      </c>
      <c r="L20" s="239"/>
      <c r="M20" s="278">
        <f t="shared" si="0"/>
        <v>1136.1300000000001</v>
      </c>
      <c r="N20" s="278" t="e">
        <f t="shared" si="1"/>
        <v>#REF!</v>
      </c>
      <c r="O20" s="238"/>
      <c r="P20" s="197" t="e">
        <f>MAX($P$5:$Q$5)+IF($B$2="mil",1,0.0254)*DDR2Specs!$B$9</f>
        <v>#REF!</v>
      </c>
      <c r="Q20" s="197" t="e">
        <f>MIN($P$5:$Q$5)+IF($B$2="mil",1,0.0254)*DDR2Specs!$C$9</f>
        <v>#REF!</v>
      </c>
      <c r="R20" s="283" t="e">
        <f t="shared" si="2"/>
        <v>#REF!</v>
      </c>
      <c r="S20" s="284" t="e">
        <f t="shared" si="3"/>
        <v>#REF!</v>
      </c>
      <c r="T20" s="200" t="e">
        <f t="shared" si="7"/>
        <v>#REF!</v>
      </c>
      <c r="U20" s="201" t="e">
        <f t="shared" si="8"/>
        <v>#REF!</v>
      </c>
      <c r="V20" s="201" t="e">
        <f t="shared" si="9"/>
        <v>#REF!</v>
      </c>
      <c r="W20" s="201" t="e">
        <f t="shared" si="4"/>
        <v>#REF!</v>
      </c>
      <c r="X20" s="201" t="e">
        <f t="shared" si="5"/>
        <v>#REF!</v>
      </c>
      <c r="Y20" s="201" t="e">
        <f t="shared" si="6"/>
        <v>#REF!</v>
      </c>
      <c r="Z20" s="201" t="e">
        <f ca="1">CheckLength2(1150,J20,K20,0)</f>
        <v>#NAME?</v>
      </c>
      <c r="AA20" s="162" t="e">
        <f t="shared" ca="1" si="11"/>
        <v>#REF!</v>
      </c>
    </row>
    <row r="21" spans="1:50" s="162" customFormat="1" ht="11.25">
      <c r="A21" s="250" t="s">
        <v>239</v>
      </c>
      <c r="B21" s="155"/>
      <c r="C21" s="155"/>
      <c r="D21" s="155"/>
      <c r="E21" s="155"/>
      <c r="F21" s="155"/>
      <c r="G21" s="155"/>
      <c r="H21" s="155"/>
      <c r="I21" s="155"/>
      <c r="J21" s="155"/>
      <c r="K21" s="155"/>
      <c r="L21" s="155"/>
      <c r="M21" s="155"/>
      <c r="N21" s="279"/>
      <c r="O21" s="183"/>
      <c r="P21" s="183"/>
      <c r="Q21" s="184"/>
      <c r="R21" s="282"/>
      <c r="S21" s="282"/>
      <c r="T21" s="183"/>
      <c r="U21" s="183"/>
      <c r="V21" s="183"/>
      <c r="W21" s="183"/>
      <c r="X21" s="183"/>
      <c r="Y21" s="183"/>
      <c r="Z21" s="252"/>
    </row>
    <row r="22" spans="1:50" s="162" customFormat="1">
      <c r="A22" s="253" t="s">
        <v>80</v>
      </c>
      <c r="B22" s="185" t="s">
        <v>316</v>
      </c>
      <c r="C22" s="385">
        <v>379.5</v>
      </c>
      <c r="D22" s="375"/>
      <c r="E22" s="189">
        <v>29.7</v>
      </c>
      <c r="F22" s="189">
        <v>0</v>
      </c>
      <c r="G22" s="311">
        <v>1240.99</v>
      </c>
      <c r="H22" s="308">
        <v>101.4</v>
      </c>
      <c r="I22" s="238"/>
      <c r="J22" s="313">
        <v>0</v>
      </c>
      <c r="K22" s="315">
        <v>78.7</v>
      </c>
      <c r="L22" s="239"/>
      <c r="M22" s="278">
        <f xml:space="preserve"> E22+F22+G22+H22</f>
        <v>1372.0900000000001</v>
      </c>
      <c r="N22" s="278" t="e">
        <f>IF($B$2="mil",1,0.0254)*C22+ M22</f>
        <v>#REF!</v>
      </c>
      <c r="O22" s="238"/>
      <c r="P22" s="197" t="e">
        <f>MAX($P$5:$Q$5)+IF($B$2="mil",1,0.0254)*DDR2Specs!$B$9</f>
        <v>#REF!</v>
      </c>
      <c r="Q22" s="197" t="e">
        <f>MIN($P$5:$Q$5)+IF($B$2="mil",1,0.0254)*DDR2Specs!$C$9</f>
        <v>#REF!</v>
      </c>
      <c r="R22" s="283" t="e">
        <f>IF($N22&lt;$P22,$P22-$N22,"Pass")</f>
        <v>#REF!</v>
      </c>
      <c r="S22" s="284" t="e">
        <f>IF($N22&gt;$Q22,$N22-$Q22,"Pass")</f>
        <v>#REF!</v>
      </c>
      <c r="T22" s="200" t="e">
        <f t="shared" si="7"/>
        <v>#REF!</v>
      </c>
      <c r="U22" s="201" t="e">
        <f t="shared" si="8"/>
        <v>#REF!</v>
      </c>
      <c r="V22" s="201" t="e">
        <f t="shared" si="9"/>
        <v>#REF!</v>
      </c>
      <c r="W22" s="201" t="e">
        <f>IF(AND($M22&gt;=IF($B$2="mil",1,0.0254)*500, $M22&lt;=IF($B$2="mil",1,0.0254)*4500),"Pass",IF($B$2="mil",1,0.0254)*4500-$M22)</f>
        <v>#REF!</v>
      </c>
      <c r="X22" s="201" t="e">
        <f>IF(AND($N22&gt;=IF($B$2="mil",1,0.0254)*500, $N22&lt;=IF($B$2="mil",1,0.0254)*5250),"Pass",IF($B$2="mil",1,0.0254)*5250-$N22)</f>
        <v>#REF!</v>
      </c>
      <c r="Y22" s="201" t="e">
        <f>IF((J22&lt;=IF($B$2="mil",1,0.0254)*1000),"Pass",IF($B$2="mil",1,0.0254)*1000-J22)</f>
        <v>#REF!</v>
      </c>
      <c r="Z22" s="201" t="e">
        <f ca="1">CheckLength2(1150,J22,K22,0)</f>
        <v>#NAME?</v>
      </c>
      <c r="AA22" s="162" t="e">
        <f ca="1">IF(AND(R22="Pass",S22="Pass",T22="Pass",U22="Pass",V22="Pass",W22="Pass",X22="Pass",Y22="Pass",Z22="Pass"),"Pass","Fail")</f>
        <v>#REF!</v>
      </c>
    </row>
    <row r="23" spans="1:50" s="162" customFormat="1">
      <c r="A23" s="254" t="s">
        <v>82</v>
      </c>
      <c r="B23" s="185" t="s">
        <v>317</v>
      </c>
      <c r="C23" s="385">
        <v>371.8</v>
      </c>
      <c r="D23" s="375"/>
      <c r="E23" s="189">
        <v>29.7</v>
      </c>
      <c r="F23" s="189">
        <v>0</v>
      </c>
      <c r="G23" s="311">
        <v>1310.83</v>
      </c>
      <c r="H23" s="308">
        <v>61.6</v>
      </c>
      <c r="I23" s="238"/>
      <c r="J23" s="313">
        <v>0</v>
      </c>
      <c r="K23" s="315">
        <v>81.19</v>
      </c>
      <c r="L23" s="239"/>
      <c r="M23" s="278">
        <f xml:space="preserve"> E23+F23+G23+H23</f>
        <v>1402.1299999999999</v>
      </c>
      <c r="N23" s="278" t="e">
        <f>IF($B$2="mil",1,0.0254)*C23+ M23</f>
        <v>#REF!</v>
      </c>
      <c r="O23" s="238"/>
      <c r="P23" s="197" t="e">
        <f>MAX($P$5:$Q$5)+IF($B$2="mil",1,0.0254)*DDR2Specs!$B$9</f>
        <v>#REF!</v>
      </c>
      <c r="Q23" s="197" t="e">
        <f>MIN($P$5:$Q$5)+IF($B$2="mil",1,0.0254)*DDR2Specs!$C$9</f>
        <v>#REF!</v>
      </c>
      <c r="R23" s="283" t="e">
        <f>IF($N23&lt;$P23,$P23-$N23,"Pass")</f>
        <v>#REF!</v>
      </c>
      <c r="S23" s="284" t="e">
        <f>IF($N23&gt;$Q23,$N23-$Q23,"Pass")</f>
        <v>#REF!</v>
      </c>
      <c r="T23" s="200" t="e">
        <f t="shared" si="7"/>
        <v>#REF!</v>
      </c>
      <c r="U23" s="201" t="e">
        <f t="shared" si="8"/>
        <v>#REF!</v>
      </c>
      <c r="V23" s="201" t="e">
        <f t="shared" si="9"/>
        <v>#REF!</v>
      </c>
      <c r="W23" s="201" t="e">
        <f>IF(AND($M23&gt;=IF($B$2="mil",1,0.0254)*500, $M23&lt;=IF($B$2="mil",1,0.0254)*4500),"Pass",IF($B$2="mil",1,0.0254)*4500-$M23)</f>
        <v>#REF!</v>
      </c>
      <c r="X23" s="201" t="e">
        <f>IF(AND($N23&gt;=IF($B$2="mil",1,0.0254)*500, $N23&lt;=IF($B$2="mil",1,0.0254)*5250),"Pass",IF($B$2="mil",1,0.0254)*5250-$N23)</f>
        <v>#REF!</v>
      </c>
      <c r="Y23" s="201" t="e">
        <f>IF((J23&lt;=IF($B$2="mil",1,0.0254)*1000),"Pass",IF($B$2="mil",1,0.0254)*1000-J23)</f>
        <v>#REF!</v>
      </c>
      <c r="Z23" s="201" t="e">
        <f ca="1">CheckLength2(1150,J23,K23,0)</f>
        <v>#NAME?</v>
      </c>
      <c r="AA23" s="162" t="e">
        <f ca="1">IF(AND(R23="Pass",S23="Pass",T23="Pass",U23="Pass",V23="Pass",W23="Pass",X23="Pass",Y23="Pass",Z23="Pass"),"Pass","Fail")</f>
        <v>#REF!</v>
      </c>
    </row>
    <row r="24" spans="1:50" s="162" customFormat="1">
      <c r="A24" s="254" t="s">
        <v>83</v>
      </c>
      <c r="B24" s="185" t="s">
        <v>57</v>
      </c>
      <c r="C24" s="385">
        <v>687.9</v>
      </c>
      <c r="D24" s="375"/>
      <c r="E24" s="189">
        <v>29.7</v>
      </c>
      <c r="F24" s="189">
        <v>0</v>
      </c>
      <c r="G24" s="311">
        <v>1020.23</v>
      </c>
      <c r="H24" s="308">
        <v>161.81</v>
      </c>
      <c r="I24" s="238"/>
      <c r="J24" s="313">
        <v>0</v>
      </c>
      <c r="K24" s="315">
        <v>86.15</v>
      </c>
      <c r="L24" s="239"/>
      <c r="M24" s="278">
        <f xml:space="preserve"> E24+F24+G24+H24</f>
        <v>1211.74</v>
      </c>
      <c r="N24" s="278" t="e">
        <f>IF($B$2="mil",1,0.0254)*C24+ M24</f>
        <v>#REF!</v>
      </c>
      <c r="O24" s="238"/>
      <c r="P24" s="197" t="e">
        <f>MAX($P$5:$Q$5)+IF($B$2="mil",1,0.0254)*DDR2Specs!$B$9</f>
        <v>#REF!</v>
      </c>
      <c r="Q24" s="197" t="e">
        <f>MIN($P$5:$Q$5)+IF($B$2="mil",1,0.0254)*DDR2Specs!$C$9</f>
        <v>#REF!</v>
      </c>
      <c r="R24" s="283" t="e">
        <f>IF($N24&lt;$P24,$P24-$N24,"Pass")</f>
        <v>#REF!</v>
      </c>
      <c r="S24" s="284" t="e">
        <f>IF($N24&gt;$Q24,$N24-$Q24,"Pass")</f>
        <v>#REF!</v>
      </c>
      <c r="T24" s="200" t="e">
        <f t="shared" si="7"/>
        <v>#REF!</v>
      </c>
      <c r="U24" s="201" t="e">
        <f t="shared" si="8"/>
        <v>#REF!</v>
      </c>
      <c r="V24" s="201" t="e">
        <f t="shared" si="9"/>
        <v>#REF!</v>
      </c>
      <c r="W24" s="201" t="e">
        <f>IF(AND($M24&gt;=IF($B$2="mil",1,0.0254)*500, $M24&lt;=IF($B$2="mil",1,0.0254)*4500),"Pass",IF($B$2="mil",1,0.0254)*4500-$M24)</f>
        <v>#REF!</v>
      </c>
      <c r="X24" s="201" t="e">
        <f>IF(AND($N24&gt;=IF($B$2="mil",1,0.0254)*500, $N24&lt;=IF($B$2="mil",1,0.0254)*5250),"Pass",IF($B$2="mil",1,0.0254)*5250-$N24)</f>
        <v>#REF!</v>
      </c>
      <c r="Y24" s="201" t="e">
        <f>IF((J24&lt;=IF($B$2="mil",1,0.0254)*1000),"Pass",IF($B$2="mil",1,0.0254)*1000-J24)</f>
        <v>#REF!</v>
      </c>
      <c r="Z24" s="201" t="e">
        <f ca="1">CheckLength2(1150,J24,K24,0)</f>
        <v>#NAME?</v>
      </c>
      <c r="AA24" s="162" t="e">
        <f ca="1">IF(AND(R24="Pass",S24="Pass",T24="Pass",U24="Pass",V24="Pass",W24="Pass",X24="Pass",Y24="Pass",Z24="Pass"),"Pass","Fail")</f>
        <v>#REF!</v>
      </c>
    </row>
    <row r="25" spans="1:50" s="244" customFormat="1" ht="11.25">
      <c r="A25" s="250" t="s">
        <v>240</v>
      </c>
      <c r="B25" s="155"/>
      <c r="C25" s="155"/>
      <c r="D25" s="155"/>
      <c r="E25" s="155"/>
      <c r="F25" s="155"/>
      <c r="G25" s="155"/>
      <c r="H25" s="155"/>
      <c r="I25" s="155"/>
      <c r="J25" s="155"/>
      <c r="K25" s="155"/>
      <c r="L25" s="155"/>
      <c r="M25" s="155"/>
      <c r="N25" s="280"/>
      <c r="O25" s="155"/>
      <c r="P25" s="155"/>
      <c r="Q25" s="155"/>
      <c r="R25" s="280"/>
      <c r="S25" s="280"/>
      <c r="T25" s="155"/>
      <c r="U25" s="155"/>
      <c r="V25" s="155"/>
      <c r="W25" s="155"/>
      <c r="X25" s="155"/>
      <c r="Y25" s="155"/>
      <c r="Z25" s="255"/>
    </row>
    <row r="26" spans="1:50" s="162" customFormat="1">
      <c r="A26" s="253" t="s">
        <v>84</v>
      </c>
      <c r="B26" s="186" t="s">
        <v>87</v>
      </c>
      <c r="C26" s="187">
        <v>320.89999999999998</v>
      </c>
      <c r="D26" s="375"/>
      <c r="E26" s="189">
        <v>29.7</v>
      </c>
      <c r="F26" s="189">
        <v>0</v>
      </c>
      <c r="G26" s="312">
        <v>1247.8699999999999</v>
      </c>
      <c r="H26" s="310">
        <v>107.82</v>
      </c>
      <c r="I26" s="238"/>
      <c r="J26" s="313">
        <v>0</v>
      </c>
      <c r="K26" s="315">
        <v>47.81</v>
      </c>
      <c r="L26" s="239"/>
      <c r="M26" s="278">
        <f xml:space="preserve"> E26+F26+G26+H26</f>
        <v>1385.3899999999999</v>
      </c>
      <c r="N26" s="278" t="e">
        <f>IF($B$2="mil",1,0.0254)*C26+ M26</f>
        <v>#REF!</v>
      </c>
      <c r="O26" s="238"/>
      <c r="P26" s="197" t="e">
        <f>MAX($P$5:$Q$5)+IF($B$2="mil",1,0.0254)*DDR2Specs!$B$9</f>
        <v>#REF!</v>
      </c>
      <c r="Q26" s="197" t="e">
        <f>MIN($P$5:$Q$5)+IF($B$2="mil",1,0.0254)*DDR2Specs!$C$9</f>
        <v>#REF!</v>
      </c>
      <c r="R26" s="283" t="e">
        <f>IF($N26&lt;$P26,$P26-$N26,"Pass")</f>
        <v>#REF!</v>
      </c>
      <c r="S26" s="284" t="e">
        <f>IF($N26&gt;$Q26,$N26-$Q26,"Pass")</f>
        <v>#REF!</v>
      </c>
      <c r="T26" s="200" t="e">
        <f t="shared" si="7"/>
        <v>#REF!</v>
      </c>
      <c r="U26" s="201" t="e">
        <f t="shared" si="8"/>
        <v>#REF!</v>
      </c>
      <c r="V26" s="201" t="e">
        <f t="shared" si="9"/>
        <v>#REF!</v>
      </c>
      <c r="W26" s="201" t="e">
        <f>IF(AND($M26&gt;=IF($B$2="mil",1,0.0254)*500, $M26&lt;=IF($B$2="mil",1,0.0254)*4500),"Pass",IF($B$2="mil",1,0.0254)*4500-$M26)</f>
        <v>#REF!</v>
      </c>
      <c r="X26" s="201" t="e">
        <f>IF(AND($N26&gt;=IF($B$2="mil",1,0.0254)*500, $N26&lt;=IF($B$2="mil",1,0.0254)*5250),"Pass",IF($B$2="mil",1,0.0254)*5250-$N26)</f>
        <v>#REF!</v>
      </c>
      <c r="Y26" s="201" t="e">
        <f>IF((J26&lt;=IF($B$2="mil",1,0.0254)*1000),"Pass",IF($B$2="mil",1,0.0254)*1000-J26)</f>
        <v>#REF!</v>
      </c>
      <c r="Z26" s="201" t="e">
        <f ca="1">CheckLength2(1150,J26,K26,0)</f>
        <v>#NAME?</v>
      </c>
      <c r="AA26" s="162" t="e">
        <f ca="1">IF(AND(R26="Pass",S26="Pass",T26="Pass",U26="Pass",V26="Pass",W26="Pass",X26="Pass",Y26="Pass",Z26="Pass"),"Pass","Fail")</f>
        <v>#REF!</v>
      </c>
    </row>
    <row r="27" spans="1:50" s="162" customFormat="1">
      <c r="A27" s="256" t="s">
        <v>86</v>
      </c>
      <c r="B27" s="243" t="s">
        <v>318</v>
      </c>
      <c r="C27" s="202">
        <v>395</v>
      </c>
      <c r="D27" s="375"/>
      <c r="E27" s="189">
        <v>29.7</v>
      </c>
      <c r="F27" s="189">
        <v>0</v>
      </c>
      <c r="G27" s="312">
        <v>1293.8399999999999</v>
      </c>
      <c r="H27" s="310">
        <v>125.94</v>
      </c>
      <c r="I27" s="238"/>
      <c r="J27" s="313">
        <v>0</v>
      </c>
      <c r="K27" s="315">
        <v>36.69</v>
      </c>
      <c r="L27" s="239"/>
      <c r="M27" s="278">
        <f xml:space="preserve"> E27+F27+G27+H27</f>
        <v>1449.48</v>
      </c>
      <c r="N27" s="278" t="e">
        <f>IF($B$2="mil",1,0.0254)*C27+ M27</f>
        <v>#REF!</v>
      </c>
      <c r="O27" s="238"/>
      <c r="P27" s="197" t="e">
        <f>MAX($P$5:$Q$5)+IF($B$2="mil",1,0.0254)*DDR2Specs!$B$9</f>
        <v>#REF!</v>
      </c>
      <c r="Q27" s="197" t="e">
        <f>MIN($P$5:$Q$5)+IF($B$2="mil",1,0.0254)*DDR2Specs!$C$9</f>
        <v>#REF!</v>
      </c>
      <c r="R27" s="283" t="e">
        <f>IF($N27&lt;$P27,$P27-$N27,"Pass")</f>
        <v>#REF!</v>
      </c>
      <c r="S27" s="284" t="e">
        <f>IF($N27&gt;$Q27,$N27-$Q27,"Pass")</f>
        <v>#REF!</v>
      </c>
      <c r="T27" s="200" t="e">
        <f t="shared" si="7"/>
        <v>#REF!</v>
      </c>
      <c r="U27" s="201" t="e">
        <f t="shared" si="8"/>
        <v>#REF!</v>
      </c>
      <c r="V27" s="201" t="e">
        <f t="shared" si="9"/>
        <v>#REF!</v>
      </c>
      <c r="W27" s="201" t="e">
        <f>IF(AND($M27&gt;=IF($B$2="mil",1,0.0254)*500, $M27&lt;=IF($B$2="mil",1,0.0254)*4500),"Pass",IF($B$2="mil",1,0.0254)*4500-$M27)</f>
        <v>#REF!</v>
      </c>
      <c r="X27" s="201" t="e">
        <f>IF(AND($N27&gt;=IF($B$2="mil",1,0.0254)*500, $N27&lt;=IF($B$2="mil",1,0.0254)*5250),"Pass",IF($B$2="mil",1,0.0254)*5250-$N27)</f>
        <v>#REF!</v>
      </c>
      <c r="Y27" s="201" t="e">
        <f>IF((J27&lt;=IF($B$2="mil",1,0.0254)*1000),"Pass",IF($B$2="mil",1,0.0254)*1000-J27)</f>
        <v>#REF!</v>
      </c>
      <c r="Z27" s="201" t="e">
        <f ca="1">CheckLength2(1150,J27,K27,0)</f>
        <v>#NAME?</v>
      </c>
      <c r="AA27" s="162" t="e">
        <f ca="1">IF(AND(R27="Pass",S27="Pass",T27="Pass",U27="Pass",V27="Pass",W27="Pass",X27="Pass",Y27="Pass",Z27="Pass"),"Pass","Fail")</f>
        <v>#REF!</v>
      </c>
    </row>
    <row r="28" spans="1:50" s="162" customFormat="1" ht="13.5" thickBot="1">
      <c r="A28" s="257" t="s">
        <v>88</v>
      </c>
      <c r="B28" s="258" t="s">
        <v>85</v>
      </c>
      <c r="C28" s="259">
        <v>404.5</v>
      </c>
      <c r="D28" s="375"/>
      <c r="E28" s="319">
        <v>29.7</v>
      </c>
      <c r="F28" s="319">
        <v>0</v>
      </c>
      <c r="G28" s="320">
        <v>1340.09</v>
      </c>
      <c r="H28" s="321">
        <v>58</v>
      </c>
      <c r="I28" s="260"/>
      <c r="J28" s="314">
        <v>0</v>
      </c>
      <c r="K28" s="322">
        <v>103.63</v>
      </c>
      <c r="L28" s="261"/>
      <c r="M28" s="281">
        <f xml:space="preserve"> E28+F28+G28+H28</f>
        <v>1427.79</v>
      </c>
      <c r="N28" s="281" t="e">
        <f>IF($B$2="mil",1,0.0254)*C28+ M28</f>
        <v>#REF!</v>
      </c>
      <c r="O28" s="260"/>
      <c r="P28" s="323" t="e">
        <f>MAX($P$5:$Q$5)+IF($B$2="mil",1,0.0254)*DDR2Specs!$B$9</f>
        <v>#REF!</v>
      </c>
      <c r="Q28" s="323" t="e">
        <f>MIN($P$5:$Q$5)+IF($B$2="mil",1,0.0254)*DDR2Specs!$C$9</f>
        <v>#REF!</v>
      </c>
      <c r="R28" s="285" t="e">
        <f>IF($N28&lt;$P28,$P28-$N28,"Pass")</f>
        <v>#REF!</v>
      </c>
      <c r="S28" s="286" t="e">
        <f>IF($N28&gt;$Q28,$N28-$Q28,"Pass")</f>
        <v>#REF!</v>
      </c>
      <c r="T28" s="200" t="e">
        <f t="shared" si="7"/>
        <v>#REF!</v>
      </c>
      <c r="U28" s="201" t="e">
        <f t="shared" si="8"/>
        <v>#REF!</v>
      </c>
      <c r="V28" s="201" t="e">
        <f t="shared" si="9"/>
        <v>#REF!</v>
      </c>
      <c r="W28" s="262" t="e">
        <f>IF(AND($M28&gt;=IF($B$2="mil",1,0.0254)*500, $M28&lt;=IF($B$2="mil",1,0.0254)*4500),"Pass",IF($B$2="mil",1,0.0254)*4500-$M28)</f>
        <v>#REF!</v>
      </c>
      <c r="X28" s="262" t="e">
        <f>IF(AND($N28&gt;=IF($B$2="mil",1,0.0254)*500, $N28&lt;=IF($B$2="mil",1,0.0254)*5250),"Pass",IF($B$2="mil",1,0.0254)*5250-$N28)</f>
        <v>#REF!</v>
      </c>
      <c r="Y28" s="318" t="e">
        <f>IF((J28&lt;=IF($B$2="mil",1,0.0254)*1000),"Pass",IF($B$2="mil",1,0.0254)*1000-J28)</f>
        <v>#REF!</v>
      </c>
      <c r="Z28" s="201" t="e">
        <f ca="1">CheckLength2(1150,J28,K28,0)</f>
        <v>#NAME?</v>
      </c>
      <c r="AA28" s="162" t="e">
        <f ca="1">IF(AND(R28="Pass",S28="Pass",T28="Pass",U28="Pass",V28="Pass",W28="Pass",X28="Pass",Y28="Pass",Z28="Pass"),"Pass","Fail")</f>
        <v>#REF!</v>
      </c>
    </row>
    <row r="29" spans="1:50" s="3" customFormat="1">
      <c r="A29" s="56"/>
      <c r="B29" s="56"/>
      <c r="C29" s="56"/>
      <c r="D29" s="56"/>
      <c r="E29" s="56"/>
      <c r="F29" s="57"/>
      <c r="G29" s="56"/>
      <c r="H29" s="56"/>
      <c r="I29" s="56"/>
      <c r="J29" s="56"/>
      <c r="K29" s="56"/>
      <c r="L29" s="56"/>
      <c r="M29" s="56"/>
      <c r="N29" s="56"/>
      <c r="O29" s="120"/>
      <c r="P29" s="120"/>
      <c r="Q29" s="120"/>
      <c r="R29" s="120"/>
      <c r="S29" s="120"/>
      <c r="T29" s="120"/>
      <c r="U29" s="121"/>
      <c r="V29" s="120"/>
      <c r="W29" s="122"/>
      <c r="X29" s="123"/>
      <c r="Y29" s="123"/>
      <c r="Z29" s="317"/>
    </row>
    <row r="30" spans="1:50" s="154" customFormat="1" ht="22.5">
      <c r="A30" s="218" t="s">
        <v>31</v>
      </c>
      <c r="B30" s="144" t="s">
        <v>14</v>
      </c>
      <c r="C30" s="219" t="s">
        <v>22</v>
      </c>
      <c r="D30" s="151"/>
      <c r="E30" s="148" t="e">
        <f>"EscapeLength L0 ["&amp;$B$2&amp;"]"</f>
        <v>#REF!</v>
      </c>
      <c r="F30" s="148" t="e">
        <f>"BreakoutLength L1["&amp; $B$2&amp;"]"</f>
        <v>#REF!</v>
      </c>
      <c r="G30" s="148" t="e">
        <f>"MainLength L2[" &amp;$B$2&amp; " ]"</f>
        <v>#REF!</v>
      </c>
      <c r="H30" s="148" t="e">
        <f>"BreakinLength S1  [" &amp;$B$2&amp;"]"</f>
        <v>#REF!</v>
      </c>
      <c r="I30" s="150"/>
      <c r="J30" s="150" t="e">
        <f>"Via-to-via (SODIMM-to-Rt) L3 ["&amp;$B$2&amp;"]"</f>
        <v>#REF!</v>
      </c>
      <c r="K30" s="144" t="e">
        <f>"Via-to-RtL4 ["&amp;$B$2&amp;"]"</f>
        <v>#REF!</v>
      </c>
      <c r="L30" s="150"/>
      <c r="M30" s="150" t="e">
        <f>"Break-in to Rs L5 ["&amp;$B$2&amp;"]"</f>
        <v>#REF!</v>
      </c>
      <c r="N30" s="144" t="e">
        <f>"Rs Length ["&amp;$B$2&amp;"]"</f>
        <v>#REF!</v>
      </c>
      <c r="O30" s="151"/>
      <c r="P30" s="144" t="e">
        <f>"Breakout from Rs L6 ["&amp;$B$2&amp;"]"</f>
        <v>#REF!</v>
      </c>
      <c r="Q30" s="144" t="e">
        <f>"Trace L7 ["&amp;$B$2&amp;"]"</f>
        <v>#REF!</v>
      </c>
      <c r="R30" s="144" t="e">
        <f>"Trace L8-1 ["&amp;$B$2&amp;"]"</f>
        <v>#REF!</v>
      </c>
      <c r="S30" s="144" t="e">
        <f>"Trace L9-1 ["&amp;$B$2&amp;"]"</f>
        <v>#REF!</v>
      </c>
      <c r="T30" s="144" t="e">
        <f>"Trace L10-1 to U1 ["&amp;$B$2&amp;"]"</f>
        <v>#REF!</v>
      </c>
      <c r="U30" s="144" t="e">
        <f>"Trace L10-2 to U5 ["&amp;$B$2&amp;"]"</f>
        <v>#REF!</v>
      </c>
      <c r="V30" s="144" t="e">
        <f>"Total MB Length to U1 (L0+L1+L2+S1+L5+Rs+L6+L7+L8-1+L9-1+L10-1) ["&amp;$B$2&amp;"]"</f>
        <v>#REF!</v>
      </c>
      <c r="W30" s="144" t="e">
        <f>"Total Pad to Pin U1 (P1+L0+L1+L2+S1+L5+Rs+L6+L7+L8-1+L9-1+L10-1) ["&amp;$B$2&amp;"]"</f>
        <v>#REF!</v>
      </c>
      <c r="X30" s="151" t="e">
        <f>"Target Min Length to U1["&amp;$B$2&amp;"]"</f>
        <v>#REF!</v>
      </c>
      <c r="Y30" s="150" t="e">
        <f>"Target Max Length  to U1 ["&amp;$B$2&amp;"]"</f>
        <v>#REF!</v>
      </c>
      <c r="Z30" s="152" t="e">
        <f>"Routed Too Short  to U1 [" &amp;$B$2&amp;"]"</f>
        <v>#REF!</v>
      </c>
      <c r="AA30" s="151" t="e">
        <f>"Routed Too Long  to U1 [" &amp;$B$2&amp;"]"</f>
        <v>#REF!</v>
      </c>
      <c r="AB30" s="144" t="e">
        <f>"Total MB Length to U5 (L0+L1+L2+S1+L5+Rs+L6+L7+L8-1+L9-1+L10-2) ["&amp;$B$2&amp;"]"</f>
        <v>#REF!</v>
      </c>
      <c r="AC30" s="144" t="e">
        <f>"Total Pad to Pin U5 (P1+L0+L1+L2+S1+L5+Rs+L6+L7+L8-1+L9-1+L10-2) ["&amp;$B$2&amp;"]"</f>
        <v>#REF!</v>
      </c>
      <c r="AD30" s="151" t="e">
        <f>"Target Min Length to U5["&amp;$B$2&amp;"]"</f>
        <v>#REF!</v>
      </c>
      <c r="AE30" s="150" t="e">
        <f>"Target Max Length  to U5 ["&amp;$B$2&amp;"]"</f>
        <v>#REF!</v>
      </c>
      <c r="AF30" s="152" t="e">
        <f>"Routed Too Short  to U5 [" &amp;$B$2&amp;"]"</f>
        <v>#REF!</v>
      </c>
      <c r="AG30" s="151" t="e">
        <f>"Routed Too Long  to U5 [" &amp;$B$2&amp;"]"</f>
        <v>#REF!</v>
      </c>
      <c r="AH30" s="153" t="e">
        <f>"L0 Length Test (&lt;=" &amp; IF($B$2="mil",1,0.0254)*35&amp;$B$2&amp;")"</f>
        <v>#REF!</v>
      </c>
      <c r="AI30" s="153" t="e">
        <f>"L1 Length Test (&lt;=" &amp; IF($B$2="mil",1,0.0254)*500&amp;$B$2&amp;")"</f>
        <v>#REF!</v>
      </c>
      <c r="AJ30" s="153" t="e">
        <f>"S1 Length Test (&lt;=" &amp; IF($B$2="mil",1,0.0254)*500 &amp;$B$2&amp;")"</f>
        <v>#REF!</v>
      </c>
      <c r="AK30" s="153" t="e">
        <f>"L3 Length Test (&lt;=" &amp; IF($B$2="mil",1,0.0254)*1000&amp;$B$2&amp;")"</f>
        <v>#REF!</v>
      </c>
      <c r="AL30" s="153" t="e">
        <f>"L4 Length Test (&lt;=" &amp; IF($B$2="mil",1,0.0254)*150&amp;$B$2&amp;") or (L3+L4&lt;= "&amp;IF($B$2="mil",1,0.0254)*1150&amp;$B$2&amp;")"</f>
        <v>#REF!</v>
      </c>
      <c r="AM30" s="153" t="e">
        <f>"L5 Length Test (&lt;=" &amp; IF($B$2="mil",1,0.0254)*125&amp;$B$2&amp;")"</f>
        <v>#REF!</v>
      </c>
      <c r="AN30" s="153" t="e">
        <f>"L6 Length Test (&lt;=" &amp; IF($B$2="mil",1,0.0254)*125&amp;$B$2&amp;")"</f>
        <v>#REF!</v>
      </c>
      <c r="AO30" s="153" t="e">
        <f>"L7 Length Test (&lt;=" &amp; IF($B$2="mil",1,0.0254)*1000&amp;$B$2&amp;")"</f>
        <v>#REF!</v>
      </c>
      <c r="AP30" s="153" t="e">
        <f>"L8-1 Length Test (&lt;=" &amp; IF($B$2="mil",1,0.0254)*750&amp;$B$2&amp;")"</f>
        <v>#REF!</v>
      </c>
      <c r="AQ30" s="153" t="s">
        <v>213</v>
      </c>
      <c r="AR30" s="153" t="e">
        <f>"L9-1 Length Test (&lt;=" &amp; IF($B$2="mil",1,0.0254)*1250&amp;$B$2&amp;")"</f>
        <v>#REF!</v>
      </c>
      <c r="AS30" s="153" t="e">
        <f>"Diff L9-1 &amp; L9-2 (&lt;="&amp;IF($B$2="mil",1,0.0254)*50&amp;$B$2&amp;")"</f>
        <v>#REF!</v>
      </c>
      <c r="AT30" s="153" t="e">
        <f>"L10-1 Length Test (&lt;=" &amp; IF($B$2="mil",1,0.0254)*150&amp;$B$2&amp;") or (L9-1+L10-1&lt;= "&amp;IF($B$2="mil",1,0.0254)*1400&amp;$B$2&amp;")"</f>
        <v>#REF!</v>
      </c>
      <c r="AU30" s="153" t="e">
        <f>"L10-2 Length Test (&lt;=" &amp; IF($B$2="mil",1,0.0254)*150&amp;$B$2&amp;") or (L9-1+L10-2&lt;= "&amp;IF($B$2="mil",1,0.0254)*1400&amp;$B$2&amp;")"</f>
        <v>#REF!</v>
      </c>
      <c r="AV30" s="150" t="e">
        <f>"Total Length to U1 (L0+L1+L2+S1+L5+Rs+L6+L7+L8-1+L9-1+L10-1) Test ("&amp;IF($B$2="mil",1,0.0254)*500&amp;"-"&amp;IF($B$2="mil",1,0.0254)*7500&amp;IF($B$2="mil","mil","mm")&amp;")"</f>
        <v>#REF!</v>
      </c>
      <c r="AW30" s="150" t="e">
        <f>"Total Length to U1 (P1+L0+L1+L2+S1+L5+Rs+L6+L7+L8-1+L9-1+L10-1) Test (&lt;="&amp;IF($B$2="mil",1,25.4)*8000&amp;IF($B$2="mil","mil","mm")&amp;")"</f>
        <v>#REF!</v>
      </c>
      <c r="AX30" s="162"/>
    </row>
    <row r="31" spans="1:50" s="162" customFormat="1" ht="11.25">
      <c r="A31" s="155" t="s">
        <v>210</v>
      </c>
      <c r="B31" s="155"/>
      <c r="C31" s="155"/>
      <c r="D31" s="156"/>
      <c r="E31" s="156"/>
      <c r="F31" s="220"/>
      <c r="G31" s="156"/>
      <c r="H31" s="156"/>
      <c r="I31" s="156"/>
      <c r="J31" s="156"/>
      <c r="K31" s="156"/>
      <c r="L31" s="156"/>
      <c r="M31" s="156"/>
      <c r="N31" s="156"/>
      <c r="O31" s="221"/>
      <c r="P31" s="156"/>
      <c r="Q31" s="156"/>
      <c r="R31" s="156"/>
      <c r="S31" s="156"/>
      <c r="T31" s="156"/>
      <c r="U31" s="156"/>
      <c r="V31" s="221"/>
      <c r="W31" s="221"/>
      <c r="X31" s="221"/>
      <c r="Y31" s="221"/>
      <c r="Z31" s="221"/>
      <c r="AA31" s="221"/>
      <c r="AB31" s="221"/>
      <c r="AC31" s="221"/>
      <c r="AD31" s="221"/>
      <c r="AE31" s="221"/>
      <c r="AF31" s="221"/>
      <c r="AG31" s="221"/>
      <c r="AH31" s="212"/>
      <c r="AI31" s="221"/>
      <c r="AJ31" s="221"/>
      <c r="AK31" s="221"/>
      <c r="AL31" s="221"/>
      <c r="AM31" s="221"/>
      <c r="AN31" s="221"/>
      <c r="AO31" s="221"/>
      <c r="AP31" s="221"/>
      <c r="AQ31" s="221"/>
      <c r="AR31" s="221"/>
      <c r="AS31" s="221"/>
      <c r="AT31" s="221"/>
      <c r="AU31" s="221"/>
      <c r="AV31" s="221"/>
      <c r="AW31" s="221"/>
    </row>
    <row r="32" spans="1:50" s="162" customFormat="1" ht="11.25">
      <c r="A32" s="263" t="s">
        <v>214</v>
      </c>
      <c r="B32" s="164"/>
      <c r="C32" s="164"/>
      <c r="D32" s="165"/>
      <c r="E32" s="166"/>
      <c r="F32" s="222"/>
      <c r="G32" s="166"/>
      <c r="H32" s="166"/>
      <c r="I32" s="167"/>
      <c r="J32" s="167"/>
      <c r="K32" s="166"/>
      <c r="L32" s="167"/>
      <c r="M32" s="167"/>
      <c r="N32" s="166"/>
      <c r="O32" s="170"/>
      <c r="P32" s="166"/>
      <c r="Q32" s="166"/>
      <c r="R32" s="166"/>
      <c r="S32" s="166"/>
      <c r="T32" s="166"/>
      <c r="U32" s="166"/>
      <c r="V32" s="166"/>
      <c r="W32" s="383" t="s">
        <v>224</v>
      </c>
      <c r="X32" s="174" t="e">
        <f>MIN('DDR2 Clocks - 4L'!$O$5:$O$6)</f>
        <v>#REF!</v>
      </c>
      <c r="Y32" s="235" t="e">
        <f>MAX('DDR2 Clocks - 4L'!$O$5:$O$6)</f>
        <v>#REF!</v>
      </c>
      <c r="Z32" s="174"/>
      <c r="AA32" s="172"/>
      <c r="AB32" s="223"/>
      <c r="AC32" s="383" t="s">
        <v>284</v>
      </c>
      <c r="AD32" s="174" t="e">
        <f>MIN('DDR2 Clocks - 4L'!$O$7:$O$8)</f>
        <v>#REF!</v>
      </c>
      <c r="AE32" s="235" t="e">
        <f>MAX('DDR2 Clocks - 4L'!$O$7:$O$8)</f>
        <v>#REF!</v>
      </c>
      <c r="AF32" s="223"/>
      <c r="AG32" s="223"/>
      <c r="AH32" s="223"/>
      <c r="AI32" s="223"/>
      <c r="AJ32" s="176"/>
      <c r="AK32" s="176"/>
      <c r="AL32" s="176"/>
      <c r="AM32" s="176"/>
      <c r="AN32" s="176"/>
      <c r="AO32" s="176"/>
      <c r="AP32" s="176"/>
      <c r="AQ32" s="176"/>
      <c r="AR32" s="176"/>
      <c r="AS32" s="176"/>
      <c r="AT32" s="176"/>
      <c r="AU32" s="176"/>
      <c r="AV32" s="176"/>
      <c r="AW32" s="176"/>
    </row>
    <row r="33" spans="1:51" s="162" customFormat="1" ht="11.25">
      <c r="A33" s="205" t="s">
        <v>229</v>
      </c>
      <c r="B33" s="155"/>
      <c r="C33" s="155"/>
      <c r="D33" s="179"/>
      <c r="E33" s="180"/>
      <c r="F33" s="224"/>
      <c r="G33" s="180"/>
      <c r="H33" s="180"/>
      <c r="I33" s="180"/>
      <c r="J33" s="181"/>
      <c r="K33" s="181"/>
      <c r="L33" s="180"/>
      <c r="M33" s="181"/>
      <c r="N33" s="181"/>
      <c r="O33" s="328"/>
      <c r="P33" s="181"/>
      <c r="Q33" s="181"/>
      <c r="R33" s="181"/>
      <c r="S33" s="181"/>
      <c r="T33" s="181"/>
      <c r="U33" s="181"/>
      <c r="V33" s="182"/>
      <c r="W33" s="349"/>
      <c r="X33" s="183"/>
      <c r="Y33" s="184"/>
      <c r="Z33" s="184"/>
      <c r="AA33" s="183"/>
      <c r="AB33" s="183"/>
      <c r="AC33" s="183"/>
      <c r="AD33" s="183"/>
      <c r="AE33" s="183"/>
      <c r="AF33" s="183"/>
      <c r="AG33" s="183"/>
      <c r="AH33" s="212"/>
      <c r="AI33" s="183"/>
      <c r="AJ33" s="183"/>
      <c r="AK33" s="183"/>
      <c r="AL33" s="183"/>
      <c r="AM33" s="183"/>
      <c r="AN33" s="183"/>
      <c r="AO33" s="183"/>
      <c r="AP33" s="183"/>
      <c r="AQ33" s="183"/>
      <c r="AR33" s="183"/>
      <c r="AS33" s="183"/>
      <c r="AT33" s="183"/>
      <c r="AU33" s="183"/>
      <c r="AV33" s="183"/>
      <c r="AW33" s="183"/>
    </row>
    <row r="34" spans="1:51" s="162" customFormat="1">
      <c r="A34" s="185" t="s">
        <v>196</v>
      </c>
      <c r="B34" s="186" t="s">
        <v>302</v>
      </c>
      <c r="C34" s="187">
        <v>793.6</v>
      </c>
      <c r="D34" s="188"/>
      <c r="E34" s="225">
        <v>29.7</v>
      </c>
      <c r="F34" s="325">
        <v>0</v>
      </c>
      <c r="G34" s="303">
        <v>2264.34</v>
      </c>
      <c r="H34" s="333">
        <v>0</v>
      </c>
      <c r="I34" s="335"/>
      <c r="J34" s="334">
        <v>0</v>
      </c>
      <c r="K34" s="311">
        <v>42.88</v>
      </c>
      <c r="L34" s="336"/>
      <c r="M34" s="311">
        <v>42.88</v>
      </c>
      <c r="N34" s="337">
        <v>40</v>
      </c>
      <c r="O34" s="335"/>
      <c r="P34" s="311">
        <v>39.229999999999997</v>
      </c>
      <c r="Q34" s="337">
        <v>700</v>
      </c>
      <c r="R34" s="343">
        <v>400</v>
      </c>
      <c r="S34" s="311">
        <v>565.69000000000005</v>
      </c>
      <c r="T34" s="311">
        <v>100.03</v>
      </c>
      <c r="U34" s="311">
        <v>100.03</v>
      </c>
      <c r="V34" s="327">
        <f>SUM($E34:$H34,$M34,$N34,$P34,$Q34,$S34,$R34,$T34)</f>
        <v>4181.87</v>
      </c>
      <c r="W34" s="197">
        <f t="shared" ref="W34:W47" si="12">$V34+$C34</f>
        <v>4975.47</v>
      </c>
      <c r="X34" s="197" t="e">
        <f>$Y$32 + IF($B$2="mil",1,0.0254)*DDR2Specs!$E$9</f>
        <v>#REF!</v>
      </c>
      <c r="Y34" s="197" t="e">
        <f>$X$32 + IF($B$2="mil",1,0.0254)*DDR2Specs!$F$9</f>
        <v>#REF!</v>
      </c>
      <c r="Z34" s="198" t="e">
        <f>IF($W34&lt;$X34,$X34-$W34,"Pass")</f>
        <v>#REF!</v>
      </c>
      <c r="AA34" s="199" t="e">
        <f>IF($W34&gt;$Y34,$W34-$Y34,"Pass")</f>
        <v>#REF!</v>
      </c>
      <c r="AB34" s="327">
        <f>SUM($E34:$H34,$M34,$N34,$P34,$Q34,$S34,$R34,$U34)</f>
        <v>4181.87</v>
      </c>
      <c r="AC34" s="197">
        <f>$AB34+$C34</f>
        <v>4975.47</v>
      </c>
      <c r="AD34" s="197" t="e">
        <f>$AE$32 + IF($B$2="mil",1,0.0254)*DDR2Specs!$E$9</f>
        <v>#REF!</v>
      </c>
      <c r="AE34" s="197" t="e">
        <f>$AD$32 + IF($B$2="mil",1,0.0254)*DDR2Specs!$F$9</f>
        <v>#REF!</v>
      </c>
      <c r="AF34" s="198" t="e">
        <f>IF($AC34&lt;$AD34,$AD34-$AC34,"Pass")</f>
        <v>#REF!</v>
      </c>
      <c r="AG34" s="199" t="e">
        <f>IF($AC34&gt;$AE34,$AC34-$AE34,"Pass")</f>
        <v>#REF!</v>
      </c>
      <c r="AH34" s="200" t="e">
        <f>IF($E34&lt;=IF($B$2="mil",1,0.0254)*35,"Pass",IF($B$2="mil",1,0.0254)*35-$E34)</f>
        <v>#REF!</v>
      </c>
      <c r="AI34" s="201" t="e">
        <f>IF($F34&lt;=IF($B$2="mil",1,0.0254)*500,"Pass",IF($B$2="mil",1,0.0254)*500-$F34)</f>
        <v>#REF!</v>
      </c>
      <c r="AJ34" s="201" t="e">
        <f>IF($H34&lt;=IF($B$2="mil",1,0.0254)*500,"Pass",IF($B$2="mil",1,0.0254)*500-$H34)</f>
        <v>#REF!</v>
      </c>
      <c r="AK34" s="201" t="e">
        <f>IF($J34&lt;=IF($B$2="mil",1,0.0254)*1000,"Pass",IF($B$2="mil",1,0.0254)*1000-$J34)</f>
        <v>#REF!</v>
      </c>
      <c r="AL34" s="201" t="e">
        <f ca="1">CheckLength2(1150,J34,K34,0)</f>
        <v>#NAME?</v>
      </c>
      <c r="AM34" s="201" t="e">
        <f>IF(M34&lt;=IF($B$2="mil",1,0.0254)*125,"Pass",IF($B$2="mil",1,0.0254)*125-M34)</f>
        <v>#REF!</v>
      </c>
      <c r="AN34" s="201" t="e">
        <f>IF(P34&lt;=IF($B$2="mil",1,0.0254)*125,"Pass",IF($B$2="mil",1,0.0254)*125-P34)</f>
        <v>#REF!</v>
      </c>
      <c r="AO34" s="201" t="e">
        <f>IF(Q34&lt;=IF($B$2="mil",1,0.0254)*1000,"Pass",IF($B$2="mil",1,0.0254)*1000-Q34)</f>
        <v>#REF!</v>
      </c>
      <c r="AP34" s="201" t="e">
        <f>IF(R34&lt;=IF($B$2="mil",1,0.0254)*750,"Pass",IF($B$2="mil",1,0.0254)*750-R34)</f>
        <v>#REF!</v>
      </c>
      <c r="AQ34" s="201" t="e">
        <f>IF(MAX(R34,S86)-MIN(R34,S86)&lt;=IF($B$2="mil",1,0.0254)*50,"Pass",MAX(R34,S86)-MIN(R34,S86)-IF($B$2="mil",1,0.0254)*50)</f>
        <v>#REF!</v>
      </c>
      <c r="AR34" s="201" t="e">
        <f>IF($S34&lt;=IF($B$2="mil",1,0.0254)*1250,"Pass",IF($B$2="mil",1,0.0254)*1250-$S34)</f>
        <v>#REF!</v>
      </c>
      <c r="AS34" s="201" t="e">
        <f>IF(MAX(S34,S112)-MIN(S34,S112)&lt;=IF($B$2="mil",1,0.0254)*50,"Pass",MAX(S34,S112)-MIN(S34,S112)-IF($B$2="mil",1,0.0254)*50)</f>
        <v>#REF!</v>
      </c>
      <c r="AT34" s="201" t="e">
        <f ca="1">CheckLength2(1400,S34,T34,0)</f>
        <v>#NAME?</v>
      </c>
      <c r="AU34" s="201" t="e">
        <f ca="1">CheckLength2(1400,S34,U34,0)</f>
        <v>#NAME?</v>
      </c>
      <c r="AV34" s="201" t="e">
        <f t="shared" ref="AV34:AV47" si="13">IF(AND($V34&gt;=IF($B$2="mil",1,0.0254)*500, $V34&lt;=IF($B$2="mil",1,0.0254)*7500),"Pass",IF($B$2="mil",1,0.0254)*7500-$V34)</f>
        <v>#REF!</v>
      </c>
      <c r="AW34" s="201" t="e">
        <f t="shared" ref="AW34:AW47" si="14">IF(AND($W34&gt;=IF($B$2="mil",1,0.0254)*500, $W34&lt;=IF($B$2="mil",1,0.0254)*8000),"Pass",IF($B$2="mil",1,0.0254)*8000-$W34)</f>
        <v>#REF!</v>
      </c>
      <c r="AX34" s="162" t="e">
        <f ca="1">IF(AND(Z34="Pass",AA34="Pass",AH34="Pass",AI34="Pass",AJ34="Pass",AK34="Pass",AL34="Pass",AM34="Pass",AN34="Pass",AO34="Pass",AP34="Pass",AQ34="Pass",AR34="Pass",AS34="Pass",AT34="Pass",AV34="Pass",AW34="Pass"),"Pass","Fail")</f>
        <v>#REF!</v>
      </c>
      <c r="AY34" s="162" t="e">
        <f ca="1">IF(AND(AX46="Pass",AX47="Pass",AX49="Pass",AX50="Pass",AX51="Pass",AX53="Pass",AX54="Pass",AX55="Pass"),"Pass","Fail")</f>
        <v>#REF!</v>
      </c>
    </row>
    <row r="35" spans="1:51" s="162" customFormat="1">
      <c r="A35" s="240" t="s">
        <v>39</v>
      </c>
      <c r="B35" s="243" t="s">
        <v>303</v>
      </c>
      <c r="C35" s="202">
        <v>670.3</v>
      </c>
      <c r="D35" s="188"/>
      <c r="E35" s="225">
        <v>29.7</v>
      </c>
      <c r="F35" s="325">
        <v>0</v>
      </c>
      <c r="G35" s="311">
        <v>2001.91</v>
      </c>
      <c r="H35" s="333">
        <v>0</v>
      </c>
      <c r="I35" s="335"/>
      <c r="J35" s="334">
        <v>0</v>
      </c>
      <c r="K35" s="311">
        <v>32.5</v>
      </c>
      <c r="L35" s="336"/>
      <c r="M35" s="311">
        <v>32.5</v>
      </c>
      <c r="N35" s="337">
        <v>40</v>
      </c>
      <c r="O35" s="335"/>
      <c r="P35" s="311">
        <v>32.5</v>
      </c>
      <c r="Q35" s="337">
        <v>700</v>
      </c>
      <c r="R35" s="343">
        <v>500</v>
      </c>
      <c r="S35" s="311">
        <v>587.88</v>
      </c>
      <c r="T35" s="311">
        <v>85.04</v>
      </c>
      <c r="U35" s="311">
        <v>85.04</v>
      </c>
      <c r="V35" s="327">
        <f t="shared" ref="V35:V47" si="15">SUM($E35:$H35,$M35,$N35,$P35,$Q35,$S35,$R35,$T35)</f>
        <v>4009.53</v>
      </c>
      <c r="W35" s="197">
        <f t="shared" si="12"/>
        <v>4679.83</v>
      </c>
      <c r="X35" s="197" t="e">
        <f>$Y$32 + IF($B$2="mil",1,0.0254)*DDR2Specs!$E$9</f>
        <v>#REF!</v>
      </c>
      <c r="Y35" s="197" t="e">
        <f>$X$32 + IF($B$2="mil",1,0.0254)*DDR2Specs!$F$9</f>
        <v>#REF!</v>
      </c>
      <c r="Z35" s="198" t="e">
        <f t="shared" ref="Z35:Z47" si="16">IF($W35&lt;$X35,$X35-$W35,"Pass")</f>
        <v>#REF!</v>
      </c>
      <c r="AA35" s="199" t="e">
        <f t="shared" ref="AA35:AA45" si="17">IF($W35&gt;$Y35,$W35-$Y35,"Pass")</f>
        <v>#REF!</v>
      </c>
      <c r="AB35" s="327">
        <f t="shared" ref="AB35:AB55" si="18">SUM($E35:$H35,$M35,$N35,$P35,$Q35,$S35,$R35,$U35)</f>
        <v>4009.53</v>
      </c>
      <c r="AC35" s="197">
        <f t="shared" ref="AC35:AC55" si="19">$AB35+$C35</f>
        <v>4679.83</v>
      </c>
      <c r="AD35" s="197" t="e">
        <f>$AE$32 + IF($B$2="mil",1,0.0254)*DDR2Specs!$E$9</f>
        <v>#REF!</v>
      </c>
      <c r="AE35" s="197" t="e">
        <f>$AD$32 + IF($B$2="mil",1,0.0254)*DDR2Specs!$F$9</f>
        <v>#REF!</v>
      </c>
      <c r="AF35" s="198" t="e">
        <f t="shared" ref="AF35:AF55" si="20">IF($AC35&lt;$AD35,$AD35-$AC35,"Pass")</f>
        <v>#REF!</v>
      </c>
      <c r="AG35" s="199" t="e">
        <f t="shared" ref="AG35:AG55" si="21">IF($AC35&gt;$AE35,$AC35-$AE35,"Pass")</f>
        <v>#REF!</v>
      </c>
      <c r="AH35" s="200" t="e">
        <f t="shared" ref="AH35:AH55" si="22">IF($E35&lt;=IF($B$2="mil",1,0.0254)*35,"Pass",IF($B$2="mil",1,0.0254)*35-$E35)</f>
        <v>#REF!</v>
      </c>
      <c r="AI35" s="201" t="e">
        <f t="shared" ref="AI35:AI55" si="23">IF($F35&lt;=IF($B$2="mil",1,0.0254)*500,"Pass",IF($B$2="mil",1,0.0254)*500-$F35)</f>
        <v>#REF!</v>
      </c>
      <c r="AJ35" s="201" t="e">
        <f t="shared" ref="AJ35:AJ55" si="24">IF($H35&lt;=IF($B$2="mil",1,0.0254)*500,"Pass",IF($B$2="mil",1,0.0254)*500-$H35)</f>
        <v>#REF!</v>
      </c>
      <c r="AK35" s="201" t="e">
        <f t="shared" ref="AK35:AK55" si="25">IF($J35&lt;=IF($B$2="mil",1,0.0254)*1000,"Pass",IF($B$2="mil",1,0.0254)*1000-$J35)</f>
        <v>#REF!</v>
      </c>
      <c r="AL35" s="201" t="e">
        <f t="shared" ref="AL35:AL55" ca="1" si="26">CheckLength2(1150,J35,K35,0)</f>
        <v>#NAME?</v>
      </c>
      <c r="AM35" s="201" t="e">
        <f t="shared" ref="AM35:AM47" si="27">IF(M35&lt;=IF($B$2="mil",1,0.0254)*125,"Pass",IF($B$2="mil",1,0.0254)*125-M35)</f>
        <v>#REF!</v>
      </c>
      <c r="AN35" s="201" t="e">
        <f t="shared" ref="AN35:AN47" si="28">IF(P35&lt;=IF($B$2="mil",1,0.0254)*125,"Pass",IF($B$2="mil",1,0.0254)*125-P35)</f>
        <v>#REF!</v>
      </c>
      <c r="AO35" s="201" t="e">
        <f t="shared" ref="AO35:AO47" si="29">IF(Q35&lt;=IF($B$2="mil",1,0.0254)*1000,"Pass",IF($B$2="mil",1,0.0254)*1000-Q35)</f>
        <v>#REF!</v>
      </c>
      <c r="AP35" s="201" t="e">
        <f t="shared" ref="AP35:AP47" si="30">IF(R35&lt;=IF($B$2="mil",1,0.0254)*750,"Pass",IF($B$2="mil",1,0.0254)*750-R35)</f>
        <v>#REF!</v>
      </c>
      <c r="AQ35" s="201" t="e">
        <f t="shared" ref="AQ35:AQ47" si="31">IF(MAX(R35,S87)-MIN(R35,S87)&lt;=IF($B$2="mil",1,0.0254)*50,"Pass",MAX(R35,S87)-MIN(R35,S87)-IF($B$2="mil",1,0.0254)*50)</f>
        <v>#REF!</v>
      </c>
      <c r="AR35" s="201" t="e">
        <f t="shared" ref="AR35:AR55" si="32">IF($S35&lt;=IF($B$2="mil",1,0.0254)*1250,"Pass",IF($B$2="mil",1,0.0254)*1250-$S35)</f>
        <v>#REF!</v>
      </c>
      <c r="AS35" s="201" t="e">
        <f t="shared" ref="AS35:AS47" si="33">IF(MAX(S35,S113)-MIN(S35,S113)&lt;=IF($B$2="mil",1,0.0254)*50,"Pass",MAX(S35,S113)-MIN(S35,S113)-IF($B$2="mil",1,0.0254)*50)</f>
        <v>#REF!</v>
      </c>
      <c r="AT35" s="201" t="e">
        <f t="shared" ref="AT35:AT47" ca="1" si="34">CheckLength2(1400,S35,T35,0)</f>
        <v>#NAME?</v>
      </c>
      <c r="AU35" s="201" t="e">
        <f t="shared" ref="AU35:AU47" ca="1" si="35">CheckLength2(1400,S35,U35,0)</f>
        <v>#NAME?</v>
      </c>
      <c r="AV35" s="201" t="e">
        <f t="shared" si="13"/>
        <v>#REF!</v>
      </c>
      <c r="AW35" s="201" t="e">
        <f t="shared" si="14"/>
        <v>#REF!</v>
      </c>
      <c r="AX35" s="162" t="e">
        <f t="shared" ref="AX35:AX47" ca="1" si="36">IF(AND(Z35="Pass",AA35="Pass",AH35="Pass",AI35="Pass",AJ35="Pass",AK35="Pass",AL35="Pass",AM35="Pass",AN35="Pass",AO35="Pass",AP35="Pass",AQ35="Pass",AR35="Pass",AS35="Pass",AT35="Pass",AV35="Pass",AW35="Pass"),"Pass","Fail")</f>
        <v>#REF!</v>
      </c>
      <c r="AY35" s="162" t="e">
        <f ca="1">IF(AND(AX35="Pass",AX36="Pass",AX37="Pass",AX38="Pass",AX39="Pass",AX40="Pass",AX41="Pass",AX42="Pass",AX43="Pass",AX44="Pass",AX45="Pass",AX34="Pass"),"Pass","Fail")</f>
        <v>#REF!</v>
      </c>
    </row>
    <row r="36" spans="1:51" s="162" customFormat="1">
      <c r="A36" s="240" t="s">
        <v>40</v>
      </c>
      <c r="B36" s="243" t="s">
        <v>304</v>
      </c>
      <c r="C36" s="202">
        <v>586.6</v>
      </c>
      <c r="D36" s="188"/>
      <c r="E36" s="225">
        <v>29.7</v>
      </c>
      <c r="F36" s="325">
        <v>0</v>
      </c>
      <c r="G36" s="311">
        <v>1907.19</v>
      </c>
      <c r="H36" s="333">
        <v>0</v>
      </c>
      <c r="I36" s="335"/>
      <c r="J36" s="334">
        <v>0</v>
      </c>
      <c r="K36" s="311">
        <v>41.64</v>
      </c>
      <c r="L36" s="336"/>
      <c r="M36" s="311">
        <v>41.64</v>
      </c>
      <c r="N36" s="337">
        <v>40</v>
      </c>
      <c r="O36" s="335"/>
      <c r="P36" s="311">
        <v>38.909999999999997</v>
      </c>
      <c r="Q36" s="337">
        <v>700</v>
      </c>
      <c r="R36" s="343">
        <v>500</v>
      </c>
      <c r="S36" s="311">
        <v>565.69000000000005</v>
      </c>
      <c r="T36" s="311">
        <v>99.56</v>
      </c>
      <c r="U36" s="311">
        <v>99.56</v>
      </c>
      <c r="V36" s="327">
        <f t="shared" si="15"/>
        <v>3922.69</v>
      </c>
      <c r="W36" s="197">
        <f t="shared" si="12"/>
        <v>4509.29</v>
      </c>
      <c r="X36" s="197" t="e">
        <f>$Y$32 + IF($B$2="mil",1,0.0254)*DDR2Specs!$E$9</f>
        <v>#REF!</v>
      </c>
      <c r="Y36" s="197" t="e">
        <f>$X$32 + IF($B$2="mil",1,0.0254)*DDR2Specs!$F$9</f>
        <v>#REF!</v>
      </c>
      <c r="Z36" s="198" t="e">
        <f t="shared" si="16"/>
        <v>#REF!</v>
      </c>
      <c r="AA36" s="199" t="e">
        <f t="shared" si="17"/>
        <v>#REF!</v>
      </c>
      <c r="AB36" s="327">
        <f t="shared" si="18"/>
        <v>3922.69</v>
      </c>
      <c r="AC36" s="197">
        <f t="shared" si="19"/>
        <v>4509.29</v>
      </c>
      <c r="AD36" s="197" t="e">
        <f>$AE$32 + IF($B$2="mil",1,0.0254)*DDR2Specs!$E$9</f>
        <v>#REF!</v>
      </c>
      <c r="AE36" s="197" t="e">
        <f>$AD$32 + IF($B$2="mil",1,0.0254)*DDR2Specs!$F$9</f>
        <v>#REF!</v>
      </c>
      <c r="AF36" s="198" t="e">
        <f t="shared" si="20"/>
        <v>#REF!</v>
      </c>
      <c r="AG36" s="199" t="e">
        <f t="shared" si="21"/>
        <v>#REF!</v>
      </c>
      <c r="AH36" s="200" t="e">
        <f t="shared" si="22"/>
        <v>#REF!</v>
      </c>
      <c r="AI36" s="201" t="e">
        <f t="shared" si="23"/>
        <v>#REF!</v>
      </c>
      <c r="AJ36" s="201" t="e">
        <f t="shared" si="24"/>
        <v>#REF!</v>
      </c>
      <c r="AK36" s="201" t="e">
        <f t="shared" si="25"/>
        <v>#REF!</v>
      </c>
      <c r="AL36" s="201" t="e">
        <f t="shared" ca="1" si="26"/>
        <v>#NAME?</v>
      </c>
      <c r="AM36" s="201" t="e">
        <f t="shared" si="27"/>
        <v>#REF!</v>
      </c>
      <c r="AN36" s="201" t="e">
        <f t="shared" si="28"/>
        <v>#REF!</v>
      </c>
      <c r="AO36" s="201" t="e">
        <f t="shared" si="29"/>
        <v>#REF!</v>
      </c>
      <c r="AP36" s="201" t="e">
        <f t="shared" si="30"/>
        <v>#REF!</v>
      </c>
      <c r="AQ36" s="201" t="e">
        <f t="shared" si="31"/>
        <v>#REF!</v>
      </c>
      <c r="AR36" s="201" t="e">
        <f t="shared" si="32"/>
        <v>#REF!</v>
      </c>
      <c r="AS36" s="201" t="e">
        <f t="shared" si="33"/>
        <v>#REF!</v>
      </c>
      <c r="AT36" s="201" t="e">
        <f t="shared" ca="1" si="34"/>
        <v>#NAME?</v>
      </c>
      <c r="AU36" s="201" t="e">
        <f t="shared" ca="1" si="35"/>
        <v>#NAME?</v>
      </c>
      <c r="AV36" s="201" t="e">
        <f t="shared" si="13"/>
        <v>#REF!</v>
      </c>
      <c r="AW36" s="201" t="e">
        <f t="shared" si="14"/>
        <v>#REF!</v>
      </c>
      <c r="AX36" s="162" t="e">
        <f t="shared" ca="1" si="36"/>
        <v>#REF!</v>
      </c>
    </row>
    <row r="37" spans="1:51" s="162" customFormat="1">
      <c r="A37" s="240" t="s">
        <v>41</v>
      </c>
      <c r="B37" s="243" t="s">
        <v>305</v>
      </c>
      <c r="C37" s="202">
        <v>984.7</v>
      </c>
      <c r="D37" s="188"/>
      <c r="E37" s="225">
        <v>29.7</v>
      </c>
      <c r="F37" s="325">
        <v>0</v>
      </c>
      <c r="G37" s="311">
        <v>2159.11</v>
      </c>
      <c r="H37" s="333">
        <v>0</v>
      </c>
      <c r="I37" s="335"/>
      <c r="J37" s="334">
        <v>0</v>
      </c>
      <c r="K37" s="311">
        <v>41.03</v>
      </c>
      <c r="L37" s="336"/>
      <c r="M37" s="311">
        <v>41.03</v>
      </c>
      <c r="N37" s="337">
        <v>40</v>
      </c>
      <c r="O37" s="335"/>
      <c r="P37" s="311">
        <v>38.880000000000003</v>
      </c>
      <c r="Q37" s="337">
        <v>700</v>
      </c>
      <c r="R37" s="343">
        <v>300</v>
      </c>
      <c r="S37" s="311">
        <v>579.26</v>
      </c>
      <c r="T37" s="311">
        <v>145.9</v>
      </c>
      <c r="U37" s="311">
        <v>145.9</v>
      </c>
      <c r="V37" s="327">
        <f t="shared" si="15"/>
        <v>4033.8800000000006</v>
      </c>
      <c r="W37" s="197">
        <f t="shared" si="12"/>
        <v>5018.5800000000008</v>
      </c>
      <c r="X37" s="197" t="e">
        <f>$Y$32 + IF($B$2="mil",1,0.0254)*DDR2Specs!$E$9</f>
        <v>#REF!</v>
      </c>
      <c r="Y37" s="197" t="e">
        <f>$X$32 + IF($B$2="mil",1,0.0254)*DDR2Specs!$F$9</f>
        <v>#REF!</v>
      </c>
      <c r="Z37" s="198" t="e">
        <f t="shared" si="16"/>
        <v>#REF!</v>
      </c>
      <c r="AA37" s="199" t="e">
        <f t="shared" si="17"/>
        <v>#REF!</v>
      </c>
      <c r="AB37" s="327">
        <f t="shared" si="18"/>
        <v>4033.8800000000006</v>
      </c>
      <c r="AC37" s="197">
        <f t="shared" si="19"/>
        <v>5018.5800000000008</v>
      </c>
      <c r="AD37" s="197" t="e">
        <f>$AE$32 + IF($B$2="mil",1,0.0254)*DDR2Specs!$E$9</f>
        <v>#REF!</v>
      </c>
      <c r="AE37" s="197" t="e">
        <f>$AD$32 + IF($B$2="mil",1,0.0254)*DDR2Specs!$F$9</f>
        <v>#REF!</v>
      </c>
      <c r="AF37" s="198" t="e">
        <f t="shared" si="20"/>
        <v>#REF!</v>
      </c>
      <c r="AG37" s="199" t="e">
        <f t="shared" si="21"/>
        <v>#REF!</v>
      </c>
      <c r="AH37" s="200" t="e">
        <f t="shared" si="22"/>
        <v>#REF!</v>
      </c>
      <c r="AI37" s="201" t="e">
        <f t="shared" si="23"/>
        <v>#REF!</v>
      </c>
      <c r="AJ37" s="201" t="e">
        <f t="shared" si="24"/>
        <v>#REF!</v>
      </c>
      <c r="AK37" s="201" t="e">
        <f t="shared" si="25"/>
        <v>#REF!</v>
      </c>
      <c r="AL37" s="201" t="e">
        <f t="shared" ca="1" si="26"/>
        <v>#NAME?</v>
      </c>
      <c r="AM37" s="201" t="e">
        <f t="shared" si="27"/>
        <v>#REF!</v>
      </c>
      <c r="AN37" s="201" t="e">
        <f t="shared" si="28"/>
        <v>#REF!</v>
      </c>
      <c r="AO37" s="201" t="e">
        <f t="shared" si="29"/>
        <v>#REF!</v>
      </c>
      <c r="AP37" s="201" t="e">
        <f t="shared" si="30"/>
        <v>#REF!</v>
      </c>
      <c r="AQ37" s="201" t="e">
        <f t="shared" si="31"/>
        <v>#REF!</v>
      </c>
      <c r="AR37" s="201" t="e">
        <f t="shared" si="32"/>
        <v>#REF!</v>
      </c>
      <c r="AS37" s="201" t="e">
        <f t="shared" si="33"/>
        <v>#REF!</v>
      </c>
      <c r="AT37" s="201" t="e">
        <f t="shared" ca="1" si="34"/>
        <v>#NAME?</v>
      </c>
      <c r="AU37" s="201" t="e">
        <f t="shared" ca="1" si="35"/>
        <v>#NAME?</v>
      </c>
      <c r="AV37" s="201" t="e">
        <f t="shared" si="13"/>
        <v>#REF!</v>
      </c>
      <c r="AW37" s="201" t="e">
        <f t="shared" si="14"/>
        <v>#REF!</v>
      </c>
      <c r="AX37" s="162" t="e">
        <f t="shared" ca="1" si="36"/>
        <v>#REF!</v>
      </c>
    </row>
    <row r="38" spans="1:51" s="162" customFormat="1">
      <c r="A38" s="240" t="s">
        <v>42</v>
      </c>
      <c r="B38" s="243" t="s">
        <v>306</v>
      </c>
      <c r="C38" s="202">
        <v>483.3</v>
      </c>
      <c r="D38" s="188"/>
      <c r="E38" s="225">
        <v>29.7</v>
      </c>
      <c r="F38" s="325">
        <v>0</v>
      </c>
      <c r="G38" s="311">
        <v>1739.31</v>
      </c>
      <c r="H38" s="333">
        <v>0</v>
      </c>
      <c r="I38" s="335"/>
      <c r="J38" s="334">
        <v>0</v>
      </c>
      <c r="K38" s="311">
        <v>36.74</v>
      </c>
      <c r="L38" s="336"/>
      <c r="M38" s="311">
        <v>36.74</v>
      </c>
      <c r="N38" s="337">
        <v>40</v>
      </c>
      <c r="O38" s="335"/>
      <c r="P38" s="311">
        <v>33.57</v>
      </c>
      <c r="Q38" s="337">
        <v>700</v>
      </c>
      <c r="R38" s="343">
        <v>600</v>
      </c>
      <c r="S38" s="311">
        <v>624.74</v>
      </c>
      <c r="T38" s="311">
        <v>103.51</v>
      </c>
      <c r="U38" s="311">
        <v>103.51</v>
      </c>
      <c r="V38" s="327">
        <f t="shared" si="15"/>
        <v>3907.5699999999997</v>
      </c>
      <c r="W38" s="197">
        <f t="shared" si="12"/>
        <v>4390.87</v>
      </c>
      <c r="X38" s="197" t="e">
        <f>$Y$32 + IF($B$2="mil",1,0.0254)*DDR2Specs!$E$9</f>
        <v>#REF!</v>
      </c>
      <c r="Y38" s="197" t="e">
        <f>$X$32 + IF($B$2="mil",1,0.0254)*DDR2Specs!$F$9</f>
        <v>#REF!</v>
      </c>
      <c r="Z38" s="198" t="e">
        <f t="shared" si="16"/>
        <v>#REF!</v>
      </c>
      <c r="AA38" s="199" t="e">
        <f t="shared" si="17"/>
        <v>#REF!</v>
      </c>
      <c r="AB38" s="327">
        <f t="shared" si="18"/>
        <v>3907.5699999999997</v>
      </c>
      <c r="AC38" s="197">
        <f t="shared" si="19"/>
        <v>4390.87</v>
      </c>
      <c r="AD38" s="197" t="e">
        <f>$AE$32 + IF($B$2="mil",1,0.0254)*DDR2Specs!$E$9</f>
        <v>#REF!</v>
      </c>
      <c r="AE38" s="197" t="e">
        <f>$AD$32 + IF($B$2="mil",1,0.0254)*DDR2Specs!$F$9</f>
        <v>#REF!</v>
      </c>
      <c r="AF38" s="198" t="e">
        <f t="shared" si="20"/>
        <v>#REF!</v>
      </c>
      <c r="AG38" s="199" t="e">
        <f t="shared" si="21"/>
        <v>#REF!</v>
      </c>
      <c r="AH38" s="200" t="e">
        <f t="shared" si="22"/>
        <v>#REF!</v>
      </c>
      <c r="AI38" s="201" t="e">
        <f t="shared" si="23"/>
        <v>#REF!</v>
      </c>
      <c r="AJ38" s="201" t="e">
        <f t="shared" si="24"/>
        <v>#REF!</v>
      </c>
      <c r="AK38" s="201" t="e">
        <f t="shared" si="25"/>
        <v>#REF!</v>
      </c>
      <c r="AL38" s="201" t="e">
        <f t="shared" ca="1" si="26"/>
        <v>#NAME?</v>
      </c>
      <c r="AM38" s="201" t="e">
        <f t="shared" si="27"/>
        <v>#REF!</v>
      </c>
      <c r="AN38" s="201" t="e">
        <f t="shared" si="28"/>
        <v>#REF!</v>
      </c>
      <c r="AO38" s="201" t="e">
        <f t="shared" si="29"/>
        <v>#REF!</v>
      </c>
      <c r="AP38" s="201" t="e">
        <f t="shared" si="30"/>
        <v>#REF!</v>
      </c>
      <c r="AQ38" s="201" t="e">
        <f t="shared" si="31"/>
        <v>#REF!</v>
      </c>
      <c r="AR38" s="201" t="e">
        <f t="shared" si="32"/>
        <v>#REF!</v>
      </c>
      <c r="AS38" s="201" t="e">
        <f t="shared" si="33"/>
        <v>#REF!</v>
      </c>
      <c r="AT38" s="201" t="e">
        <f t="shared" ca="1" si="34"/>
        <v>#NAME?</v>
      </c>
      <c r="AU38" s="201" t="e">
        <f t="shared" ca="1" si="35"/>
        <v>#NAME?</v>
      </c>
      <c r="AV38" s="201" t="e">
        <f t="shared" si="13"/>
        <v>#REF!</v>
      </c>
      <c r="AW38" s="201" t="e">
        <f t="shared" si="14"/>
        <v>#REF!</v>
      </c>
      <c r="AX38" s="162" t="e">
        <f t="shared" ca="1" si="36"/>
        <v>#REF!</v>
      </c>
    </row>
    <row r="39" spans="1:51" s="162" customFormat="1">
      <c r="A39" s="240" t="s">
        <v>43</v>
      </c>
      <c r="B39" s="243" t="s">
        <v>307</v>
      </c>
      <c r="C39" s="202">
        <v>510.9</v>
      </c>
      <c r="D39" s="188"/>
      <c r="E39" s="225">
        <v>29.7</v>
      </c>
      <c r="F39" s="325">
        <v>0</v>
      </c>
      <c r="G39" s="311">
        <v>2311.37</v>
      </c>
      <c r="H39" s="333">
        <v>0</v>
      </c>
      <c r="I39" s="335"/>
      <c r="J39" s="334">
        <v>0</v>
      </c>
      <c r="K39" s="311">
        <v>38.71</v>
      </c>
      <c r="L39" s="336"/>
      <c r="M39" s="311">
        <v>38.71</v>
      </c>
      <c r="N39" s="337">
        <v>40</v>
      </c>
      <c r="O39" s="335"/>
      <c r="P39" s="311">
        <v>42.86</v>
      </c>
      <c r="Q39" s="337">
        <v>700</v>
      </c>
      <c r="R39" s="343">
        <v>200</v>
      </c>
      <c r="S39" s="311">
        <v>610.85</v>
      </c>
      <c r="T39" s="311">
        <v>75.709999999999994</v>
      </c>
      <c r="U39" s="311">
        <v>75.709999999999994</v>
      </c>
      <c r="V39" s="327">
        <f t="shared" si="15"/>
        <v>4049.2</v>
      </c>
      <c r="W39" s="197">
        <f t="shared" si="12"/>
        <v>4560.0999999999995</v>
      </c>
      <c r="X39" s="197" t="e">
        <f>$Y$32 + IF($B$2="mil",1,0.0254)*DDR2Specs!$E$9</f>
        <v>#REF!</v>
      </c>
      <c r="Y39" s="197" t="e">
        <f>$X$32 + IF($B$2="mil",1,0.0254)*DDR2Specs!$F$9</f>
        <v>#REF!</v>
      </c>
      <c r="Z39" s="198" t="e">
        <f t="shared" si="16"/>
        <v>#REF!</v>
      </c>
      <c r="AA39" s="199" t="e">
        <f t="shared" si="17"/>
        <v>#REF!</v>
      </c>
      <c r="AB39" s="327">
        <f t="shared" si="18"/>
        <v>4049.2</v>
      </c>
      <c r="AC39" s="197">
        <f t="shared" si="19"/>
        <v>4560.0999999999995</v>
      </c>
      <c r="AD39" s="197" t="e">
        <f>$AE$32 + IF($B$2="mil",1,0.0254)*DDR2Specs!$E$9</f>
        <v>#REF!</v>
      </c>
      <c r="AE39" s="197" t="e">
        <f>$AD$32 + IF($B$2="mil",1,0.0254)*DDR2Specs!$F$9</f>
        <v>#REF!</v>
      </c>
      <c r="AF39" s="198" t="e">
        <f t="shared" si="20"/>
        <v>#REF!</v>
      </c>
      <c r="AG39" s="199" t="e">
        <f t="shared" si="21"/>
        <v>#REF!</v>
      </c>
      <c r="AH39" s="200" t="e">
        <f t="shared" si="22"/>
        <v>#REF!</v>
      </c>
      <c r="AI39" s="201" t="e">
        <f t="shared" si="23"/>
        <v>#REF!</v>
      </c>
      <c r="AJ39" s="201" t="e">
        <f t="shared" si="24"/>
        <v>#REF!</v>
      </c>
      <c r="AK39" s="201" t="e">
        <f t="shared" si="25"/>
        <v>#REF!</v>
      </c>
      <c r="AL39" s="201" t="e">
        <f t="shared" ca="1" si="26"/>
        <v>#NAME?</v>
      </c>
      <c r="AM39" s="201" t="e">
        <f t="shared" si="27"/>
        <v>#REF!</v>
      </c>
      <c r="AN39" s="201" t="e">
        <f t="shared" si="28"/>
        <v>#REF!</v>
      </c>
      <c r="AO39" s="201" t="e">
        <f t="shared" si="29"/>
        <v>#REF!</v>
      </c>
      <c r="AP39" s="201" t="e">
        <f t="shared" si="30"/>
        <v>#REF!</v>
      </c>
      <c r="AQ39" s="201" t="e">
        <f t="shared" si="31"/>
        <v>#REF!</v>
      </c>
      <c r="AR39" s="201" t="e">
        <f t="shared" si="32"/>
        <v>#REF!</v>
      </c>
      <c r="AS39" s="201" t="e">
        <f t="shared" si="33"/>
        <v>#REF!</v>
      </c>
      <c r="AT39" s="201" t="e">
        <f t="shared" ca="1" si="34"/>
        <v>#NAME?</v>
      </c>
      <c r="AU39" s="201" t="e">
        <f t="shared" ca="1" si="35"/>
        <v>#NAME?</v>
      </c>
      <c r="AV39" s="201" t="e">
        <f t="shared" si="13"/>
        <v>#REF!</v>
      </c>
      <c r="AW39" s="201" t="e">
        <f t="shared" si="14"/>
        <v>#REF!</v>
      </c>
      <c r="AX39" s="162" t="e">
        <f t="shared" ca="1" si="36"/>
        <v>#REF!</v>
      </c>
    </row>
    <row r="40" spans="1:51" s="162" customFormat="1">
      <c r="A40" s="240" t="s">
        <v>44</v>
      </c>
      <c r="B40" s="243" t="s">
        <v>308</v>
      </c>
      <c r="C40" s="202">
        <v>507.6</v>
      </c>
      <c r="D40" s="188"/>
      <c r="E40" s="225">
        <v>29.7</v>
      </c>
      <c r="F40" s="325">
        <v>0</v>
      </c>
      <c r="G40" s="311">
        <v>2336.23</v>
      </c>
      <c r="H40" s="333">
        <v>0</v>
      </c>
      <c r="I40" s="335"/>
      <c r="J40" s="334">
        <v>0</v>
      </c>
      <c r="K40" s="311">
        <v>37.5</v>
      </c>
      <c r="L40" s="336"/>
      <c r="M40" s="311">
        <v>37.5</v>
      </c>
      <c r="N40" s="337">
        <v>40</v>
      </c>
      <c r="O40" s="335"/>
      <c r="P40" s="311">
        <v>40.68</v>
      </c>
      <c r="Q40" s="337">
        <v>700</v>
      </c>
      <c r="R40" s="343">
        <v>200</v>
      </c>
      <c r="S40" s="311">
        <v>604.02</v>
      </c>
      <c r="T40" s="311">
        <v>101.05</v>
      </c>
      <c r="U40" s="311">
        <v>101.05</v>
      </c>
      <c r="V40" s="327">
        <f t="shared" si="15"/>
        <v>4089.18</v>
      </c>
      <c r="W40" s="197">
        <f t="shared" si="12"/>
        <v>4596.78</v>
      </c>
      <c r="X40" s="197" t="e">
        <f>$Y$32 + IF($B$2="mil",1,0.0254)*DDR2Specs!$E$9</f>
        <v>#REF!</v>
      </c>
      <c r="Y40" s="197" t="e">
        <f>$X$32 + IF($B$2="mil",1,0.0254)*DDR2Specs!$F$9</f>
        <v>#REF!</v>
      </c>
      <c r="Z40" s="198" t="e">
        <f t="shared" si="16"/>
        <v>#REF!</v>
      </c>
      <c r="AA40" s="199" t="e">
        <f t="shared" si="17"/>
        <v>#REF!</v>
      </c>
      <c r="AB40" s="327">
        <f t="shared" si="18"/>
        <v>4089.18</v>
      </c>
      <c r="AC40" s="197">
        <f t="shared" si="19"/>
        <v>4596.78</v>
      </c>
      <c r="AD40" s="197" t="e">
        <f>$AE$32 + IF($B$2="mil",1,0.0254)*DDR2Specs!$E$9</f>
        <v>#REF!</v>
      </c>
      <c r="AE40" s="197" t="e">
        <f>$AD$32 + IF($B$2="mil",1,0.0254)*DDR2Specs!$F$9</f>
        <v>#REF!</v>
      </c>
      <c r="AF40" s="198" t="e">
        <f t="shared" si="20"/>
        <v>#REF!</v>
      </c>
      <c r="AG40" s="199" t="e">
        <f t="shared" si="21"/>
        <v>#REF!</v>
      </c>
      <c r="AH40" s="200" t="e">
        <f t="shared" si="22"/>
        <v>#REF!</v>
      </c>
      <c r="AI40" s="201" t="e">
        <f t="shared" si="23"/>
        <v>#REF!</v>
      </c>
      <c r="AJ40" s="201" t="e">
        <f t="shared" si="24"/>
        <v>#REF!</v>
      </c>
      <c r="AK40" s="201" t="e">
        <f t="shared" si="25"/>
        <v>#REF!</v>
      </c>
      <c r="AL40" s="201" t="e">
        <f t="shared" ca="1" si="26"/>
        <v>#NAME?</v>
      </c>
      <c r="AM40" s="201" t="e">
        <f t="shared" si="27"/>
        <v>#REF!</v>
      </c>
      <c r="AN40" s="201" t="e">
        <f t="shared" si="28"/>
        <v>#REF!</v>
      </c>
      <c r="AO40" s="201" t="e">
        <f t="shared" si="29"/>
        <v>#REF!</v>
      </c>
      <c r="AP40" s="201" t="e">
        <f t="shared" si="30"/>
        <v>#REF!</v>
      </c>
      <c r="AQ40" s="201" t="e">
        <f t="shared" si="31"/>
        <v>#REF!</v>
      </c>
      <c r="AR40" s="201" t="e">
        <f t="shared" si="32"/>
        <v>#REF!</v>
      </c>
      <c r="AS40" s="201" t="e">
        <f t="shared" si="33"/>
        <v>#REF!</v>
      </c>
      <c r="AT40" s="201" t="e">
        <f t="shared" ca="1" si="34"/>
        <v>#NAME?</v>
      </c>
      <c r="AU40" s="201" t="e">
        <f t="shared" ca="1" si="35"/>
        <v>#NAME?</v>
      </c>
      <c r="AV40" s="201" t="e">
        <f t="shared" si="13"/>
        <v>#REF!</v>
      </c>
      <c r="AW40" s="201" t="e">
        <f t="shared" si="14"/>
        <v>#REF!</v>
      </c>
      <c r="AX40" s="162" t="e">
        <f t="shared" ca="1" si="36"/>
        <v>#REF!</v>
      </c>
    </row>
    <row r="41" spans="1:51" s="162" customFormat="1">
      <c r="A41" s="240" t="s">
        <v>46</v>
      </c>
      <c r="B41" s="243" t="s">
        <v>309</v>
      </c>
      <c r="C41" s="202">
        <v>495.6</v>
      </c>
      <c r="D41" s="188"/>
      <c r="E41" s="225">
        <v>29.7</v>
      </c>
      <c r="F41" s="325">
        <v>0</v>
      </c>
      <c r="G41" s="311">
        <v>2228.25</v>
      </c>
      <c r="H41" s="333">
        <v>0</v>
      </c>
      <c r="I41" s="335"/>
      <c r="J41" s="334">
        <v>0</v>
      </c>
      <c r="K41" s="311">
        <v>37.5</v>
      </c>
      <c r="L41" s="336"/>
      <c r="M41" s="311">
        <v>37.5</v>
      </c>
      <c r="N41" s="337">
        <v>40</v>
      </c>
      <c r="O41" s="335"/>
      <c r="P41" s="311">
        <v>30.91</v>
      </c>
      <c r="Q41" s="337">
        <v>700</v>
      </c>
      <c r="R41" s="343">
        <v>200</v>
      </c>
      <c r="S41" s="311">
        <v>596.35</v>
      </c>
      <c r="T41" s="311">
        <v>144.30000000000001</v>
      </c>
      <c r="U41" s="311">
        <v>144.30000000000001</v>
      </c>
      <c r="V41" s="327">
        <f t="shared" si="15"/>
        <v>4007.0099999999998</v>
      </c>
      <c r="W41" s="197">
        <f t="shared" si="12"/>
        <v>4502.6099999999997</v>
      </c>
      <c r="X41" s="197" t="e">
        <f>$Y$32 + IF($B$2="mil",1,0.0254)*DDR2Specs!$E$9</f>
        <v>#REF!</v>
      </c>
      <c r="Y41" s="197" t="e">
        <f>$X$32 + IF($B$2="mil",1,0.0254)*DDR2Specs!$F$9</f>
        <v>#REF!</v>
      </c>
      <c r="Z41" s="198" t="e">
        <f t="shared" si="16"/>
        <v>#REF!</v>
      </c>
      <c r="AA41" s="199" t="e">
        <f t="shared" si="17"/>
        <v>#REF!</v>
      </c>
      <c r="AB41" s="327">
        <f t="shared" si="18"/>
        <v>4007.0099999999998</v>
      </c>
      <c r="AC41" s="197">
        <f t="shared" si="19"/>
        <v>4502.6099999999997</v>
      </c>
      <c r="AD41" s="197" t="e">
        <f>$AE$32 + IF($B$2="mil",1,0.0254)*DDR2Specs!$E$9</f>
        <v>#REF!</v>
      </c>
      <c r="AE41" s="197" t="e">
        <f>$AD$32 + IF($B$2="mil",1,0.0254)*DDR2Specs!$F$9</f>
        <v>#REF!</v>
      </c>
      <c r="AF41" s="198" t="e">
        <f t="shared" si="20"/>
        <v>#REF!</v>
      </c>
      <c r="AG41" s="199" t="e">
        <f t="shared" si="21"/>
        <v>#REF!</v>
      </c>
      <c r="AH41" s="200" t="e">
        <f t="shared" si="22"/>
        <v>#REF!</v>
      </c>
      <c r="AI41" s="201" t="e">
        <f t="shared" si="23"/>
        <v>#REF!</v>
      </c>
      <c r="AJ41" s="201" t="e">
        <f t="shared" si="24"/>
        <v>#REF!</v>
      </c>
      <c r="AK41" s="201" t="e">
        <f t="shared" si="25"/>
        <v>#REF!</v>
      </c>
      <c r="AL41" s="201" t="e">
        <f t="shared" ca="1" si="26"/>
        <v>#NAME?</v>
      </c>
      <c r="AM41" s="201" t="e">
        <f t="shared" si="27"/>
        <v>#REF!</v>
      </c>
      <c r="AN41" s="201" t="e">
        <f t="shared" si="28"/>
        <v>#REF!</v>
      </c>
      <c r="AO41" s="201" t="e">
        <f t="shared" si="29"/>
        <v>#REF!</v>
      </c>
      <c r="AP41" s="201" t="e">
        <f t="shared" si="30"/>
        <v>#REF!</v>
      </c>
      <c r="AQ41" s="201" t="e">
        <f t="shared" si="31"/>
        <v>#REF!</v>
      </c>
      <c r="AR41" s="201" t="e">
        <f t="shared" si="32"/>
        <v>#REF!</v>
      </c>
      <c r="AS41" s="201" t="e">
        <f t="shared" si="33"/>
        <v>#REF!</v>
      </c>
      <c r="AT41" s="201" t="e">
        <f t="shared" ca="1" si="34"/>
        <v>#NAME?</v>
      </c>
      <c r="AU41" s="201" t="e">
        <f t="shared" ca="1" si="35"/>
        <v>#NAME?</v>
      </c>
      <c r="AV41" s="201" t="e">
        <f t="shared" si="13"/>
        <v>#REF!</v>
      </c>
      <c r="AW41" s="201" t="e">
        <f t="shared" si="14"/>
        <v>#REF!</v>
      </c>
      <c r="AX41" s="162" t="e">
        <f t="shared" ca="1" si="36"/>
        <v>#REF!</v>
      </c>
    </row>
    <row r="42" spans="1:51" s="162" customFormat="1">
      <c r="A42" s="240" t="s">
        <v>47</v>
      </c>
      <c r="B42" s="243" t="s">
        <v>310</v>
      </c>
      <c r="C42" s="202">
        <v>563.70000000000005</v>
      </c>
      <c r="D42" s="188"/>
      <c r="E42" s="225">
        <v>29.7</v>
      </c>
      <c r="F42" s="325">
        <v>0</v>
      </c>
      <c r="G42" s="311">
        <v>1730.91</v>
      </c>
      <c r="H42" s="333">
        <v>0</v>
      </c>
      <c r="I42" s="335"/>
      <c r="J42" s="334">
        <v>0</v>
      </c>
      <c r="K42" s="311">
        <v>34.909999999999997</v>
      </c>
      <c r="L42" s="336"/>
      <c r="M42" s="311">
        <v>34.909999999999997</v>
      </c>
      <c r="N42" s="337">
        <v>40</v>
      </c>
      <c r="O42" s="335"/>
      <c r="P42" s="311">
        <v>41.2</v>
      </c>
      <c r="Q42" s="337">
        <v>700</v>
      </c>
      <c r="R42" s="343">
        <v>750</v>
      </c>
      <c r="S42" s="311">
        <v>615.67999999999995</v>
      </c>
      <c r="T42" s="311">
        <v>75.209999999999994</v>
      </c>
      <c r="U42" s="311">
        <v>75.209999999999994</v>
      </c>
      <c r="V42" s="327">
        <f t="shared" si="15"/>
        <v>4017.61</v>
      </c>
      <c r="W42" s="197">
        <f t="shared" si="12"/>
        <v>4581.3100000000004</v>
      </c>
      <c r="X42" s="197" t="e">
        <f>$Y$32 + IF($B$2="mil",1,0.0254)*DDR2Specs!$E$9</f>
        <v>#REF!</v>
      </c>
      <c r="Y42" s="197" t="e">
        <f>$X$32 + IF($B$2="mil",1,0.0254)*DDR2Specs!$F$9</f>
        <v>#REF!</v>
      </c>
      <c r="Z42" s="198" t="e">
        <f t="shared" si="16"/>
        <v>#REF!</v>
      </c>
      <c r="AA42" s="199" t="e">
        <f t="shared" si="17"/>
        <v>#REF!</v>
      </c>
      <c r="AB42" s="327">
        <f t="shared" si="18"/>
        <v>4017.61</v>
      </c>
      <c r="AC42" s="197">
        <f t="shared" si="19"/>
        <v>4581.3100000000004</v>
      </c>
      <c r="AD42" s="197" t="e">
        <f>$AE$32 + IF($B$2="mil",1,0.0254)*DDR2Specs!$E$9</f>
        <v>#REF!</v>
      </c>
      <c r="AE42" s="197" t="e">
        <f>$AD$32 + IF($B$2="mil",1,0.0254)*DDR2Specs!$F$9</f>
        <v>#REF!</v>
      </c>
      <c r="AF42" s="198" t="e">
        <f t="shared" si="20"/>
        <v>#REF!</v>
      </c>
      <c r="AG42" s="199" t="e">
        <f t="shared" si="21"/>
        <v>#REF!</v>
      </c>
      <c r="AH42" s="200" t="e">
        <f t="shared" si="22"/>
        <v>#REF!</v>
      </c>
      <c r="AI42" s="201" t="e">
        <f t="shared" si="23"/>
        <v>#REF!</v>
      </c>
      <c r="AJ42" s="201" t="e">
        <f t="shared" si="24"/>
        <v>#REF!</v>
      </c>
      <c r="AK42" s="201" t="e">
        <f t="shared" si="25"/>
        <v>#REF!</v>
      </c>
      <c r="AL42" s="201" t="e">
        <f t="shared" ca="1" si="26"/>
        <v>#NAME?</v>
      </c>
      <c r="AM42" s="201" t="e">
        <f t="shared" si="27"/>
        <v>#REF!</v>
      </c>
      <c r="AN42" s="201" t="e">
        <f t="shared" si="28"/>
        <v>#REF!</v>
      </c>
      <c r="AO42" s="201" t="e">
        <f t="shared" si="29"/>
        <v>#REF!</v>
      </c>
      <c r="AP42" s="201" t="e">
        <f t="shared" si="30"/>
        <v>#REF!</v>
      </c>
      <c r="AQ42" s="201" t="e">
        <f t="shared" si="31"/>
        <v>#REF!</v>
      </c>
      <c r="AR42" s="201" t="e">
        <f t="shared" si="32"/>
        <v>#REF!</v>
      </c>
      <c r="AS42" s="201" t="e">
        <f t="shared" si="33"/>
        <v>#REF!</v>
      </c>
      <c r="AT42" s="201" t="e">
        <f t="shared" ca="1" si="34"/>
        <v>#NAME?</v>
      </c>
      <c r="AU42" s="201" t="e">
        <f t="shared" ca="1" si="35"/>
        <v>#NAME?</v>
      </c>
      <c r="AV42" s="201" t="e">
        <f t="shared" si="13"/>
        <v>#REF!</v>
      </c>
      <c r="AW42" s="201" t="e">
        <f t="shared" si="14"/>
        <v>#REF!</v>
      </c>
      <c r="AX42" s="162" t="e">
        <f t="shared" ca="1" si="36"/>
        <v>#REF!</v>
      </c>
    </row>
    <row r="43" spans="1:51" s="162" customFormat="1">
      <c r="A43" s="240" t="s">
        <v>48</v>
      </c>
      <c r="B43" s="242" t="s">
        <v>311</v>
      </c>
      <c r="C43" s="215">
        <v>829.3</v>
      </c>
      <c r="D43" s="188"/>
      <c r="E43" s="225">
        <v>29.7</v>
      </c>
      <c r="F43" s="325">
        <v>0</v>
      </c>
      <c r="G43" s="311">
        <v>2382.96</v>
      </c>
      <c r="H43" s="333">
        <v>0</v>
      </c>
      <c r="I43" s="335"/>
      <c r="J43" s="334">
        <v>0</v>
      </c>
      <c r="K43" s="311">
        <v>42.2</v>
      </c>
      <c r="L43" s="336"/>
      <c r="M43" s="311">
        <v>42.2</v>
      </c>
      <c r="N43" s="337">
        <v>40</v>
      </c>
      <c r="O43" s="335"/>
      <c r="P43" s="311">
        <v>29.91</v>
      </c>
      <c r="Q43" s="337">
        <v>700</v>
      </c>
      <c r="R43" s="343">
        <v>350</v>
      </c>
      <c r="S43" s="311">
        <v>533.94000000000005</v>
      </c>
      <c r="T43" s="311">
        <v>117.25</v>
      </c>
      <c r="U43" s="311">
        <v>117.25</v>
      </c>
      <c r="V43" s="327">
        <f t="shared" si="15"/>
        <v>4225.9599999999991</v>
      </c>
      <c r="W43" s="197">
        <f t="shared" si="12"/>
        <v>5055.2599999999993</v>
      </c>
      <c r="X43" s="197" t="e">
        <f>$Y$32 + IF($B$2="mil",1,0.0254)*DDR2Specs!$E$9</f>
        <v>#REF!</v>
      </c>
      <c r="Y43" s="197" t="e">
        <f>$X$32 + IF($B$2="mil",1,0.0254)*DDR2Specs!$F$9</f>
        <v>#REF!</v>
      </c>
      <c r="Z43" s="198" t="e">
        <f t="shared" si="16"/>
        <v>#REF!</v>
      </c>
      <c r="AA43" s="199" t="e">
        <f t="shared" si="17"/>
        <v>#REF!</v>
      </c>
      <c r="AB43" s="327">
        <f t="shared" si="18"/>
        <v>4225.9599999999991</v>
      </c>
      <c r="AC43" s="197">
        <f t="shared" si="19"/>
        <v>5055.2599999999993</v>
      </c>
      <c r="AD43" s="197" t="e">
        <f>$AE$32 + IF($B$2="mil",1,0.0254)*DDR2Specs!$E$9</f>
        <v>#REF!</v>
      </c>
      <c r="AE43" s="197" t="e">
        <f>$AD$32 + IF($B$2="mil",1,0.0254)*DDR2Specs!$F$9</f>
        <v>#REF!</v>
      </c>
      <c r="AF43" s="198" t="e">
        <f t="shared" si="20"/>
        <v>#REF!</v>
      </c>
      <c r="AG43" s="199" t="e">
        <f t="shared" si="21"/>
        <v>#REF!</v>
      </c>
      <c r="AH43" s="200" t="e">
        <f t="shared" si="22"/>
        <v>#REF!</v>
      </c>
      <c r="AI43" s="201" t="e">
        <f t="shared" si="23"/>
        <v>#REF!</v>
      </c>
      <c r="AJ43" s="201" t="e">
        <f t="shared" si="24"/>
        <v>#REF!</v>
      </c>
      <c r="AK43" s="201" t="e">
        <f t="shared" si="25"/>
        <v>#REF!</v>
      </c>
      <c r="AL43" s="201" t="e">
        <f t="shared" ca="1" si="26"/>
        <v>#NAME?</v>
      </c>
      <c r="AM43" s="201" t="e">
        <f t="shared" si="27"/>
        <v>#REF!</v>
      </c>
      <c r="AN43" s="201" t="e">
        <f t="shared" si="28"/>
        <v>#REF!</v>
      </c>
      <c r="AO43" s="201" t="e">
        <f t="shared" si="29"/>
        <v>#REF!</v>
      </c>
      <c r="AP43" s="201" t="e">
        <f t="shared" si="30"/>
        <v>#REF!</v>
      </c>
      <c r="AQ43" s="201" t="e">
        <f t="shared" si="31"/>
        <v>#REF!</v>
      </c>
      <c r="AR43" s="201" t="e">
        <f t="shared" si="32"/>
        <v>#REF!</v>
      </c>
      <c r="AS43" s="201" t="e">
        <f t="shared" si="33"/>
        <v>#REF!</v>
      </c>
      <c r="AT43" s="201" t="e">
        <f t="shared" ca="1" si="34"/>
        <v>#NAME?</v>
      </c>
      <c r="AU43" s="201" t="e">
        <f t="shared" ca="1" si="35"/>
        <v>#NAME?</v>
      </c>
      <c r="AV43" s="201" t="e">
        <f t="shared" si="13"/>
        <v>#REF!</v>
      </c>
      <c r="AW43" s="201" t="e">
        <f t="shared" si="14"/>
        <v>#REF!</v>
      </c>
      <c r="AX43" s="162" t="e">
        <f t="shared" ca="1" si="36"/>
        <v>#REF!</v>
      </c>
    </row>
    <row r="44" spans="1:51" s="162" customFormat="1">
      <c r="A44" s="240" t="s">
        <v>50</v>
      </c>
      <c r="B44" s="242" t="s">
        <v>312</v>
      </c>
      <c r="C44" s="215">
        <v>566.9</v>
      </c>
      <c r="D44" s="188"/>
      <c r="E44" s="225">
        <v>29.7</v>
      </c>
      <c r="F44" s="325">
        <v>0</v>
      </c>
      <c r="G44" s="311">
        <v>2329.09</v>
      </c>
      <c r="H44" s="333">
        <v>0</v>
      </c>
      <c r="I44" s="335"/>
      <c r="J44" s="334">
        <v>0</v>
      </c>
      <c r="K44" s="311">
        <v>37.5</v>
      </c>
      <c r="L44" s="336"/>
      <c r="M44" s="311">
        <v>37.5</v>
      </c>
      <c r="N44" s="337">
        <v>40</v>
      </c>
      <c r="O44" s="335"/>
      <c r="P44" s="311">
        <v>33.5</v>
      </c>
      <c r="Q44" s="337">
        <v>700</v>
      </c>
      <c r="R44" s="343">
        <v>250</v>
      </c>
      <c r="S44" s="311">
        <v>559.79</v>
      </c>
      <c r="T44" s="311">
        <v>37.24</v>
      </c>
      <c r="U44" s="311">
        <v>37.24</v>
      </c>
      <c r="V44" s="327">
        <f t="shared" si="15"/>
        <v>4016.8199999999997</v>
      </c>
      <c r="W44" s="197">
        <f t="shared" si="12"/>
        <v>4583.7199999999993</v>
      </c>
      <c r="X44" s="197" t="e">
        <f>$Y$32 + IF($B$2="mil",1,0.0254)*DDR2Specs!$E$9</f>
        <v>#REF!</v>
      </c>
      <c r="Y44" s="197" t="e">
        <f>$X$32 + IF($B$2="mil",1,0.0254)*DDR2Specs!$F$9</f>
        <v>#REF!</v>
      </c>
      <c r="Z44" s="198" t="e">
        <f t="shared" si="16"/>
        <v>#REF!</v>
      </c>
      <c r="AA44" s="199" t="e">
        <f t="shared" si="17"/>
        <v>#REF!</v>
      </c>
      <c r="AB44" s="327">
        <f t="shared" si="18"/>
        <v>4016.8199999999997</v>
      </c>
      <c r="AC44" s="197">
        <f t="shared" si="19"/>
        <v>4583.7199999999993</v>
      </c>
      <c r="AD44" s="197" t="e">
        <f>$AE$32 + IF($B$2="mil",1,0.0254)*DDR2Specs!$E$9</f>
        <v>#REF!</v>
      </c>
      <c r="AE44" s="197" t="e">
        <f>$AD$32 + IF($B$2="mil",1,0.0254)*DDR2Specs!$F$9</f>
        <v>#REF!</v>
      </c>
      <c r="AF44" s="198" t="e">
        <f t="shared" si="20"/>
        <v>#REF!</v>
      </c>
      <c r="AG44" s="199" t="e">
        <f t="shared" si="21"/>
        <v>#REF!</v>
      </c>
      <c r="AH44" s="200" t="e">
        <f t="shared" si="22"/>
        <v>#REF!</v>
      </c>
      <c r="AI44" s="201" t="e">
        <f t="shared" si="23"/>
        <v>#REF!</v>
      </c>
      <c r="AJ44" s="201" t="e">
        <f t="shared" si="24"/>
        <v>#REF!</v>
      </c>
      <c r="AK44" s="201" t="e">
        <f t="shared" si="25"/>
        <v>#REF!</v>
      </c>
      <c r="AL44" s="201" t="e">
        <f t="shared" ca="1" si="26"/>
        <v>#NAME?</v>
      </c>
      <c r="AM44" s="201" t="e">
        <f t="shared" si="27"/>
        <v>#REF!</v>
      </c>
      <c r="AN44" s="201" t="e">
        <f t="shared" si="28"/>
        <v>#REF!</v>
      </c>
      <c r="AO44" s="201" t="e">
        <f t="shared" si="29"/>
        <v>#REF!</v>
      </c>
      <c r="AP44" s="201" t="e">
        <f t="shared" si="30"/>
        <v>#REF!</v>
      </c>
      <c r="AQ44" s="201" t="e">
        <f t="shared" si="31"/>
        <v>#REF!</v>
      </c>
      <c r="AR44" s="201" t="e">
        <f t="shared" si="32"/>
        <v>#REF!</v>
      </c>
      <c r="AS44" s="201" t="e">
        <f t="shared" si="33"/>
        <v>#REF!</v>
      </c>
      <c r="AT44" s="201" t="e">
        <f t="shared" ca="1" si="34"/>
        <v>#NAME?</v>
      </c>
      <c r="AU44" s="201" t="e">
        <f t="shared" ca="1" si="35"/>
        <v>#NAME?</v>
      </c>
      <c r="AV44" s="201" t="e">
        <f t="shared" si="13"/>
        <v>#REF!</v>
      </c>
      <c r="AW44" s="201" t="e">
        <f t="shared" si="14"/>
        <v>#REF!</v>
      </c>
      <c r="AX44" s="162" t="e">
        <f t="shared" ca="1" si="36"/>
        <v>#REF!</v>
      </c>
    </row>
    <row r="45" spans="1:51" s="162" customFormat="1">
      <c r="A45" s="240" t="s">
        <v>51</v>
      </c>
      <c r="B45" s="242" t="s">
        <v>313</v>
      </c>
      <c r="C45" s="215">
        <v>739.7</v>
      </c>
      <c r="D45" s="188"/>
      <c r="E45" s="225">
        <v>29.7</v>
      </c>
      <c r="F45" s="325">
        <v>0</v>
      </c>
      <c r="G45" s="311">
        <v>2356.5300000000002</v>
      </c>
      <c r="H45" s="333">
        <v>0</v>
      </c>
      <c r="I45" s="335"/>
      <c r="J45" s="334">
        <v>0</v>
      </c>
      <c r="K45" s="311">
        <v>31.91</v>
      </c>
      <c r="L45" s="336"/>
      <c r="M45" s="311">
        <v>31.91</v>
      </c>
      <c r="N45" s="337">
        <v>40</v>
      </c>
      <c r="O45" s="335"/>
      <c r="P45" s="311">
        <v>37.909999999999997</v>
      </c>
      <c r="Q45" s="337">
        <v>700</v>
      </c>
      <c r="R45" s="343">
        <v>250</v>
      </c>
      <c r="S45" s="311">
        <v>632.15</v>
      </c>
      <c r="T45" s="311">
        <v>72.760000000000005</v>
      </c>
      <c r="U45" s="311">
        <v>72.760000000000005</v>
      </c>
      <c r="V45" s="327">
        <f t="shared" si="15"/>
        <v>4150.96</v>
      </c>
      <c r="W45" s="197">
        <f t="shared" si="12"/>
        <v>4890.66</v>
      </c>
      <c r="X45" s="197" t="e">
        <f>$Y$32 + IF($B$2="mil",1,0.0254)*DDR2Specs!$E$9</f>
        <v>#REF!</v>
      </c>
      <c r="Y45" s="197" t="e">
        <f>$X$32 + IF($B$2="mil",1,0.0254)*DDR2Specs!$F$9</f>
        <v>#REF!</v>
      </c>
      <c r="Z45" s="198" t="e">
        <f t="shared" si="16"/>
        <v>#REF!</v>
      </c>
      <c r="AA45" s="199" t="e">
        <f t="shared" si="17"/>
        <v>#REF!</v>
      </c>
      <c r="AB45" s="327">
        <f t="shared" si="18"/>
        <v>4150.96</v>
      </c>
      <c r="AC45" s="197">
        <f t="shared" si="19"/>
        <v>4890.66</v>
      </c>
      <c r="AD45" s="197" t="e">
        <f>$AE$32 + IF($B$2="mil",1,0.0254)*DDR2Specs!$E$9</f>
        <v>#REF!</v>
      </c>
      <c r="AE45" s="197" t="e">
        <f>$AD$32 + IF($B$2="mil",1,0.0254)*DDR2Specs!$F$9</f>
        <v>#REF!</v>
      </c>
      <c r="AF45" s="198" t="e">
        <f t="shared" si="20"/>
        <v>#REF!</v>
      </c>
      <c r="AG45" s="199" t="e">
        <f t="shared" si="21"/>
        <v>#REF!</v>
      </c>
      <c r="AH45" s="200" t="e">
        <f t="shared" si="22"/>
        <v>#REF!</v>
      </c>
      <c r="AI45" s="201" t="e">
        <f t="shared" si="23"/>
        <v>#REF!</v>
      </c>
      <c r="AJ45" s="201" t="e">
        <f t="shared" si="24"/>
        <v>#REF!</v>
      </c>
      <c r="AK45" s="201" t="e">
        <f t="shared" si="25"/>
        <v>#REF!</v>
      </c>
      <c r="AL45" s="201" t="e">
        <f t="shared" ca="1" si="26"/>
        <v>#NAME?</v>
      </c>
      <c r="AM45" s="201" t="e">
        <f t="shared" si="27"/>
        <v>#REF!</v>
      </c>
      <c r="AN45" s="201" t="e">
        <f t="shared" si="28"/>
        <v>#REF!</v>
      </c>
      <c r="AO45" s="201" t="e">
        <f t="shared" si="29"/>
        <v>#REF!</v>
      </c>
      <c r="AP45" s="201" t="e">
        <f t="shared" si="30"/>
        <v>#REF!</v>
      </c>
      <c r="AQ45" s="201" t="e">
        <f t="shared" si="31"/>
        <v>#REF!</v>
      </c>
      <c r="AR45" s="201" t="e">
        <f t="shared" si="32"/>
        <v>#REF!</v>
      </c>
      <c r="AS45" s="201" t="e">
        <f t="shared" si="33"/>
        <v>#REF!</v>
      </c>
      <c r="AT45" s="201" t="e">
        <f t="shared" ca="1" si="34"/>
        <v>#NAME?</v>
      </c>
      <c r="AU45" s="201" t="e">
        <f t="shared" ca="1" si="35"/>
        <v>#NAME?</v>
      </c>
      <c r="AV45" s="201" t="e">
        <f t="shared" si="13"/>
        <v>#REF!</v>
      </c>
      <c r="AW45" s="201" t="e">
        <f t="shared" si="14"/>
        <v>#REF!</v>
      </c>
      <c r="AX45" s="162" t="e">
        <f t="shared" ca="1" si="36"/>
        <v>#REF!</v>
      </c>
    </row>
    <row r="46" spans="1:51" s="162" customFormat="1">
      <c r="A46" s="240" t="s">
        <v>52</v>
      </c>
      <c r="B46" s="242" t="s">
        <v>314</v>
      </c>
      <c r="C46" s="215">
        <v>742.2</v>
      </c>
      <c r="D46" s="188"/>
      <c r="E46" s="225">
        <v>29.7</v>
      </c>
      <c r="F46" s="325">
        <v>0</v>
      </c>
      <c r="G46" s="311">
        <v>2564.5700000000002</v>
      </c>
      <c r="H46" s="333">
        <v>0</v>
      </c>
      <c r="I46" s="335"/>
      <c r="J46" s="334">
        <v>0</v>
      </c>
      <c r="K46" s="311">
        <v>37.74</v>
      </c>
      <c r="L46" s="336"/>
      <c r="M46" s="311">
        <v>40</v>
      </c>
      <c r="N46" s="337">
        <v>40</v>
      </c>
      <c r="O46" s="335"/>
      <c r="P46" s="311">
        <v>32.5</v>
      </c>
      <c r="Q46" s="337">
        <v>700</v>
      </c>
      <c r="R46" s="343">
        <v>140</v>
      </c>
      <c r="S46" s="311">
        <v>566.39</v>
      </c>
      <c r="T46" s="311">
        <v>77.489999999999995</v>
      </c>
      <c r="U46" s="311">
        <v>77.489999999999995</v>
      </c>
      <c r="V46" s="327">
        <f t="shared" si="15"/>
        <v>4190.6499999999996</v>
      </c>
      <c r="W46" s="197">
        <f t="shared" si="12"/>
        <v>4932.8499999999995</v>
      </c>
      <c r="X46" s="197" t="e">
        <f>$Y$32 + IF($B$2="mil",1,0.0254)*DDR2Specs!$E$9</f>
        <v>#REF!</v>
      </c>
      <c r="Y46" s="197" t="e">
        <f>$X$32 + IF($B$2="mil",1,0.0254)*DDR2Specs!$F$9</f>
        <v>#REF!</v>
      </c>
      <c r="Z46" s="198" t="e">
        <f t="shared" si="16"/>
        <v>#REF!</v>
      </c>
      <c r="AA46" s="199" t="e">
        <f>IF($W46&gt;$Y46,$W46-$Y46,"Pass")</f>
        <v>#REF!</v>
      </c>
      <c r="AB46" s="327">
        <f t="shared" si="18"/>
        <v>4190.6499999999996</v>
      </c>
      <c r="AC46" s="197">
        <f t="shared" si="19"/>
        <v>4932.8499999999995</v>
      </c>
      <c r="AD46" s="197" t="e">
        <f>$AE$32 + IF($B$2="mil",1,0.0254)*DDR2Specs!$E$9</f>
        <v>#REF!</v>
      </c>
      <c r="AE46" s="197" t="e">
        <f>$AD$32 + IF($B$2="mil",1,0.0254)*DDR2Specs!$F$9</f>
        <v>#REF!</v>
      </c>
      <c r="AF46" s="198" t="e">
        <f t="shared" si="20"/>
        <v>#REF!</v>
      </c>
      <c r="AG46" s="199" t="e">
        <f t="shared" si="21"/>
        <v>#REF!</v>
      </c>
      <c r="AH46" s="200" t="e">
        <f t="shared" si="22"/>
        <v>#REF!</v>
      </c>
      <c r="AI46" s="201" t="e">
        <f t="shared" si="23"/>
        <v>#REF!</v>
      </c>
      <c r="AJ46" s="201" t="e">
        <f t="shared" si="24"/>
        <v>#REF!</v>
      </c>
      <c r="AK46" s="201" t="e">
        <f t="shared" si="25"/>
        <v>#REF!</v>
      </c>
      <c r="AL46" s="201" t="e">
        <f t="shared" ca="1" si="26"/>
        <v>#NAME?</v>
      </c>
      <c r="AM46" s="201" t="e">
        <f t="shared" si="27"/>
        <v>#REF!</v>
      </c>
      <c r="AN46" s="201" t="e">
        <f t="shared" si="28"/>
        <v>#REF!</v>
      </c>
      <c r="AO46" s="201" t="e">
        <f t="shared" si="29"/>
        <v>#REF!</v>
      </c>
      <c r="AP46" s="201" t="e">
        <f t="shared" si="30"/>
        <v>#REF!</v>
      </c>
      <c r="AQ46" s="201" t="e">
        <f t="shared" si="31"/>
        <v>#REF!</v>
      </c>
      <c r="AR46" s="201" t="e">
        <f t="shared" si="32"/>
        <v>#REF!</v>
      </c>
      <c r="AS46" s="201" t="e">
        <f t="shared" si="33"/>
        <v>#REF!</v>
      </c>
      <c r="AT46" s="201" t="e">
        <f t="shared" ca="1" si="34"/>
        <v>#NAME?</v>
      </c>
      <c r="AU46" s="201" t="e">
        <f t="shared" ca="1" si="35"/>
        <v>#NAME?</v>
      </c>
      <c r="AV46" s="201" t="e">
        <f t="shared" si="13"/>
        <v>#REF!</v>
      </c>
      <c r="AW46" s="201" t="e">
        <f t="shared" si="14"/>
        <v>#REF!</v>
      </c>
      <c r="AX46" s="162" t="e">
        <f t="shared" ca="1" si="36"/>
        <v>#REF!</v>
      </c>
    </row>
    <row r="47" spans="1:51" s="162" customFormat="1">
      <c r="A47" s="240" t="s">
        <v>53</v>
      </c>
      <c r="B47" s="242" t="s">
        <v>315</v>
      </c>
      <c r="C47" s="215">
        <v>502</v>
      </c>
      <c r="D47" s="188"/>
      <c r="E47" s="225">
        <v>29.7</v>
      </c>
      <c r="F47" s="325">
        <v>0</v>
      </c>
      <c r="G47" s="311">
        <v>2464.5700000000002</v>
      </c>
      <c r="H47" s="333">
        <v>0</v>
      </c>
      <c r="I47" s="335"/>
      <c r="J47" s="334">
        <v>0</v>
      </c>
      <c r="K47" s="311">
        <v>37.74</v>
      </c>
      <c r="L47" s="336"/>
      <c r="M47" s="311">
        <v>40</v>
      </c>
      <c r="N47" s="337">
        <v>40</v>
      </c>
      <c r="O47" s="335"/>
      <c r="P47" s="311">
        <v>32.5</v>
      </c>
      <c r="Q47" s="337">
        <v>700</v>
      </c>
      <c r="R47" s="343">
        <v>120</v>
      </c>
      <c r="S47" s="311">
        <v>566.39</v>
      </c>
      <c r="T47" s="311">
        <v>77.489999999999995</v>
      </c>
      <c r="U47" s="311">
        <v>77.489999999999995</v>
      </c>
      <c r="V47" s="327">
        <f t="shared" si="15"/>
        <v>4070.6499999999996</v>
      </c>
      <c r="W47" s="197">
        <f t="shared" si="12"/>
        <v>4572.6499999999996</v>
      </c>
      <c r="X47" s="197" t="e">
        <f>$Y$32 + IF($B$2="mil",1,0.0254)*DDR2Specs!$E$9</f>
        <v>#REF!</v>
      </c>
      <c r="Y47" s="197" t="e">
        <f>$X$32 + IF($B$2="mil",1,0.0254)*DDR2Specs!$F$9</f>
        <v>#REF!</v>
      </c>
      <c r="Z47" s="198" t="e">
        <f t="shared" si="16"/>
        <v>#REF!</v>
      </c>
      <c r="AA47" s="199" t="e">
        <f>IF($W47&gt;$Y47,$W47-$Y47,"Pass")</f>
        <v>#REF!</v>
      </c>
      <c r="AB47" s="327">
        <f t="shared" si="18"/>
        <v>4070.6499999999996</v>
      </c>
      <c r="AC47" s="197">
        <f t="shared" si="19"/>
        <v>4572.6499999999996</v>
      </c>
      <c r="AD47" s="197" t="e">
        <f>$AE$32 + IF($B$2="mil",1,0.0254)*DDR2Specs!$E$9</f>
        <v>#REF!</v>
      </c>
      <c r="AE47" s="197" t="e">
        <f>$AD$32 + IF($B$2="mil",1,0.0254)*DDR2Specs!$F$9</f>
        <v>#REF!</v>
      </c>
      <c r="AF47" s="198" t="e">
        <f t="shared" si="20"/>
        <v>#REF!</v>
      </c>
      <c r="AG47" s="199" t="e">
        <f t="shared" si="21"/>
        <v>#REF!</v>
      </c>
      <c r="AH47" s="200" t="e">
        <f t="shared" si="22"/>
        <v>#REF!</v>
      </c>
      <c r="AI47" s="201" t="e">
        <f t="shared" si="23"/>
        <v>#REF!</v>
      </c>
      <c r="AJ47" s="201" t="e">
        <f t="shared" si="24"/>
        <v>#REF!</v>
      </c>
      <c r="AK47" s="201" t="e">
        <f t="shared" si="25"/>
        <v>#REF!</v>
      </c>
      <c r="AL47" s="201" t="e">
        <f t="shared" ca="1" si="26"/>
        <v>#NAME?</v>
      </c>
      <c r="AM47" s="201" t="e">
        <f t="shared" si="27"/>
        <v>#REF!</v>
      </c>
      <c r="AN47" s="201" t="e">
        <f t="shared" si="28"/>
        <v>#REF!</v>
      </c>
      <c r="AO47" s="201" t="e">
        <f t="shared" si="29"/>
        <v>#REF!</v>
      </c>
      <c r="AP47" s="201" t="e">
        <f t="shared" si="30"/>
        <v>#REF!</v>
      </c>
      <c r="AQ47" s="201" t="e">
        <f t="shared" si="31"/>
        <v>#REF!</v>
      </c>
      <c r="AR47" s="201" t="e">
        <f t="shared" si="32"/>
        <v>#REF!</v>
      </c>
      <c r="AS47" s="201" t="e">
        <f t="shared" si="33"/>
        <v>#REF!</v>
      </c>
      <c r="AT47" s="201" t="e">
        <f t="shared" ca="1" si="34"/>
        <v>#NAME?</v>
      </c>
      <c r="AU47" s="201" t="e">
        <f t="shared" ca="1" si="35"/>
        <v>#NAME?</v>
      </c>
      <c r="AV47" s="201" t="e">
        <f t="shared" si="13"/>
        <v>#REF!</v>
      </c>
      <c r="AW47" s="201" t="e">
        <f t="shared" si="14"/>
        <v>#REF!</v>
      </c>
      <c r="AX47" s="162" t="e">
        <f t="shared" ca="1" si="36"/>
        <v>#REF!</v>
      </c>
    </row>
    <row r="48" spans="1:51" s="213" customFormat="1" ht="11.25">
      <c r="A48" s="205" t="s">
        <v>230</v>
      </c>
      <c r="B48" s="205"/>
      <c r="C48" s="205"/>
      <c r="D48" s="179"/>
      <c r="E48" s="155"/>
      <c r="F48" s="206"/>
      <c r="G48" s="338"/>
      <c r="H48" s="338"/>
      <c r="I48" s="339"/>
      <c r="J48" s="338"/>
      <c r="K48" s="338"/>
      <c r="L48" s="338"/>
      <c r="M48" s="338"/>
      <c r="N48" s="338"/>
      <c r="O48" s="340"/>
      <c r="P48" s="338"/>
      <c r="Q48" s="338"/>
      <c r="R48" s="338"/>
      <c r="S48" s="338"/>
      <c r="T48" s="338"/>
      <c r="U48" s="338"/>
      <c r="V48" s="209"/>
      <c r="W48" s="209"/>
      <c r="X48" s="209"/>
      <c r="Y48" s="209"/>
      <c r="Z48" s="212"/>
      <c r="AA48" s="212"/>
      <c r="AB48" s="212"/>
      <c r="AC48" s="212"/>
      <c r="AD48" s="212"/>
      <c r="AE48" s="212"/>
      <c r="AF48" s="212"/>
      <c r="AG48" s="212"/>
      <c r="AH48" s="212"/>
      <c r="AI48" s="211"/>
      <c r="AJ48" s="183"/>
      <c r="AK48" s="183"/>
      <c r="AL48" s="183"/>
      <c r="AM48" s="183"/>
      <c r="AN48" s="183"/>
      <c r="AO48" s="183"/>
      <c r="AP48" s="183"/>
      <c r="AQ48" s="183"/>
      <c r="AR48" s="183"/>
      <c r="AS48" s="183"/>
      <c r="AT48" s="183"/>
      <c r="AU48" s="183"/>
      <c r="AV48" s="183"/>
      <c r="AW48" s="212"/>
      <c r="AX48" s="162"/>
    </row>
    <row r="49" spans="1:51" s="162" customFormat="1">
      <c r="A49" s="185" t="s">
        <v>54</v>
      </c>
      <c r="B49" s="242" t="s">
        <v>298</v>
      </c>
      <c r="C49" s="215">
        <v>313.34645669291302</v>
      </c>
      <c r="D49" s="188"/>
      <c r="E49" s="225">
        <v>29.7</v>
      </c>
      <c r="F49" s="225">
        <v>0</v>
      </c>
      <c r="G49" s="311">
        <v>2650.64</v>
      </c>
      <c r="H49" s="341"/>
      <c r="I49" s="335"/>
      <c r="J49" s="341"/>
      <c r="K49" s="337">
        <v>40</v>
      </c>
      <c r="L49" s="336"/>
      <c r="M49" s="337">
        <v>32.909999999999997</v>
      </c>
      <c r="N49" s="337">
        <v>40</v>
      </c>
      <c r="O49" s="335"/>
      <c r="P49" s="337">
        <v>36.130000000000003</v>
      </c>
      <c r="Q49" s="337">
        <v>600</v>
      </c>
      <c r="R49" s="342">
        <v>40.28</v>
      </c>
      <c r="S49" s="311">
        <v>570.59</v>
      </c>
      <c r="T49" s="337">
        <v>72.239999999999995</v>
      </c>
      <c r="U49" s="337">
        <v>72.239999999999995</v>
      </c>
      <c r="V49" s="327">
        <f>SUM($E49:$H49,$M49,$N49,$P49,$Q49,$R49,$S49,$T49)</f>
        <v>4072.49</v>
      </c>
      <c r="W49" s="197">
        <f>$V49+$C49</f>
        <v>4385.8364566929131</v>
      </c>
      <c r="X49" s="197" t="e">
        <f>$Y$32 + IF($B$2="mil",1,0.0254)*DDR2Specs!$E$9</f>
        <v>#REF!</v>
      </c>
      <c r="Y49" s="197" t="e">
        <f>$X$32 + IF($B$2="mil",1,0.0254)*DDR2Specs!$F$9</f>
        <v>#REF!</v>
      </c>
      <c r="Z49" s="198" t="e">
        <f>IF($W49&lt;$X49,$X49-$W49,"Pass")</f>
        <v>#REF!</v>
      </c>
      <c r="AA49" s="199" t="e">
        <f>IF($W49&gt;$Y49,$W49-$Y49,"Pass")</f>
        <v>#REF!</v>
      </c>
      <c r="AB49" s="327">
        <f t="shared" si="18"/>
        <v>4072.49</v>
      </c>
      <c r="AC49" s="197">
        <f t="shared" si="19"/>
        <v>4385.8364566929131</v>
      </c>
      <c r="AD49" s="197" t="e">
        <f>$AE$32 + IF($B$2="mil",1,0.0254)*DDR2Specs!$E$9</f>
        <v>#REF!</v>
      </c>
      <c r="AE49" s="197" t="e">
        <f>$AD$32 + IF($B$2="mil",1,0.0254)*DDR2Specs!$F$9</f>
        <v>#REF!</v>
      </c>
      <c r="AF49" s="198" t="e">
        <f t="shared" si="20"/>
        <v>#REF!</v>
      </c>
      <c r="AG49" s="199" t="e">
        <f t="shared" si="21"/>
        <v>#REF!</v>
      </c>
      <c r="AH49" s="200" t="e">
        <f t="shared" si="22"/>
        <v>#REF!</v>
      </c>
      <c r="AI49" s="201" t="e">
        <f t="shared" si="23"/>
        <v>#REF!</v>
      </c>
      <c r="AJ49" s="201" t="e">
        <f t="shared" si="24"/>
        <v>#REF!</v>
      </c>
      <c r="AK49" s="201" t="e">
        <f t="shared" si="25"/>
        <v>#REF!</v>
      </c>
      <c r="AL49" s="201" t="e">
        <f t="shared" ca="1" si="26"/>
        <v>#NAME?</v>
      </c>
      <c r="AM49" s="201" t="e">
        <f>IF(M49&lt;=IF($B$2="mil",1,0.0254)*125,"Pass",IF($B$2="mil",1,0.0254)*125-M49)</f>
        <v>#REF!</v>
      </c>
      <c r="AN49" s="201" t="e">
        <f>IF(P49&lt;=IF($B$2="mil",1,0.0254)*125,"Pass",IF($B$2="mil",1,0.0254)*125-P49)</f>
        <v>#REF!</v>
      </c>
      <c r="AO49" s="201" t="e">
        <f>IF(Q49&lt;=IF($B$2="mil",1,0.0254)*1000,"Pass",IF($B$2="mil",1,0.0254)*1000-Q49)</f>
        <v>#REF!</v>
      </c>
      <c r="AP49" s="201" t="e">
        <f>IF(R49&lt;=IF($B$2="mil",1,0.0254)*750,"Pass",IF($B$2="mil",1,0.0254)*750-R49)</f>
        <v>#REF!</v>
      </c>
      <c r="AQ49" s="201" t="e">
        <f>IF(MAX(R49,S101)-MIN(R49,S101)&lt;=IF($B$2="mil",1,0.0254)*50,"Pass",MAX(R49,S101)-MIN(R49,S101)-IF($B$2="mil",1,0.0254)*50)</f>
        <v>#REF!</v>
      </c>
      <c r="AR49" s="201" t="e">
        <f t="shared" si="32"/>
        <v>#REF!</v>
      </c>
      <c r="AS49" s="201" t="e">
        <f>IF(MAX(S49,S127)-MIN(S49,S127)&lt;=IF($B$2="mil",1,0.0254)*50,"Pass",MAX(S49,S127)-MIN(S49,S127)-IF($B$2="mil",1,0.0254)*50)</f>
        <v>#REF!</v>
      </c>
      <c r="AT49" s="201" t="e">
        <f ca="1">CheckLength2(1400,S49,T49,0)</f>
        <v>#NAME?</v>
      </c>
      <c r="AU49" s="201" t="e">
        <f ca="1">CheckLength2(1400,S49,U49,0)</f>
        <v>#NAME?</v>
      </c>
      <c r="AV49" s="201" t="e">
        <f>IF(AND($V49&gt;=IF($B$2="mil",1,0.0254)*500, $V49&lt;=IF($B$2="mil",1,0.0254)*7500),"Pass",IF($B$2="mil",1,0.0254)*7500-$V49)</f>
        <v>#REF!</v>
      </c>
      <c r="AW49" s="201" t="e">
        <f>IF(AND($W49&gt;=IF($B$2="mil",1,0.0254)*500, $W49&lt;=IF($B$2="mil",1,0.0254)*8000),"Pass",IF($B$2="mil",1,0.0254)*8000-$W49)</f>
        <v>#REF!</v>
      </c>
      <c r="AX49" s="162" t="e">
        <f ca="1">IF(AND(Z49="Pass",AA49="Pass",AH49="Pass",AI49="Pass",AJ49="Pass",AK49="Pass",AL49="Pass",AM49="Pass",AN49="Pass",AO49="Pass",AP49="Pass",AQ49="Pass",AR49="Pass",AS49="Pass",AT49="Pass",AV49="Pass",AW49="Pass"),"Pass","Fail")</f>
        <v>#REF!</v>
      </c>
    </row>
    <row r="50" spans="1:51" s="162" customFormat="1">
      <c r="A50" s="241" t="s">
        <v>55</v>
      </c>
      <c r="B50" s="242" t="s">
        <v>299</v>
      </c>
      <c r="C50" s="215">
        <v>357.48031496062998</v>
      </c>
      <c r="D50" s="264"/>
      <c r="E50" s="225">
        <v>29.7</v>
      </c>
      <c r="F50" s="326">
        <v>0</v>
      </c>
      <c r="G50" s="311">
        <v>2422.4699999999998</v>
      </c>
      <c r="H50" s="341">
        <v>0</v>
      </c>
      <c r="I50" s="335"/>
      <c r="J50" s="341">
        <v>0</v>
      </c>
      <c r="K50" s="337">
        <v>37.5</v>
      </c>
      <c r="L50" s="336"/>
      <c r="M50" s="337">
        <v>37.5</v>
      </c>
      <c r="N50" s="337">
        <v>40</v>
      </c>
      <c r="O50" s="335"/>
      <c r="P50" s="337">
        <v>40.5</v>
      </c>
      <c r="Q50" s="337">
        <v>600</v>
      </c>
      <c r="R50" s="342">
        <v>313.86</v>
      </c>
      <c r="S50" s="311">
        <v>585.74</v>
      </c>
      <c r="T50" s="337">
        <v>51.87</v>
      </c>
      <c r="U50" s="337">
        <v>51.87</v>
      </c>
      <c r="V50" s="327">
        <f>SUM($E50:$H50,$M50,$N50,$P50,$Q50,$R50,$S50,$T50)</f>
        <v>4121.6399999999994</v>
      </c>
      <c r="W50" s="197">
        <f>$V50+$C50</f>
        <v>4479.120314960629</v>
      </c>
      <c r="X50" s="197" t="e">
        <f>$Y$32 + IF($B$2="mil",1,0.0254)*DDR2Specs!$E$9</f>
        <v>#REF!</v>
      </c>
      <c r="Y50" s="197" t="e">
        <f>$X$32 + IF($B$2="mil",1,0.0254)*DDR2Specs!$F$9</f>
        <v>#REF!</v>
      </c>
      <c r="Z50" s="198" t="e">
        <f>IF($W50&lt;$X50,$X50-$W50,"Pass")</f>
        <v>#REF!</v>
      </c>
      <c r="AA50" s="199" t="e">
        <f>IF($W50&gt;$Y50,$W50-$Y50,"Pass")</f>
        <v>#REF!</v>
      </c>
      <c r="AB50" s="327">
        <f t="shared" si="18"/>
        <v>4121.6400000000003</v>
      </c>
      <c r="AC50" s="197">
        <f t="shared" si="19"/>
        <v>4479.1203149606299</v>
      </c>
      <c r="AD50" s="197" t="e">
        <f>$AE$32 + IF($B$2="mil",1,0.0254)*DDR2Specs!$E$9</f>
        <v>#REF!</v>
      </c>
      <c r="AE50" s="197" t="e">
        <f>$AD$32 + IF($B$2="mil",1,0.0254)*DDR2Specs!$F$9</f>
        <v>#REF!</v>
      </c>
      <c r="AF50" s="198" t="e">
        <f t="shared" si="20"/>
        <v>#REF!</v>
      </c>
      <c r="AG50" s="199" t="e">
        <f t="shared" si="21"/>
        <v>#REF!</v>
      </c>
      <c r="AH50" s="200" t="e">
        <f t="shared" si="22"/>
        <v>#REF!</v>
      </c>
      <c r="AI50" s="201" t="e">
        <f t="shared" si="23"/>
        <v>#REF!</v>
      </c>
      <c r="AJ50" s="201" t="e">
        <f t="shared" si="24"/>
        <v>#REF!</v>
      </c>
      <c r="AK50" s="201" t="e">
        <f t="shared" si="25"/>
        <v>#REF!</v>
      </c>
      <c r="AL50" s="201" t="e">
        <f t="shared" ca="1" si="26"/>
        <v>#NAME?</v>
      </c>
      <c r="AM50" s="201" t="e">
        <f>IF(M50&lt;=IF($B$2="mil",1,0.0254)*125,"Pass",IF($B$2="mil",1,0.0254)*125-M50)</f>
        <v>#REF!</v>
      </c>
      <c r="AN50" s="201" t="e">
        <f>IF(P50&lt;=IF($B$2="mil",1,0.0254)*125,"Pass",IF($B$2="mil",1,0.0254)*125-P50)</f>
        <v>#REF!</v>
      </c>
      <c r="AO50" s="201" t="e">
        <f>IF(Q50&lt;=IF($B$2="mil",1,0.0254)*1000,"Pass",IF($B$2="mil",1,0.0254)*1000-Q50)</f>
        <v>#REF!</v>
      </c>
      <c r="AP50" s="201" t="e">
        <f>IF(R50&lt;=IF($B$2="mil",1,0.0254)*750,"Pass",IF($B$2="mil",1,0.0254)*750-R50)</f>
        <v>#REF!</v>
      </c>
      <c r="AQ50" s="201" t="e">
        <f>IF(MAX(R50,S102)-MIN(R50,S102)&lt;=IF($B$2="mil",1,0.0254)*50,"Pass",MAX(R50,S102)-MIN(R50,S102)-IF($B$2="mil",1,0.0254)*50)</f>
        <v>#REF!</v>
      </c>
      <c r="AR50" s="201" t="e">
        <f t="shared" si="32"/>
        <v>#REF!</v>
      </c>
      <c r="AS50" s="201" t="e">
        <f>IF(MAX(S50,S128)-MIN(S50,S128)&lt;=IF($B$2="mil",1,0.0254)*50,"Pass",MAX(S50,S128)-MIN(S50,S128)-IF($B$2="mil",1,0.0254)*50)</f>
        <v>#REF!</v>
      </c>
      <c r="AT50" s="201" t="e">
        <f ca="1">CheckLength2(1400,S50,T50,0)</f>
        <v>#NAME?</v>
      </c>
      <c r="AU50" s="201" t="e">
        <f ca="1">CheckLength2(1400,S50,U50,0)</f>
        <v>#NAME?</v>
      </c>
      <c r="AV50" s="201" t="e">
        <f>IF(AND($V50&gt;=IF($B$2="mil",1,0.0254)*500, $V50&lt;=IF($B$2="mil",1,0.0254)*7500),"Pass",IF($B$2="mil",1,0.0254)*7500-$V50)</f>
        <v>#REF!</v>
      </c>
      <c r="AW50" s="201" t="e">
        <f>IF(AND($W50&gt;=IF($B$2="mil",1,0.0254)*500, $W50&lt;=IF($B$2="mil",1,0.0254)*8000),"Pass",IF($B$2="mil",1,0.0254)*8000-$W50)</f>
        <v>#REF!</v>
      </c>
      <c r="AX50" s="162" t="e">
        <f ca="1">IF(AND(Z50="Pass",AA50="Pass",AH50="Pass",AI50="Pass",AJ50="Pass",AK50="Pass",AL50="Pass",AM50="Pass",AN50="Pass",AO50="Pass",AP50="Pass",AQ50="Pass",AR50="Pass",AS50="Pass",AT50="Pass",AV50="Pass",AW50="Pass"),"Pass","Fail")</f>
        <v>#REF!</v>
      </c>
    </row>
    <row r="51" spans="1:51" s="162" customFormat="1">
      <c r="A51" s="241" t="s">
        <v>56</v>
      </c>
      <c r="B51" s="242" t="s">
        <v>300</v>
      </c>
      <c r="C51" s="215">
        <v>968.22834645669298</v>
      </c>
      <c r="D51" s="216"/>
      <c r="E51" s="225">
        <v>29.7</v>
      </c>
      <c r="F51" s="326">
        <v>0</v>
      </c>
      <c r="G51" s="311">
        <v>2101.89</v>
      </c>
      <c r="H51" s="341">
        <v>0</v>
      </c>
      <c r="I51" s="335"/>
      <c r="J51" s="341">
        <v>0</v>
      </c>
      <c r="K51" s="337">
        <v>40</v>
      </c>
      <c r="L51" s="336"/>
      <c r="M51" s="337">
        <v>46.86</v>
      </c>
      <c r="N51" s="337">
        <v>40</v>
      </c>
      <c r="O51" s="335"/>
      <c r="P51" s="337">
        <v>32.5</v>
      </c>
      <c r="Q51" s="337">
        <v>600</v>
      </c>
      <c r="R51" s="342">
        <v>477.88</v>
      </c>
      <c r="S51" s="311">
        <v>541.1</v>
      </c>
      <c r="T51" s="337">
        <v>74.75</v>
      </c>
      <c r="U51" s="337">
        <v>74.75</v>
      </c>
      <c r="V51" s="327">
        <f>SUM($E51:$H51,$M51,$N51,$P51,$Q51,$R51,$S51,$T51)</f>
        <v>3944.68</v>
      </c>
      <c r="W51" s="197">
        <f>$V51+$C51</f>
        <v>4912.9083464566929</v>
      </c>
      <c r="X51" s="197" t="e">
        <f>$Y$32 + IF($B$2="mil",1,0.0254)*DDR2Specs!$E$9</f>
        <v>#REF!</v>
      </c>
      <c r="Y51" s="197" t="e">
        <f>$X$32 + IF($B$2="mil",1,0.0254)*DDR2Specs!$F$9</f>
        <v>#REF!</v>
      </c>
      <c r="Z51" s="198" t="e">
        <f>IF($W51&lt;$X51,$X51-$W51,"Pass")</f>
        <v>#REF!</v>
      </c>
      <c r="AA51" s="199" t="e">
        <f>IF($W51&gt;$Y51,$W51-$Y51,"Pass")</f>
        <v>#REF!</v>
      </c>
      <c r="AB51" s="327">
        <f t="shared" si="18"/>
        <v>3944.68</v>
      </c>
      <c r="AC51" s="197">
        <f t="shared" si="19"/>
        <v>4912.9083464566929</v>
      </c>
      <c r="AD51" s="197" t="e">
        <f>$AE$32 + IF($B$2="mil",1,0.0254)*DDR2Specs!$E$9</f>
        <v>#REF!</v>
      </c>
      <c r="AE51" s="197" t="e">
        <f>$AD$32 + IF($B$2="mil",1,0.0254)*DDR2Specs!$F$9</f>
        <v>#REF!</v>
      </c>
      <c r="AF51" s="198" t="e">
        <f t="shared" si="20"/>
        <v>#REF!</v>
      </c>
      <c r="AG51" s="199" t="e">
        <f t="shared" si="21"/>
        <v>#REF!</v>
      </c>
      <c r="AH51" s="200" t="e">
        <f t="shared" si="22"/>
        <v>#REF!</v>
      </c>
      <c r="AI51" s="201" t="e">
        <f t="shared" si="23"/>
        <v>#REF!</v>
      </c>
      <c r="AJ51" s="201" t="e">
        <f t="shared" si="24"/>
        <v>#REF!</v>
      </c>
      <c r="AK51" s="201" t="e">
        <f t="shared" si="25"/>
        <v>#REF!</v>
      </c>
      <c r="AL51" s="201" t="e">
        <f t="shared" ca="1" si="26"/>
        <v>#NAME?</v>
      </c>
      <c r="AM51" s="201" t="e">
        <f>IF(M51&lt;=IF($B$2="mil",1,0.0254)*125,"Pass",IF($B$2="mil",1,0.0254)*125-M51)</f>
        <v>#REF!</v>
      </c>
      <c r="AN51" s="201" t="e">
        <f>IF(P51&lt;=IF($B$2="mil",1,0.0254)*125,"Pass",IF($B$2="mil",1,0.0254)*125-P51)</f>
        <v>#REF!</v>
      </c>
      <c r="AO51" s="201" t="e">
        <f>IF(Q51&lt;=IF($B$2="mil",1,0.0254)*1000,"Pass",IF($B$2="mil",1,0.0254)*1000-Q51)</f>
        <v>#REF!</v>
      </c>
      <c r="AP51" s="201" t="e">
        <f>IF(R51&lt;=IF($B$2="mil",1,0.0254)*750,"Pass",IF($B$2="mil",1,0.0254)*750-R51)</f>
        <v>#REF!</v>
      </c>
      <c r="AQ51" s="201" t="e">
        <f>IF(MAX(R51,S103)-MIN(R51,S103)&lt;=IF($B$2="mil",1,0.0254)*50,"Pass",MAX(R51,S103)-MIN(R51,S103)-IF($B$2="mil",1,0.0254)*50)</f>
        <v>#REF!</v>
      </c>
      <c r="AR51" s="201" t="e">
        <f t="shared" si="32"/>
        <v>#REF!</v>
      </c>
      <c r="AS51" s="201" t="e">
        <f>IF(MAX(S51,S129)-MIN(S51,S129)&lt;=IF($B$2="mil",1,0.0254)*50,"Pass",MAX(S51,S129)-MIN(S51,S129)-IF($B$2="mil",1,0.0254)*50)</f>
        <v>#REF!</v>
      </c>
      <c r="AT51" s="201" t="e">
        <f ca="1">CheckLength2(1400,S51,T51,0)</f>
        <v>#NAME?</v>
      </c>
      <c r="AU51" s="201" t="e">
        <f ca="1">CheckLength2(1400,S51,U51,0)</f>
        <v>#NAME?</v>
      </c>
      <c r="AV51" s="201" t="e">
        <f>IF(AND($V51&gt;=IF($B$2="mil",1,0.0254)*500, $V51&lt;=IF($B$2="mil",1,0.0254)*7500),"Pass",IF($B$2="mil",1,0.0254)*7500-$V51)</f>
        <v>#REF!</v>
      </c>
      <c r="AW51" s="201" t="e">
        <f>IF(AND($W51&gt;=IF($B$2="mil",1,0.0254)*500, $W51&lt;=IF($B$2="mil",1,0.0254)*8000),"Pass",IF($B$2="mil",1,0.0254)*8000-$W51)</f>
        <v>#REF!</v>
      </c>
      <c r="AX51" s="162" t="e">
        <f ca="1">IF(AND(Z51="Pass",AA51="Pass",AH51="Pass",AI51="Pass",AJ51="Pass",AK51="Pass",AL51="Pass",AM51="Pass",AN51="Pass",AO51="Pass",AP51="Pass",AQ51="Pass",AR51="Pass",AS51="Pass",AT51="Pass",AV51="Pass",AW51="Pass"),"Pass","Fail")</f>
        <v>#REF!</v>
      </c>
    </row>
    <row r="52" spans="1:51" s="213" customFormat="1" ht="11.25">
      <c r="A52" s="205" t="s">
        <v>231</v>
      </c>
      <c r="B52" s="205"/>
      <c r="C52" s="205"/>
      <c r="D52" s="179"/>
      <c r="E52" s="155"/>
      <c r="F52" s="206"/>
      <c r="G52" s="338"/>
      <c r="H52" s="338"/>
      <c r="I52" s="339"/>
      <c r="J52" s="338"/>
      <c r="K52" s="338"/>
      <c r="L52" s="338"/>
      <c r="M52" s="338"/>
      <c r="N52" s="338"/>
      <c r="O52" s="340"/>
      <c r="P52" s="338"/>
      <c r="Q52" s="338"/>
      <c r="R52" s="338"/>
      <c r="S52" s="338"/>
      <c r="T52" s="338"/>
      <c r="U52" s="338"/>
      <c r="V52" s="209"/>
      <c r="W52" s="209"/>
      <c r="X52" s="209"/>
      <c r="Y52" s="209"/>
      <c r="Z52" s="212"/>
      <c r="AA52" s="212"/>
      <c r="AB52" s="212"/>
      <c r="AC52" s="212"/>
      <c r="AD52" s="212"/>
      <c r="AE52" s="212"/>
      <c r="AF52" s="212"/>
      <c r="AG52" s="212"/>
      <c r="AH52" s="212"/>
      <c r="AI52" s="211"/>
      <c r="AJ52" s="211"/>
      <c r="AK52" s="212"/>
      <c r="AL52" s="212"/>
      <c r="AM52" s="212"/>
      <c r="AN52" s="212"/>
      <c r="AO52" s="212"/>
      <c r="AP52" s="212"/>
      <c r="AQ52" s="212"/>
      <c r="AR52" s="212"/>
      <c r="AS52" s="212"/>
      <c r="AT52" s="212"/>
      <c r="AU52" s="212"/>
      <c r="AV52" s="212"/>
      <c r="AW52" s="212"/>
      <c r="AX52" s="162"/>
    </row>
    <row r="53" spans="1:51" s="162" customFormat="1">
      <c r="A53" s="185" t="s">
        <v>58</v>
      </c>
      <c r="B53" s="186" t="s">
        <v>79</v>
      </c>
      <c r="C53" s="187">
        <v>349.5</v>
      </c>
      <c r="D53" s="188"/>
      <c r="E53" s="225">
        <v>29.7</v>
      </c>
      <c r="F53" s="326"/>
      <c r="G53" s="311">
        <v>2150.64</v>
      </c>
      <c r="H53" s="341"/>
      <c r="I53" s="335"/>
      <c r="J53" s="341"/>
      <c r="K53" s="337">
        <v>32.5</v>
      </c>
      <c r="L53" s="336"/>
      <c r="M53" s="337">
        <v>32.5</v>
      </c>
      <c r="N53" s="337">
        <v>40</v>
      </c>
      <c r="O53" s="335"/>
      <c r="P53" s="337">
        <v>33.99</v>
      </c>
      <c r="Q53" s="337">
        <v>700</v>
      </c>
      <c r="R53" s="342">
        <v>327.79</v>
      </c>
      <c r="S53" s="311">
        <v>564.66</v>
      </c>
      <c r="T53" s="337">
        <v>28.02</v>
      </c>
      <c r="U53" s="337">
        <v>28.02</v>
      </c>
      <c r="V53" s="327">
        <f>SUM($E53:$H53,$M53,$N53,$P53,$Q53,$R53,$S53,$T53)</f>
        <v>3907.2999999999993</v>
      </c>
      <c r="W53" s="197">
        <f>$V53+$C53</f>
        <v>4256.7999999999993</v>
      </c>
      <c r="X53" s="197" t="e">
        <f>$Y$32 + IF($B$2="mil",1,0.0254)*DDR2Specs!$E$9</f>
        <v>#REF!</v>
      </c>
      <c r="Y53" s="197" t="e">
        <f>$X$32 + IF($B$2="mil",1,0.0254)*DDR2Specs!$F$9</f>
        <v>#REF!</v>
      </c>
      <c r="Z53" s="198" t="e">
        <f>IF($W53&lt;$X53,$X53-$W53,"Pass")</f>
        <v>#REF!</v>
      </c>
      <c r="AA53" s="199" t="e">
        <f>IF($W53&gt;$Y53,$W53-$Y53,"Pass")</f>
        <v>#REF!</v>
      </c>
      <c r="AB53" s="327">
        <f t="shared" si="18"/>
        <v>3907.2999999999993</v>
      </c>
      <c r="AC53" s="197">
        <f t="shared" si="19"/>
        <v>4256.7999999999993</v>
      </c>
      <c r="AD53" s="197" t="e">
        <f>$AE$32 + IF($B$2="mil",1,0.0254)*DDR2Specs!$E$9</f>
        <v>#REF!</v>
      </c>
      <c r="AE53" s="197" t="e">
        <f>$AD$32 + IF($B$2="mil",1,0.0254)*DDR2Specs!$F$9</f>
        <v>#REF!</v>
      </c>
      <c r="AF53" s="198" t="e">
        <f t="shared" si="20"/>
        <v>#REF!</v>
      </c>
      <c r="AG53" s="199" t="e">
        <f t="shared" si="21"/>
        <v>#REF!</v>
      </c>
      <c r="AH53" s="200" t="e">
        <f t="shared" si="22"/>
        <v>#REF!</v>
      </c>
      <c r="AI53" s="201" t="e">
        <f t="shared" si="23"/>
        <v>#REF!</v>
      </c>
      <c r="AJ53" s="201" t="e">
        <f t="shared" si="24"/>
        <v>#REF!</v>
      </c>
      <c r="AK53" s="201" t="e">
        <f t="shared" si="25"/>
        <v>#REF!</v>
      </c>
      <c r="AL53" s="201" t="e">
        <f t="shared" ca="1" si="26"/>
        <v>#NAME?</v>
      </c>
      <c r="AM53" s="201" t="e">
        <f>IF(M53&lt;=IF($B$2="mil",1,0.0254)*125,"Pass",IF($B$2="mil",1,0.0254)*125-M53)</f>
        <v>#REF!</v>
      </c>
      <c r="AN53" s="201" t="e">
        <f>IF(P53&lt;=IF($B$2="mil",1,0.0254)*125,"Pass",IF($B$2="mil",1,0.0254)*125-P53)</f>
        <v>#REF!</v>
      </c>
      <c r="AO53" s="201" t="e">
        <f>IF(Q53&lt;=IF($B$2="mil",1,0.0254)*1000,"Pass",IF($B$2="mil",1,0.0254)*1000-Q53)</f>
        <v>#REF!</v>
      </c>
      <c r="AP53" s="201" t="e">
        <f>IF(R53&lt;=IF($B$2="mil",1,0.0254)*750,"Pass",IF($B$2="mil",1,0.0254)*750-R53)</f>
        <v>#REF!</v>
      </c>
      <c r="AQ53" s="201" t="e">
        <f>IF(MAX(R53,S105)-MIN(R53,S105)&lt;=IF($B$2="mil",1,0.0254)*50,"Pass",MAX(R53,S105)-MIN(R53,S105)-IF($B$2="mil",1,0.0254)*50)</f>
        <v>#REF!</v>
      </c>
      <c r="AR53" s="201" t="e">
        <f t="shared" si="32"/>
        <v>#REF!</v>
      </c>
      <c r="AS53" s="201" t="e">
        <f>IF(MAX(S53,S131)-MIN(S53,S131)&lt;=IF($B$2="mil",1,0.0254)*50,"Pass",MAX(S53,S131)-MIN(S53,S131)-IF($B$2="mil",1,0.0254)*50)</f>
        <v>#REF!</v>
      </c>
      <c r="AT53" s="201" t="e">
        <f ca="1">CheckLength2(1400,S53,T53,0)</f>
        <v>#NAME?</v>
      </c>
      <c r="AU53" s="201" t="e">
        <f ca="1">CheckLength2(1400,S53,U53,0)</f>
        <v>#NAME?</v>
      </c>
      <c r="AV53" s="201" t="e">
        <f>IF(AND($V53&gt;=IF($B$2="mil",1,0.0254)*500, $V53&lt;=IF($B$2="mil",1,0.0254)*7500),"Pass",IF($B$2="mil",1,0.0254)*7500-$V53)</f>
        <v>#REF!</v>
      </c>
      <c r="AW53" s="201" t="e">
        <f>IF(AND($W53&gt;=IF($B$2="mil",1,0.0254)*500, $W53&lt;=IF($B$2="mil",1,0.0254)*8000),"Pass",IF($B$2="mil",1,0.0254)*8000-$W53)</f>
        <v>#REF!</v>
      </c>
      <c r="AX53" s="162" t="e">
        <f ca="1">IF(AND(Z53="Pass",AA53="Pass",AH53="Pass",AI53="Pass",AJ53="Pass",AK53="Pass",AL53="Pass",AM53="Pass",AN53="Pass",AO53="Pass",AP53="Pass",AQ53="Pass",AR53="Pass",AS53="Pass",AT53="Pass",AV53="Pass",AW53="Pass"),"Pass","Fail")</f>
        <v>#REF!</v>
      </c>
    </row>
    <row r="54" spans="1:51" s="162" customFormat="1">
      <c r="A54" s="240" t="s">
        <v>59</v>
      </c>
      <c r="B54" s="243" t="s">
        <v>301</v>
      </c>
      <c r="C54" s="202">
        <v>710.6</v>
      </c>
      <c r="D54" s="188"/>
      <c r="E54" s="225">
        <v>29.7</v>
      </c>
      <c r="F54" s="326"/>
      <c r="G54" s="311">
        <v>2222.4699999999998</v>
      </c>
      <c r="H54" s="341"/>
      <c r="I54" s="335"/>
      <c r="J54" s="341"/>
      <c r="K54" s="337">
        <v>40</v>
      </c>
      <c r="L54" s="336"/>
      <c r="M54" s="337">
        <v>90.91</v>
      </c>
      <c r="N54" s="337">
        <v>40</v>
      </c>
      <c r="O54" s="335"/>
      <c r="P54" s="337">
        <v>32.909999999999997</v>
      </c>
      <c r="Q54" s="337">
        <v>700</v>
      </c>
      <c r="R54" s="342">
        <v>251.98</v>
      </c>
      <c r="S54" s="311">
        <v>578.77</v>
      </c>
      <c r="T54" s="337">
        <v>51.88</v>
      </c>
      <c r="U54" s="337">
        <v>51.88</v>
      </c>
      <c r="V54" s="327">
        <f>SUM($E54:$H54,$M54,$N54,$P54,$Q54,$R54,$S54,$T54)</f>
        <v>3998.6199999999994</v>
      </c>
      <c r="W54" s="197">
        <f>$V54+$C54</f>
        <v>4709.2199999999993</v>
      </c>
      <c r="X54" s="197" t="e">
        <f>$Y$32 + IF($B$2="mil",1,0.0254)*DDR2Specs!$E$9</f>
        <v>#REF!</v>
      </c>
      <c r="Y54" s="197" t="e">
        <f>$X$32 + IF($B$2="mil",1,0.0254)*DDR2Specs!$F$9</f>
        <v>#REF!</v>
      </c>
      <c r="Z54" s="198" t="e">
        <f>IF($W54&lt;$X54,$X54-$W54,"Pass")</f>
        <v>#REF!</v>
      </c>
      <c r="AA54" s="199" t="e">
        <f>IF($W54&gt;$Y54,$W54-$Y54,"Pass")</f>
        <v>#REF!</v>
      </c>
      <c r="AB54" s="327">
        <f t="shared" si="18"/>
        <v>3998.6199999999994</v>
      </c>
      <c r="AC54" s="197">
        <f t="shared" si="19"/>
        <v>4709.2199999999993</v>
      </c>
      <c r="AD54" s="197" t="e">
        <f>$AE$32 + IF($B$2="mil",1,0.0254)*DDR2Specs!$E$9</f>
        <v>#REF!</v>
      </c>
      <c r="AE54" s="197" t="e">
        <f>$AD$32 + IF($B$2="mil",1,0.0254)*DDR2Specs!$F$9</f>
        <v>#REF!</v>
      </c>
      <c r="AF54" s="198" t="e">
        <f t="shared" si="20"/>
        <v>#REF!</v>
      </c>
      <c r="AG54" s="199" t="e">
        <f t="shared" si="21"/>
        <v>#REF!</v>
      </c>
      <c r="AH54" s="200" t="e">
        <f t="shared" si="22"/>
        <v>#REF!</v>
      </c>
      <c r="AI54" s="201" t="e">
        <f t="shared" si="23"/>
        <v>#REF!</v>
      </c>
      <c r="AJ54" s="201" t="e">
        <f t="shared" si="24"/>
        <v>#REF!</v>
      </c>
      <c r="AK54" s="201" t="e">
        <f t="shared" si="25"/>
        <v>#REF!</v>
      </c>
      <c r="AL54" s="201" t="e">
        <f t="shared" ca="1" si="26"/>
        <v>#NAME?</v>
      </c>
      <c r="AM54" s="201" t="e">
        <f>IF(M54&lt;=IF($B$2="mil",1,0.0254)*125,"Pass",IF($B$2="mil",1,0.0254)*125-M54)</f>
        <v>#REF!</v>
      </c>
      <c r="AN54" s="201" t="e">
        <f>IF(P54&lt;=IF($B$2="mil",1,0.0254)*125,"Pass",IF($B$2="mil",1,0.0254)*125-P54)</f>
        <v>#REF!</v>
      </c>
      <c r="AO54" s="201" t="e">
        <f>IF(Q54&lt;=IF($B$2="mil",1,0.0254)*1000,"Pass",IF($B$2="mil",1,0.0254)*1000-Q54)</f>
        <v>#REF!</v>
      </c>
      <c r="AP54" s="201" t="e">
        <f>IF(R54&lt;=IF($B$2="mil",1,0.0254)*750,"Pass",IF($B$2="mil",1,0.0254)*750-R54)</f>
        <v>#REF!</v>
      </c>
      <c r="AQ54" s="201" t="e">
        <f>IF(MAX(R54,S106)-MIN(R54,S106)&lt;=IF($B$2="mil",1,0.0254)*50,"Pass",MAX(R54,S106)-MIN(R54,S106)-IF($B$2="mil",1,0.0254)*50)</f>
        <v>#REF!</v>
      </c>
      <c r="AR54" s="201" t="e">
        <f t="shared" si="32"/>
        <v>#REF!</v>
      </c>
      <c r="AS54" s="201" t="e">
        <f>IF(MAX(S54,S132)-MIN(S54,S132)&lt;=IF($B$2="mil",1,0.0254)*50,"Pass",MAX(S54,S132)-MIN(S54,S132)-IF($B$2="mil",1,0.0254)*50)</f>
        <v>#REF!</v>
      </c>
      <c r="AT54" s="201" t="e">
        <f ca="1">CheckLength2(1400,S54,T54,0)</f>
        <v>#NAME?</v>
      </c>
      <c r="AU54" s="201" t="e">
        <f ca="1">CheckLength2(1400,S54,U54,0)</f>
        <v>#NAME?</v>
      </c>
      <c r="AV54" s="201" t="e">
        <f>IF(AND($V54&gt;=IF($B$2="mil",1,0.0254)*500, $V54&lt;=IF($B$2="mil",1,0.0254)*7500),"Pass",IF($B$2="mil",1,0.0254)*7500-$V54)</f>
        <v>#REF!</v>
      </c>
      <c r="AW54" s="201" t="e">
        <f>IF(AND($W54&gt;=IF($B$2="mil",1,0.0254)*500, $W54&lt;=IF($B$2="mil",1,0.0254)*8000),"Pass",IF($B$2="mil",1,0.0254)*8000-$W54)</f>
        <v>#REF!</v>
      </c>
      <c r="AX54" s="162" t="e">
        <f ca="1">IF(AND(Z54="Pass",AA54="Pass",AH54="Pass",AI54="Pass",AJ54="Pass",AK54="Pass",AL54="Pass",AM54="Pass",AN54="Pass",AO54="Pass",AP54="Pass",AQ54="Pass",AR54="Pass",AS54="Pass",AT54="Pass",AV54="Pass",AW54="Pass"),"Pass","Fail")</f>
        <v>#REF!</v>
      </c>
    </row>
    <row r="55" spans="1:51" s="162" customFormat="1">
      <c r="A55" s="240" t="s">
        <v>60</v>
      </c>
      <c r="B55" s="243" t="s">
        <v>81</v>
      </c>
      <c r="C55" s="202">
        <v>361.7</v>
      </c>
      <c r="D55" s="203"/>
      <c r="E55" s="225">
        <v>29.7</v>
      </c>
      <c r="F55" s="326"/>
      <c r="G55" s="311">
        <v>2163.89</v>
      </c>
      <c r="H55" s="341"/>
      <c r="I55" s="335"/>
      <c r="J55" s="341"/>
      <c r="K55" s="337">
        <v>40</v>
      </c>
      <c r="L55" s="336"/>
      <c r="M55" s="337">
        <v>62.4</v>
      </c>
      <c r="N55" s="337">
        <v>40</v>
      </c>
      <c r="O55" s="335"/>
      <c r="P55" s="337">
        <v>56.86</v>
      </c>
      <c r="Q55" s="337">
        <v>700</v>
      </c>
      <c r="R55" s="342">
        <v>321.8</v>
      </c>
      <c r="S55" s="311">
        <v>574.72</v>
      </c>
      <c r="T55" s="337">
        <v>30.98</v>
      </c>
      <c r="U55" s="337">
        <v>30.98</v>
      </c>
      <c r="V55" s="327">
        <f>SUM($E55:$H55,$M55,$N55,$P55,$Q55,$R55,$S55,$T55)</f>
        <v>3980.35</v>
      </c>
      <c r="W55" s="197">
        <f>$V55+$C55</f>
        <v>4342.05</v>
      </c>
      <c r="X55" s="197" t="e">
        <f>$Y$32 + IF($B$2="mil",1,0.0254)*DDR2Specs!$E$9</f>
        <v>#REF!</v>
      </c>
      <c r="Y55" s="197" t="e">
        <f>$X$32 + IF($B$2="mil",1,0.0254)*DDR2Specs!$F$9</f>
        <v>#REF!</v>
      </c>
      <c r="Z55" s="198" t="e">
        <f>IF($W55&lt;$X55,$X55-$W55,"Pass")</f>
        <v>#REF!</v>
      </c>
      <c r="AA55" s="199" t="e">
        <f>IF($W55&gt;$Y55,$W55-$Y55,"Pass")</f>
        <v>#REF!</v>
      </c>
      <c r="AB55" s="327">
        <f t="shared" si="18"/>
        <v>3980.35</v>
      </c>
      <c r="AC55" s="197">
        <f t="shared" si="19"/>
        <v>4342.05</v>
      </c>
      <c r="AD55" s="197" t="e">
        <f>$AE$32 + IF($B$2="mil",1,0.0254)*DDR2Specs!$E$9</f>
        <v>#REF!</v>
      </c>
      <c r="AE55" s="197" t="e">
        <f>$AD$32 + IF($B$2="mil",1,0.0254)*DDR2Specs!$F$9</f>
        <v>#REF!</v>
      </c>
      <c r="AF55" s="198" t="e">
        <f t="shared" si="20"/>
        <v>#REF!</v>
      </c>
      <c r="AG55" s="199" t="e">
        <f t="shared" si="21"/>
        <v>#REF!</v>
      </c>
      <c r="AH55" s="200" t="e">
        <f t="shared" si="22"/>
        <v>#REF!</v>
      </c>
      <c r="AI55" s="201" t="e">
        <f t="shared" si="23"/>
        <v>#REF!</v>
      </c>
      <c r="AJ55" s="201" t="e">
        <f t="shared" si="24"/>
        <v>#REF!</v>
      </c>
      <c r="AK55" s="201" t="e">
        <f t="shared" si="25"/>
        <v>#REF!</v>
      </c>
      <c r="AL55" s="201" t="e">
        <f t="shared" ca="1" si="26"/>
        <v>#NAME?</v>
      </c>
      <c r="AM55" s="201" t="e">
        <f>IF(M55&lt;=IF($B$2="mil",1,0.0254)*125,"Pass",IF($B$2="mil",1,0.0254)*125-M55)</f>
        <v>#REF!</v>
      </c>
      <c r="AN55" s="201" t="e">
        <f>IF(P55&lt;=IF($B$2="mil",1,0.0254)*125,"Pass",IF($B$2="mil",1,0.0254)*125-P55)</f>
        <v>#REF!</v>
      </c>
      <c r="AO55" s="201" t="e">
        <f>IF(Q55&lt;=IF($B$2="mil",1,0.0254)*1000,"Pass",IF($B$2="mil",1,0.0254)*1000-Q55)</f>
        <v>#REF!</v>
      </c>
      <c r="AP55" s="201" t="e">
        <f>IF(R55&lt;=IF($B$2="mil",1,0.0254)*750,"Pass",IF($B$2="mil",1,0.0254)*750-R55)</f>
        <v>#REF!</v>
      </c>
      <c r="AQ55" s="201" t="e">
        <f>IF(MAX(R55,S107)-MIN(R55,S107)&lt;=IF($B$2="mil",1,0.0254)*50,"Pass",MAX(R55,S107)-MIN(R55,S107)-IF($B$2="mil",1,0.0254)*50)</f>
        <v>#REF!</v>
      </c>
      <c r="AR55" s="201" t="e">
        <f t="shared" si="32"/>
        <v>#REF!</v>
      </c>
      <c r="AS55" s="201" t="e">
        <f>IF(MAX(S55,S133)-MIN(S55,S133)&lt;=IF($B$2="mil",1,0.0254)*50,"Pass",MAX(S55,S133)-MIN(S55,S133)-IF($B$2="mil",1,0.0254)*50)</f>
        <v>#REF!</v>
      </c>
      <c r="AT55" s="201" t="e">
        <f ca="1">CheckLength2(1400,S55,T55,0)</f>
        <v>#NAME?</v>
      </c>
      <c r="AU55" s="201" t="e">
        <f ca="1">CheckLength2(1400,S55,U55,0)</f>
        <v>#NAME?</v>
      </c>
      <c r="AV55" s="201" t="e">
        <f>IF(AND($V55&gt;=IF($B$2="mil",1,0.0254)*500, $V55&lt;=IF($B$2="mil",1,0.0254)*7500),"Pass",IF($B$2="mil",1,0.0254)*7500-$V55)</f>
        <v>#REF!</v>
      </c>
      <c r="AW55" s="201" t="e">
        <f>IF(AND($W55&gt;=IF($B$2="mil",1,0.0254)*500, $W55&lt;=IF($B$2="mil",1,0.0254)*8000),"Pass",IF($B$2="mil",1,0.0254)*8000-$W55)</f>
        <v>#REF!</v>
      </c>
      <c r="AX55" s="162" t="e">
        <f ca="1">IF(AND(Z55="Pass",AA55="Pass",AH55="Pass",AI55="Pass",AJ55="Pass",AK55="Pass",AL55="Pass",AM55="Pass",AN55="Pass",AO55="Pass",AP55="Pass",AQ55="Pass",AR55="Pass",AS55="Pass",AT55="Pass",AV55="Pass",AW55="Pass"),"Pass","Fail")</f>
        <v>#REF!</v>
      </c>
    </row>
    <row r="56" spans="1:51" ht="22.5">
      <c r="R56" s="3"/>
      <c r="S56" s="329" t="s">
        <v>31</v>
      </c>
      <c r="T56" s="330" t="s">
        <v>283</v>
      </c>
      <c r="U56" s="330" t="s">
        <v>282</v>
      </c>
      <c r="V56" s="144" t="e">
        <f>"Total MB Length to U2 (L0+L1+L2+S1+L5+Rs+L6+L7+L8-1+L10-3) ["&amp;$B$2&amp;"]"</f>
        <v>#REF!</v>
      </c>
      <c r="W56" s="144" t="e">
        <f>"Total Pad to Pin U2 (P1+L0+L1+L2+S1+L5+Rs+L6+L7+L8-1+L10-3) ["&amp;$B$2&amp;"]"</f>
        <v>#REF!</v>
      </c>
      <c r="X56" s="151" t="e">
        <f>"Target Min Length to U2["&amp;$B$2&amp;"]"</f>
        <v>#REF!</v>
      </c>
      <c r="Y56" s="150" t="e">
        <f>"Target Max Length to U2 ["&amp;$B$2&amp;"]"</f>
        <v>#REF!</v>
      </c>
      <c r="Z56" s="152" t="e">
        <f>"Routed Too Short to U2 [" &amp;$B$2&amp;"]"</f>
        <v>#REF!</v>
      </c>
      <c r="AA56" s="151" t="e">
        <f>"Routed Too Long to U2 [" &amp;$B$2&amp;"]"</f>
        <v>#REF!</v>
      </c>
      <c r="AB56" s="144" t="e">
        <f>"Total MB Length to U6 (L0+L1+L2+S1+L5+Rs+L6+L7+L8-1+L10-4) ["&amp;$B$2&amp;"]"</f>
        <v>#REF!</v>
      </c>
      <c r="AC56" s="144" t="e">
        <f>"Total Pad to Pin U6 (P1+L0+L1+L2+S1+L5+Rs+L6+L7+L8-1+L10-4) ["&amp;$B$2&amp;"]"</f>
        <v>#REF!</v>
      </c>
      <c r="AD56" s="151" t="e">
        <f>"Target Min Length to U6["&amp;$B$2&amp;"]"</f>
        <v>#REF!</v>
      </c>
      <c r="AE56" s="150" t="e">
        <f>"Target Max Length to U6 ["&amp;$B$2&amp;"]"</f>
        <v>#REF!</v>
      </c>
      <c r="AF56" s="152" t="e">
        <f>"Routed Too Short to U6 [" &amp;$B$2&amp;"]"</f>
        <v>#REF!</v>
      </c>
      <c r="AG56" s="151" t="e">
        <f>"Routed Too Long to U6 [" &amp;$B$2&amp;"]"</f>
        <v>#REF!</v>
      </c>
      <c r="AH56" s="3"/>
      <c r="AI56" s="3"/>
      <c r="AJ56" s="3"/>
      <c r="AK56" s="3"/>
      <c r="AL56" s="3"/>
      <c r="AM56" s="3"/>
      <c r="AN56" s="3"/>
      <c r="AO56" s="3"/>
      <c r="AP56" s="3"/>
      <c r="AQ56" s="3"/>
      <c r="AR56" s="3"/>
      <c r="AS56" s="218" t="s">
        <v>31</v>
      </c>
      <c r="AT56" s="153" t="e">
        <f>"L10-3 Length Test (&lt;=" &amp; IF($B$2="mil",1,0.0254)*150&amp;$B$2&amp;") or (L8-1+L10-3&lt;= "&amp;IF($B$2="mil",1,0.0254)*900&amp;$B$2&amp;")"</f>
        <v>#REF!</v>
      </c>
      <c r="AU56" s="153" t="e">
        <f>"L10-4 Length Test (&lt;=" &amp; IF($B$2="mil",1,0.0254)*150&amp;$B$2&amp;") or (L8-1+L10-4&lt;= "&amp;IF($B$2="mil",1,0.0254)*900&amp;$B$2&amp;")"</f>
        <v>#REF!</v>
      </c>
      <c r="AV56" s="150" t="e">
        <f>"Total Length to U2 (L0+L1+L2+S1+L5+Rs+L6+L7+L8-1+L10-2)Test ("&amp;IF($B$2="mil",1,0.0254)*500&amp;"-"&amp;IF($B$2="mil",1,0.0254)*7500&amp;IF($B$2="mil","mil","mm")&amp;")"</f>
        <v>#REF!</v>
      </c>
      <c r="AW56" s="150" t="e">
        <f>"Total Length to U2 (P1+L0+L1+L2+S1+L5+Rs+L6+L7+L8-1+L10-2) Test (&lt;="&amp;IF($B$2="mil",1,25.4)*8000&amp;IF($B$2="mil","mil","mm")&amp;")"</f>
        <v>#REF!</v>
      </c>
      <c r="AX56" s="3"/>
      <c r="AY56" s="3"/>
    </row>
    <row r="57" spans="1:51">
      <c r="P57" t="s">
        <v>278</v>
      </c>
      <c r="R57" s="3"/>
      <c r="S57" s="155" t="s">
        <v>210</v>
      </c>
      <c r="T57" s="156"/>
      <c r="U57" s="156"/>
      <c r="V57" s="221"/>
      <c r="W57" s="221"/>
      <c r="X57" s="221"/>
      <c r="Y57" s="221"/>
      <c r="Z57" s="221"/>
      <c r="AA57" s="221"/>
      <c r="AB57" s="221"/>
      <c r="AC57" s="221"/>
      <c r="AD57" s="221"/>
      <c r="AE57" s="221"/>
      <c r="AF57" s="221"/>
      <c r="AG57" s="221"/>
      <c r="AH57" s="3"/>
      <c r="AI57" s="3"/>
      <c r="AJ57" s="3"/>
      <c r="AK57" s="3"/>
      <c r="AL57" s="3"/>
      <c r="AM57" s="3"/>
      <c r="AN57" s="3"/>
      <c r="AO57" s="3"/>
      <c r="AP57" s="3"/>
      <c r="AQ57" s="3"/>
      <c r="AR57" s="3"/>
      <c r="AS57" s="155" t="s">
        <v>210</v>
      </c>
      <c r="AT57" s="221"/>
      <c r="AU57" s="221"/>
      <c r="AV57" s="221"/>
      <c r="AW57" s="221"/>
      <c r="AX57" s="3"/>
      <c r="AY57" s="3"/>
    </row>
    <row r="58" spans="1:51">
      <c r="P58" t="s">
        <v>279</v>
      </c>
      <c r="R58" s="3"/>
      <c r="S58" s="263" t="s">
        <v>214</v>
      </c>
      <c r="T58" s="166"/>
      <c r="U58" s="166"/>
      <c r="V58" s="169"/>
      <c r="W58" s="383" t="s">
        <v>227</v>
      </c>
      <c r="X58" s="174" t="e">
        <f>MIN('DDR2 Clocks - 4L'!$O$9:$O$10)</f>
        <v>#REF!</v>
      </c>
      <c r="Y58" s="235" t="e">
        <f>MAX('DDR2 Clocks - 4L'!$O$9:$O$10)</f>
        <v>#REF!</v>
      </c>
      <c r="Z58" s="174"/>
      <c r="AA58" s="172"/>
      <c r="AB58" s="169"/>
      <c r="AC58" s="383" t="s">
        <v>285</v>
      </c>
      <c r="AD58" s="174" t="e">
        <f>MIN('DDR2 Clocks - 4L'!$O$11:$O$12)</f>
        <v>#REF!</v>
      </c>
      <c r="AE58" s="235" t="e">
        <f>MAX('DDR2 Clocks - 4L'!$O$11:$O$12)</f>
        <v>#REF!</v>
      </c>
      <c r="AF58" s="174"/>
      <c r="AG58" s="172"/>
      <c r="AH58" s="3"/>
      <c r="AI58" s="3"/>
      <c r="AJ58" s="3"/>
      <c r="AK58" s="3"/>
      <c r="AL58" s="3"/>
      <c r="AM58" s="3"/>
      <c r="AN58" s="3"/>
      <c r="AO58" s="3"/>
      <c r="AP58" s="3"/>
      <c r="AQ58" s="3"/>
      <c r="AR58" s="3"/>
      <c r="AS58" s="263" t="s">
        <v>214</v>
      </c>
      <c r="AT58" s="176"/>
      <c r="AU58" s="176"/>
      <c r="AV58" s="176"/>
      <c r="AW58" s="176"/>
      <c r="AX58" s="3"/>
      <c r="AY58" s="3"/>
    </row>
    <row r="59" spans="1:51">
      <c r="R59" s="3"/>
      <c r="S59" s="205" t="s">
        <v>229</v>
      </c>
      <c r="T59" s="181"/>
      <c r="U59" s="181"/>
      <c r="V59" s="182"/>
      <c r="W59" s="182"/>
      <c r="X59" s="183"/>
      <c r="Y59" s="184"/>
      <c r="Z59" s="184"/>
      <c r="AA59" s="183"/>
      <c r="AB59" s="182"/>
      <c r="AC59" s="182"/>
      <c r="AD59" s="183"/>
      <c r="AE59" s="184"/>
      <c r="AF59" s="184"/>
      <c r="AG59" s="183"/>
      <c r="AH59" s="3"/>
      <c r="AI59" s="3"/>
      <c r="AJ59" s="3"/>
      <c r="AK59" s="3"/>
      <c r="AL59" s="3"/>
      <c r="AM59" s="3"/>
      <c r="AN59" s="3"/>
      <c r="AO59" s="3"/>
      <c r="AP59" s="3"/>
      <c r="AQ59" s="3"/>
      <c r="AR59" s="3"/>
      <c r="AS59" s="205" t="s">
        <v>229</v>
      </c>
      <c r="AT59" s="183"/>
      <c r="AU59" s="183"/>
      <c r="AV59" s="183"/>
      <c r="AW59" s="183"/>
      <c r="AX59" s="3"/>
      <c r="AY59" s="3"/>
    </row>
    <row r="60" spans="1:51">
      <c r="R60" s="3"/>
      <c r="S60" s="186" t="s">
        <v>196</v>
      </c>
      <c r="T60" s="311">
        <v>112.93</v>
      </c>
      <c r="U60" s="311">
        <v>112.93</v>
      </c>
      <c r="V60" s="327">
        <f t="shared" ref="V60:V73" si="37">SUM($E34:$H34,$M34,$N34,$P34,$Q34,$R34,$T60)</f>
        <v>3629.08</v>
      </c>
      <c r="W60" s="197">
        <f t="shared" ref="W60:W73" si="38">$V60+$C34</f>
        <v>4422.68</v>
      </c>
      <c r="X60" s="197" t="e">
        <f>$Y$58 + IF($B$2="mil",1,0.0254)*DDR2Specs!$E$9</f>
        <v>#REF!</v>
      </c>
      <c r="Y60" s="197" t="e">
        <f>$X$58 + IF($B$2="mil",1,0.0254)*DDR2Specs!$F$9</f>
        <v>#REF!</v>
      </c>
      <c r="Z60" s="198" t="e">
        <f>IF($W60&lt;$X60,$X60-$W60,"Pass")</f>
        <v>#REF!</v>
      </c>
      <c r="AA60" s="199" t="e">
        <f>IF($W60&gt;$Y60,$W60-$Y60,"Pass")</f>
        <v>#REF!</v>
      </c>
      <c r="AB60" s="327">
        <f>SUM($E34:$H34,$M34,$N34,$P34,$Q34,$R34,$U60)</f>
        <v>3629.08</v>
      </c>
      <c r="AC60" s="197">
        <f>$AB60+$C34</f>
        <v>4422.68</v>
      </c>
      <c r="AD60" s="197" t="e">
        <f>$AE$58 + IF($B$2="mil",1,0.0254)*DDR2Specs!$E$9</f>
        <v>#REF!</v>
      </c>
      <c r="AE60" s="197" t="e">
        <f>$AD$58 + IF($B$2="mil",1,0.0254)*DDR2Specs!$F$9</f>
        <v>#REF!</v>
      </c>
      <c r="AF60" s="198" t="e">
        <f>IF($AC60&lt;$AD60,$AD60-$AC60,"Pass")</f>
        <v>#REF!</v>
      </c>
      <c r="AG60" s="199" t="e">
        <f>IF($AC60&gt;$AE60,$AC60-$AE60,"Pass")</f>
        <v>#REF!</v>
      </c>
      <c r="AH60" s="3"/>
      <c r="AI60" s="3"/>
      <c r="AJ60" s="3"/>
      <c r="AK60" s="3"/>
      <c r="AL60" s="3"/>
      <c r="AM60" s="3"/>
      <c r="AN60" s="3"/>
      <c r="AO60" s="3"/>
      <c r="AP60" s="3"/>
      <c r="AQ60" s="3"/>
      <c r="AR60" s="3"/>
      <c r="AS60" s="185" t="s">
        <v>196</v>
      </c>
      <c r="AT60" s="201" t="e">
        <f ca="1">CheckLength2(900,R34,T60,0)</f>
        <v>#NAME?</v>
      </c>
      <c r="AU60" s="201" t="e">
        <f ca="1">CheckLength2(900,R34,U60,0)</f>
        <v>#NAME?</v>
      </c>
      <c r="AV60" s="201" t="e">
        <f t="shared" ref="AV60:AV73" si="39">IF(AND(V60&gt;=IF($B$2="mil",1,0.0254)*500, $V60&lt;=IF($B$2="mil",1,0.0254)*7500),"Pass",IF($B$2="mil",1,0.0254)*7500-$V60)</f>
        <v>#REF!</v>
      </c>
      <c r="AW60" s="348" t="e">
        <f t="shared" ref="AW60:AW73" si="40">IF(AND($W60&gt;=IF($B$2="mil",1,0.0254)*500, $W60&lt;=IF($B$2="mil",1,0.0254)*8000),"Pass",IF($B$2="mil",1,0.0254)*8000-$W60)</f>
        <v>#REF!</v>
      </c>
      <c r="AX60" s="162" t="e">
        <f ca="1">IF(AND(Z60="Pass",AA60="Pass",AT60="Pass",AV60="Pass",AW60="Pass"),"Pass","Fail")</f>
        <v>#REF!</v>
      </c>
      <c r="AY60" s="162" t="e">
        <f ca="1">IF(AND(AX60="Pass",AX61="Pass",AX62="Pass",AX63="Pass",AX64="Pass",AX65="Pass",AX65="Pass",AX66="Pass",AX67="Pass",AX68="Pass",AX69="Pass",AX70="Pass"),"Pass","Fail")</f>
        <v>#REF!</v>
      </c>
    </row>
    <row r="61" spans="1:51">
      <c r="P61" t="s">
        <v>251</v>
      </c>
      <c r="R61" s="3"/>
      <c r="S61" s="243" t="s">
        <v>39</v>
      </c>
      <c r="T61" s="311">
        <v>93.83</v>
      </c>
      <c r="U61" s="311">
        <v>93.83</v>
      </c>
      <c r="V61" s="327">
        <f t="shared" si="37"/>
        <v>3430.44</v>
      </c>
      <c r="W61" s="197">
        <f t="shared" si="38"/>
        <v>4100.74</v>
      </c>
      <c r="X61" s="197" t="e">
        <f>$Y$58 + IF($B$2="mil",1,0.0254)*DDR2Specs!$E$9</f>
        <v>#REF!</v>
      </c>
      <c r="Y61" s="197" t="e">
        <f>$X$58 + IF($B$2="mil",1,0.0254)*DDR2Specs!$F$9</f>
        <v>#REF!</v>
      </c>
      <c r="Z61" s="198" t="e">
        <f t="shared" ref="Z61:Z73" si="41">IF($W61&lt;$X61,$X61-$W61,"Pass")</f>
        <v>#REF!</v>
      </c>
      <c r="AA61" s="199" t="e">
        <f t="shared" ref="AA61:AA73" si="42">IF($W61&gt;$Y61,$W61-$Y61,"Pass")</f>
        <v>#REF!</v>
      </c>
      <c r="AB61" s="327">
        <f t="shared" ref="AB61:AB81" si="43">SUM($E35:$H35,$M35,$N35,$P35,$Q35,$R35,$U61)</f>
        <v>3430.44</v>
      </c>
      <c r="AC61" s="197">
        <f t="shared" ref="AC61:AC81" si="44">$AB61+$C35</f>
        <v>4100.74</v>
      </c>
      <c r="AD61" s="197" t="e">
        <f>$AE$58 + IF($B$2="mil",1,0.0254)*DDR2Specs!$E$9</f>
        <v>#REF!</v>
      </c>
      <c r="AE61" s="197" t="e">
        <f>$AD$58 + IF($B$2="mil",1,0.0254)*DDR2Specs!$F$9</f>
        <v>#REF!</v>
      </c>
      <c r="AF61" s="198" t="e">
        <f t="shared" ref="AF61:AF81" si="45">IF($AC61&lt;$AD61,$AD61-$AC61,"Pass")</f>
        <v>#REF!</v>
      </c>
      <c r="AG61" s="199" t="e">
        <f t="shared" ref="AG61:AG81" si="46">IF($AC61&gt;$AE61,$AC61-$AE61,"Pass")</f>
        <v>#REF!</v>
      </c>
      <c r="AH61" s="3"/>
      <c r="AI61" s="3"/>
      <c r="AJ61" s="3"/>
      <c r="AK61" s="3"/>
      <c r="AL61" s="3"/>
      <c r="AM61" s="3"/>
      <c r="AN61" s="3"/>
      <c r="AO61" s="3"/>
      <c r="AP61" s="3"/>
      <c r="AQ61" s="3"/>
      <c r="AR61" s="3"/>
      <c r="AS61" s="240" t="s">
        <v>39</v>
      </c>
      <c r="AT61" s="201" t="e">
        <f t="shared" ref="AT61:AT73" ca="1" si="47">CheckLength2(900,R35,T61,0)</f>
        <v>#NAME?</v>
      </c>
      <c r="AU61" s="201" t="e">
        <f t="shared" ref="AU61:AU73" ca="1" si="48">CheckLength2(900,R35,U61,0)</f>
        <v>#NAME?</v>
      </c>
      <c r="AV61" s="201" t="e">
        <f t="shared" si="39"/>
        <v>#REF!</v>
      </c>
      <c r="AW61" s="348" t="e">
        <f t="shared" si="40"/>
        <v>#REF!</v>
      </c>
      <c r="AX61" s="162" t="e">
        <f t="shared" ref="AX61:AX81" ca="1" si="49">IF(AND(Z61="Pass",AA61="Pass",AT61="Pass",AV61="Pass",AW61="Pass"),"Pass","Fail")</f>
        <v>#REF!</v>
      </c>
      <c r="AY61" s="162" t="e">
        <f ca="1">IF(AND(AX71="Pass",AX72="Pass",AX73="Pass",AX75="Pass",AX76="Pass",AX77="Pass",AX79="Pass",AX80="Pass",AX81="Pass"),"Pass","Fail")</f>
        <v>#REF!</v>
      </c>
    </row>
    <row r="62" spans="1:51">
      <c r="R62" s="3"/>
      <c r="S62" s="243" t="s">
        <v>40</v>
      </c>
      <c r="T62" s="311">
        <v>112.45</v>
      </c>
      <c r="U62" s="311">
        <v>112.45</v>
      </c>
      <c r="V62" s="327">
        <f t="shared" si="37"/>
        <v>3369.89</v>
      </c>
      <c r="W62" s="197">
        <f t="shared" si="38"/>
        <v>3956.49</v>
      </c>
      <c r="X62" s="197" t="e">
        <f>$Y$58 + IF($B$2="mil",1,0.0254)*DDR2Specs!$E$9</f>
        <v>#REF!</v>
      </c>
      <c r="Y62" s="197" t="e">
        <f>$X$58 + IF($B$2="mil",1,0.0254)*DDR2Specs!$F$9</f>
        <v>#REF!</v>
      </c>
      <c r="Z62" s="198" t="e">
        <f t="shared" si="41"/>
        <v>#REF!</v>
      </c>
      <c r="AA62" s="199" t="e">
        <f t="shared" si="42"/>
        <v>#REF!</v>
      </c>
      <c r="AB62" s="327">
        <f t="shared" si="43"/>
        <v>3369.89</v>
      </c>
      <c r="AC62" s="197">
        <f t="shared" si="44"/>
        <v>3956.49</v>
      </c>
      <c r="AD62" s="197" t="e">
        <f>$AE$58 + IF($B$2="mil",1,0.0254)*DDR2Specs!$E$9</f>
        <v>#REF!</v>
      </c>
      <c r="AE62" s="197" t="e">
        <f>$AD$58 + IF($B$2="mil",1,0.0254)*DDR2Specs!$F$9</f>
        <v>#REF!</v>
      </c>
      <c r="AF62" s="198" t="e">
        <f t="shared" si="45"/>
        <v>#REF!</v>
      </c>
      <c r="AG62" s="199" t="e">
        <f t="shared" si="46"/>
        <v>#REF!</v>
      </c>
      <c r="AH62" s="3"/>
      <c r="AI62" s="3"/>
      <c r="AJ62" s="3"/>
      <c r="AK62" s="3"/>
      <c r="AL62" s="3"/>
      <c r="AM62" s="3"/>
      <c r="AN62" s="3"/>
      <c r="AO62" s="3"/>
      <c r="AP62" s="3"/>
      <c r="AQ62" s="3"/>
      <c r="AR62" s="3"/>
      <c r="AS62" s="240" t="s">
        <v>40</v>
      </c>
      <c r="AT62" s="201" t="e">
        <f t="shared" ca="1" si="47"/>
        <v>#NAME?</v>
      </c>
      <c r="AU62" s="201" t="e">
        <f t="shared" ca="1" si="48"/>
        <v>#NAME?</v>
      </c>
      <c r="AV62" s="201" t="e">
        <f t="shared" si="39"/>
        <v>#REF!</v>
      </c>
      <c r="AW62" s="348" t="e">
        <f t="shared" si="40"/>
        <v>#REF!</v>
      </c>
      <c r="AX62" s="162" t="e">
        <f t="shared" ca="1" si="49"/>
        <v>#REF!</v>
      </c>
      <c r="AY62" s="3"/>
    </row>
    <row r="63" spans="1:51">
      <c r="R63" s="3"/>
      <c r="S63" s="243" t="s">
        <v>41</v>
      </c>
      <c r="T63" s="311">
        <v>76.09</v>
      </c>
      <c r="U63" s="311">
        <v>76.09</v>
      </c>
      <c r="V63" s="327">
        <f t="shared" si="37"/>
        <v>3384.8100000000004</v>
      </c>
      <c r="W63" s="197">
        <f t="shared" si="38"/>
        <v>4369.51</v>
      </c>
      <c r="X63" s="197" t="e">
        <f>$Y$58 + IF($B$2="mil",1,0.0254)*DDR2Specs!$E$9</f>
        <v>#REF!</v>
      </c>
      <c r="Y63" s="197" t="e">
        <f>$X$58 + IF($B$2="mil",1,0.0254)*DDR2Specs!$F$9</f>
        <v>#REF!</v>
      </c>
      <c r="Z63" s="198" t="e">
        <f t="shared" si="41"/>
        <v>#REF!</v>
      </c>
      <c r="AA63" s="199" t="e">
        <f t="shared" si="42"/>
        <v>#REF!</v>
      </c>
      <c r="AB63" s="327">
        <f t="shared" si="43"/>
        <v>3384.8100000000004</v>
      </c>
      <c r="AC63" s="197">
        <f t="shared" si="44"/>
        <v>4369.51</v>
      </c>
      <c r="AD63" s="197" t="e">
        <f>$AE$58 + IF($B$2="mil",1,0.0254)*DDR2Specs!$E$9</f>
        <v>#REF!</v>
      </c>
      <c r="AE63" s="197" t="e">
        <f>$AD$58 + IF($B$2="mil",1,0.0254)*DDR2Specs!$F$9</f>
        <v>#REF!</v>
      </c>
      <c r="AF63" s="198" t="e">
        <f t="shared" si="45"/>
        <v>#REF!</v>
      </c>
      <c r="AG63" s="199" t="e">
        <f t="shared" si="46"/>
        <v>#REF!</v>
      </c>
      <c r="AH63" s="3"/>
      <c r="AI63" s="3"/>
      <c r="AJ63" s="3"/>
      <c r="AK63" s="3"/>
      <c r="AL63" s="3"/>
      <c r="AM63" s="3"/>
      <c r="AN63" s="3"/>
      <c r="AO63" s="3"/>
      <c r="AP63" s="3"/>
      <c r="AQ63" s="3"/>
      <c r="AR63" s="3"/>
      <c r="AS63" s="240" t="s">
        <v>41</v>
      </c>
      <c r="AT63" s="201" t="e">
        <f t="shared" ca="1" si="47"/>
        <v>#NAME?</v>
      </c>
      <c r="AU63" s="201" t="e">
        <f t="shared" ca="1" si="48"/>
        <v>#NAME?</v>
      </c>
      <c r="AV63" s="201" t="e">
        <f t="shared" si="39"/>
        <v>#REF!</v>
      </c>
      <c r="AW63" s="348" t="e">
        <f t="shared" si="40"/>
        <v>#REF!</v>
      </c>
      <c r="AX63" s="162" t="e">
        <f t="shared" ca="1" si="49"/>
        <v>#REF!</v>
      </c>
      <c r="AY63" s="3"/>
    </row>
    <row r="64" spans="1:51">
      <c r="P64" t="s">
        <v>246</v>
      </c>
      <c r="R64" s="3"/>
      <c r="S64" s="243" t="s">
        <v>42</v>
      </c>
      <c r="T64" s="311">
        <v>70.48</v>
      </c>
      <c r="U64" s="311">
        <v>70.48</v>
      </c>
      <c r="V64" s="327">
        <f t="shared" si="37"/>
        <v>3249.7999999999997</v>
      </c>
      <c r="W64" s="197">
        <f t="shared" si="38"/>
        <v>3733.1</v>
      </c>
      <c r="X64" s="197" t="e">
        <f>$Y$58 + IF($B$2="mil",1,0.0254)*DDR2Specs!$E$9</f>
        <v>#REF!</v>
      </c>
      <c r="Y64" s="197" t="e">
        <f>$X$58 + IF($B$2="mil",1,0.0254)*DDR2Specs!$F$9</f>
        <v>#REF!</v>
      </c>
      <c r="Z64" s="198" t="e">
        <f t="shared" si="41"/>
        <v>#REF!</v>
      </c>
      <c r="AA64" s="199" t="e">
        <f t="shared" si="42"/>
        <v>#REF!</v>
      </c>
      <c r="AB64" s="327">
        <f t="shared" si="43"/>
        <v>3249.7999999999997</v>
      </c>
      <c r="AC64" s="197">
        <f t="shared" si="44"/>
        <v>3733.1</v>
      </c>
      <c r="AD64" s="197" t="e">
        <f>$AE$58 + IF($B$2="mil",1,0.0254)*DDR2Specs!$E$9</f>
        <v>#REF!</v>
      </c>
      <c r="AE64" s="197" t="e">
        <f>$AD$58 + IF($B$2="mil",1,0.0254)*DDR2Specs!$F$9</f>
        <v>#REF!</v>
      </c>
      <c r="AF64" s="198" t="e">
        <f t="shared" si="45"/>
        <v>#REF!</v>
      </c>
      <c r="AG64" s="199" t="e">
        <f t="shared" si="46"/>
        <v>#REF!</v>
      </c>
      <c r="AH64" s="3"/>
      <c r="AI64" s="3"/>
      <c r="AJ64" s="3"/>
      <c r="AK64" s="3"/>
      <c r="AL64" s="3"/>
      <c r="AM64" s="3"/>
      <c r="AN64" s="3"/>
      <c r="AO64" s="3"/>
      <c r="AP64" s="3"/>
      <c r="AQ64" s="3"/>
      <c r="AR64" s="3"/>
      <c r="AS64" s="240" t="s">
        <v>42</v>
      </c>
      <c r="AT64" s="201" t="e">
        <f t="shared" ca="1" si="47"/>
        <v>#NAME?</v>
      </c>
      <c r="AU64" s="201" t="e">
        <f t="shared" ca="1" si="48"/>
        <v>#NAME?</v>
      </c>
      <c r="AV64" s="201" t="e">
        <f t="shared" si="39"/>
        <v>#REF!</v>
      </c>
      <c r="AW64" s="348" t="e">
        <f t="shared" si="40"/>
        <v>#REF!</v>
      </c>
      <c r="AX64" s="162" t="e">
        <f t="shared" ca="1" si="49"/>
        <v>#REF!</v>
      </c>
      <c r="AY64" s="3"/>
    </row>
    <row r="65" spans="16:51">
      <c r="R65" s="3"/>
      <c r="S65" s="243" t="s">
        <v>43</v>
      </c>
      <c r="T65" s="311">
        <v>45.3</v>
      </c>
      <c r="U65" s="311">
        <v>45.3</v>
      </c>
      <c r="V65" s="327">
        <f t="shared" si="37"/>
        <v>3407.94</v>
      </c>
      <c r="W65" s="197">
        <f t="shared" si="38"/>
        <v>3918.84</v>
      </c>
      <c r="X65" s="197" t="e">
        <f>$Y$58 + IF($B$2="mil",1,0.0254)*DDR2Specs!$E$9</f>
        <v>#REF!</v>
      </c>
      <c r="Y65" s="197" t="e">
        <f>$X$58 + IF($B$2="mil",1,0.0254)*DDR2Specs!$F$9</f>
        <v>#REF!</v>
      </c>
      <c r="Z65" s="198" t="e">
        <f t="shared" si="41"/>
        <v>#REF!</v>
      </c>
      <c r="AA65" s="199" t="e">
        <f t="shared" si="42"/>
        <v>#REF!</v>
      </c>
      <c r="AB65" s="327">
        <f t="shared" si="43"/>
        <v>3407.94</v>
      </c>
      <c r="AC65" s="197">
        <f t="shared" si="44"/>
        <v>3918.84</v>
      </c>
      <c r="AD65" s="197" t="e">
        <f>$AE$58 + IF($B$2="mil",1,0.0254)*DDR2Specs!$E$9</f>
        <v>#REF!</v>
      </c>
      <c r="AE65" s="197" t="e">
        <f>$AD$58 + IF($B$2="mil",1,0.0254)*DDR2Specs!$F$9</f>
        <v>#REF!</v>
      </c>
      <c r="AF65" s="198" t="e">
        <f t="shared" si="45"/>
        <v>#REF!</v>
      </c>
      <c r="AG65" s="199" t="e">
        <f t="shared" si="46"/>
        <v>#REF!</v>
      </c>
      <c r="AH65" s="3"/>
      <c r="AI65" s="3"/>
      <c r="AJ65" s="3"/>
      <c r="AK65" s="3"/>
      <c r="AL65" s="3"/>
      <c r="AM65" s="3"/>
      <c r="AN65" s="3"/>
      <c r="AO65" s="3"/>
      <c r="AP65" s="3"/>
      <c r="AQ65" s="3"/>
      <c r="AR65" s="3"/>
      <c r="AS65" s="240" t="s">
        <v>43</v>
      </c>
      <c r="AT65" s="201" t="e">
        <f t="shared" ca="1" si="47"/>
        <v>#NAME?</v>
      </c>
      <c r="AU65" s="201" t="e">
        <f t="shared" ca="1" si="48"/>
        <v>#NAME?</v>
      </c>
      <c r="AV65" s="201" t="e">
        <f t="shared" si="39"/>
        <v>#REF!</v>
      </c>
      <c r="AW65" s="348" t="e">
        <f t="shared" si="40"/>
        <v>#REF!</v>
      </c>
      <c r="AX65" s="162" t="e">
        <f t="shared" ca="1" si="49"/>
        <v>#REF!</v>
      </c>
      <c r="AY65" s="3"/>
    </row>
    <row r="66" spans="16:51">
      <c r="R66" s="3"/>
      <c r="S66" s="243" t="s">
        <v>44</v>
      </c>
      <c r="T66" s="311">
        <v>76.069999999999993</v>
      </c>
      <c r="U66" s="311">
        <v>76.069999999999993</v>
      </c>
      <c r="V66" s="327">
        <f t="shared" si="37"/>
        <v>3460.18</v>
      </c>
      <c r="W66" s="197">
        <f t="shared" si="38"/>
        <v>3967.7799999999997</v>
      </c>
      <c r="X66" s="197" t="e">
        <f>$Y$58 + IF($B$2="mil",1,0.0254)*DDR2Specs!$E$9</f>
        <v>#REF!</v>
      </c>
      <c r="Y66" s="197" t="e">
        <f>$X$58 + IF($B$2="mil",1,0.0254)*DDR2Specs!$F$9</f>
        <v>#REF!</v>
      </c>
      <c r="Z66" s="198" t="e">
        <f t="shared" si="41"/>
        <v>#REF!</v>
      </c>
      <c r="AA66" s="199" t="e">
        <f t="shared" si="42"/>
        <v>#REF!</v>
      </c>
      <c r="AB66" s="327">
        <f t="shared" si="43"/>
        <v>3460.18</v>
      </c>
      <c r="AC66" s="197">
        <f t="shared" si="44"/>
        <v>3967.7799999999997</v>
      </c>
      <c r="AD66" s="197" t="e">
        <f>$AE$58 + IF($B$2="mil",1,0.0254)*DDR2Specs!$E$9</f>
        <v>#REF!</v>
      </c>
      <c r="AE66" s="197" t="e">
        <f>$AD$58 + IF($B$2="mil",1,0.0254)*DDR2Specs!$F$9</f>
        <v>#REF!</v>
      </c>
      <c r="AF66" s="198" t="e">
        <f t="shared" si="45"/>
        <v>#REF!</v>
      </c>
      <c r="AG66" s="199" t="e">
        <f t="shared" si="46"/>
        <v>#REF!</v>
      </c>
      <c r="AH66" s="3"/>
      <c r="AI66" s="3"/>
      <c r="AJ66" s="3"/>
      <c r="AK66" s="3"/>
      <c r="AL66" s="3"/>
      <c r="AM66" s="3"/>
      <c r="AN66" s="3"/>
      <c r="AO66" s="3"/>
      <c r="AP66" s="3"/>
      <c r="AQ66" s="3"/>
      <c r="AR66" s="3"/>
      <c r="AS66" s="240" t="s">
        <v>44</v>
      </c>
      <c r="AT66" s="201" t="e">
        <f t="shared" ca="1" si="47"/>
        <v>#NAME?</v>
      </c>
      <c r="AU66" s="201" t="e">
        <f t="shared" ca="1" si="48"/>
        <v>#NAME?</v>
      </c>
      <c r="AV66" s="201" t="e">
        <f t="shared" si="39"/>
        <v>#REF!</v>
      </c>
      <c r="AW66" s="348" t="e">
        <f t="shared" si="40"/>
        <v>#REF!</v>
      </c>
      <c r="AX66" s="162" t="e">
        <f t="shared" ca="1" si="49"/>
        <v>#REF!</v>
      </c>
      <c r="AY66" s="3"/>
    </row>
    <row r="67" spans="16:51">
      <c r="P67" t="s">
        <v>252</v>
      </c>
      <c r="R67" s="3"/>
      <c r="S67" s="243" t="s">
        <v>46</v>
      </c>
      <c r="T67" s="311">
        <v>76.09</v>
      </c>
      <c r="U67" s="311">
        <v>76.09</v>
      </c>
      <c r="V67" s="327">
        <f t="shared" si="37"/>
        <v>3342.45</v>
      </c>
      <c r="W67" s="197">
        <f t="shared" si="38"/>
        <v>3838.0499999999997</v>
      </c>
      <c r="X67" s="197" t="e">
        <f>$Y$58 + IF($B$2="mil",1,0.0254)*DDR2Specs!$E$9</f>
        <v>#REF!</v>
      </c>
      <c r="Y67" s="197" t="e">
        <f>$X$58 + IF($B$2="mil",1,0.0254)*DDR2Specs!$F$9</f>
        <v>#REF!</v>
      </c>
      <c r="Z67" s="198" t="e">
        <f t="shared" si="41"/>
        <v>#REF!</v>
      </c>
      <c r="AA67" s="199" t="e">
        <f t="shared" si="42"/>
        <v>#REF!</v>
      </c>
      <c r="AB67" s="327">
        <f t="shared" si="43"/>
        <v>3342.45</v>
      </c>
      <c r="AC67" s="197">
        <f t="shared" si="44"/>
        <v>3838.0499999999997</v>
      </c>
      <c r="AD67" s="197" t="e">
        <f>$AE$58 + IF($B$2="mil",1,0.0254)*DDR2Specs!$E$9</f>
        <v>#REF!</v>
      </c>
      <c r="AE67" s="197" t="e">
        <f>$AD$58 + IF($B$2="mil",1,0.0254)*DDR2Specs!$F$9</f>
        <v>#REF!</v>
      </c>
      <c r="AF67" s="198" t="e">
        <f t="shared" si="45"/>
        <v>#REF!</v>
      </c>
      <c r="AG67" s="199" t="e">
        <f t="shared" si="46"/>
        <v>#REF!</v>
      </c>
      <c r="AH67" s="3"/>
      <c r="AI67" s="3"/>
      <c r="AJ67" s="3"/>
      <c r="AK67" s="3"/>
      <c r="AL67" s="3"/>
      <c r="AM67" s="3"/>
      <c r="AN67" s="3"/>
      <c r="AO67" s="3"/>
      <c r="AP67" s="3"/>
      <c r="AQ67" s="3"/>
      <c r="AR67" s="3"/>
      <c r="AS67" s="240" t="s">
        <v>46</v>
      </c>
      <c r="AT67" s="201" t="e">
        <f t="shared" ca="1" si="47"/>
        <v>#NAME?</v>
      </c>
      <c r="AU67" s="201" t="e">
        <f t="shared" ca="1" si="48"/>
        <v>#NAME?</v>
      </c>
      <c r="AV67" s="201" t="e">
        <f t="shared" si="39"/>
        <v>#REF!</v>
      </c>
      <c r="AW67" s="348" t="e">
        <f t="shared" si="40"/>
        <v>#REF!</v>
      </c>
      <c r="AX67" s="162" t="e">
        <f t="shared" ca="1" si="49"/>
        <v>#REF!</v>
      </c>
      <c r="AY67" s="3"/>
    </row>
    <row r="68" spans="16:51">
      <c r="R68" s="3"/>
      <c r="S68" s="243" t="s">
        <v>47</v>
      </c>
      <c r="T68" s="311">
        <v>55.8</v>
      </c>
      <c r="U68" s="311">
        <v>55.8</v>
      </c>
      <c r="V68" s="327">
        <f t="shared" si="37"/>
        <v>3382.5200000000004</v>
      </c>
      <c r="W68" s="197">
        <f t="shared" si="38"/>
        <v>3946.2200000000003</v>
      </c>
      <c r="X68" s="197" t="e">
        <f>$Y$58 + IF($B$2="mil",1,0.0254)*DDR2Specs!$E$9</f>
        <v>#REF!</v>
      </c>
      <c r="Y68" s="197" t="e">
        <f>$X$58 + IF($B$2="mil",1,0.0254)*DDR2Specs!$F$9</f>
        <v>#REF!</v>
      </c>
      <c r="Z68" s="198" t="e">
        <f t="shared" si="41"/>
        <v>#REF!</v>
      </c>
      <c r="AA68" s="199" t="e">
        <f t="shared" si="42"/>
        <v>#REF!</v>
      </c>
      <c r="AB68" s="327">
        <f t="shared" si="43"/>
        <v>3382.5200000000004</v>
      </c>
      <c r="AC68" s="197">
        <f t="shared" si="44"/>
        <v>3946.2200000000003</v>
      </c>
      <c r="AD68" s="197" t="e">
        <f>$AE$58 + IF($B$2="mil",1,0.0254)*DDR2Specs!$E$9</f>
        <v>#REF!</v>
      </c>
      <c r="AE68" s="197" t="e">
        <f>$AD$58 + IF($B$2="mil",1,0.0254)*DDR2Specs!$F$9</f>
        <v>#REF!</v>
      </c>
      <c r="AF68" s="198" t="e">
        <f t="shared" si="45"/>
        <v>#REF!</v>
      </c>
      <c r="AG68" s="199" t="e">
        <f t="shared" si="46"/>
        <v>#REF!</v>
      </c>
      <c r="AH68" s="3"/>
      <c r="AI68" s="3"/>
      <c r="AJ68" s="3"/>
      <c r="AK68" s="3"/>
      <c r="AL68" s="3"/>
      <c r="AM68" s="3"/>
      <c r="AN68" s="3"/>
      <c r="AO68" s="3"/>
      <c r="AP68" s="3"/>
      <c r="AQ68" s="3"/>
      <c r="AR68" s="3"/>
      <c r="AS68" s="240" t="s">
        <v>47</v>
      </c>
      <c r="AT68" s="201" t="e">
        <f t="shared" ca="1" si="47"/>
        <v>#NAME?</v>
      </c>
      <c r="AU68" s="201" t="e">
        <f t="shared" ca="1" si="48"/>
        <v>#NAME?</v>
      </c>
      <c r="AV68" s="201" t="e">
        <f t="shared" si="39"/>
        <v>#REF!</v>
      </c>
      <c r="AW68" s="348" t="e">
        <f t="shared" si="40"/>
        <v>#REF!</v>
      </c>
      <c r="AX68" s="162" t="e">
        <f t="shared" ca="1" si="49"/>
        <v>#REF!</v>
      </c>
      <c r="AY68" s="3"/>
    </row>
    <row r="69" spans="16:51">
      <c r="R69" s="3"/>
      <c r="S69" s="243" t="s">
        <v>48</v>
      </c>
      <c r="T69" s="311">
        <v>73.59</v>
      </c>
      <c r="U69" s="311">
        <v>73.59</v>
      </c>
      <c r="V69" s="327">
        <f t="shared" si="37"/>
        <v>3648.3599999999997</v>
      </c>
      <c r="W69" s="197">
        <f t="shared" si="38"/>
        <v>4477.66</v>
      </c>
      <c r="X69" s="197" t="e">
        <f>$Y$58 + IF($B$2="mil",1,0.0254)*DDR2Specs!$E$9</f>
        <v>#REF!</v>
      </c>
      <c r="Y69" s="197" t="e">
        <f>$X$58 + IF($B$2="mil",1,0.0254)*DDR2Specs!$F$9</f>
        <v>#REF!</v>
      </c>
      <c r="Z69" s="198" t="e">
        <f t="shared" si="41"/>
        <v>#REF!</v>
      </c>
      <c r="AA69" s="199" t="e">
        <f t="shared" si="42"/>
        <v>#REF!</v>
      </c>
      <c r="AB69" s="327">
        <f t="shared" si="43"/>
        <v>3648.3599999999997</v>
      </c>
      <c r="AC69" s="197">
        <f t="shared" si="44"/>
        <v>4477.66</v>
      </c>
      <c r="AD69" s="197" t="e">
        <f>$AE$58 + IF($B$2="mil",1,0.0254)*DDR2Specs!$E$9</f>
        <v>#REF!</v>
      </c>
      <c r="AE69" s="197" t="e">
        <f>$AD$58 + IF($B$2="mil",1,0.0254)*DDR2Specs!$F$9</f>
        <v>#REF!</v>
      </c>
      <c r="AF69" s="198" t="e">
        <f t="shared" si="45"/>
        <v>#REF!</v>
      </c>
      <c r="AG69" s="199" t="e">
        <f t="shared" si="46"/>
        <v>#REF!</v>
      </c>
      <c r="AH69" s="3"/>
      <c r="AI69" s="3"/>
      <c r="AJ69" s="3"/>
      <c r="AK69" s="3"/>
      <c r="AL69" s="3"/>
      <c r="AM69" s="3"/>
      <c r="AN69" s="3"/>
      <c r="AO69" s="3"/>
      <c r="AP69" s="3"/>
      <c r="AQ69" s="3"/>
      <c r="AR69" s="3"/>
      <c r="AS69" s="240" t="s">
        <v>48</v>
      </c>
      <c r="AT69" s="201" t="e">
        <f t="shared" ca="1" si="47"/>
        <v>#NAME?</v>
      </c>
      <c r="AU69" s="201" t="e">
        <f t="shared" ca="1" si="48"/>
        <v>#NAME?</v>
      </c>
      <c r="AV69" s="201" t="e">
        <f t="shared" si="39"/>
        <v>#REF!</v>
      </c>
      <c r="AW69" s="348" t="e">
        <f t="shared" si="40"/>
        <v>#REF!</v>
      </c>
      <c r="AX69" s="162" t="e">
        <f t="shared" ca="1" si="49"/>
        <v>#REF!</v>
      </c>
      <c r="AY69" s="3"/>
    </row>
    <row r="70" spans="16:51">
      <c r="R70" s="3"/>
      <c r="S70" s="243" t="s">
        <v>50</v>
      </c>
      <c r="T70" s="311">
        <v>31.54</v>
      </c>
      <c r="U70" s="311">
        <v>31.54</v>
      </c>
      <c r="V70" s="327">
        <f t="shared" si="37"/>
        <v>3451.33</v>
      </c>
      <c r="W70" s="197">
        <f t="shared" si="38"/>
        <v>4018.23</v>
      </c>
      <c r="X70" s="197" t="e">
        <f>$Y$58 + IF($B$2="mil",1,0.0254)*DDR2Specs!$E$9</f>
        <v>#REF!</v>
      </c>
      <c r="Y70" s="197" t="e">
        <f>$X$58 + IF($B$2="mil",1,0.0254)*DDR2Specs!$F$9</f>
        <v>#REF!</v>
      </c>
      <c r="Z70" s="198" t="e">
        <f t="shared" si="41"/>
        <v>#REF!</v>
      </c>
      <c r="AA70" s="199" t="e">
        <f t="shared" si="42"/>
        <v>#REF!</v>
      </c>
      <c r="AB70" s="327">
        <f t="shared" si="43"/>
        <v>3451.33</v>
      </c>
      <c r="AC70" s="197">
        <f t="shared" si="44"/>
        <v>4018.23</v>
      </c>
      <c r="AD70" s="197" t="e">
        <f>$AE$58 + IF($B$2="mil",1,0.0254)*DDR2Specs!$E$9</f>
        <v>#REF!</v>
      </c>
      <c r="AE70" s="197" t="e">
        <f>$AD$58 + IF($B$2="mil",1,0.0254)*DDR2Specs!$F$9</f>
        <v>#REF!</v>
      </c>
      <c r="AF70" s="198" t="e">
        <f t="shared" si="45"/>
        <v>#REF!</v>
      </c>
      <c r="AG70" s="199" t="e">
        <f t="shared" si="46"/>
        <v>#REF!</v>
      </c>
      <c r="AH70" s="3"/>
      <c r="AI70" s="3"/>
      <c r="AJ70" s="3"/>
      <c r="AK70" s="3"/>
      <c r="AL70" s="3"/>
      <c r="AM70" s="3"/>
      <c r="AN70" s="3"/>
      <c r="AO70" s="3"/>
      <c r="AP70" s="3"/>
      <c r="AQ70" s="3"/>
      <c r="AR70" s="3"/>
      <c r="AS70" s="240" t="s">
        <v>50</v>
      </c>
      <c r="AT70" s="201" t="e">
        <f t="shared" ca="1" si="47"/>
        <v>#NAME?</v>
      </c>
      <c r="AU70" s="201" t="e">
        <f t="shared" ca="1" si="48"/>
        <v>#NAME?</v>
      </c>
      <c r="AV70" s="201" t="e">
        <f t="shared" si="39"/>
        <v>#REF!</v>
      </c>
      <c r="AW70" s="348" t="e">
        <f t="shared" si="40"/>
        <v>#REF!</v>
      </c>
      <c r="AX70" s="162" t="e">
        <f t="shared" ca="1" si="49"/>
        <v>#REF!</v>
      </c>
      <c r="AY70" s="3"/>
    </row>
    <row r="71" spans="16:51">
      <c r="R71" s="3"/>
      <c r="S71" s="243" t="s">
        <v>51</v>
      </c>
      <c r="T71" s="311">
        <v>69.180000000000007</v>
      </c>
      <c r="U71" s="311">
        <v>69.180000000000007</v>
      </c>
      <c r="V71" s="327">
        <f t="shared" si="37"/>
        <v>3515.2299999999996</v>
      </c>
      <c r="W71" s="197">
        <f t="shared" si="38"/>
        <v>4254.9299999999994</v>
      </c>
      <c r="X71" s="197" t="e">
        <f>$Y$58 + IF($B$2="mil",1,0.0254)*DDR2Specs!$E$9</f>
        <v>#REF!</v>
      </c>
      <c r="Y71" s="197" t="e">
        <f>$X$58 + IF($B$2="mil",1,0.0254)*DDR2Specs!$F$9</f>
        <v>#REF!</v>
      </c>
      <c r="Z71" s="198" t="e">
        <f t="shared" si="41"/>
        <v>#REF!</v>
      </c>
      <c r="AA71" s="199" t="e">
        <f t="shared" si="42"/>
        <v>#REF!</v>
      </c>
      <c r="AB71" s="327">
        <f t="shared" si="43"/>
        <v>3515.2299999999996</v>
      </c>
      <c r="AC71" s="197">
        <f t="shared" si="44"/>
        <v>4254.9299999999994</v>
      </c>
      <c r="AD71" s="197" t="e">
        <f>$AE$58 + IF($B$2="mil",1,0.0254)*DDR2Specs!$E$9</f>
        <v>#REF!</v>
      </c>
      <c r="AE71" s="197" t="e">
        <f>$AD$58 + IF($B$2="mil",1,0.0254)*DDR2Specs!$F$9</f>
        <v>#REF!</v>
      </c>
      <c r="AF71" s="198" t="e">
        <f t="shared" si="45"/>
        <v>#REF!</v>
      </c>
      <c r="AG71" s="199" t="e">
        <f t="shared" si="46"/>
        <v>#REF!</v>
      </c>
      <c r="AH71" s="3"/>
      <c r="AI71" s="3"/>
      <c r="AJ71" s="3"/>
      <c r="AK71" s="3"/>
      <c r="AL71" s="3"/>
      <c r="AM71" s="3"/>
      <c r="AN71" s="3"/>
      <c r="AO71" s="3"/>
      <c r="AP71" s="3"/>
      <c r="AQ71" s="3"/>
      <c r="AR71" s="3"/>
      <c r="AS71" s="240" t="s">
        <v>51</v>
      </c>
      <c r="AT71" s="201" t="e">
        <f t="shared" ca="1" si="47"/>
        <v>#NAME?</v>
      </c>
      <c r="AU71" s="201" t="e">
        <f t="shared" ca="1" si="48"/>
        <v>#NAME?</v>
      </c>
      <c r="AV71" s="201" t="e">
        <f t="shared" si="39"/>
        <v>#REF!</v>
      </c>
      <c r="AW71" s="348" t="e">
        <f t="shared" si="40"/>
        <v>#REF!</v>
      </c>
      <c r="AX71" s="162" t="e">
        <f t="shared" ca="1" si="49"/>
        <v>#REF!</v>
      </c>
      <c r="AY71" s="3"/>
    </row>
    <row r="72" spans="16:51">
      <c r="R72" s="3"/>
      <c r="S72" s="243" t="s">
        <v>52</v>
      </c>
      <c r="T72" s="311">
        <v>29.07</v>
      </c>
      <c r="U72" s="311">
        <v>29.07</v>
      </c>
      <c r="V72" s="327">
        <f t="shared" si="37"/>
        <v>3575.84</v>
      </c>
      <c r="W72" s="197">
        <f t="shared" si="38"/>
        <v>4318.04</v>
      </c>
      <c r="X72" s="197" t="e">
        <f>$Y$58 + IF($B$2="mil",1,0.0254)*DDR2Specs!$E$9</f>
        <v>#REF!</v>
      </c>
      <c r="Y72" s="197" t="e">
        <f>$X$58 + IF($B$2="mil",1,0.0254)*DDR2Specs!$F$9</f>
        <v>#REF!</v>
      </c>
      <c r="Z72" s="198" t="e">
        <f t="shared" si="41"/>
        <v>#REF!</v>
      </c>
      <c r="AA72" s="199" t="e">
        <f t="shared" si="42"/>
        <v>#REF!</v>
      </c>
      <c r="AB72" s="327">
        <f t="shared" si="43"/>
        <v>3575.84</v>
      </c>
      <c r="AC72" s="197">
        <f t="shared" si="44"/>
        <v>4318.04</v>
      </c>
      <c r="AD72" s="197" t="e">
        <f>$AE$58 + IF($B$2="mil",1,0.0254)*DDR2Specs!$E$9</f>
        <v>#REF!</v>
      </c>
      <c r="AE72" s="197" t="e">
        <f>$AD$58 + IF($B$2="mil",1,0.0254)*DDR2Specs!$F$9</f>
        <v>#REF!</v>
      </c>
      <c r="AF72" s="198" t="e">
        <f t="shared" si="45"/>
        <v>#REF!</v>
      </c>
      <c r="AG72" s="199" t="e">
        <f t="shared" si="46"/>
        <v>#REF!</v>
      </c>
      <c r="AH72" s="3"/>
      <c r="AI72" s="3"/>
      <c r="AJ72" s="3"/>
      <c r="AK72" s="3"/>
      <c r="AL72" s="3"/>
      <c r="AM72" s="3"/>
      <c r="AN72" s="3"/>
      <c r="AO72" s="3"/>
      <c r="AP72" s="3"/>
      <c r="AQ72" s="3"/>
      <c r="AR72" s="3"/>
      <c r="AS72" s="240" t="s">
        <v>52</v>
      </c>
      <c r="AT72" s="201" t="e">
        <f t="shared" ca="1" si="47"/>
        <v>#NAME?</v>
      </c>
      <c r="AU72" s="201" t="e">
        <f t="shared" ca="1" si="48"/>
        <v>#NAME?</v>
      </c>
      <c r="AV72" s="201" t="e">
        <f t="shared" si="39"/>
        <v>#REF!</v>
      </c>
      <c r="AW72" s="348" t="e">
        <f t="shared" si="40"/>
        <v>#REF!</v>
      </c>
      <c r="AX72" s="162" t="e">
        <f t="shared" ca="1" si="49"/>
        <v>#REF!</v>
      </c>
      <c r="AY72" s="3"/>
    </row>
    <row r="73" spans="16:51">
      <c r="R73" s="3"/>
      <c r="S73" s="243" t="s">
        <v>53</v>
      </c>
      <c r="T73" s="311">
        <v>29.07</v>
      </c>
      <c r="U73" s="311">
        <v>29.07</v>
      </c>
      <c r="V73" s="327">
        <f t="shared" si="37"/>
        <v>3455.84</v>
      </c>
      <c r="W73" s="197">
        <f t="shared" si="38"/>
        <v>3957.84</v>
      </c>
      <c r="X73" s="197" t="e">
        <f>$Y$58 + IF($B$2="mil",1,0.0254)*DDR2Specs!$E$9</f>
        <v>#REF!</v>
      </c>
      <c r="Y73" s="197" t="e">
        <f>$X$58 + IF($B$2="mil",1,0.0254)*DDR2Specs!$F$9</f>
        <v>#REF!</v>
      </c>
      <c r="Z73" s="198" t="e">
        <f t="shared" si="41"/>
        <v>#REF!</v>
      </c>
      <c r="AA73" s="199" t="e">
        <f t="shared" si="42"/>
        <v>#REF!</v>
      </c>
      <c r="AB73" s="327">
        <f t="shared" si="43"/>
        <v>3455.84</v>
      </c>
      <c r="AC73" s="197">
        <f t="shared" si="44"/>
        <v>3957.84</v>
      </c>
      <c r="AD73" s="197" t="e">
        <f>$AE$58 + IF($B$2="mil",1,0.0254)*DDR2Specs!$E$9</f>
        <v>#REF!</v>
      </c>
      <c r="AE73" s="197" t="e">
        <f>$AD$58 + IF($B$2="mil",1,0.0254)*DDR2Specs!$F$9</f>
        <v>#REF!</v>
      </c>
      <c r="AF73" s="198" t="e">
        <f t="shared" si="45"/>
        <v>#REF!</v>
      </c>
      <c r="AG73" s="199" t="e">
        <f t="shared" si="46"/>
        <v>#REF!</v>
      </c>
      <c r="AH73" s="3"/>
      <c r="AI73" s="3"/>
      <c r="AJ73" s="3"/>
      <c r="AK73" s="3"/>
      <c r="AL73" s="3"/>
      <c r="AM73" s="3"/>
      <c r="AN73" s="3"/>
      <c r="AO73" s="3"/>
      <c r="AP73" s="3"/>
      <c r="AQ73" s="3"/>
      <c r="AR73" s="3"/>
      <c r="AS73" s="240" t="s">
        <v>53</v>
      </c>
      <c r="AT73" s="201" t="e">
        <f t="shared" ca="1" si="47"/>
        <v>#NAME?</v>
      </c>
      <c r="AU73" s="201" t="e">
        <f t="shared" ca="1" si="48"/>
        <v>#NAME?</v>
      </c>
      <c r="AV73" s="201" t="e">
        <f t="shared" si="39"/>
        <v>#REF!</v>
      </c>
      <c r="AW73" s="348" t="e">
        <f t="shared" si="40"/>
        <v>#REF!</v>
      </c>
      <c r="AX73" s="162" t="e">
        <f t="shared" ca="1" si="49"/>
        <v>#REF!</v>
      </c>
      <c r="AY73" s="3"/>
    </row>
    <row r="74" spans="16:51">
      <c r="R74" s="3"/>
      <c r="S74" s="205" t="s">
        <v>230</v>
      </c>
      <c r="T74" s="331"/>
      <c r="U74" s="331"/>
      <c r="V74" s="209"/>
      <c r="W74" s="209"/>
      <c r="X74" s="209"/>
      <c r="Y74" s="209"/>
      <c r="Z74" s="212"/>
      <c r="AA74" s="212"/>
      <c r="AB74" s="209"/>
      <c r="AC74" s="209"/>
      <c r="AD74" s="209"/>
      <c r="AE74" s="209"/>
      <c r="AF74" s="212"/>
      <c r="AG74" s="212"/>
      <c r="AH74" s="3"/>
      <c r="AI74" s="3"/>
      <c r="AJ74" s="3"/>
      <c r="AK74" s="3"/>
      <c r="AL74" s="3"/>
      <c r="AM74" s="3"/>
      <c r="AN74" s="3"/>
      <c r="AO74" s="3"/>
      <c r="AP74" s="3"/>
      <c r="AQ74" s="3"/>
      <c r="AR74" s="3"/>
      <c r="AS74" s="205" t="s">
        <v>230</v>
      </c>
      <c r="AT74" s="183"/>
      <c r="AU74" s="183"/>
      <c r="AV74" s="183"/>
      <c r="AW74" s="350"/>
      <c r="AX74" s="3"/>
      <c r="AY74" s="3"/>
    </row>
    <row r="75" spans="16:51">
      <c r="P75" t="s">
        <v>248</v>
      </c>
      <c r="R75" s="3"/>
      <c r="S75" s="185" t="s">
        <v>54</v>
      </c>
      <c r="T75" s="337">
        <v>75.430000000000007</v>
      </c>
      <c r="U75" s="337">
        <v>75.430000000000007</v>
      </c>
      <c r="V75" s="327">
        <f>SUM($E49:$H49,$M49,$N49,$P49,$Q49,$R49,$T75)</f>
        <v>3505.0899999999997</v>
      </c>
      <c r="W75" s="197">
        <f>$V75+$C49</f>
        <v>3818.4364566929125</v>
      </c>
      <c r="X75" s="197" t="e">
        <f>$Y$58 + IF($B$2="mil",1,0.0254)*DDR2Specs!$E$9</f>
        <v>#REF!</v>
      </c>
      <c r="Y75" s="197" t="e">
        <f>$X$58 + IF($B$2="mil",1,0.0254)*DDR2Specs!$F$9</f>
        <v>#REF!</v>
      </c>
      <c r="Z75" s="198" t="e">
        <f>IF($W75&lt;$X75,$X75-$W75,"Pass")</f>
        <v>#REF!</v>
      </c>
      <c r="AA75" s="199" t="e">
        <f>IF($W75&gt;$Y75,$W75-$Y75,"Pass")</f>
        <v>#REF!</v>
      </c>
      <c r="AB75" s="327">
        <f t="shared" si="43"/>
        <v>3505.0899999999997</v>
      </c>
      <c r="AC75" s="197">
        <f t="shared" si="44"/>
        <v>3818.4364566929125</v>
      </c>
      <c r="AD75" s="197" t="e">
        <f>$AE$58 + IF($B$2="mil",1,0.0254)*DDR2Specs!$E$9</f>
        <v>#REF!</v>
      </c>
      <c r="AE75" s="197" t="e">
        <f>$AD$58 + IF($B$2="mil",1,0.0254)*DDR2Specs!$F$9</f>
        <v>#REF!</v>
      </c>
      <c r="AF75" s="198" t="e">
        <f t="shared" si="45"/>
        <v>#REF!</v>
      </c>
      <c r="AG75" s="199" t="e">
        <f t="shared" si="46"/>
        <v>#REF!</v>
      </c>
      <c r="AH75" s="3"/>
      <c r="AI75" s="3"/>
      <c r="AJ75" s="3"/>
      <c r="AK75" s="3"/>
      <c r="AL75" s="3"/>
      <c r="AM75" s="29"/>
      <c r="AN75" s="3"/>
      <c r="AO75" s="3"/>
      <c r="AP75" s="3"/>
      <c r="AQ75" s="3"/>
      <c r="AR75" s="3"/>
      <c r="AS75" s="185" t="s">
        <v>54</v>
      </c>
      <c r="AT75" s="201" t="e">
        <f ca="1">CheckLength2(900,R49,T75,0)</f>
        <v>#NAME?</v>
      </c>
      <c r="AU75" s="201" t="e">
        <f ca="1">CheckLength2(900,R49,U75,0)</f>
        <v>#NAME?</v>
      </c>
      <c r="AV75" s="201" t="e">
        <f>IF(AND(V75&gt;=IF($B$2="mil",1,0.0254)*500, $V75&lt;=IF($B$2="mil",1,0.0254)*7500),"Pass",IF($B$2="mil",1,0.0254)*7500-$V75)</f>
        <v>#REF!</v>
      </c>
      <c r="AW75" s="348" t="e">
        <f>IF(AND($W75&gt;=IF($B$2="mil",1,0.0254)*500, $W75&lt;=IF($B$2="mil",1,0.0254)*8000),"Pass",IF($B$2="mil",1,0.0254)*8000-$W75)</f>
        <v>#REF!</v>
      </c>
      <c r="AX75" s="162" t="e">
        <f t="shared" ca="1" si="49"/>
        <v>#REF!</v>
      </c>
      <c r="AY75" s="3"/>
    </row>
    <row r="76" spans="16:51">
      <c r="R76" s="3"/>
      <c r="S76" s="241" t="s">
        <v>55</v>
      </c>
      <c r="T76" s="332">
        <v>58.08</v>
      </c>
      <c r="U76" s="332">
        <v>58.08</v>
      </c>
      <c r="V76" s="327">
        <f>SUM($E50:$H50,$M50,$N50,$P50,$Q50,$R50,$T76)</f>
        <v>3542.1099999999997</v>
      </c>
      <c r="W76" s="197">
        <f>$V76+$C50</f>
        <v>3899.5903149606297</v>
      </c>
      <c r="X76" s="197" t="e">
        <f>$Y$58 + IF($B$2="mil",1,0.0254)*DDR2Specs!$E$9</f>
        <v>#REF!</v>
      </c>
      <c r="Y76" s="197" t="e">
        <f>$X$58 + IF($B$2="mil",1,0.0254)*DDR2Specs!$F$9</f>
        <v>#REF!</v>
      </c>
      <c r="Z76" s="198" t="e">
        <f>IF($W76&lt;$X76,$X76-$W76,"Pass")</f>
        <v>#REF!</v>
      </c>
      <c r="AA76" s="199" t="e">
        <f>IF($W76&gt;$Y76,$W76-$Y76,"Pass")</f>
        <v>#REF!</v>
      </c>
      <c r="AB76" s="327">
        <f t="shared" si="43"/>
        <v>3542.1099999999997</v>
      </c>
      <c r="AC76" s="197">
        <f t="shared" si="44"/>
        <v>3899.5903149606297</v>
      </c>
      <c r="AD76" s="197" t="e">
        <f>$AE$58 + IF($B$2="mil",1,0.0254)*DDR2Specs!$E$9</f>
        <v>#REF!</v>
      </c>
      <c r="AE76" s="197" t="e">
        <f>$AD$58 + IF($B$2="mil",1,0.0254)*DDR2Specs!$F$9</f>
        <v>#REF!</v>
      </c>
      <c r="AF76" s="198" t="e">
        <f t="shared" si="45"/>
        <v>#REF!</v>
      </c>
      <c r="AG76" s="199" t="e">
        <f t="shared" si="46"/>
        <v>#REF!</v>
      </c>
      <c r="AH76" s="3"/>
      <c r="AI76" s="3"/>
      <c r="AJ76" s="3"/>
      <c r="AK76" s="3"/>
      <c r="AL76" s="3"/>
      <c r="AM76" s="29"/>
      <c r="AN76" s="3"/>
      <c r="AO76" s="3"/>
      <c r="AP76" s="3"/>
      <c r="AQ76" s="3"/>
      <c r="AR76" s="3"/>
      <c r="AS76" s="241" t="s">
        <v>55</v>
      </c>
      <c r="AT76" s="201" t="e">
        <f ca="1">CheckLength2(900,R50,T76,0)</f>
        <v>#NAME?</v>
      </c>
      <c r="AU76" s="201" t="e">
        <f ca="1">CheckLength2(900,R50,U76,0)</f>
        <v>#NAME?</v>
      </c>
      <c r="AV76" s="201" t="e">
        <f>IF(AND(V76&gt;=IF($B$2="mil",1,0.0254)*500, $V76&lt;=IF($B$2="mil",1,0.0254)*7500),"Pass",IF($B$2="mil",1,0.0254)*7500-$V76)</f>
        <v>#REF!</v>
      </c>
      <c r="AW76" s="348" t="e">
        <f>IF(AND($W76&gt;=IF($B$2="mil",1,0.0254)*500, $W76&lt;=IF($B$2="mil",1,0.0254)*8000),"Pass",IF($B$2="mil",1,0.0254)*8000-$W76)</f>
        <v>#REF!</v>
      </c>
      <c r="AX76" s="162" t="e">
        <f t="shared" ca="1" si="49"/>
        <v>#REF!</v>
      </c>
      <c r="AY76" s="3"/>
    </row>
    <row r="77" spans="16:51">
      <c r="R77" s="3"/>
      <c r="S77" s="241" t="s">
        <v>56</v>
      </c>
      <c r="T77" s="194">
        <v>78.75</v>
      </c>
      <c r="U77" s="194">
        <v>78.75</v>
      </c>
      <c r="V77" s="327">
        <f>SUM($E51:$H51,$M51,$N51,$P51,$Q51,$R51,$T77)</f>
        <v>3407.58</v>
      </c>
      <c r="W77" s="197">
        <f>$V77+$C51</f>
        <v>4375.8083464566926</v>
      </c>
      <c r="X77" s="197" t="e">
        <f>$Y$58 + IF($B$2="mil",1,0.0254)*DDR2Specs!$E$9</f>
        <v>#REF!</v>
      </c>
      <c r="Y77" s="197" t="e">
        <f>$X$58 + IF($B$2="mil",1,0.0254)*DDR2Specs!$F$9</f>
        <v>#REF!</v>
      </c>
      <c r="Z77" s="198" t="e">
        <f>IF($W77&lt;$X77,$X77-$W77,"Pass")</f>
        <v>#REF!</v>
      </c>
      <c r="AA77" s="199" t="e">
        <f>IF($W77&gt;$Y77,$W77-$Y77,"Pass")</f>
        <v>#REF!</v>
      </c>
      <c r="AB77" s="327">
        <f t="shared" si="43"/>
        <v>3407.58</v>
      </c>
      <c r="AC77" s="197">
        <f t="shared" si="44"/>
        <v>4375.8083464566926</v>
      </c>
      <c r="AD77" s="197" t="e">
        <f>$AE$58 + IF($B$2="mil",1,0.0254)*DDR2Specs!$E$9</f>
        <v>#REF!</v>
      </c>
      <c r="AE77" s="197" t="e">
        <f>$AD$58 + IF($B$2="mil",1,0.0254)*DDR2Specs!$F$9</f>
        <v>#REF!</v>
      </c>
      <c r="AF77" s="198" t="e">
        <f t="shared" si="45"/>
        <v>#REF!</v>
      </c>
      <c r="AG77" s="199" t="e">
        <f t="shared" si="46"/>
        <v>#REF!</v>
      </c>
      <c r="AH77" s="3"/>
      <c r="AI77" s="3"/>
      <c r="AJ77" s="3"/>
      <c r="AK77" s="3"/>
      <c r="AL77" s="3"/>
      <c r="AM77" s="230"/>
      <c r="AN77" s="230"/>
      <c r="AO77" s="3"/>
      <c r="AP77" s="3"/>
      <c r="AQ77" s="231"/>
      <c r="AR77" s="3"/>
      <c r="AS77" s="241" t="s">
        <v>56</v>
      </c>
      <c r="AT77" s="201" t="e">
        <f ca="1">CheckLength2(900,R51,T77,0)</f>
        <v>#NAME?</v>
      </c>
      <c r="AU77" s="201" t="e">
        <f ca="1">CheckLength2(900,R51,U77,0)</f>
        <v>#NAME?</v>
      </c>
      <c r="AV77" s="201" t="e">
        <f>IF(AND(V77&gt;=IF($B$2="mil",1,0.0254)*500, $V77&lt;=IF($B$2="mil",1,0.0254)*7500),"Pass",IF($B$2="mil",1,0.0254)*7500-$V77)</f>
        <v>#REF!</v>
      </c>
      <c r="AW77" s="348" t="e">
        <f>IF(AND($W77&gt;=IF($B$2="mil",1,0.0254)*500, $W77&lt;=IF($B$2="mil",1,0.0254)*8000),"Pass",IF($B$2="mil",1,0.0254)*8000-$W77)</f>
        <v>#REF!</v>
      </c>
      <c r="AX77" s="162" t="e">
        <f t="shared" ca="1" si="49"/>
        <v>#REF!</v>
      </c>
      <c r="AY77" s="3"/>
    </row>
    <row r="78" spans="16:51">
      <c r="P78" t="s">
        <v>253</v>
      </c>
      <c r="R78" s="3"/>
      <c r="S78" s="205" t="s">
        <v>231</v>
      </c>
      <c r="T78" s="207"/>
      <c r="U78" s="207"/>
      <c r="V78" s="209"/>
      <c r="W78" s="209"/>
      <c r="X78" s="209"/>
      <c r="Y78" s="209"/>
      <c r="Z78" s="212"/>
      <c r="AA78" s="212"/>
      <c r="AB78" s="209"/>
      <c r="AC78" s="209"/>
      <c r="AD78" s="209"/>
      <c r="AE78" s="209"/>
      <c r="AF78" s="212"/>
      <c r="AG78" s="212"/>
      <c r="AH78" s="3"/>
      <c r="AI78" s="3"/>
      <c r="AJ78" s="3"/>
      <c r="AK78" s="3"/>
      <c r="AL78" s="3"/>
      <c r="AM78" s="3"/>
      <c r="AN78" s="3"/>
      <c r="AO78" s="3"/>
      <c r="AP78" s="3"/>
      <c r="AQ78" s="3"/>
      <c r="AR78" s="3"/>
      <c r="AS78" s="205" t="s">
        <v>231</v>
      </c>
      <c r="AT78" s="212"/>
      <c r="AU78" s="212"/>
      <c r="AV78" s="212"/>
      <c r="AW78" s="350"/>
      <c r="AX78" s="3"/>
      <c r="AY78" s="3"/>
    </row>
    <row r="79" spans="16:51">
      <c r="R79" s="3"/>
      <c r="S79" s="185" t="s">
        <v>58</v>
      </c>
      <c r="T79" s="194">
        <v>27.77</v>
      </c>
      <c r="U79" s="194">
        <v>27.77</v>
      </c>
      <c r="V79" s="327">
        <f>SUM($E53:$H53,$M53,$N53,$P53,$Q53,$R53,$T79)</f>
        <v>3342.3899999999994</v>
      </c>
      <c r="W79" s="197">
        <f>$V79+$C53</f>
        <v>3691.8899999999994</v>
      </c>
      <c r="X79" s="197" t="e">
        <f>$Y$58 + IF($B$2="mil",1,0.0254)*DDR2Specs!$E$9</f>
        <v>#REF!</v>
      </c>
      <c r="Y79" s="197" t="e">
        <f>$X$58 + IF($B$2="mil",1,0.0254)*DDR2Specs!$F$9</f>
        <v>#REF!</v>
      </c>
      <c r="Z79" s="198" t="e">
        <f>IF($W79&lt;$X79,$X79-$W79,"Pass")</f>
        <v>#REF!</v>
      </c>
      <c r="AA79" s="199" t="e">
        <f>IF($W79&gt;$Y79,$W79-$Y79,"Pass")</f>
        <v>#REF!</v>
      </c>
      <c r="AB79" s="327">
        <f t="shared" si="43"/>
        <v>3342.3899999999994</v>
      </c>
      <c r="AC79" s="197">
        <f t="shared" si="44"/>
        <v>3691.8899999999994</v>
      </c>
      <c r="AD79" s="197" t="e">
        <f>$AE$58 + IF($B$2="mil",1,0.0254)*DDR2Specs!$E$9</f>
        <v>#REF!</v>
      </c>
      <c r="AE79" s="197" t="e">
        <f>$AD$58 + IF($B$2="mil",1,0.0254)*DDR2Specs!$F$9</f>
        <v>#REF!</v>
      </c>
      <c r="AF79" s="198" t="e">
        <f t="shared" si="45"/>
        <v>#REF!</v>
      </c>
      <c r="AG79" s="199" t="e">
        <f t="shared" si="46"/>
        <v>#REF!</v>
      </c>
      <c r="AH79" s="3"/>
      <c r="AI79" s="3"/>
      <c r="AJ79" s="3"/>
      <c r="AK79" s="3"/>
      <c r="AL79" s="3"/>
      <c r="AM79" s="3"/>
      <c r="AN79" s="3"/>
      <c r="AO79" s="3"/>
      <c r="AP79" s="3"/>
      <c r="AQ79" s="3"/>
      <c r="AR79" s="3"/>
      <c r="AS79" s="185" t="s">
        <v>58</v>
      </c>
      <c r="AT79" s="201" t="e">
        <f ca="1">CheckLength2(900,R53,T79,0)</f>
        <v>#NAME?</v>
      </c>
      <c r="AU79" s="201" t="e">
        <f ca="1">CheckLength2(900,R53,U79,0)</f>
        <v>#NAME?</v>
      </c>
      <c r="AV79" s="201" t="e">
        <f>IF(AND(V79&gt;=IF($B$2="mil",1,0.0254)*500, $V79&lt;=IF($B$2="mil",1,0.0254)*7500),"Pass",IF($B$2="mil",1,0.0254)*7500-$V79)</f>
        <v>#REF!</v>
      </c>
      <c r="AW79" s="348" t="e">
        <f>IF(AND($W79&gt;=IF($B$2="mil",1,0.0254)*500, $W79&lt;=IF($B$2="mil",1,0.0254)*8000),"Pass",IF($B$2="mil",1,0.0254)*8000-$W79)</f>
        <v>#REF!</v>
      </c>
      <c r="AX79" s="162" t="e">
        <f t="shared" ca="1" si="49"/>
        <v>#REF!</v>
      </c>
      <c r="AY79" s="3"/>
    </row>
    <row r="80" spans="16:51">
      <c r="R80" s="3"/>
      <c r="S80" s="240" t="s">
        <v>59</v>
      </c>
      <c r="T80" s="194">
        <v>56.02</v>
      </c>
      <c r="U80" s="194">
        <v>56.02</v>
      </c>
      <c r="V80" s="327">
        <f>SUM($E54:$H54,$M54,$N54,$P54,$Q54,$R54,$T80)</f>
        <v>3423.9899999999993</v>
      </c>
      <c r="W80" s="197">
        <f>$V80+$C54</f>
        <v>4134.5899999999992</v>
      </c>
      <c r="X80" s="197" t="e">
        <f>$Y$58 + IF($B$2="mil",1,0.0254)*DDR2Specs!$E$9</f>
        <v>#REF!</v>
      </c>
      <c r="Y80" s="197" t="e">
        <f>$X$58 + IF($B$2="mil",1,0.0254)*DDR2Specs!$F$9</f>
        <v>#REF!</v>
      </c>
      <c r="Z80" s="198" t="e">
        <f>IF($W80&lt;$X80,$X80-$W80,"Pass")</f>
        <v>#REF!</v>
      </c>
      <c r="AA80" s="199" t="e">
        <f>IF($W80&gt;$Y80,$W80-$Y80,"Pass")</f>
        <v>#REF!</v>
      </c>
      <c r="AB80" s="327">
        <f t="shared" si="43"/>
        <v>3423.9899999999993</v>
      </c>
      <c r="AC80" s="197">
        <f t="shared" si="44"/>
        <v>4134.5899999999992</v>
      </c>
      <c r="AD80" s="197" t="e">
        <f>$AE$58 + IF($B$2="mil",1,0.0254)*DDR2Specs!$E$9</f>
        <v>#REF!</v>
      </c>
      <c r="AE80" s="197" t="e">
        <f>$AD$58 + IF($B$2="mil",1,0.0254)*DDR2Specs!$F$9</f>
        <v>#REF!</v>
      </c>
      <c r="AF80" s="198" t="e">
        <f t="shared" si="45"/>
        <v>#REF!</v>
      </c>
      <c r="AG80" s="199" t="e">
        <f t="shared" si="46"/>
        <v>#REF!</v>
      </c>
      <c r="AH80" s="3"/>
      <c r="AI80" s="3"/>
      <c r="AJ80" s="3"/>
      <c r="AK80" s="3"/>
      <c r="AL80" s="3"/>
      <c r="AM80" s="3"/>
      <c r="AN80" s="3"/>
      <c r="AO80" s="3"/>
      <c r="AP80" s="3"/>
      <c r="AQ80" s="3"/>
      <c r="AR80" s="3"/>
      <c r="AS80" s="240" t="s">
        <v>59</v>
      </c>
      <c r="AT80" s="201" t="e">
        <f ca="1">CheckLength2(900,R54,T80,0)</f>
        <v>#NAME?</v>
      </c>
      <c r="AU80" s="201" t="e">
        <f ca="1">CheckLength2(900,R54,U80,0)</f>
        <v>#NAME?</v>
      </c>
      <c r="AV80" s="201" t="e">
        <f>IF(AND(V80&gt;=IF($B$2="mil",1,0.0254)*500, $V80&lt;=IF($B$2="mil",1,0.0254)*7500),"Pass",IF($B$2="mil",1,0.0254)*7500-$V80)</f>
        <v>#REF!</v>
      </c>
      <c r="AW80" s="348" t="e">
        <f>IF(AND($W80&gt;=IF($B$2="mil",1,0.0254)*500, $W80&lt;=IF($B$2="mil",1,0.0254)*8000),"Pass",IF($B$2="mil",1,0.0254)*8000-$W80)</f>
        <v>#REF!</v>
      </c>
      <c r="AX80" s="162" t="e">
        <f t="shared" ca="1" si="49"/>
        <v>#REF!</v>
      </c>
      <c r="AY80" s="3"/>
    </row>
    <row r="81" spans="5:51">
      <c r="P81" t="s">
        <v>247</v>
      </c>
      <c r="R81" s="3"/>
      <c r="S81" s="240" t="s">
        <v>60</v>
      </c>
      <c r="T81" s="194">
        <v>28.25</v>
      </c>
      <c r="U81" s="194">
        <v>28.25</v>
      </c>
      <c r="V81" s="327">
        <f>SUM($E55:$H55,$M55,$N55,$P55,$Q55,$R55,$T81)</f>
        <v>3402.9</v>
      </c>
      <c r="W81" s="197">
        <f>$V81+$C55</f>
        <v>3764.6</v>
      </c>
      <c r="X81" s="197" t="e">
        <f>$Y$58 + IF($B$2="mil",1,0.0254)*DDR2Specs!$E$9</f>
        <v>#REF!</v>
      </c>
      <c r="Y81" s="197" t="e">
        <f>$X$58 + IF($B$2="mil",1,0.0254)*DDR2Specs!$F$9</f>
        <v>#REF!</v>
      </c>
      <c r="Z81" s="198" t="e">
        <f>IF($W81&lt;$X81,$X81-$W81,"Pass")</f>
        <v>#REF!</v>
      </c>
      <c r="AA81" s="199" t="e">
        <f>IF($W81&gt;$Y81,$W81-$Y81,"Pass")</f>
        <v>#REF!</v>
      </c>
      <c r="AB81" s="327">
        <f t="shared" si="43"/>
        <v>3402.9</v>
      </c>
      <c r="AC81" s="197">
        <f t="shared" si="44"/>
        <v>3764.6</v>
      </c>
      <c r="AD81" s="197" t="e">
        <f>$AE$58 + IF($B$2="mil",1,0.0254)*DDR2Specs!$E$9</f>
        <v>#REF!</v>
      </c>
      <c r="AE81" s="197" t="e">
        <f>$AD$58 + IF($B$2="mil",1,0.0254)*DDR2Specs!$F$9</f>
        <v>#REF!</v>
      </c>
      <c r="AF81" s="198" t="e">
        <f t="shared" si="45"/>
        <v>#REF!</v>
      </c>
      <c r="AG81" s="199" t="e">
        <f t="shared" si="46"/>
        <v>#REF!</v>
      </c>
      <c r="AH81" s="3"/>
      <c r="AI81" s="3"/>
      <c r="AJ81" s="3"/>
      <c r="AK81" s="3"/>
      <c r="AL81" s="3"/>
      <c r="AM81" s="3"/>
      <c r="AN81" s="3"/>
      <c r="AO81" s="3"/>
      <c r="AP81" s="3"/>
      <c r="AQ81" s="3"/>
      <c r="AR81" s="3"/>
      <c r="AS81" s="240" t="s">
        <v>60</v>
      </c>
      <c r="AT81" s="201" t="e">
        <f ca="1">CheckLength2(900,R55,T81,0)</f>
        <v>#NAME?</v>
      </c>
      <c r="AU81" s="201" t="e">
        <f ca="1">CheckLength2(900,R55,U81,0)</f>
        <v>#NAME?</v>
      </c>
      <c r="AV81" s="201" t="e">
        <f>IF(AND(V81&gt;=IF($B$2="mil",1,0.0254)*500, $V81&lt;=IF($B$2="mil",1,0.0254)*7500),"Pass",IF($B$2="mil",1,0.0254)*7500-$V81)</f>
        <v>#REF!</v>
      </c>
      <c r="AW81" s="348" t="e">
        <f>IF(AND($W81&gt;=IF($B$2="mil",1,0.0254)*500, $W81&lt;=IF($B$2="mil",1,0.0254)*8000),"Pass",IF($B$2="mil",1,0.0254)*8000-$W81)</f>
        <v>#REF!</v>
      </c>
      <c r="AX81" s="162" t="e">
        <f t="shared" ca="1" si="49"/>
        <v>#REF!</v>
      </c>
      <c r="AY81" s="3"/>
    </row>
    <row r="82" spans="5:51" ht="22.5">
      <c r="P82" s="353" t="s">
        <v>254</v>
      </c>
      <c r="R82" s="329" t="s">
        <v>31</v>
      </c>
      <c r="S82" s="144" t="e">
        <f>"Trace L8-2 ["&amp;$B$2&amp;"]"</f>
        <v>#REF!</v>
      </c>
      <c r="T82" s="144" t="e">
        <f>"Trace L10-5 to U3 ["&amp;$B$2&amp;"]"</f>
        <v>#REF!</v>
      </c>
      <c r="U82" s="144" t="e">
        <f>"Trace L10-6 to U7 ["&amp;$B$2&amp;"]"</f>
        <v>#REF!</v>
      </c>
      <c r="V82" s="144" t="e">
        <f>"Total MB Length to U3 (L0+L1+L2+S1+L5+Rs+L6+L7+L8-2+L10-5) ["&amp;$B$2&amp;"]"</f>
        <v>#REF!</v>
      </c>
      <c r="W82" s="144" t="e">
        <f>"Total Pad to Pin U3 (P1+L0+L1+L2+S1+L5+Rs+L6+L7+L8-2+L10-5) ["&amp;$B$2&amp;"]"</f>
        <v>#REF!</v>
      </c>
      <c r="X82" s="151" t="e">
        <f>"Target Min Length to U3["&amp;$B$2&amp;"]"</f>
        <v>#REF!</v>
      </c>
      <c r="Y82" s="150" t="e">
        <f>"Target Max Length to U3 ["&amp;$B$2&amp;"]"</f>
        <v>#REF!</v>
      </c>
      <c r="Z82" s="152" t="e">
        <f>"Routed Too Short to U3 [" &amp;$B$2&amp;"]"</f>
        <v>#REF!</v>
      </c>
      <c r="AA82" s="151" t="e">
        <f>"Routed Too Long to U3 [" &amp;$B$2&amp;"]"</f>
        <v>#REF!</v>
      </c>
      <c r="AB82" s="144" t="e">
        <f>"Total MB Length to U7 (L0+L1+L2+S1+L5+Rs+L6+L7+L8-2+L10-6) ["&amp;$B$2&amp;"]"</f>
        <v>#REF!</v>
      </c>
      <c r="AC82" s="144" t="e">
        <f>"Total Pad to Pin U7 (P1+L0+L1+L2+S1+L5+Rs+L6+L7+L8-2+L10-6) ["&amp;$B$2&amp;"]"</f>
        <v>#REF!</v>
      </c>
      <c r="AD82" s="151" t="e">
        <f>"Target Min Length to U7["&amp;$B$2&amp;"]"</f>
        <v>#REF!</v>
      </c>
      <c r="AE82" s="150" t="e">
        <f>"Target Max Length to U7 ["&amp;$B$2&amp;"]"</f>
        <v>#REF!</v>
      </c>
      <c r="AF82" s="152" t="e">
        <f>"Routed Too Short to U7 [" &amp;$B$2&amp;"]"</f>
        <v>#REF!</v>
      </c>
      <c r="AG82" s="151" t="e">
        <f>"Routed Too Long to U7 [" &amp;$B$2&amp;"]"</f>
        <v>#REF!</v>
      </c>
      <c r="AH82" s="3"/>
      <c r="AI82" s="3"/>
      <c r="AJ82" s="3"/>
      <c r="AK82" s="3"/>
      <c r="AL82" s="3"/>
      <c r="AM82" s="3"/>
      <c r="AN82" s="3"/>
      <c r="AO82" s="218" t="s">
        <v>31</v>
      </c>
      <c r="AP82" s="153" t="e">
        <f>"L8-2 Length Test (&lt;=" &amp; IF($B$2="mil",1,0.0254)*750&amp;$B$2&amp;")"</f>
        <v>#REF!</v>
      </c>
      <c r="AQ82" s="3"/>
      <c r="AR82" s="3"/>
      <c r="AS82" s="218" t="s">
        <v>31</v>
      </c>
      <c r="AT82" s="153" t="e">
        <f>"L10-5 Length Test (&lt;=" &amp; IF($B$2="mil",1,0.0254)*150&amp;$B$2&amp;") or (L8-2+L10-5&lt;= "&amp;IF($B$2="mil",1,0.0254)*900&amp;$B$2&amp;")"</f>
        <v>#REF!</v>
      </c>
      <c r="AU82" s="153" t="e">
        <f>"L10-6 Length Test (&lt;=" &amp; IF($B$2="mil",1,0.0254)*150&amp;$B$2&amp;") or (L8-2+L10-6&lt;= "&amp;IF($B$2="mil",1,0.0254)*900&amp;$B$2&amp;")"</f>
        <v>#REF!</v>
      </c>
      <c r="AV82" s="150" t="e">
        <f>"Total Length to U3 (L0+L1+L2+S1+L5+Rs+L6+L7+L8-2+L10-3) Test ("&amp;IF($B$2="mil",1,0.0254)*500&amp;"-"&amp;IF($B$2="mil",1,0.0254)*7500&amp;IF($B$2="mil","mil","mm")&amp;")"</f>
        <v>#REF!</v>
      </c>
      <c r="AW82" s="150" t="e">
        <f>"Total Length to U3 (P1+L0+L1+L2+S1+L5+Rs+L6+L7+L8-2+L10-3) Test (&lt;="&amp;IF($B$2="mil",1,25.4)*8000&amp;IF($B$2="mil","mil","mm")&amp;")"</f>
        <v>#REF!</v>
      </c>
      <c r="AX82" s="3"/>
      <c r="AY82" s="3"/>
    </row>
    <row r="83" spans="5:51">
      <c r="R83" s="155" t="s">
        <v>210</v>
      </c>
      <c r="S83" s="156"/>
      <c r="T83" s="156"/>
      <c r="U83" s="156"/>
      <c r="V83" s="221"/>
      <c r="W83" s="221"/>
      <c r="X83" s="221"/>
      <c r="Y83" s="221"/>
      <c r="Z83" s="221"/>
      <c r="AA83" s="221"/>
      <c r="AB83" s="221"/>
      <c r="AC83" s="221"/>
      <c r="AD83" s="221"/>
      <c r="AE83" s="221"/>
      <c r="AF83" s="221"/>
      <c r="AG83" s="221"/>
      <c r="AH83" s="3"/>
      <c r="AI83" s="3"/>
      <c r="AJ83" s="3"/>
      <c r="AK83" s="3"/>
      <c r="AL83" s="3"/>
      <c r="AM83" s="3"/>
      <c r="AN83" s="3"/>
      <c r="AO83" s="155" t="s">
        <v>210</v>
      </c>
      <c r="AP83" s="221"/>
      <c r="AQ83" s="3"/>
      <c r="AR83" s="3"/>
      <c r="AS83" s="155" t="s">
        <v>210</v>
      </c>
      <c r="AT83" s="221"/>
      <c r="AU83" s="221"/>
      <c r="AV83" s="221"/>
      <c r="AW83" s="351"/>
      <c r="AX83" s="3"/>
      <c r="AY83" s="3"/>
    </row>
    <row r="84" spans="5:51">
      <c r="R84" s="263" t="s">
        <v>214</v>
      </c>
      <c r="S84" s="166"/>
      <c r="T84" s="166"/>
      <c r="U84" s="166"/>
      <c r="V84" s="169"/>
      <c r="W84" s="383" t="s">
        <v>226</v>
      </c>
      <c r="X84" s="174" t="e">
        <f>MIN('DDR2 Clocks - 4L'!$O$13:$O$14)</f>
        <v>#REF!</v>
      </c>
      <c r="Y84" s="235" t="e">
        <f>MAX('DDR2 Clocks - 4L'!$O$13:$O$14)</f>
        <v>#REF!</v>
      </c>
      <c r="Z84" s="174"/>
      <c r="AA84" s="172"/>
      <c r="AB84" s="169"/>
      <c r="AC84" s="383" t="s">
        <v>286</v>
      </c>
      <c r="AD84" s="174" t="e">
        <f>MIN('DDR2 Clocks - 4L'!$O$15:$O$16)</f>
        <v>#REF!</v>
      </c>
      <c r="AE84" s="235" t="e">
        <f>MAX('DDR2 Clocks - 4L'!$O$15:$O$16)</f>
        <v>#REF!</v>
      </c>
      <c r="AF84" s="174"/>
      <c r="AG84" s="172"/>
      <c r="AH84" s="3"/>
      <c r="AI84" s="3"/>
      <c r="AJ84" s="3"/>
      <c r="AK84" s="3"/>
      <c r="AL84" s="3"/>
      <c r="AM84" s="3"/>
      <c r="AN84" s="3"/>
      <c r="AO84" s="263" t="s">
        <v>214</v>
      </c>
      <c r="AP84" s="176"/>
      <c r="AQ84" s="3"/>
      <c r="AR84" s="3"/>
      <c r="AS84" s="263" t="s">
        <v>214</v>
      </c>
      <c r="AT84" s="176"/>
      <c r="AU84" s="176"/>
      <c r="AV84" s="176"/>
      <c r="AW84" s="177"/>
      <c r="AX84" s="3"/>
      <c r="AY84" s="3"/>
    </row>
    <row r="85" spans="5:51">
      <c r="R85" s="205" t="s">
        <v>229</v>
      </c>
      <c r="S85" s="181"/>
      <c r="T85" s="181"/>
      <c r="U85" s="181"/>
      <c r="V85" s="182"/>
      <c r="W85" s="182"/>
      <c r="X85" s="183"/>
      <c r="Y85" s="184"/>
      <c r="Z85" s="184"/>
      <c r="AA85" s="183"/>
      <c r="AB85" s="182"/>
      <c r="AC85" s="182"/>
      <c r="AD85" s="183"/>
      <c r="AE85" s="184"/>
      <c r="AF85" s="184"/>
      <c r="AG85" s="183"/>
      <c r="AH85" s="3"/>
      <c r="AI85" s="3"/>
      <c r="AJ85" s="3"/>
      <c r="AK85" s="3"/>
      <c r="AL85" s="3"/>
      <c r="AM85" s="3"/>
      <c r="AN85" s="3"/>
      <c r="AO85" s="205" t="s">
        <v>229</v>
      </c>
      <c r="AP85" s="183"/>
      <c r="AQ85" s="3"/>
      <c r="AR85" s="3"/>
      <c r="AS85" s="205" t="s">
        <v>229</v>
      </c>
      <c r="AT85" s="183"/>
      <c r="AU85" s="183"/>
      <c r="AV85" s="183"/>
      <c r="AW85" s="349"/>
      <c r="AX85" s="3"/>
      <c r="AY85" s="3"/>
    </row>
    <row r="86" spans="5:51">
      <c r="R86" s="186" t="s">
        <v>196</v>
      </c>
      <c r="S86" s="308">
        <v>400</v>
      </c>
      <c r="T86" s="347">
        <v>112.93</v>
      </c>
      <c r="U86" s="347">
        <v>112.93</v>
      </c>
      <c r="V86" s="327">
        <f t="shared" ref="V86:V99" si="50">SUM($E34:$H34,$M34,$N34,$P34,$Q34,$S86,$T86)</f>
        <v>3629.08</v>
      </c>
      <c r="W86" s="197">
        <f t="shared" ref="W86:W99" si="51">$V86+$C34</f>
        <v>4422.68</v>
      </c>
      <c r="X86" s="197" t="e">
        <f>$Y$84 + IF($B$2="mil",1,0.0254)*DDR2Specs!$E$9</f>
        <v>#REF!</v>
      </c>
      <c r="Y86" s="197" t="e">
        <f>$X$84 + IF($B$2="mil",1,0.0254)*DDR2Specs!$F$9</f>
        <v>#REF!</v>
      </c>
      <c r="Z86" s="198" t="e">
        <f>IF($W86&lt;$X86,$X86-$W86,"Pass")</f>
        <v>#REF!</v>
      </c>
      <c r="AA86" s="199" t="e">
        <f>IF($W86&gt;$Y86,$W86-$Y86,"Pass")</f>
        <v>#REF!</v>
      </c>
      <c r="AB86" s="327">
        <f>SUM($E34:$H34,$M34,$N34,$P34,$Q34,$S86,$U86)</f>
        <v>3629.08</v>
      </c>
      <c r="AC86" s="197">
        <f>$AB86+$C34</f>
        <v>4422.68</v>
      </c>
      <c r="AD86" s="197" t="e">
        <f>$AE$84 + IF($B$2="mil",1,0.0254)*DDR2Specs!$E$9</f>
        <v>#REF!</v>
      </c>
      <c r="AE86" s="197" t="e">
        <f>$AD$84 + IF($B$2="mil",1,0.0254)*DDR2Specs!$F$9</f>
        <v>#REF!</v>
      </c>
      <c r="AF86" s="198" t="e">
        <f>IF($AC86&lt;$AD86,$AD86-$AC86,"Pass")</f>
        <v>#REF!</v>
      </c>
      <c r="AG86" s="199" t="e">
        <f>IF($AC86&gt;$AE86,$AC86-$AE86,"Pass")</f>
        <v>#REF!</v>
      </c>
      <c r="AH86" s="3"/>
      <c r="AI86" s="3"/>
      <c r="AJ86" s="3"/>
      <c r="AK86" s="3"/>
      <c r="AL86" s="3"/>
      <c r="AM86" s="3"/>
      <c r="AN86" s="3"/>
      <c r="AO86" s="186" t="s">
        <v>196</v>
      </c>
      <c r="AP86" s="348" t="e">
        <f>IF(S86&lt;=IF($B$2="mil",1,0.0254)*750,"Pass",IF($B$2="mil",1,0.0254)*750-S86)</f>
        <v>#REF!</v>
      </c>
      <c r="AQ86" s="3"/>
      <c r="AR86" s="3"/>
      <c r="AS86" s="185" t="s">
        <v>196</v>
      </c>
      <c r="AT86" s="201" t="e">
        <f ca="1">CheckLength2(900,S86,T86,0)</f>
        <v>#NAME?</v>
      </c>
      <c r="AU86" s="201" t="e">
        <f ca="1">CheckLength2(900,S86,U86,0)</f>
        <v>#NAME?</v>
      </c>
      <c r="AV86" s="201" t="e">
        <f t="shared" ref="AV86:AV99" si="52">IF(AND(V86&gt;=IF($B$2="mil",1,0.0254)*500, $V86&lt;=IF($B$2="mil",1,0.0254)*7500),"Pass",IF($B$2="mil",1,0.0254)*7500-$V86)</f>
        <v>#REF!</v>
      </c>
      <c r="AW86" s="348" t="e">
        <f t="shared" ref="AW86:AW99" si="53">IF(AND($W86&gt;=IF($B$2="mil",1,0.0254)*500, $W86&lt;=IF($B$2="mil",1,0.0254)*8000),"Pass",IF($B$2="mil",1,0.0254)*8000-$W86)</f>
        <v>#REF!</v>
      </c>
      <c r="AX86" s="162" t="e">
        <f ca="1">IF(AND(Z86="Pass",AA86="Pass",AT86="Pass",AV86="Pass",AW86="Pass"),"Pass","Fail")</f>
        <v>#REF!</v>
      </c>
      <c r="AY86" s="162" t="e">
        <f ca="1">IF(AND(AX86="Pass",AX87="Pass",AX88="Pass",AX89="Pass",AX90="Pass",AX91="Pass",AX92="Pass",AX93="Pass",AX94="Pass",AX95="Pass",AX96="Pass"),"Pass","Fail")</f>
        <v>#REF!</v>
      </c>
    </row>
    <row r="87" spans="5:51">
      <c r="R87" s="243" t="s">
        <v>39</v>
      </c>
      <c r="S87" s="308">
        <v>500</v>
      </c>
      <c r="T87" s="347">
        <v>93.83</v>
      </c>
      <c r="U87" s="347">
        <v>93.83</v>
      </c>
      <c r="V87" s="327">
        <f t="shared" si="50"/>
        <v>3430.44</v>
      </c>
      <c r="W87" s="197">
        <f t="shared" si="51"/>
        <v>4100.74</v>
      </c>
      <c r="X87" s="197" t="e">
        <f>$Y$84 + IF($B$2="mil",1,0.0254)*DDR2Specs!$E$9</f>
        <v>#REF!</v>
      </c>
      <c r="Y87" s="197" t="e">
        <f>$X$84 + IF($B$2="mil",1,0.0254)*DDR2Specs!$F$9</f>
        <v>#REF!</v>
      </c>
      <c r="Z87" s="198" t="e">
        <f t="shared" ref="Z87:Z99" si="54">IF($W87&lt;$X87,$X87-$W87,"Pass")</f>
        <v>#REF!</v>
      </c>
      <c r="AA87" s="199" t="e">
        <f t="shared" ref="AA87:AA99" si="55">IF($W87&gt;$Y87,$W87-$Y87,"Pass")</f>
        <v>#REF!</v>
      </c>
      <c r="AB87" s="327">
        <f t="shared" ref="AB87:AB107" si="56">SUM($E35:$H35,$M35,$N35,$P35,$Q35,$S87,$U87)</f>
        <v>3430.44</v>
      </c>
      <c r="AC87" s="197">
        <f t="shared" ref="AC87:AC107" si="57">$AB87+$C35</f>
        <v>4100.74</v>
      </c>
      <c r="AD87" s="197" t="e">
        <f>$AE$84 + IF($B$2="mil",1,0.0254)*DDR2Specs!$E$9</f>
        <v>#REF!</v>
      </c>
      <c r="AE87" s="197" t="e">
        <f>$AD$84 + IF($B$2="mil",1,0.0254)*DDR2Specs!$F$9</f>
        <v>#REF!</v>
      </c>
      <c r="AF87" s="198" t="e">
        <f t="shared" ref="AF87:AF107" si="58">IF($AC87&lt;$AD87,$AD87-$AC87,"Pass")</f>
        <v>#REF!</v>
      </c>
      <c r="AG87" s="199" t="e">
        <f t="shared" ref="AG87:AG107" si="59">IF($AC87&gt;$AE87,$AC87-$AE87,"Pass")</f>
        <v>#REF!</v>
      </c>
      <c r="AH87" s="3"/>
      <c r="AI87" s="3"/>
      <c r="AJ87" s="3"/>
      <c r="AK87" s="3"/>
      <c r="AL87" s="3"/>
      <c r="AM87" s="3"/>
      <c r="AN87" s="3"/>
      <c r="AO87" s="243" t="s">
        <v>39</v>
      </c>
      <c r="AP87" s="348" t="e">
        <f t="shared" ref="AP87:AP107" si="60">IF(S87&lt;=IF($B$2="mil",1,0.0254)*750,"Pass",IF($B$2="mil",1,0.0254)*750-S87)</f>
        <v>#REF!</v>
      </c>
      <c r="AQ87" s="3"/>
      <c r="AR87" s="3"/>
      <c r="AS87" s="240" t="s">
        <v>39</v>
      </c>
      <c r="AT87" s="201" t="e">
        <f t="shared" ref="AT87:AT99" ca="1" si="61">CheckLength2(900,S87,T87,0)</f>
        <v>#NAME?</v>
      </c>
      <c r="AU87" s="201" t="e">
        <f t="shared" ref="AU87:AU99" ca="1" si="62">CheckLength2(900,S87,U87,0)</f>
        <v>#NAME?</v>
      </c>
      <c r="AV87" s="201" t="e">
        <f t="shared" si="52"/>
        <v>#REF!</v>
      </c>
      <c r="AW87" s="348" t="e">
        <f t="shared" si="53"/>
        <v>#REF!</v>
      </c>
      <c r="AX87" s="162" t="e">
        <f t="shared" ref="AX87:AX107" ca="1" si="63">IF(AND(Z87="Pass",AA87="Pass",AT87="Pass",AV87="Pass",AW87="Pass"),"Pass","Fail")</f>
        <v>#REF!</v>
      </c>
      <c r="AY87" s="162" t="e">
        <f ca="1">IF(AND(AX97="Pass",AX98="Pass",AX99="Pass",AX101="Pass",AX102="Pass",AX103="Pass",AX105="Pass",AX106="Pass",AX107="Pass"),"Pass","Fail")</f>
        <v>#REF!</v>
      </c>
    </row>
    <row r="88" spans="5:51">
      <c r="R88" s="243" t="s">
        <v>40</v>
      </c>
      <c r="S88" s="308">
        <v>500</v>
      </c>
      <c r="T88" s="347">
        <v>112.45</v>
      </c>
      <c r="U88" s="347">
        <v>112.45</v>
      </c>
      <c r="V88" s="327">
        <f t="shared" si="50"/>
        <v>3369.89</v>
      </c>
      <c r="W88" s="197">
        <f t="shared" si="51"/>
        <v>3956.49</v>
      </c>
      <c r="X88" s="197" t="e">
        <f>$Y$84 + IF($B$2="mil",1,0.0254)*DDR2Specs!$E$9</f>
        <v>#REF!</v>
      </c>
      <c r="Y88" s="197" t="e">
        <f>$X$84 + IF($B$2="mil",1,0.0254)*DDR2Specs!$F$9</f>
        <v>#REF!</v>
      </c>
      <c r="Z88" s="198" t="e">
        <f t="shared" si="54"/>
        <v>#REF!</v>
      </c>
      <c r="AA88" s="199" t="e">
        <f t="shared" si="55"/>
        <v>#REF!</v>
      </c>
      <c r="AB88" s="327">
        <f t="shared" si="56"/>
        <v>3369.89</v>
      </c>
      <c r="AC88" s="197">
        <f t="shared" si="57"/>
        <v>3956.49</v>
      </c>
      <c r="AD88" s="197" t="e">
        <f>$AE$84 + IF($B$2="mil",1,0.0254)*DDR2Specs!$E$9</f>
        <v>#REF!</v>
      </c>
      <c r="AE88" s="197" t="e">
        <f>$AD$84 + IF($B$2="mil",1,0.0254)*DDR2Specs!$F$9</f>
        <v>#REF!</v>
      </c>
      <c r="AF88" s="198" t="e">
        <f t="shared" si="58"/>
        <v>#REF!</v>
      </c>
      <c r="AG88" s="199" t="e">
        <f t="shared" si="59"/>
        <v>#REF!</v>
      </c>
      <c r="AH88" s="3"/>
      <c r="AI88" s="3"/>
      <c r="AJ88" s="3"/>
      <c r="AK88" s="3"/>
      <c r="AL88" s="3"/>
      <c r="AM88" s="3"/>
      <c r="AN88" s="3"/>
      <c r="AO88" s="243" t="s">
        <v>40</v>
      </c>
      <c r="AP88" s="348" t="e">
        <f t="shared" si="60"/>
        <v>#REF!</v>
      </c>
      <c r="AQ88" s="3"/>
      <c r="AR88" s="3"/>
      <c r="AS88" s="240" t="s">
        <v>40</v>
      </c>
      <c r="AT88" s="201" t="e">
        <f t="shared" ca="1" si="61"/>
        <v>#NAME?</v>
      </c>
      <c r="AU88" s="201" t="e">
        <f t="shared" ca="1" si="62"/>
        <v>#NAME?</v>
      </c>
      <c r="AV88" s="201" t="e">
        <f t="shared" si="52"/>
        <v>#REF!</v>
      </c>
      <c r="AW88" s="348" t="e">
        <f t="shared" si="53"/>
        <v>#REF!</v>
      </c>
      <c r="AX88" s="162" t="e">
        <f t="shared" ca="1" si="63"/>
        <v>#REF!</v>
      </c>
      <c r="AY88" s="3"/>
    </row>
    <row r="89" spans="5:51">
      <c r="R89" s="243" t="s">
        <v>41</v>
      </c>
      <c r="S89" s="308">
        <v>300</v>
      </c>
      <c r="T89" s="347">
        <v>76.09</v>
      </c>
      <c r="U89" s="347">
        <v>76.09</v>
      </c>
      <c r="V89" s="327">
        <f t="shared" si="50"/>
        <v>3384.8100000000004</v>
      </c>
      <c r="W89" s="197">
        <f t="shared" si="51"/>
        <v>4369.51</v>
      </c>
      <c r="X89" s="197" t="e">
        <f>$Y$84 + IF($B$2="mil",1,0.0254)*DDR2Specs!$E$9</f>
        <v>#REF!</v>
      </c>
      <c r="Y89" s="197" t="e">
        <f>$X$84 + IF($B$2="mil",1,0.0254)*DDR2Specs!$F$9</f>
        <v>#REF!</v>
      </c>
      <c r="Z89" s="198" t="e">
        <f t="shared" si="54"/>
        <v>#REF!</v>
      </c>
      <c r="AA89" s="199" t="e">
        <f t="shared" si="55"/>
        <v>#REF!</v>
      </c>
      <c r="AB89" s="327">
        <f t="shared" si="56"/>
        <v>3384.8100000000004</v>
      </c>
      <c r="AC89" s="197">
        <f t="shared" si="57"/>
        <v>4369.51</v>
      </c>
      <c r="AD89" s="197" t="e">
        <f>$AE$84 + IF($B$2="mil",1,0.0254)*DDR2Specs!$E$9</f>
        <v>#REF!</v>
      </c>
      <c r="AE89" s="197" t="e">
        <f>$AD$84 + IF($B$2="mil",1,0.0254)*DDR2Specs!$F$9</f>
        <v>#REF!</v>
      </c>
      <c r="AF89" s="198" t="e">
        <f t="shared" si="58"/>
        <v>#REF!</v>
      </c>
      <c r="AG89" s="199" t="e">
        <f t="shared" si="59"/>
        <v>#REF!</v>
      </c>
      <c r="AH89" s="3"/>
      <c r="AI89" s="3"/>
      <c r="AJ89" s="3"/>
      <c r="AK89" s="3"/>
      <c r="AL89" s="3"/>
      <c r="AM89" s="3"/>
      <c r="AN89" s="3"/>
      <c r="AO89" s="243" t="s">
        <v>41</v>
      </c>
      <c r="AP89" s="348" t="e">
        <f t="shared" si="60"/>
        <v>#REF!</v>
      </c>
      <c r="AQ89" s="3"/>
      <c r="AR89" s="3"/>
      <c r="AS89" s="240" t="s">
        <v>41</v>
      </c>
      <c r="AT89" s="201" t="e">
        <f t="shared" ca="1" si="61"/>
        <v>#NAME?</v>
      </c>
      <c r="AU89" s="201" t="e">
        <f t="shared" ca="1" si="62"/>
        <v>#NAME?</v>
      </c>
      <c r="AV89" s="201" t="e">
        <f t="shared" si="52"/>
        <v>#REF!</v>
      </c>
      <c r="AW89" s="348" t="e">
        <f t="shared" si="53"/>
        <v>#REF!</v>
      </c>
      <c r="AX89" s="162" t="e">
        <f t="shared" ca="1" si="63"/>
        <v>#REF!</v>
      </c>
      <c r="AY89" s="3"/>
    </row>
    <row r="90" spans="5:51">
      <c r="F90" t="s">
        <v>276</v>
      </c>
      <c r="G90" s="382" t="s">
        <v>280</v>
      </c>
      <c r="R90" s="243" t="s">
        <v>42</v>
      </c>
      <c r="S90" s="308">
        <v>600</v>
      </c>
      <c r="T90" s="347">
        <v>70.48</v>
      </c>
      <c r="U90" s="347">
        <v>70.48</v>
      </c>
      <c r="V90" s="327">
        <f t="shared" si="50"/>
        <v>3249.7999999999997</v>
      </c>
      <c r="W90" s="197">
        <f t="shared" si="51"/>
        <v>3733.1</v>
      </c>
      <c r="X90" s="197" t="e">
        <f>$Y$84 + IF($B$2="mil",1,0.0254)*DDR2Specs!$E$9</f>
        <v>#REF!</v>
      </c>
      <c r="Y90" s="197" t="e">
        <f>$X$84 + IF($B$2="mil",1,0.0254)*DDR2Specs!$F$9</f>
        <v>#REF!</v>
      </c>
      <c r="Z90" s="198" t="e">
        <f t="shared" si="54"/>
        <v>#REF!</v>
      </c>
      <c r="AA90" s="199" t="e">
        <f t="shared" si="55"/>
        <v>#REF!</v>
      </c>
      <c r="AB90" s="327">
        <f t="shared" si="56"/>
        <v>3249.7999999999997</v>
      </c>
      <c r="AC90" s="197">
        <f t="shared" si="57"/>
        <v>3733.1</v>
      </c>
      <c r="AD90" s="197" t="e">
        <f>$AE$84 + IF($B$2="mil",1,0.0254)*DDR2Specs!$E$9</f>
        <v>#REF!</v>
      </c>
      <c r="AE90" s="197" t="e">
        <f>$AD$84 + IF($B$2="mil",1,0.0254)*DDR2Specs!$F$9</f>
        <v>#REF!</v>
      </c>
      <c r="AF90" s="198" t="e">
        <f t="shared" si="58"/>
        <v>#REF!</v>
      </c>
      <c r="AG90" s="199" t="e">
        <f t="shared" si="59"/>
        <v>#REF!</v>
      </c>
      <c r="AH90" s="3"/>
      <c r="AI90" s="3"/>
      <c r="AJ90" s="3"/>
      <c r="AK90" s="3"/>
      <c r="AL90" s="3"/>
      <c r="AM90" s="3"/>
      <c r="AN90" s="3"/>
      <c r="AO90" s="243" t="s">
        <v>42</v>
      </c>
      <c r="AP90" s="348" t="e">
        <f t="shared" si="60"/>
        <v>#REF!</v>
      </c>
      <c r="AQ90" s="3"/>
      <c r="AR90" s="3"/>
      <c r="AS90" s="240" t="s">
        <v>42</v>
      </c>
      <c r="AT90" s="201" t="e">
        <f t="shared" ca="1" si="61"/>
        <v>#NAME?</v>
      </c>
      <c r="AU90" s="201" t="e">
        <f t="shared" ca="1" si="62"/>
        <v>#NAME?</v>
      </c>
      <c r="AV90" s="201" t="e">
        <f t="shared" si="52"/>
        <v>#REF!</v>
      </c>
      <c r="AW90" s="348" t="e">
        <f t="shared" si="53"/>
        <v>#REF!</v>
      </c>
      <c r="AX90" s="162" t="e">
        <f t="shared" ca="1" si="63"/>
        <v>#REF!</v>
      </c>
      <c r="AY90" s="3"/>
    </row>
    <row r="91" spans="5:51">
      <c r="E91" s="377" t="s">
        <v>281</v>
      </c>
      <c r="F91" s="377" t="s">
        <v>245</v>
      </c>
      <c r="G91" s="381" t="s">
        <v>251</v>
      </c>
      <c r="H91" s="272" t="s">
        <v>275</v>
      </c>
      <c r="R91" s="243" t="s">
        <v>43</v>
      </c>
      <c r="S91" s="308">
        <v>200</v>
      </c>
      <c r="T91" s="347">
        <v>45.3</v>
      </c>
      <c r="U91" s="347">
        <v>45.3</v>
      </c>
      <c r="V91" s="327">
        <f t="shared" si="50"/>
        <v>3407.94</v>
      </c>
      <c r="W91" s="197">
        <f t="shared" si="51"/>
        <v>3918.84</v>
      </c>
      <c r="X91" s="197" t="e">
        <f>$Y$84 + IF($B$2="mil",1,0.0254)*DDR2Specs!$E$9</f>
        <v>#REF!</v>
      </c>
      <c r="Y91" s="197" t="e">
        <f>$X$84 + IF($B$2="mil",1,0.0254)*DDR2Specs!$F$9</f>
        <v>#REF!</v>
      </c>
      <c r="Z91" s="198" t="e">
        <f t="shared" si="54"/>
        <v>#REF!</v>
      </c>
      <c r="AA91" s="199" t="e">
        <f t="shared" si="55"/>
        <v>#REF!</v>
      </c>
      <c r="AB91" s="327">
        <f t="shared" si="56"/>
        <v>3407.94</v>
      </c>
      <c r="AC91" s="197">
        <f t="shared" si="57"/>
        <v>3918.84</v>
      </c>
      <c r="AD91" s="197" t="e">
        <f>$AE$84 + IF($B$2="mil",1,0.0254)*DDR2Specs!$E$9</f>
        <v>#REF!</v>
      </c>
      <c r="AE91" s="197" t="e">
        <f>$AD$84 + IF($B$2="mil",1,0.0254)*DDR2Specs!$F$9</f>
        <v>#REF!</v>
      </c>
      <c r="AF91" s="198" t="e">
        <f t="shared" si="58"/>
        <v>#REF!</v>
      </c>
      <c r="AG91" s="199" t="e">
        <f t="shared" si="59"/>
        <v>#REF!</v>
      </c>
      <c r="AH91" s="3"/>
      <c r="AI91" s="3"/>
      <c r="AJ91" s="3"/>
      <c r="AK91" s="3"/>
      <c r="AL91" s="3"/>
      <c r="AM91" s="3"/>
      <c r="AN91" s="3"/>
      <c r="AO91" s="243" t="s">
        <v>43</v>
      </c>
      <c r="AP91" s="348" t="e">
        <f t="shared" si="60"/>
        <v>#REF!</v>
      </c>
      <c r="AQ91" s="3"/>
      <c r="AR91" s="3"/>
      <c r="AS91" s="240" t="s">
        <v>43</v>
      </c>
      <c r="AT91" s="201" t="e">
        <f t="shared" ca="1" si="61"/>
        <v>#NAME?</v>
      </c>
      <c r="AU91" s="201" t="e">
        <f t="shared" ca="1" si="62"/>
        <v>#NAME?</v>
      </c>
      <c r="AV91" s="201" t="e">
        <f t="shared" si="52"/>
        <v>#REF!</v>
      </c>
      <c r="AW91" s="348" t="e">
        <f t="shared" si="53"/>
        <v>#REF!</v>
      </c>
      <c r="AX91" s="162" t="e">
        <f t="shared" ca="1" si="63"/>
        <v>#REF!</v>
      </c>
      <c r="AY91" s="3"/>
    </row>
    <row r="92" spans="5:51">
      <c r="F92" s="377" t="s">
        <v>246</v>
      </c>
      <c r="G92" s="381" t="s">
        <v>252</v>
      </c>
      <c r="R92" s="243" t="s">
        <v>44</v>
      </c>
      <c r="S92" s="308">
        <v>200</v>
      </c>
      <c r="T92" s="347">
        <v>76.069999999999993</v>
      </c>
      <c r="U92" s="347">
        <v>76.069999999999993</v>
      </c>
      <c r="V92" s="327">
        <f t="shared" si="50"/>
        <v>3460.18</v>
      </c>
      <c r="W92" s="197">
        <f t="shared" si="51"/>
        <v>3967.7799999999997</v>
      </c>
      <c r="X92" s="197" t="e">
        <f>$Y$84 + IF($B$2="mil",1,0.0254)*DDR2Specs!$E$9</f>
        <v>#REF!</v>
      </c>
      <c r="Y92" s="197" t="e">
        <f>$X$84 + IF($B$2="mil",1,0.0254)*DDR2Specs!$F$9</f>
        <v>#REF!</v>
      </c>
      <c r="Z92" s="198" t="e">
        <f t="shared" si="54"/>
        <v>#REF!</v>
      </c>
      <c r="AA92" s="199" t="e">
        <f t="shared" si="55"/>
        <v>#REF!</v>
      </c>
      <c r="AB92" s="327">
        <f t="shared" si="56"/>
        <v>3460.18</v>
      </c>
      <c r="AC92" s="197">
        <f t="shared" si="57"/>
        <v>3967.7799999999997</v>
      </c>
      <c r="AD92" s="197" t="e">
        <f>$AE$84 + IF($B$2="mil",1,0.0254)*DDR2Specs!$E$9</f>
        <v>#REF!</v>
      </c>
      <c r="AE92" s="197" t="e">
        <f>$AD$84 + IF($B$2="mil",1,0.0254)*DDR2Specs!$F$9</f>
        <v>#REF!</v>
      </c>
      <c r="AF92" s="198" t="e">
        <f t="shared" si="58"/>
        <v>#REF!</v>
      </c>
      <c r="AG92" s="199" t="e">
        <f t="shared" si="59"/>
        <v>#REF!</v>
      </c>
      <c r="AH92" s="3"/>
      <c r="AI92" s="3"/>
      <c r="AJ92" s="3"/>
      <c r="AK92" s="3"/>
      <c r="AL92" s="3"/>
      <c r="AM92" s="3"/>
      <c r="AN92" s="3"/>
      <c r="AO92" s="243" t="s">
        <v>44</v>
      </c>
      <c r="AP92" s="348" t="e">
        <f t="shared" si="60"/>
        <v>#REF!</v>
      </c>
      <c r="AQ92" s="3"/>
      <c r="AR92" s="3"/>
      <c r="AS92" s="240" t="s">
        <v>44</v>
      </c>
      <c r="AT92" s="201" t="e">
        <f t="shared" ca="1" si="61"/>
        <v>#NAME?</v>
      </c>
      <c r="AU92" s="201" t="e">
        <f t="shared" ca="1" si="62"/>
        <v>#NAME?</v>
      </c>
      <c r="AV92" s="201" t="e">
        <f t="shared" si="52"/>
        <v>#REF!</v>
      </c>
      <c r="AW92" s="348" t="e">
        <f t="shared" si="53"/>
        <v>#REF!</v>
      </c>
      <c r="AX92" s="162" t="e">
        <f t="shared" ca="1" si="63"/>
        <v>#REF!</v>
      </c>
      <c r="AY92" s="3"/>
    </row>
    <row r="93" spans="5:51">
      <c r="F93" s="377" t="s">
        <v>248</v>
      </c>
      <c r="G93" s="381" t="s">
        <v>253</v>
      </c>
      <c r="R93" s="243" t="s">
        <v>46</v>
      </c>
      <c r="S93" s="308">
        <v>200</v>
      </c>
      <c r="T93" s="347">
        <v>76.09</v>
      </c>
      <c r="U93" s="347">
        <v>76.09</v>
      </c>
      <c r="V93" s="327">
        <f t="shared" si="50"/>
        <v>3342.45</v>
      </c>
      <c r="W93" s="197">
        <f t="shared" si="51"/>
        <v>3838.0499999999997</v>
      </c>
      <c r="X93" s="197" t="e">
        <f>$Y$84 + IF($B$2="mil",1,0.0254)*DDR2Specs!$E$9</f>
        <v>#REF!</v>
      </c>
      <c r="Y93" s="197" t="e">
        <f>$X$84 + IF($B$2="mil",1,0.0254)*DDR2Specs!$F$9</f>
        <v>#REF!</v>
      </c>
      <c r="Z93" s="198" t="e">
        <f t="shared" si="54"/>
        <v>#REF!</v>
      </c>
      <c r="AA93" s="199" t="e">
        <f t="shared" si="55"/>
        <v>#REF!</v>
      </c>
      <c r="AB93" s="327">
        <f t="shared" si="56"/>
        <v>3342.45</v>
      </c>
      <c r="AC93" s="197">
        <f t="shared" si="57"/>
        <v>3838.0499999999997</v>
      </c>
      <c r="AD93" s="197" t="e">
        <f>$AE$84 + IF($B$2="mil",1,0.0254)*DDR2Specs!$E$9</f>
        <v>#REF!</v>
      </c>
      <c r="AE93" s="197" t="e">
        <f>$AD$84 + IF($B$2="mil",1,0.0254)*DDR2Specs!$F$9</f>
        <v>#REF!</v>
      </c>
      <c r="AF93" s="198" t="e">
        <f t="shared" si="58"/>
        <v>#REF!</v>
      </c>
      <c r="AG93" s="199" t="e">
        <f t="shared" si="59"/>
        <v>#REF!</v>
      </c>
      <c r="AH93" s="3"/>
      <c r="AI93" s="3"/>
      <c r="AJ93" s="3"/>
      <c r="AK93" s="3"/>
      <c r="AL93" s="3"/>
      <c r="AM93" s="3"/>
      <c r="AN93" s="3"/>
      <c r="AO93" s="243" t="s">
        <v>46</v>
      </c>
      <c r="AP93" s="348" t="e">
        <f t="shared" si="60"/>
        <v>#REF!</v>
      </c>
      <c r="AQ93" s="3"/>
      <c r="AR93" s="3"/>
      <c r="AS93" s="240" t="s">
        <v>46</v>
      </c>
      <c r="AT93" s="201" t="e">
        <f t="shared" ca="1" si="61"/>
        <v>#NAME?</v>
      </c>
      <c r="AU93" s="201" t="e">
        <f t="shared" ca="1" si="62"/>
        <v>#NAME?</v>
      </c>
      <c r="AV93" s="201" t="e">
        <f t="shared" si="52"/>
        <v>#REF!</v>
      </c>
      <c r="AW93" s="348" t="e">
        <f t="shared" si="53"/>
        <v>#REF!</v>
      </c>
      <c r="AX93" s="162" t="e">
        <f t="shared" ca="1" si="63"/>
        <v>#REF!</v>
      </c>
      <c r="AY93" s="3"/>
    </row>
    <row r="94" spans="5:51">
      <c r="F94" s="377" t="s">
        <v>247</v>
      </c>
      <c r="G94" s="381" t="s">
        <v>254</v>
      </c>
      <c r="R94" s="243" t="s">
        <v>47</v>
      </c>
      <c r="S94" s="308">
        <v>750</v>
      </c>
      <c r="T94" s="347">
        <v>55.8</v>
      </c>
      <c r="U94" s="347">
        <v>55.8</v>
      </c>
      <c r="V94" s="327">
        <f t="shared" si="50"/>
        <v>3382.5200000000004</v>
      </c>
      <c r="W94" s="197">
        <f t="shared" si="51"/>
        <v>3946.2200000000003</v>
      </c>
      <c r="X94" s="197" t="e">
        <f>$Y$84 + IF($B$2="mil",1,0.0254)*DDR2Specs!$E$9</f>
        <v>#REF!</v>
      </c>
      <c r="Y94" s="197" t="e">
        <f>$X$84 + IF($B$2="mil",1,0.0254)*DDR2Specs!$F$9</f>
        <v>#REF!</v>
      </c>
      <c r="Z94" s="198" t="e">
        <f>IF($W94&lt;$X94,$X94-$W94,"Pass")</f>
        <v>#REF!</v>
      </c>
      <c r="AA94" s="199" t="e">
        <f t="shared" si="55"/>
        <v>#REF!</v>
      </c>
      <c r="AB94" s="327">
        <f t="shared" si="56"/>
        <v>3382.5200000000004</v>
      </c>
      <c r="AC94" s="197">
        <f t="shared" si="57"/>
        <v>3946.2200000000003</v>
      </c>
      <c r="AD94" s="197" t="e">
        <f>$AE$84 + IF($B$2="mil",1,0.0254)*DDR2Specs!$E$9</f>
        <v>#REF!</v>
      </c>
      <c r="AE94" s="197" t="e">
        <f>$AD$84 + IF($B$2="mil",1,0.0254)*DDR2Specs!$F$9</f>
        <v>#REF!</v>
      </c>
      <c r="AF94" s="198" t="e">
        <f t="shared" si="58"/>
        <v>#REF!</v>
      </c>
      <c r="AG94" s="199" t="e">
        <f t="shared" si="59"/>
        <v>#REF!</v>
      </c>
      <c r="AH94" s="3"/>
      <c r="AI94" s="3"/>
      <c r="AJ94" s="3"/>
      <c r="AK94" s="3"/>
      <c r="AL94" s="3"/>
      <c r="AM94" s="3"/>
      <c r="AN94" s="3"/>
      <c r="AO94" s="243" t="s">
        <v>47</v>
      </c>
      <c r="AP94" s="348" t="e">
        <f t="shared" si="60"/>
        <v>#REF!</v>
      </c>
      <c r="AQ94" s="3"/>
      <c r="AR94" s="3"/>
      <c r="AS94" s="240" t="s">
        <v>47</v>
      </c>
      <c r="AT94" s="201" t="e">
        <f t="shared" ca="1" si="61"/>
        <v>#NAME?</v>
      </c>
      <c r="AU94" s="201" t="e">
        <f t="shared" ca="1" si="62"/>
        <v>#NAME?</v>
      </c>
      <c r="AV94" s="201" t="e">
        <f t="shared" si="52"/>
        <v>#REF!</v>
      </c>
      <c r="AW94" s="348" t="e">
        <f t="shared" si="53"/>
        <v>#REF!</v>
      </c>
      <c r="AX94" s="162" t="e">
        <f t="shared" ca="1" si="63"/>
        <v>#REF!</v>
      </c>
      <c r="AY94" s="3"/>
    </row>
    <row r="95" spans="5:51">
      <c r="R95" s="243" t="s">
        <v>48</v>
      </c>
      <c r="S95" s="308">
        <v>350</v>
      </c>
      <c r="T95" s="347">
        <v>73.59</v>
      </c>
      <c r="U95" s="347">
        <v>73.59</v>
      </c>
      <c r="V95" s="327">
        <f t="shared" si="50"/>
        <v>3648.3599999999997</v>
      </c>
      <c r="W95" s="197">
        <f t="shared" si="51"/>
        <v>4477.66</v>
      </c>
      <c r="X95" s="197" t="e">
        <f>$Y$84 + IF($B$2="mil",1,0.0254)*DDR2Specs!$E$9</f>
        <v>#REF!</v>
      </c>
      <c r="Y95" s="197" t="e">
        <f>$X$84 + IF($B$2="mil",1,0.0254)*DDR2Specs!$F$9</f>
        <v>#REF!</v>
      </c>
      <c r="Z95" s="198" t="e">
        <f t="shared" si="54"/>
        <v>#REF!</v>
      </c>
      <c r="AA95" s="199" t="e">
        <f t="shared" si="55"/>
        <v>#REF!</v>
      </c>
      <c r="AB95" s="327">
        <f t="shared" si="56"/>
        <v>3648.3599999999997</v>
      </c>
      <c r="AC95" s="197">
        <f t="shared" si="57"/>
        <v>4477.66</v>
      </c>
      <c r="AD95" s="197" t="e">
        <f>$AE$84 + IF($B$2="mil",1,0.0254)*DDR2Specs!$E$9</f>
        <v>#REF!</v>
      </c>
      <c r="AE95" s="197" t="e">
        <f>$AD$84 + IF($B$2="mil",1,0.0254)*DDR2Specs!$F$9</f>
        <v>#REF!</v>
      </c>
      <c r="AF95" s="198" t="e">
        <f t="shared" si="58"/>
        <v>#REF!</v>
      </c>
      <c r="AG95" s="199" t="e">
        <f t="shared" si="59"/>
        <v>#REF!</v>
      </c>
      <c r="AH95" s="3"/>
      <c r="AI95" s="3"/>
      <c r="AJ95" s="3"/>
      <c r="AK95" s="3"/>
      <c r="AL95" s="3"/>
      <c r="AM95" s="3"/>
      <c r="AN95" s="3"/>
      <c r="AO95" s="243" t="s">
        <v>48</v>
      </c>
      <c r="AP95" s="348" t="e">
        <f t="shared" si="60"/>
        <v>#REF!</v>
      </c>
      <c r="AQ95" s="3"/>
      <c r="AR95" s="3"/>
      <c r="AS95" s="240" t="s">
        <v>48</v>
      </c>
      <c r="AT95" s="201" t="e">
        <f t="shared" ca="1" si="61"/>
        <v>#NAME?</v>
      </c>
      <c r="AU95" s="201" t="e">
        <f t="shared" ca="1" si="62"/>
        <v>#NAME?</v>
      </c>
      <c r="AV95" s="201" t="e">
        <f t="shared" si="52"/>
        <v>#REF!</v>
      </c>
      <c r="AW95" s="348" t="e">
        <f t="shared" si="53"/>
        <v>#REF!</v>
      </c>
      <c r="AX95" s="162" t="e">
        <f t="shared" ca="1" si="63"/>
        <v>#REF!</v>
      </c>
      <c r="AY95" s="3"/>
    </row>
    <row r="96" spans="5:51">
      <c r="R96" s="243" t="s">
        <v>50</v>
      </c>
      <c r="S96" s="308">
        <v>250</v>
      </c>
      <c r="T96" s="347">
        <v>31.54</v>
      </c>
      <c r="U96" s="347">
        <v>31.54</v>
      </c>
      <c r="V96" s="327">
        <f t="shared" si="50"/>
        <v>3451.33</v>
      </c>
      <c r="W96" s="197">
        <f t="shared" si="51"/>
        <v>4018.23</v>
      </c>
      <c r="X96" s="197" t="e">
        <f>$Y$84 + IF($B$2="mil",1,0.0254)*DDR2Specs!$E$9</f>
        <v>#REF!</v>
      </c>
      <c r="Y96" s="197" t="e">
        <f>$X$84 + IF($B$2="mil",1,0.0254)*DDR2Specs!$F$9</f>
        <v>#REF!</v>
      </c>
      <c r="Z96" s="198" t="e">
        <f t="shared" si="54"/>
        <v>#REF!</v>
      </c>
      <c r="AA96" s="199" t="e">
        <f t="shared" si="55"/>
        <v>#REF!</v>
      </c>
      <c r="AB96" s="327">
        <f t="shared" si="56"/>
        <v>3451.33</v>
      </c>
      <c r="AC96" s="197">
        <f t="shared" si="57"/>
        <v>4018.23</v>
      </c>
      <c r="AD96" s="197" t="e">
        <f>$AE$84 + IF($B$2="mil",1,0.0254)*DDR2Specs!$E$9</f>
        <v>#REF!</v>
      </c>
      <c r="AE96" s="197" t="e">
        <f>$AD$84 + IF($B$2="mil",1,0.0254)*DDR2Specs!$F$9</f>
        <v>#REF!</v>
      </c>
      <c r="AF96" s="198" t="e">
        <f t="shared" si="58"/>
        <v>#REF!</v>
      </c>
      <c r="AG96" s="199" t="e">
        <f t="shared" si="59"/>
        <v>#REF!</v>
      </c>
      <c r="AH96" s="3"/>
      <c r="AI96" s="3"/>
      <c r="AJ96" s="3"/>
      <c r="AK96" s="3"/>
      <c r="AL96" s="3"/>
      <c r="AM96" s="3"/>
      <c r="AN96" s="3"/>
      <c r="AO96" s="243" t="s">
        <v>50</v>
      </c>
      <c r="AP96" s="348" t="e">
        <f t="shared" si="60"/>
        <v>#REF!</v>
      </c>
      <c r="AQ96" s="3"/>
      <c r="AR96" s="3"/>
      <c r="AS96" s="240" t="s">
        <v>50</v>
      </c>
      <c r="AT96" s="201" t="e">
        <f t="shared" ca="1" si="61"/>
        <v>#NAME?</v>
      </c>
      <c r="AU96" s="201" t="e">
        <f t="shared" ca="1" si="62"/>
        <v>#NAME?</v>
      </c>
      <c r="AV96" s="201" t="e">
        <f t="shared" si="52"/>
        <v>#REF!</v>
      </c>
      <c r="AW96" s="348" t="e">
        <f t="shared" si="53"/>
        <v>#REF!</v>
      </c>
      <c r="AX96" s="162" t="e">
        <f t="shared" ca="1" si="63"/>
        <v>#REF!</v>
      </c>
      <c r="AY96" s="3"/>
    </row>
    <row r="97" spans="18:51">
      <c r="R97" s="243" t="s">
        <v>51</v>
      </c>
      <c r="S97" s="308">
        <v>250</v>
      </c>
      <c r="T97" s="347">
        <v>69.180000000000007</v>
      </c>
      <c r="U97" s="347">
        <v>69.180000000000007</v>
      </c>
      <c r="V97" s="327">
        <f t="shared" si="50"/>
        <v>3515.2299999999996</v>
      </c>
      <c r="W97" s="197">
        <f t="shared" si="51"/>
        <v>4254.9299999999994</v>
      </c>
      <c r="X97" s="197" t="e">
        <f>$Y$84 + IF($B$2="mil",1,0.0254)*DDR2Specs!$E$9</f>
        <v>#REF!</v>
      </c>
      <c r="Y97" s="197" t="e">
        <f>$X$84 + IF($B$2="mil",1,0.0254)*DDR2Specs!$F$9</f>
        <v>#REF!</v>
      </c>
      <c r="Z97" s="198" t="e">
        <f t="shared" si="54"/>
        <v>#REF!</v>
      </c>
      <c r="AA97" s="199" t="e">
        <f t="shared" si="55"/>
        <v>#REF!</v>
      </c>
      <c r="AB97" s="327">
        <f t="shared" si="56"/>
        <v>3515.2299999999996</v>
      </c>
      <c r="AC97" s="197">
        <f t="shared" si="57"/>
        <v>4254.9299999999994</v>
      </c>
      <c r="AD97" s="197" t="e">
        <f>$AE$84 + IF($B$2="mil",1,0.0254)*DDR2Specs!$E$9</f>
        <v>#REF!</v>
      </c>
      <c r="AE97" s="197" t="e">
        <f>$AD$84 + IF($B$2="mil",1,0.0254)*DDR2Specs!$F$9</f>
        <v>#REF!</v>
      </c>
      <c r="AF97" s="198" t="e">
        <f t="shared" si="58"/>
        <v>#REF!</v>
      </c>
      <c r="AG97" s="199" t="e">
        <f t="shared" si="59"/>
        <v>#REF!</v>
      </c>
      <c r="AH97" s="3"/>
      <c r="AI97" s="3"/>
      <c r="AJ97" s="3"/>
      <c r="AK97" s="3"/>
      <c r="AL97" s="3"/>
      <c r="AM97" s="3"/>
      <c r="AN97" s="3"/>
      <c r="AO97" s="243" t="s">
        <v>51</v>
      </c>
      <c r="AP97" s="348" t="e">
        <f t="shared" si="60"/>
        <v>#REF!</v>
      </c>
      <c r="AQ97" s="3"/>
      <c r="AR97" s="3"/>
      <c r="AS97" s="240" t="s">
        <v>51</v>
      </c>
      <c r="AT97" s="201" t="e">
        <f t="shared" ca="1" si="61"/>
        <v>#NAME?</v>
      </c>
      <c r="AU97" s="201" t="e">
        <f t="shared" ca="1" si="62"/>
        <v>#NAME?</v>
      </c>
      <c r="AV97" s="201" t="e">
        <f t="shared" si="52"/>
        <v>#REF!</v>
      </c>
      <c r="AW97" s="348" t="e">
        <f t="shared" si="53"/>
        <v>#REF!</v>
      </c>
      <c r="AX97" s="162" t="e">
        <f t="shared" ca="1" si="63"/>
        <v>#REF!</v>
      </c>
      <c r="AY97" s="3"/>
    </row>
    <row r="98" spans="18:51">
      <c r="R98" s="243" t="s">
        <v>52</v>
      </c>
      <c r="S98" s="308">
        <v>140</v>
      </c>
      <c r="T98" s="347">
        <v>29.07</v>
      </c>
      <c r="U98" s="347">
        <v>29.07</v>
      </c>
      <c r="V98" s="327">
        <f t="shared" si="50"/>
        <v>3575.84</v>
      </c>
      <c r="W98" s="197">
        <f t="shared" si="51"/>
        <v>4318.04</v>
      </c>
      <c r="X98" s="197" t="e">
        <f>$Y$84 + IF($B$2="mil",1,0.0254)*DDR2Specs!$E$9</f>
        <v>#REF!</v>
      </c>
      <c r="Y98" s="197" t="e">
        <f>$X$84 + IF($B$2="mil",1,0.0254)*DDR2Specs!$F$9</f>
        <v>#REF!</v>
      </c>
      <c r="Z98" s="198" t="e">
        <f t="shared" si="54"/>
        <v>#REF!</v>
      </c>
      <c r="AA98" s="199" t="e">
        <f t="shared" si="55"/>
        <v>#REF!</v>
      </c>
      <c r="AB98" s="327">
        <f t="shared" si="56"/>
        <v>3575.84</v>
      </c>
      <c r="AC98" s="197">
        <f t="shared" si="57"/>
        <v>4318.04</v>
      </c>
      <c r="AD98" s="197" t="e">
        <f>$AE$84 + IF($B$2="mil",1,0.0254)*DDR2Specs!$E$9</f>
        <v>#REF!</v>
      </c>
      <c r="AE98" s="197" t="e">
        <f>$AD$84 + IF($B$2="mil",1,0.0254)*DDR2Specs!$F$9</f>
        <v>#REF!</v>
      </c>
      <c r="AF98" s="198" t="e">
        <f t="shared" si="58"/>
        <v>#REF!</v>
      </c>
      <c r="AG98" s="199" t="e">
        <f t="shared" si="59"/>
        <v>#REF!</v>
      </c>
      <c r="AH98" s="3"/>
      <c r="AI98" s="3"/>
      <c r="AJ98" s="3"/>
      <c r="AK98" s="3"/>
      <c r="AL98" s="3"/>
      <c r="AM98" s="3"/>
      <c r="AN98" s="3"/>
      <c r="AO98" s="243" t="s">
        <v>52</v>
      </c>
      <c r="AP98" s="348" t="e">
        <f t="shared" si="60"/>
        <v>#REF!</v>
      </c>
      <c r="AQ98" s="3"/>
      <c r="AR98" s="3"/>
      <c r="AS98" s="240" t="s">
        <v>52</v>
      </c>
      <c r="AT98" s="201" t="e">
        <f t="shared" ca="1" si="61"/>
        <v>#NAME?</v>
      </c>
      <c r="AU98" s="201" t="e">
        <f t="shared" ca="1" si="62"/>
        <v>#NAME?</v>
      </c>
      <c r="AV98" s="201" t="e">
        <f t="shared" si="52"/>
        <v>#REF!</v>
      </c>
      <c r="AW98" s="348" t="e">
        <f t="shared" si="53"/>
        <v>#REF!</v>
      </c>
      <c r="AX98" s="162" t="e">
        <f t="shared" ca="1" si="63"/>
        <v>#REF!</v>
      </c>
      <c r="AY98" s="3"/>
    </row>
    <row r="99" spans="18:51">
      <c r="R99" s="243" t="s">
        <v>53</v>
      </c>
      <c r="S99" s="308">
        <v>120</v>
      </c>
      <c r="T99" s="347">
        <v>29.07</v>
      </c>
      <c r="U99" s="347">
        <v>29.07</v>
      </c>
      <c r="V99" s="327">
        <f t="shared" si="50"/>
        <v>3455.84</v>
      </c>
      <c r="W99" s="197">
        <f t="shared" si="51"/>
        <v>3957.84</v>
      </c>
      <c r="X99" s="197" t="e">
        <f>$Y$84 + IF($B$2="mil",1,0.0254)*DDR2Specs!$E$9</f>
        <v>#REF!</v>
      </c>
      <c r="Y99" s="197" t="e">
        <f>$X$84 + IF($B$2="mil",1,0.0254)*DDR2Specs!$F$9</f>
        <v>#REF!</v>
      </c>
      <c r="Z99" s="198" t="e">
        <f t="shared" si="54"/>
        <v>#REF!</v>
      </c>
      <c r="AA99" s="199" t="e">
        <f t="shared" si="55"/>
        <v>#REF!</v>
      </c>
      <c r="AB99" s="327">
        <f t="shared" si="56"/>
        <v>3455.84</v>
      </c>
      <c r="AC99" s="197">
        <f t="shared" si="57"/>
        <v>3957.84</v>
      </c>
      <c r="AD99" s="197" t="e">
        <f>$AE$84 + IF($B$2="mil",1,0.0254)*DDR2Specs!$E$9</f>
        <v>#REF!</v>
      </c>
      <c r="AE99" s="197" t="e">
        <f>$AD$84 + IF($B$2="mil",1,0.0254)*DDR2Specs!$F$9</f>
        <v>#REF!</v>
      </c>
      <c r="AF99" s="198" t="e">
        <f t="shared" si="58"/>
        <v>#REF!</v>
      </c>
      <c r="AG99" s="199" t="e">
        <f t="shared" si="59"/>
        <v>#REF!</v>
      </c>
      <c r="AH99" s="3"/>
      <c r="AI99" s="3"/>
      <c r="AJ99" s="3"/>
      <c r="AK99" s="3"/>
      <c r="AL99" s="3"/>
      <c r="AM99" s="3"/>
      <c r="AN99" s="3"/>
      <c r="AO99" s="243" t="s">
        <v>53</v>
      </c>
      <c r="AP99" s="348" t="e">
        <f t="shared" si="60"/>
        <v>#REF!</v>
      </c>
      <c r="AQ99" s="3"/>
      <c r="AR99" s="3"/>
      <c r="AS99" s="240" t="s">
        <v>53</v>
      </c>
      <c r="AT99" s="201" t="e">
        <f t="shared" ca="1" si="61"/>
        <v>#NAME?</v>
      </c>
      <c r="AU99" s="201" t="e">
        <f t="shared" ca="1" si="62"/>
        <v>#NAME?</v>
      </c>
      <c r="AV99" s="201" t="e">
        <f t="shared" si="52"/>
        <v>#REF!</v>
      </c>
      <c r="AW99" s="348" t="e">
        <f t="shared" si="53"/>
        <v>#REF!</v>
      </c>
      <c r="AX99" s="162" t="e">
        <f t="shared" ca="1" si="63"/>
        <v>#REF!</v>
      </c>
      <c r="AY99" s="3"/>
    </row>
    <row r="100" spans="18:51">
      <c r="R100" s="205" t="s">
        <v>230</v>
      </c>
      <c r="S100" s="338"/>
      <c r="T100" s="331"/>
      <c r="U100" s="331"/>
      <c r="V100" s="209"/>
      <c r="W100" s="209"/>
      <c r="X100" s="209"/>
      <c r="Y100" s="209"/>
      <c r="Z100" s="212"/>
      <c r="AA100" s="212"/>
      <c r="AB100" s="209"/>
      <c r="AC100" s="209"/>
      <c r="AD100" s="209"/>
      <c r="AE100" s="209"/>
      <c r="AF100" s="212"/>
      <c r="AG100" s="212"/>
      <c r="AH100" s="3"/>
      <c r="AI100" s="3"/>
      <c r="AJ100" s="3"/>
      <c r="AK100" s="3"/>
      <c r="AL100" s="3"/>
      <c r="AM100" s="3"/>
      <c r="AN100" s="3"/>
      <c r="AO100" s="205" t="s">
        <v>230</v>
      </c>
      <c r="AP100" s="349"/>
      <c r="AQ100" s="3"/>
      <c r="AR100" s="3"/>
      <c r="AS100" s="205" t="s">
        <v>230</v>
      </c>
      <c r="AT100" s="183"/>
      <c r="AU100" s="183"/>
      <c r="AV100" s="183"/>
      <c r="AW100" s="350"/>
      <c r="AX100" s="3"/>
      <c r="AY100" s="3"/>
    </row>
    <row r="101" spans="18:51">
      <c r="R101" s="186" t="s">
        <v>54</v>
      </c>
      <c r="S101" s="311">
        <v>40.28</v>
      </c>
      <c r="T101" s="345">
        <v>75.430000000000007</v>
      </c>
      <c r="U101" s="345">
        <v>75.430000000000007</v>
      </c>
      <c r="V101" s="327">
        <f>SUM($E49:$H49,$M49,$N49,$P49,$Q49,$S101,$T101)</f>
        <v>3505.0899999999997</v>
      </c>
      <c r="W101" s="197">
        <f>$V101+$C49</f>
        <v>3818.4364566929125</v>
      </c>
      <c r="X101" s="197" t="e">
        <f>$Y$84 + IF($B$2="mil",1,0.0254)*DDR2Specs!$E$9</f>
        <v>#REF!</v>
      </c>
      <c r="Y101" s="197" t="e">
        <f>$X$84 + IF($B$2="mil",1,0.0254)*DDR2Specs!$F$9</f>
        <v>#REF!</v>
      </c>
      <c r="Z101" s="198" t="e">
        <f>IF($W101&lt;$X101,$X101-$W101,"Pass")</f>
        <v>#REF!</v>
      </c>
      <c r="AA101" s="199" t="e">
        <f>IF($W101&gt;$Y101,$W101-$Y101,"Pass")</f>
        <v>#REF!</v>
      </c>
      <c r="AB101" s="327">
        <f t="shared" si="56"/>
        <v>3505.0899999999997</v>
      </c>
      <c r="AC101" s="197">
        <f t="shared" si="57"/>
        <v>3818.4364566929125</v>
      </c>
      <c r="AD101" s="197" t="e">
        <f>$AE$84 + IF($B$2="mil",1,0.0254)*DDR2Specs!$E$9</f>
        <v>#REF!</v>
      </c>
      <c r="AE101" s="197" t="e">
        <f>$AD$84 + IF($B$2="mil",1,0.0254)*DDR2Specs!$F$9</f>
        <v>#REF!</v>
      </c>
      <c r="AF101" s="198" t="e">
        <f t="shared" si="58"/>
        <v>#REF!</v>
      </c>
      <c r="AG101" s="199" t="e">
        <f t="shared" si="59"/>
        <v>#REF!</v>
      </c>
      <c r="AH101" s="3"/>
      <c r="AI101" s="3"/>
      <c r="AJ101" s="3"/>
      <c r="AK101" s="3"/>
      <c r="AL101" s="3"/>
      <c r="AM101" s="3"/>
      <c r="AN101" s="3"/>
      <c r="AO101" s="186" t="s">
        <v>54</v>
      </c>
      <c r="AP101" s="348" t="e">
        <f t="shared" si="60"/>
        <v>#REF!</v>
      </c>
      <c r="AQ101" s="3"/>
      <c r="AR101" s="3"/>
      <c r="AS101" s="185" t="s">
        <v>54</v>
      </c>
      <c r="AT101" s="201" t="e">
        <f ca="1">CheckLength2(900,S101,T101,0)</f>
        <v>#NAME?</v>
      </c>
      <c r="AU101" s="201" t="e">
        <f ca="1">CheckLength2(900,S101,U101,0)</f>
        <v>#NAME?</v>
      </c>
      <c r="AV101" s="201" t="e">
        <f>IF(AND(V101&gt;=IF($B$2="mil",1,0.0254)*500, $V101&lt;=IF($B$2="mil",1,0.0254)*7500),"Pass",IF($B$2="mil",1,0.0254)*7500-$V101)</f>
        <v>#REF!</v>
      </c>
      <c r="AW101" s="348" t="e">
        <f>IF(AND($W101&gt;=IF($B$2="mil",1,0.0254)*500, $W101&lt;=IF($B$2="mil",1,0.0254)*8000),"Pass",IF($B$2="mil",1,0.0254)*8000-$W101)</f>
        <v>#REF!</v>
      </c>
      <c r="AX101" s="162" t="e">
        <f t="shared" ca="1" si="63"/>
        <v>#REF!</v>
      </c>
      <c r="AY101" s="3"/>
    </row>
    <row r="102" spans="18:51">
      <c r="R102" s="242" t="s">
        <v>55</v>
      </c>
      <c r="S102" s="311">
        <v>313.86</v>
      </c>
      <c r="T102" s="346">
        <v>58.08</v>
      </c>
      <c r="U102" s="346">
        <v>58.08</v>
      </c>
      <c r="V102" s="327">
        <f>SUM($E50:$H50,$M50,$N50,$P50,$Q50,$S102,$T102)</f>
        <v>3542.1099999999997</v>
      </c>
      <c r="W102" s="197">
        <f>$V102+$C50</f>
        <v>3899.5903149606297</v>
      </c>
      <c r="X102" s="197" t="e">
        <f>$Y$84 + IF($B$2="mil",1,0.0254)*DDR2Specs!$E$9</f>
        <v>#REF!</v>
      </c>
      <c r="Y102" s="197" t="e">
        <f>$X$84 + IF($B$2="mil",1,0.0254)*DDR2Specs!$F$9</f>
        <v>#REF!</v>
      </c>
      <c r="Z102" s="198" t="e">
        <f>IF($W102&lt;$X102,$X102-$W102,"Pass")</f>
        <v>#REF!</v>
      </c>
      <c r="AA102" s="199" t="e">
        <f>IF($W102&gt;$Y102,$W102-$Y102,"Pass")</f>
        <v>#REF!</v>
      </c>
      <c r="AB102" s="327">
        <f t="shared" si="56"/>
        <v>3542.1099999999997</v>
      </c>
      <c r="AC102" s="197">
        <f t="shared" si="57"/>
        <v>3899.5903149606297</v>
      </c>
      <c r="AD102" s="197" t="e">
        <f>$AE$84 + IF($B$2="mil",1,0.0254)*DDR2Specs!$E$9</f>
        <v>#REF!</v>
      </c>
      <c r="AE102" s="197" t="e">
        <f>$AD$84 + IF($B$2="mil",1,0.0254)*DDR2Specs!$F$9</f>
        <v>#REF!</v>
      </c>
      <c r="AF102" s="198" t="e">
        <f t="shared" si="58"/>
        <v>#REF!</v>
      </c>
      <c r="AG102" s="199" t="e">
        <f t="shared" si="59"/>
        <v>#REF!</v>
      </c>
      <c r="AH102" s="3"/>
      <c r="AI102" s="3"/>
      <c r="AJ102" s="3"/>
      <c r="AK102" s="3"/>
      <c r="AL102" s="3"/>
      <c r="AM102" s="3"/>
      <c r="AN102" s="3"/>
      <c r="AO102" s="242" t="s">
        <v>55</v>
      </c>
      <c r="AP102" s="348" t="e">
        <f t="shared" si="60"/>
        <v>#REF!</v>
      </c>
      <c r="AQ102" s="3"/>
      <c r="AR102" s="3"/>
      <c r="AS102" s="241" t="s">
        <v>55</v>
      </c>
      <c r="AT102" s="201" t="e">
        <f ca="1">CheckLength2(900,S102,T102,0)</f>
        <v>#NAME?</v>
      </c>
      <c r="AU102" s="201" t="e">
        <f ca="1">CheckLength2(900,S102,U102,0)</f>
        <v>#NAME?</v>
      </c>
      <c r="AV102" s="201" t="e">
        <f>IF(AND(V102&gt;=IF($B$2="mil",1,0.0254)*500, $V102&lt;=IF($B$2="mil",1,0.0254)*7500),"Pass",IF($B$2="mil",1,0.0254)*7500-$V102)</f>
        <v>#REF!</v>
      </c>
      <c r="AW102" s="348" t="e">
        <f>IF(AND($W102&gt;=IF($B$2="mil",1,0.0254)*500, $W102&lt;=IF($B$2="mil",1,0.0254)*8000),"Pass",IF($B$2="mil",1,0.0254)*8000-$W102)</f>
        <v>#REF!</v>
      </c>
      <c r="AX102" s="162" t="e">
        <f t="shared" ca="1" si="63"/>
        <v>#REF!</v>
      </c>
      <c r="AY102" s="3"/>
    </row>
    <row r="103" spans="18:51">
      <c r="R103" s="242" t="s">
        <v>56</v>
      </c>
      <c r="S103" s="311">
        <v>477.88</v>
      </c>
      <c r="T103" s="344">
        <v>78.75</v>
      </c>
      <c r="U103" s="344">
        <v>78.75</v>
      </c>
      <c r="V103" s="327">
        <f>SUM($E51:$H51,$M51,$N51,$P51,$Q51,$S103,$T103)</f>
        <v>3407.58</v>
      </c>
      <c r="W103" s="197">
        <f>$V103+$C51</f>
        <v>4375.8083464566926</v>
      </c>
      <c r="X103" s="197" t="e">
        <f>$Y$84 + IF($B$2="mil",1,0.0254)*DDR2Specs!$E$9</f>
        <v>#REF!</v>
      </c>
      <c r="Y103" s="197" t="e">
        <f>$X$84 + IF($B$2="mil",1,0.0254)*DDR2Specs!$F$9</f>
        <v>#REF!</v>
      </c>
      <c r="Z103" s="198" t="e">
        <f>IF($W103&lt;$X103,$X103-$W103,"Pass")</f>
        <v>#REF!</v>
      </c>
      <c r="AA103" s="199" t="e">
        <f>IF($W103&gt;$Y103,$W103-$Y103,"Pass")</f>
        <v>#REF!</v>
      </c>
      <c r="AB103" s="327">
        <f t="shared" si="56"/>
        <v>3407.58</v>
      </c>
      <c r="AC103" s="197">
        <f t="shared" si="57"/>
        <v>4375.8083464566926</v>
      </c>
      <c r="AD103" s="197" t="e">
        <f>$AE$84 + IF($B$2="mil",1,0.0254)*DDR2Specs!$E$9</f>
        <v>#REF!</v>
      </c>
      <c r="AE103" s="197" t="e">
        <f>$AD$84 + IF($B$2="mil",1,0.0254)*DDR2Specs!$F$9</f>
        <v>#REF!</v>
      </c>
      <c r="AF103" s="198" t="e">
        <f t="shared" si="58"/>
        <v>#REF!</v>
      </c>
      <c r="AG103" s="199" t="e">
        <f t="shared" si="59"/>
        <v>#REF!</v>
      </c>
      <c r="AH103" s="3"/>
      <c r="AI103" s="3"/>
      <c r="AJ103" s="3"/>
      <c r="AK103" s="3"/>
      <c r="AL103" s="3"/>
      <c r="AM103" s="3"/>
      <c r="AN103" s="3"/>
      <c r="AO103" s="242" t="s">
        <v>56</v>
      </c>
      <c r="AP103" s="348" t="e">
        <f t="shared" si="60"/>
        <v>#REF!</v>
      </c>
      <c r="AQ103" s="3"/>
      <c r="AR103" s="3"/>
      <c r="AS103" s="241" t="s">
        <v>56</v>
      </c>
      <c r="AT103" s="201" t="e">
        <f ca="1">CheckLength2(900,S103,T103,0)</f>
        <v>#NAME?</v>
      </c>
      <c r="AU103" s="201" t="e">
        <f ca="1">CheckLength2(900,S103,U103,0)</f>
        <v>#NAME?</v>
      </c>
      <c r="AV103" s="201" t="e">
        <f>IF(AND(V103&gt;=IF($B$2="mil",1,0.0254)*500, $V103&lt;=IF($B$2="mil",1,0.0254)*7500),"Pass",IF($B$2="mil",1,0.0254)*7500-$V103)</f>
        <v>#REF!</v>
      </c>
      <c r="AW103" s="348" t="e">
        <f>IF(AND($W103&gt;=IF($B$2="mil",1,0.0254)*500, $W103&lt;=IF($B$2="mil",1,0.0254)*8000),"Pass",IF($B$2="mil",1,0.0254)*8000-$W103)</f>
        <v>#REF!</v>
      </c>
      <c r="AX103" s="162" t="e">
        <f t="shared" ca="1" si="63"/>
        <v>#REF!</v>
      </c>
      <c r="AY103" s="3"/>
    </row>
    <row r="104" spans="18:51">
      <c r="R104" s="205" t="s">
        <v>231</v>
      </c>
      <c r="S104" s="338"/>
      <c r="T104" s="207"/>
      <c r="U104" s="207"/>
      <c r="V104" s="209"/>
      <c r="W104" s="209"/>
      <c r="X104" s="209"/>
      <c r="Y104" s="209"/>
      <c r="Z104" s="212"/>
      <c r="AA104" s="212"/>
      <c r="AB104" s="209"/>
      <c r="AC104" s="209"/>
      <c r="AD104" s="209"/>
      <c r="AE104" s="209"/>
      <c r="AF104" s="212"/>
      <c r="AG104" s="212"/>
      <c r="AH104" s="3"/>
      <c r="AI104" s="3"/>
      <c r="AJ104" s="3"/>
      <c r="AK104" s="3"/>
      <c r="AL104" s="3"/>
      <c r="AM104" s="3"/>
      <c r="AN104" s="3"/>
      <c r="AO104" s="205" t="s">
        <v>231</v>
      </c>
      <c r="AP104" s="350"/>
      <c r="AQ104" s="3"/>
      <c r="AR104" s="3"/>
      <c r="AS104" s="205" t="s">
        <v>231</v>
      </c>
      <c r="AT104" s="212"/>
      <c r="AU104" s="212"/>
      <c r="AV104" s="212"/>
      <c r="AW104" s="350"/>
      <c r="AX104" s="3"/>
      <c r="AY104" s="3"/>
    </row>
    <row r="105" spans="18:51">
      <c r="R105" s="186" t="s">
        <v>58</v>
      </c>
      <c r="S105" s="311">
        <v>327.79</v>
      </c>
      <c r="T105" s="344">
        <v>27.77</v>
      </c>
      <c r="U105" s="344">
        <v>27.77</v>
      </c>
      <c r="V105" s="327">
        <f>SUM($E53:$H53,$M53,$N53,$P53,$Q53,$S105,$T105)</f>
        <v>3342.3899999999994</v>
      </c>
      <c r="W105" s="197">
        <f>$V105+$C53</f>
        <v>3691.8899999999994</v>
      </c>
      <c r="X105" s="197" t="e">
        <f>$Y$84 + IF($B$2="mil",1,0.0254)*DDR2Specs!$E$9</f>
        <v>#REF!</v>
      </c>
      <c r="Y105" s="197" t="e">
        <f>$X$84 + IF($B$2="mil",1,0.0254)*DDR2Specs!$F$9</f>
        <v>#REF!</v>
      </c>
      <c r="Z105" s="198" t="e">
        <f>IF($W105&lt;$X105,$X105-$W105,"Pass")</f>
        <v>#REF!</v>
      </c>
      <c r="AA105" s="199" t="e">
        <f>IF($W105&gt;$Y105,$W105-$Y105,"Pass")</f>
        <v>#REF!</v>
      </c>
      <c r="AB105" s="327">
        <f t="shared" si="56"/>
        <v>3342.3899999999994</v>
      </c>
      <c r="AC105" s="197">
        <f t="shared" si="57"/>
        <v>3691.8899999999994</v>
      </c>
      <c r="AD105" s="197" t="e">
        <f>$AE$84 + IF($B$2="mil",1,0.0254)*DDR2Specs!$E$9</f>
        <v>#REF!</v>
      </c>
      <c r="AE105" s="197" t="e">
        <f>$AD$84 + IF($B$2="mil",1,0.0254)*DDR2Specs!$F$9</f>
        <v>#REF!</v>
      </c>
      <c r="AF105" s="198" t="e">
        <f t="shared" si="58"/>
        <v>#REF!</v>
      </c>
      <c r="AG105" s="199" t="e">
        <f t="shared" si="59"/>
        <v>#REF!</v>
      </c>
      <c r="AH105" s="3"/>
      <c r="AI105" s="3"/>
      <c r="AJ105" s="3"/>
      <c r="AK105" s="3"/>
      <c r="AL105" s="3"/>
      <c r="AM105" s="3"/>
      <c r="AN105" s="3"/>
      <c r="AO105" s="186" t="s">
        <v>58</v>
      </c>
      <c r="AP105" s="348" t="e">
        <f t="shared" si="60"/>
        <v>#REF!</v>
      </c>
      <c r="AQ105" s="3"/>
      <c r="AR105" s="3"/>
      <c r="AS105" s="185" t="s">
        <v>58</v>
      </c>
      <c r="AT105" s="201" t="e">
        <f ca="1">CheckLength2(900,S105,T105,0)</f>
        <v>#NAME?</v>
      </c>
      <c r="AU105" s="201" t="e">
        <f ca="1">CheckLength2(900,S105,U105,0)</f>
        <v>#NAME?</v>
      </c>
      <c r="AV105" s="201" t="e">
        <f>IF(AND(V105&gt;=IF($B$2="mil",1,0.0254)*500, $V105&lt;=IF($B$2="mil",1,0.0254)*7500),"Pass",IF($B$2="mil",1,0.0254)*7500-$V105)</f>
        <v>#REF!</v>
      </c>
      <c r="AW105" s="348" t="e">
        <f>IF(AND($W105&gt;=IF($B$2="mil",1,0.0254)*500, $W105&lt;=IF($B$2="mil",1,0.0254)*8000),"Pass",IF($B$2="mil",1,0.0254)*8000-$W105)</f>
        <v>#REF!</v>
      </c>
      <c r="AX105" s="162" t="e">
        <f t="shared" ca="1" si="63"/>
        <v>#REF!</v>
      </c>
      <c r="AY105" s="3"/>
    </row>
    <row r="106" spans="18:51">
      <c r="R106" s="243" t="s">
        <v>59</v>
      </c>
      <c r="S106" s="311">
        <v>251.98</v>
      </c>
      <c r="T106" s="344">
        <v>56.02</v>
      </c>
      <c r="U106" s="344">
        <v>56.02</v>
      </c>
      <c r="V106" s="327">
        <f>SUM($E54:$H54,$M54,$N54,$P54,$Q54,$S106,$T106)</f>
        <v>3423.9899999999993</v>
      </c>
      <c r="W106" s="197">
        <f>$V106+$C54</f>
        <v>4134.5899999999992</v>
      </c>
      <c r="X106" s="197" t="e">
        <f>$Y$84 + IF($B$2="mil",1,0.0254)*DDR2Specs!$E$9</f>
        <v>#REF!</v>
      </c>
      <c r="Y106" s="197" t="e">
        <f>$X$84 + IF($B$2="mil",1,0.0254)*DDR2Specs!$F$9</f>
        <v>#REF!</v>
      </c>
      <c r="Z106" s="198" t="e">
        <f>IF($W106&lt;$X106,$X106-$W106,"Pass")</f>
        <v>#REF!</v>
      </c>
      <c r="AA106" s="199" t="e">
        <f>IF($W106&gt;$Y106,$W106-$Y106,"Pass")</f>
        <v>#REF!</v>
      </c>
      <c r="AB106" s="327">
        <f t="shared" si="56"/>
        <v>3423.9899999999993</v>
      </c>
      <c r="AC106" s="197">
        <f t="shared" si="57"/>
        <v>4134.5899999999992</v>
      </c>
      <c r="AD106" s="197" t="e">
        <f>$AE$84 + IF($B$2="mil",1,0.0254)*DDR2Specs!$E$9</f>
        <v>#REF!</v>
      </c>
      <c r="AE106" s="197" t="e">
        <f>$AD$84 + IF($B$2="mil",1,0.0254)*DDR2Specs!$F$9</f>
        <v>#REF!</v>
      </c>
      <c r="AF106" s="198" t="e">
        <f t="shared" si="58"/>
        <v>#REF!</v>
      </c>
      <c r="AG106" s="199" t="e">
        <f t="shared" si="59"/>
        <v>#REF!</v>
      </c>
      <c r="AH106" s="3"/>
      <c r="AI106" s="3"/>
      <c r="AJ106" s="3"/>
      <c r="AK106" s="3"/>
      <c r="AL106" s="3"/>
      <c r="AM106" s="3"/>
      <c r="AN106" s="3"/>
      <c r="AO106" s="243" t="s">
        <v>59</v>
      </c>
      <c r="AP106" s="348" t="e">
        <f t="shared" si="60"/>
        <v>#REF!</v>
      </c>
      <c r="AQ106" s="3"/>
      <c r="AR106" s="3"/>
      <c r="AS106" s="240" t="s">
        <v>59</v>
      </c>
      <c r="AT106" s="201" t="e">
        <f ca="1">CheckLength2(900,S106,T106,0)</f>
        <v>#NAME?</v>
      </c>
      <c r="AU106" s="201" t="e">
        <f ca="1">CheckLength2(900,S106,U106,0)</f>
        <v>#NAME?</v>
      </c>
      <c r="AV106" s="201" t="e">
        <f>IF(AND(V106&gt;=IF($B$2="mil",1,0.0254)*500, $V106&lt;=IF($B$2="mil",1,0.0254)*7500),"Pass",IF($B$2="mil",1,0.0254)*7500-$V106)</f>
        <v>#REF!</v>
      </c>
      <c r="AW106" s="348" t="e">
        <f>IF(AND($W106&gt;=IF($B$2="mil",1,0.0254)*500, $W106&lt;=IF($B$2="mil",1,0.0254)*8000),"Pass",IF($B$2="mil",1,0.0254)*8000-$W106)</f>
        <v>#REF!</v>
      </c>
      <c r="AX106" s="162" t="e">
        <f t="shared" ca="1" si="63"/>
        <v>#REF!</v>
      </c>
      <c r="AY106" s="3"/>
    </row>
    <row r="107" spans="18:51">
      <c r="R107" s="243" t="s">
        <v>60</v>
      </c>
      <c r="S107" s="311">
        <v>321.8</v>
      </c>
      <c r="T107" s="344">
        <v>28.25</v>
      </c>
      <c r="U107" s="344">
        <v>28.25</v>
      </c>
      <c r="V107" s="327">
        <f>SUM($E55:$H55,$M55,$N55,$P55,$Q55,$S107,$T107)</f>
        <v>3402.9</v>
      </c>
      <c r="W107" s="197">
        <f>$V107+$C55</f>
        <v>3764.6</v>
      </c>
      <c r="X107" s="197" t="e">
        <f>$Y$84 + IF($B$2="mil",1,0.0254)*DDR2Specs!$E$9</f>
        <v>#REF!</v>
      </c>
      <c r="Y107" s="197" t="e">
        <f>$X$84 + IF($B$2="mil",1,0.0254)*DDR2Specs!$F$9</f>
        <v>#REF!</v>
      </c>
      <c r="Z107" s="198" t="e">
        <f>IF($W107&lt;$X107,$X107-$W107,"Pass")</f>
        <v>#REF!</v>
      </c>
      <c r="AA107" s="199" t="e">
        <f>IF($W107&gt;$Y107,$W107-$Y107,"Pass")</f>
        <v>#REF!</v>
      </c>
      <c r="AB107" s="327">
        <f t="shared" si="56"/>
        <v>3402.9</v>
      </c>
      <c r="AC107" s="197">
        <f t="shared" si="57"/>
        <v>3764.6</v>
      </c>
      <c r="AD107" s="197" t="e">
        <f>$AE$84 + IF($B$2="mil",1,0.0254)*DDR2Specs!$E$9</f>
        <v>#REF!</v>
      </c>
      <c r="AE107" s="197" t="e">
        <f>$AD$84 + IF($B$2="mil",1,0.0254)*DDR2Specs!$F$9</f>
        <v>#REF!</v>
      </c>
      <c r="AF107" s="198" t="e">
        <f t="shared" si="58"/>
        <v>#REF!</v>
      </c>
      <c r="AG107" s="199" t="e">
        <f t="shared" si="59"/>
        <v>#REF!</v>
      </c>
      <c r="AH107" s="3"/>
      <c r="AI107" s="3"/>
      <c r="AJ107" s="3"/>
      <c r="AK107" s="3"/>
      <c r="AL107" s="3"/>
      <c r="AM107" s="3"/>
      <c r="AN107" s="3"/>
      <c r="AO107" s="243" t="s">
        <v>60</v>
      </c>
      <c r="AP107" s="348" t="e">
        <f t="shared" si="60"/>
        <v>#REF!</v>
      </c>
      <c r="AQ107" s="3"/>
      <c r="AR107" s="3"/>
      <c r="AS107" s="240" t="s">
        <v>60</v>
      </c>
      <c r="AT107" s="201" t="e">
        <f ca="1">CheckLength2(900,S107,T107,0)</f>
        <v>#NAME?</v>
      </c>
      <c r="AU107" s="201" t="e">
        <f ca="1">CheckLength2(900,S107,U107,0)</f>
        <v>#NAME?</v>
      </c>
      <c r="AV107" s="201" t="e">
        <f>IF(AND(V107&gt;=IF($B$2="mil",1,0.0254)*500, $V107&lt;=IF($B$2="mil",1,0.0254)*7500),"Pass",IF($B$2="mil",1,0.0254)*7500-$V107)</f>
        <v>#REF!</v>
      </c>
      <c r="AW107" s="348" t="e">
        <f>IF(AND($W107&gt;=IF($B$2="mil",1,0.0254)*500, $W107&lt;=IF($B$2="mil",1,0.0254)*8000),"Pass",IF($B$2="mil",1,0.0254)*8000-$W107)</f>
        <v>#REF!</v>
      </c>
      <c r="AX107" s="162" t="e">
        <f t="shared" ca="1" si="63"/>
        <v>#REF!</v>
      </c>
      <c r="AY107" s="3"/>
    </row>
    <row r="108" spans="18:51">
      <c r="R108" s="329" t="s">
        <v>31</v>
      </c>
      <c r="S108" s="144" t="e">
        <f>"Trace L9-2 ["&amp;$B$2&amp;"]"</f>
        <v>#REF!</v>
      </c>
      <c r="T108" s="144" t="e">
        <f>"Trace L10-7 to U4 ["&amp;$B$2&amp;"]"</f>
        <v>#REF!</v>
      </c>
      <c r="U108" s="144" t="e">
        <f>"Trace L10-8 to U8 ["&amp;$B$2&amp;"]"</f>
        <v>#REF!</v>
      </c>
      <c r="V108" s="144" t="e">
        <f>"Total MB Length to U4 (L0+L1+L2+S1+L5+Rs+L6+L7+L8-2+L9-2+L10-7) ["&amp;$B$2&amp;"]"</f>
        <v>#REF!</v>
      </c>
      <c r="W108" s="144" t="e">
        <f>"Total Pad to Pin U4 (P1+LL0+L1+L2+S1+L5+Rs+L6+L7+L8-2+L9-2+L10-7) ["&amp;$B$2&amp;"]"</f>
        <v>#REF!</v>
      </c>
      <c r="X108" s="151" t="e">
        <f>"Target Min Length  to U4["&amp;$B$2&amp;"]"</f>
        <v>#REF!</v>
      </c>
      <c r="Y108" s="150" t="e">
        <f>"Target Max Length  to U4 ["&amp;$B$2&amp;"]"</f>
        <v>#REF!</v>
      </c>
      <c r="Z108" s="152" t="e">
        <f>"Routed Too Short to U4 [" &amp;$B$2&amp;"]"</f>
        <v>#REF!</v>
      </c>
      <c r="AA108" s="151" t="e">
        <f>"Routed Too Long to U4 [" &amp;$B$2&amp;"]"</f>
        <v>#REF!</v>
      </c>
      <c r="AB108" s="144" t="e">
        <f>"Total MB Length to U8 (L0+L1+L2+S1+L5+Rs+L6+L7+L8-2+L9-2+L10-8) ["&amp;$B$2&amp;"]"</f>
        <v>#REF!</v>
      </c>
      <c r="AC108" s="144" t="e">
        <f>"Total Pad to Pin U8 (P1+LL0+L1+L2+S1+L5+Rs+L6+L7+L8-2+L9-2+L10-8) ["&amp;$B$2&amp;"]"</f>
        <v>#REF!</v>
      </c>
      <c r="AD108" s="151" t="e">
        <f>"Target Min Length  to U8["&amp;$B$2&amp;"]"</f>
        <v>#REF!</v>
      </c>
      <c r="AE108" s="150" t="e">
        <f>"Target Max Length  to U8 ["&amp;$B$2&amp;"]"</f>
        <v>#REF!</v>
      </c>
      <c r="AF108" s="152" t="e">
        <f>"Routed Too Short to U8 [" &amp;$B$2&amp;"]"</f>
        <v>#REF!</v>
      </c>
      <c r="AG108" s="151" t="e">
        <f>"Routed Too Long to U8 [" &amp;$B$2&amp;"]"</f>
        <v>#REF!</v>
      </c>
      <c r="AH108" s="3"/>
      <c r="AI108" s="3"/>
      <c r="AJ108" s="3"/>
      <c r="AK108" s="3"/>
      <c r="AL108" s="3"/>
      <c r="AM108" s="3"/>
      <c r="AN108" s="3"/>
      <c r="AO108" s="3"/>
      <c r="AP108" s="3"/>
      <c r="AQ108" s="219" t="s">
        <v>31</v>
      </c>
      <c r="AR108" s="150" t="e">
        <f>"L9-2 Length Test (&lt;=" &amp; IF($B$2="mil",1,0.0254)*1250&amp;$B$2&amp;")"</f>
        <v>#REF!</v>
      </c>
      <c r="AS108" s="3"/>
      <c r="AT108" s="153" t="e">
        <f>"L10-7 Length Test (&lt;=" &amp; IF($B$2="mil",1,0.0254)*150&amp;$B$2&amp;") or (L9-2+L10-7&lt;= "&amp;IF($B$2="mil",1,0.0254)*1400&amp;$B$2&amp;")"</f>
        <v>#REF!</v>
      </c>
      <c r="AU108" s="153" t="e">
        <f>"L10-8 Length Test (&lt;=" &amp; IF($B$2="mil",1,0.0254)*150&amp;$B$2&amp;") or (L9-2+L10-8&lt;= "&amp;IF($B$2="mil",1,0.0254)*1400&amp;$B$2&amp;")"</f>
        <v>#REF!</v>
      </c>
      <c r="AV108" s="150" t="e">
        <f>"Total Length to U4 (L0+L1+L2+S1+L5+Rs+L6+L7+L8-2+L9-2+L10-4) Test ("&amp;IF($B$2="mil",1,0.0254)*500&amp;"-"&amp;IF($B$2="mil",1,0.0254)*7500&amp;IF($B$2="mil","mil","mm")&amp;")"</f>
        <v>#REF!</v>
      </c>
      <c r="AW108" s="150" t="e">
        <f>"Total Length to U4 (P1+L0+L1+L2+S1+L5+Rs+L6+L7+L8-2+L9-2+L10-4) Test (&lt;="&amp;IF($B$2="mil",1,25.4)*8000&amp;IF($B$2="mil","mil","mm")&amp;")"</f>
        <v>#REF!</v>
      </c>
      <c r="AX108" s="3"/>
      <c r="AY108" s="3"/>
    </row>
    <row r="109" spans="18:51">
      <c r="R109" s="155" t="s">
        <v>210</v>
      </c>
      <c r="S109" s="156"/>
      <c r="T109" s="156"/>
      <c r="U109" s="156"/>
      <c r="V109" s="221"/>
      <c r="W109" s="221"/>
      <c r="X109" s="221"/>
      <c r="Y109" s="221"/>
      <c r="Z109" s="221"/>
      <c r="AA109" s="221"/>
      <c r="AB109" s="221"/>
      <c r="AC109" s="221"/>
      <c r="AD109" s="221"/>
      <c r="AE109" s="221"/>
      <c r="AF109" s="221"/>
      <c r="AG109" s="221"/>
      <c r="AH109" s="3"/>
      <c r="AI109" s="3"/>
      <c r="AJ109" s="3"/>
      <c r="AK109" s="3"/>
      <c r="AL109" s="3"/>
      <c r="AM109" s="3"/>
      <c r="AN109" s="3"/>
      <c r="AO109" s="3"/>
      <c r="AP109" s="3"/>
      <c r="AQ109" s="155" t="s">
        <v>210</v>
      </c>
      <c r="AR109" s="351"/>
      <c r="AS109" s="3"/>
      <c r="AT109" s="221"/>
      <c r="AU109" s="221"/>
      <c r="AV109" s="221"/>
      <c r="AW109" s="351"/>
      <c r="AX109" s="3"/>
      <c r="AY109" s="3"/>
    </row>
    <row r="110" spans="18:51">
      <c r="R110" s="263" t="s">
        <v>214</v>
      </c>
      <c r="S110" s="166"/>
      <c r="T110" s="166"/>
      <c r="U110" s="166"/>
      <c r="V110" s="169"/>
      <c r="W110" s="383" t="s">
        <v>225</v>
      </c>
      <c r="X110" s="174" t="e">
        <f>MIN('DDR2 Clocks - 4L'!$O$17:$O$18)</f>
        <v>#REF!</v>
      </c>
      <c r="Y110" s="235" t="e">
        <f>MAX('DDR2 Clocks - 4L'!$O$17:$O$18)</f>
        <v>#REF!</v>
      </c>
      <c r="Z110" s="174"/>
      <c r="AA110" s="172"/>
      <c r="AB110" s="169"/>
      <c r="AC110" s="383" t="s">
        <v>287</v>
      </c>
      <c r="AD110" s="174" t="e">
        <f>MIN('DDR2 Clocks - 4L'!$O$19:$O$20)</f>
        <v>#REF!</v>
      </c>
      <c r="AE110" s="235" t="e">
        <f>MAX('DDR2 Clocks - 4L'!$O$19:$O$20)</f>
        <v>#REF!</v>
      </c>
      <c r="AF110" s="174"/>
      <c r="AG110" s="172"/>
      <c r="AH110" s="3"/>
      <c r="AI110" s="3"/>
      <c r="AJ110" s="3"/>
      <c r="AK110" s="3"/>
      <c r="AL110" s="3"/>
      <c r="AM110" s="3"/>
      <c r="AN110" s="3"/>
      <c r="AO110" s="3"/>
      <c r="AP110" s="3"/>
      <c r="AQ110" s="360" t="s">
        <v>214</v>
      </c>
      <c r="AR110" s="177"/>
      <c r="AS110" s="3"/>
      <c r="AT110" s="176"/>
      <c r="AU110" s="176"/>
      <c r="AV110" s="176"/>
      <c r="AW110" s="177"/>
      <c r="AX110" s="3"/>
      <c r="AY110" s="3"/>
    </row>
    <row r="111" spans="18:51">
      <c r="R111" s="205" t="s">
        <v>229</v>
      </c>
      <c r="S111" s="181"/>
      <c r="T111" s="181"/>
      <c r="U111" s="181"/>
      <c r="V111" s="182"/>
      <c r="W111" s="182"/>
      <c r="X111" s="183"/>
      <c r="Y111" s="184"/>
      <c r="Z111" s="184"/>
      <c r="AA111" s="183"/>
      <c r="AB111" s="182"/>
      <c r="AC111" s="182"/>
      <c r="AD111" s="183"/>
      <c r="AE111" s="184"/>
      <c r="AF111" s="184"/>
      <c r="AG111" s="183"/>
      <c r="AH111" s="3"/>
      <c r="AI111" s="3"/>
      <c r="AJ111" s="3"/>
      <c r="AK111" s="3"/>
      <c r="AL111" s="3"/>
      <c r="AM111" s="3"/>
      <c r="AN111" s="3"/>
      <c r="AO111" s="3"/>
      <c r="AP111" s="3"/>
      <c r="AQ111" s="205" t="s">
        <v>229</v>
      </c>
      <c r="AR111" s="349"/>
      <c r="AS111" s="3"/>
      <c r="AT111" s="183"/>
      <c r="AU111" s="183"/>
      <c r="AV111" s="183"/>
      <c r="AW111" s="349"/>
      <c r="AX111" s="3"/>
      <c r="AY111" s="3"/>
    </row>
    <row r="112" spans="18:51">
      <c r="R112" s="186" t="s">
        <v>196</v>
      </c>
      <c r="S112" s="311">
        <v>565.69000000000005</v>
      </c>
      <c r="T112" s="311">
        <v>100.03</v>
      </c>
      <c r="U112" s="311">
        <v>100.03</v>
      </c>
      <c r="V112" s="327">
        <f t="shared" ref="V112:V125" si="64">SUM($E34:$H34,$M34,$N34,$P34,$Q34,$S112,$S86,$T112)</f>
        <v>4181.87</v>
      </c>
      <c r="W112" s="197">
        <f t="shared" ref="W112:W125" si="65">$V112+$C34</f>
        <v>4975.47</v>
      </c>
      <c r="X112" s="197" t="e">
        <f>$Y$110 + IF($B$2="mil",1,0.0254)*DDR2Specs!$E$9</f>
        <v>#REF!</v>
      </c>
      <c r="Y112" s="197" t="e">
        <f>$X$110 + IF($B$2="mil",1,0.0254)*DDR2Specs!$F$9</f>
        <v>#REF!</v>
      </c>
      <c r="Z112" s="198" t="e">
        <f t="shared" ref="Z112:Z125" si="66">IF($W112&lt;$X112,$X112-$W112,"Pass")</f>
        <v>#REF!</v>
      </c>
      <c r="AA112" s="199" t="e">
        <f t="shared" ref="AA112:AA125" si="67">IF($W112&gt;$Y112,$W112-$Y112,"Pass")</f>
        <v>#REF!</v>
      </c>
      <c r="AB112" s="327">
        <f>SUM($E34:$H34,$M34,$N34,$P34,$Q34,$S112,$S86,$U112)</f>
        <v>4181.87</v>
      </c>
      <c r="AC112" s="197">
        <f>$AB112+$C34</f>
        <v>4975.47</v>
      </c>
      <c r="AD112" s="197" t="e">
        <f>$AE$110 + IF($B$2="mil",1,0.0254)*DDR2Specs!$E$9</f>
        <v>#REF!</v>
      </c>
      <c r="AE112" s="197" t="e">
        <f>$AD$110 + IF($B$2="mil",1,0.0254)*DDR2Specs!$F$9</f>
        <v>#REF!</v>
      </c>
      <c r="AF112" s="198" t="e">
        <f>IF($AC112&lt;$AD112,$AD112-$AC112,"Pass")</f>
        <v>#REF!</v>
      </c>
      <c r="AG112" s="199" t="e">
        <f>IF($AC112&gt;$AE112,$AC112-$AE112,"Pass")</f>
        <v>#REF!</v>
      </c>
      <c r="AH112" s="3"/>
      <c r="AI112" s="3"/>
      <c r="AJ112" s="3"/>
      <c r="AK112" s="3"/>
      <c r="AL112" s="3"/>
      <c r="AM112" s="3"/>
      <c r="AN112" s="3"/>
      <c r="AO112" s="3"/>
      <c r="AP112" s="3"/>
      <c r="AQ112" s="186" t="s">
        <v>196</v>
      </c>
      <c r="AR112" s="348" t="e">
        <f>IF(S112&lt;=IF($B$2="mil",1,0.0254)*1250,"Pass",IF($B$2="mil",1,0.0254)*1250-S112)</f>
        <v>#REF!</v>
      </c>
      <c r="AS112" s="3"/>
      <c r="AT112" s="201" t="e">
        <f ca="1">CheckLength2(1400,S112,T112,0)</f>
        <v>#NAME?</v>
      </c>
      <c r="AU112" s="201" t="e">
        <f ca="1">CheckLength2(1400,S112,U112,0)</f>
        <v>#NAME?</v>
      </c>
      <c r="AV112" s="201" t="e">
        <f t="shared" ref="AV112:AV125" si="68">IF(AND(V112&gt;=IF($B$2="mil",1,0.0254)*500, $V112&lt;=IF($B$2="mil",1,0.0254)*7500),"Pass",IF($B$2="mil",1,0.0254)*7500-$V112)</f>
        <v>#REF!</v>
      </c>
      <c r="AW112" s="348" t="e">
        <f t="shared" ref="AW112:AW125" si="69">IF(AND($W112&gt;=IF($B$2="mil",1,0.0254)*500, $W112&lt;=IF($B$2="mil",1,0.0254)*8000),"Pass",IF($B$2="mil",1,0.0254)*8000-$W112)</f>
        <v>#REF!</v>
      </c>
      <c r="AX112" s="162" t="e">
        <f ca="1">IF(AND(Z112="Pass",AA112="Pass",AT112="Pass",AV112="Pass",AW112="Pass"),"Pass","Fail")</f>
        <v>#REF!</v>
      </c>
      <c r="AY112" s="162" t="e">
        <f ca="1">IF(AND(AX112="Pass",AX113="Pass",AX114="Pass",AX115="Pass",AX116="Pass",AX117="Pass",AX118="Pass",AX119="Pass",AX120="Pass",AX121="Pass",AX122="Pass"),"Pass","Fail")</f>
        <v>#REF!</v>
      </c>
    </row>
    <row r="113" spans="18:51">
      <c r="R113" s="243" t="s">
        <v>39</v>
      </c>
      <c r="S113" s="311">
        <v>587.88</v>
      </c>
      <c r="T113" s="311">
        <v>85.04</v>
      </c>
      <c r="U113" s="311">
        <v>85.04</v>
      </c>
      <c r="V113" s="327">
        <f t="shared" si="64"/>
        <v>4009.53</v>
      </c>
      <c r="W113" s="197">
        <f t="shared" si="65"/>
        <v>4679.83</v>
      </c>
      <c r="X113" s="197" t="e">
        <f>$Y$110 + IF($B$2="mil",1,0.0254)*DDR2Specs!$E$9</f>
        <v>#REF!</v>
      </c>
      <c r="Y113" s="197" t="e">
        <f>$X$110 + IF($B$2="mil",1,0.0254)*DDR2Specs!$F$9</f>
        <v>#REF!</v>
      </c>
      <c r="Z113" s="198" t="e">
        <f t="shared" si="66"/>
        <v>#REF!</v>
      </c>
      <c r="AA113" s="199" t="e">
        <f t="shared" si="67"/>
        <v>#REF!</v>
      </c>
      <c r="AB113" s="327">
        <f t="shared" ref="AB113:AB133" si="70">SUM($E35:$H35,$M35,$N35,$P35,$Q35,$S113,$S87,$U113)</f>
        <v>4009.53</v>
      </c>
      <c r="AC113" s="197">
        <f t="shared" ref="AC113:AC133" si="71">$AB113+$C35</f>
        <v>4679.83</v>
      </c>
      <c r="AD113" s="197" t="e">
        <f>$AE$110 + IF($B$2="mil",1,0.0254)*DDR2Specs!$E$9</f>
        <v>#REF!</v>
      </c>
      <c r="AE113" s="197" t="e">
        <f>$AD$110 + IF($B$2="mil",1,0.0254)*DDR2Specs!$F$9</f>
        <v>#REF!</v>
      </c>
      <c r="AF113" s="198" t="e">
        <f t="shared" ref="AF113:AF133" si="72">IF($AC113&lt;$AD113,$AD113-$AC113,"Pass")</f>
        <v>#REF!</v>
      </c>
      <c r="AG113" s="199" t="e">
        <f t="shared" ref="AG113:AG133" si="73">IF($AC113&gt;$AE113,$AC113-$AE113,"Pass")</f>
        <v>#REF!</v>
      </c>
      <c r="AH113" s="3"/>
      <c r="AI113" s="3"/>
      <c r="AJ113" s="3"/>
      <c r="AK113" s="3"/>
      <c r="AL113" s="3"/>
      <c r="AM113" s="3"/>
      <c r="AN113" s="3"/>
      <c r="AO113" s="3"/>
      <c r="AP113" s="3"/>
      <c r="AQ113" s="243" t="s">
        <v>39</v>
      </c>
      <c r="AR113" s="348" t="e">
        <f t="shared" ref="AR113:AR133" si="74">IF(S113&lt;=IF($B$2="mil",1,0.0254)*1250,"Pass",IF($B$2="mil",1,0.0254)*1250-S113)</f>
        <v>#REF!</v>
      </c>
      <c r="AS113" s="3"/>
      <c r="AT113" s="201" t="e">
        <f t="shared" ref="AT113:AT125" ca="1" si="75">CheckLength2(1400,S113,T113,0)</f>
        <v>#NAME?</v>
      </c>
      <c r="AU113" s="201" t="e">
        <f t="shared" ref="AU113:AU125" ca="1" si="76">CheckLength2(1400,S113,U113,0)</f>
        <v>#NAME?</v>
      </c>
      <c r="AV113" s="201" t="e">
        <f t="shared" si="68"/>
        <v>#REF!</v>
      </c>
      <c r="AW113" s="348" t="e">
        <f t="shared" si="69"/>
        <v>#REF!</v>
      </c>
      <c r="AX113" s="162" t="e">
        <f t="shared" ref="AX113:AX133" ca="1" si="77">IF(AND(Z113="Pass",AA113="Pass",AT113="Pass",AV113="Pass",AW113="Pass"),"Pass","Fail")</f>
        <v>#REF!</v>
      </c>
      <c r="AY113" s="162" t="e">
        <f ca="1">IF(AND(AX123="Pass",AX124="Pass",AX125="Pass",AX127="Pass",AX128="Pass",AX129="Pass",AX131="Pass",AX132="Pass",AX133="Pass"),"Pass","Fail")</f>
        <v>#REF!</v>
      </c>
    </row>
    <row r="114" spans="18:51">
      <c r="R114" s="243" t="s">
        <v>40</v>
      </c>
      <c r="S114" s="311">
        <v>565.69000000000005</v>
      </c>
      <c r="T114" s="311">
        <v>99.56</v>
      </c>
      <c r="U114" s="311">
        <v>99.56</v>
      </c>
      <c r="V114" s="327">
        <f t="shared" si="64"/>
        <v>3922.69</v>
      </c>
      <c r="W114" s="197">
        <f t="shared" si="65"/>
        <v>4509.29</v>
      </c>
      <c r="X114" s="197" t="e">
        <f>$Y$110 + IF($B$2="mil",1,0.0254)*DDR2Specs!$E$9</f>
        <v>#REF!</v>
      </c>
      <c r="Y114" s="197" t="e">
        <f>$X$110 + IF($B$2="mil",1,0.0254)*DDR2Specs!$F$9</f>
        <v>#REF!</v>
      </c>
      <c r="Z114" s="198" t="e">
        <f t="shared" si="66"/>
        <v>#REF!</v>
      </c>
      <c r="AA114" s="199" t="e">
        <f t="shared" si="67"/>
        <v>#REF!</v>
      </c>
      <c r="AB114" s="327">
        <f t="shared" si="70"/>
        <v>3922.69</v>
      </c>
      <c r="AC114" s="197">
        <f t="shared" si="71"/>
        <v>4509.29</v>
      </c>
      <c r="AD114" s="197" t="e">
        <f>$AE$110 + IF($B$2="mil",1,0.0254)*DDR2Specs!$E$9</f>
        <v>#REF!</v>
      </c>
      <c r="AE114" s="197" t="e">
        <f>$AD$110 + IF($B$2="mil",1,0.0254)*DDR2Specs!$F$9</f>
        <v>#REF!</v>
      </c>
      <c r="AF114" s="198" t="e">
        <f t="shared" si="72"/>
        <v>#REF!</v>
      </c>
      <c r="AG114" s="199" t="e">
        <f t="shared" si="73"/>
        <v>#REF!</v>
      </c>
      <c r="AH114" s="3"/>
      <c r="AI114" s="3"/>
      <c r="AJ114" s="3"/>
      <c r="AK114" s="3"/>
      <c r="AL114" s="3"/>
      <c r="AM114" s="3"/>
      <c r="AN114" s="3"/>
      <c r="AO114" s="3"/>
      <c r="AP114" s="3"/>
      <c r="AQ114" s="243" t="s">
        <v>40</v>
      </c>
      <c r="AR114" s="348" t="e">
        <f t="shared" si="74"/>
        <v>#REF!</v>
      </c>
      <c r="AS114" s="3"/>
      <c r="AT114" s="201" t="e">
        <f t="shared" ca="1" si="75"/>
        <v>#NAME?</v>
      </c>
      <c r="AU114" s="201" t="e">
        <f t="shared" ca="1" si="76"/>
        <v>#NAME?</v>
      </c>
      <c r="AV114" s="201" t="e">
        <f t="shared" si="68"/>
        <v>#REF!</v>
      </c>
      <c r="AW114" s="348" t="e">
        <f t="shared" si="69"/>
        <v>#REF!</v>
      </c>
      <c r="AX114" s="162" t="e">
        <f t="shared" ca="1" si="77"/>
        <v>#REF!</v>
      </c>
      <c r="AY114" s="3"/>
    </row>
    <row r="115" spans="18:51">
      <c r="R115" s="243" t="s">
        <v>41</v>
      </c>
      <c r="S115" s="311">
        <v>579.26</v>
      </c>
      <c r="T115" s="311">
        <v>145.9</v>
      </c>
      <c r="U115" s="311">
        <v>145.9</v>
      </c>
      <c r="V115" s="327">
        <f t="shared" si="64"/>
        <v>4033.8800000000006</v>
      </c>
      <c r="W115" s="197">
        <f t="shared" si="65"/>
        <v>5018.5800000000008</v>
      </c>
      <c r="X115" s="197" t="e">
        <f>$Y$110 + IF($B$2="mil",1,0.0254)*DDR2Specs!$E$9</f>
        <v>#REF!</v>
      </c>
      <c r="Y115" s="197" t="e">
        <f>$X$110 + IF($B$2="mil",1,0.0254)*DDR2Specs!$F$9</f>
        <v>#REF!</v>
      </c>
      <c r="Z115" s="198" t="e">
        <f t="shared" si="66"/>
        <v>#REF!</v>
      </c>
      <c r="AA115" s="199" t="e">
        <f t="shared" si="67"/>
        <v>#REF!</v>
      </c>
      <c r="AB115" s="327">
        <f t="shared" si="70"/>
        <v>4033.8800000000006</v>
      </c>
      <c r="AC115" s="197">
        <f t="shared" si="71"/>
        <v>5018.5800000000008</v>
      </c>
      <c r="AD115" s="197" t="e">
        <f>$AE$110 + IF($B$2="mil",1,0.0254)*DDR2Specs!$E$9</f>
        <v>#REF!</v>
      </c>
      <c r="AE115" s="197" t="e">
        <f>$AD$110 + IF($B$2="mil",1,0.0254)*DDR2Specs!$F$9</f>
        <v>#REF!</v>
      </c>
      <c r="AF115" s="198" t="e">
        <f t="shared" si="72"/>
        <v>#REF!</v>
      </c>
      <c r="AG115" s="199" t="e">
        <f t="shared" si="73"/>
        <v>#REF!</v>
      </c>
      <c r="AH115" s="3"/>
      <c r="AI115" s="3"/>
      <c r="AJ115" s="3"/>
      <c r="AK115" s="3"/>
      <c r="AL115" s="3"/>
      <c r="AM115" s="3"/>
      <c r="AN115" s="3"/>
      <c r="AO115" s="3"/>
      <c r="AP115" s="3"/>
      <c r="AQ115" s="243" t="s">
        <v>41</v>
      </c>
      <c r="AR115" s="348" t="e">
        <f t="shared" si="74"/>
        <v>#REF!</v>
      </c>
      <c r="AS115" s="3"/>
      <c r="AT115" s="201" t="e">
        <f t="shared" ca="1" si="75"/>
        <v>#NAME?</v>
      </c>
      <c r="AU115" s="201" t="e">
        <f t="shared" ca="1" si="76"/>
        <v>#NAME?</v>
      </c>
      <c r="AV115" s="201" t="e">
        <f t="shared" si="68"/>
        <v>#REF!</v>
      </c>
      <c r="AW115" s="348" t="e">
        <f t="shared" si="69"/>
        <v>#REF!</v>
      </c>
      <c r="AX115" s="162" t="e">
        <f t="shared" ca="1" si="77"/>
        <v>#REF!</v>
      </c>
      <c r="AY115" s="3"/>
    </row>
    <row r="116" spans="18:51">
      <c r="R116" s="243" t="s">
        <v>42</v>
      </c>
      <c r="S116" s="311">
        <v>624.74</v>
      </c>
      <c r="T116" s="311">
        <v>103.51</v>
      </c>
      <c r="U116" s="311">
        <v>103.51</v>
      </c>
      <c r="V116" s="327">
        <f t="shared" si="64"/>
        <v>3907.5699999999997</v>
      </c>
      <c r="W116" s="197">
        <f t="shared" si="65"/>
        <v>4390.87</v>
      </c>
      <c r="X116" s="197" t="e">
        <f>$Y$110 + IF($B$2="mil",1,0.0254)*DDR2Specs!$E$9</f>
        <v>#REF!</v>
      </c>
      <c r="Y116" s="197" t="e">
        <f>$X$110 + IF($B$2="mil",1,0.0254)*DDR2Specs!$F$9</f>
        <v>#REF!</v>
      </c>
      <c r="Z116" s="198" t="e">
        <f t="shared" si="66"/>
        <v>#REF!</v>
      </c>
      <c r="AA116" s="199" t="e">
        <f t="shared" si="67"/>
        <v>#REF!</v>
      </c>
      <c r="AB116" s="327">
        <f t="shared" si="70"/>
        <v>3907.5699999999997</v>
      </c>
      <c r="AC116" s="197">
        <f t="shared" si="71"/>
        <v>4390.87</v>
      </c>
      <c r="AD116" s="197" t="e">
        <f>$AE$110 + IF($B$2="mil",1,0.0254)*DDR2Specs!$E$9</f>
        <v>#REF!</v>
      </c>
      <c r="AE116" s="197" t="e">
        <f>$AD$110 + IF($B$2="mil",1,0.0254)*DDR2Specs!$F$9</f>
        <v>#REF!</v>
      </c>
      <c r="AF116" s="198" t="e">
        <f t="shared" si="72"/>
        <v>#REF!</v>
      </c>
      <c r="AG116" s="199" t="e">
        <f t="shared" si="73"/>
        <v>#REF!</v>
      </c>
      <c r="AH116" s="3"/>
      <c r="AI116" s="3"/>
      <c r="AJ116" s="3"/>
      <c r="AK116" s="3"/>
      <c r="AL116" s="3"/>
      <c r="AM116" s="3"/>
      <c r="AN116" s="3"/>
      <c r="AO116" s="3"/>
      <c r="AP116" s="3"/>
      <c r="AQ116" s="243" t="s">
        <v>42</v>
      </c>
      <c r="AR116" s="348" t="e">
        <f t="shared" si="74"/>
        <v>#REF!</v>
      </c>
      <c r="AS116" s="3"/>
      <c r="AT116" s="201" t="e">
        <f t="shared" ca="1" si="75"/>
        <v>#NAME?</v>
      </c>
      <c r="AU116" s="201" t="e">
        <f t="shared" ca="1" si="76"/>
        <v>#NAME?</v>
      </c>
      <c r="AV116" s="201" t="e">
        <f t="shared" si="68"/>
        <v>#REF!</v>
      </c>
      <c r="AW116" s="348" t="e">
        <f t="shared" si="69"/>
        <v>#REF!</v>
      </c>
      <c r="AX116" s="162" t="e">
        <f t="shared" ca="1" si="77"/>
        <v>#REF!</v>
      </c>
      <c r="AY116" s="3"/>
    </row>
    <row r="117" spans="18:51">
      <c r="R117" s="243" t="s">
        <v>43</v>
      </c>
      <c r="S117" s="311">
        <v>610.85</v>
      </c>
      <c r="T117" s="311">
        <v>75.709999999999994</v>
      </c>
      <c r="U117" s="311">
        <v>75.709999999999994</v>
      </c>
      <c r="V117" s="327">
        <f t="shared" si="64"/>
        <v>4049.2</v>
      </c>
      <c r="W117" s="197">
        <f t="shared" si="65"/>
        <v>4560.0999999999995</v>
      </c>
      <c r="X117" s="197" t="e">
        <f>$Y$110 + IF($B$2="mil",1,0.0254)*DDR2Specs!$E$9</f>
        <v>#REF!</v>
      </c>
      <c r="Y117" s="197" t="e">
        <f>$X$110 + IF($B$2="mil",1,0.0254)*DDR2Specs!$F$9</f>
        <v>#REF!</v>
      </c>
      <c r="Z117" s="198" t="e">
        <f t="shared" si="66"/>
        <v>#REF!</v>
      </c>
      <c r="AA117" s="199" t="e">
        <f t="shared" si="67"/>
        <v>#REF!</v>
      </c>
      <c r="AB117" s="327">
        <f t="shared" si="70"/>
        <v>4049.2</v>
      </c>
      <c r="AC117" s="197">
        <f t="shared" si="71"/>
        <v>4560.0999999999995</v>
      </c>
      <c r="AD117" s="197" t="e">
        <f>$AE$110 + IF($B$2="mil",1,0.0254)*DDR2Specs!$E$9</f>
        <v>#REF!</v>
      </c>
      <c r="AE117" s="197" t="e">
        <f>$AD$110 + IF($B$2="mil",1,0.0254)*DDR2Specs!$F$9</f>
        <v>#REF!</v>
      </c>
      <c r="AF117" s="198" t="e">
        <f t="shared" si="72"/>
        <v>#REF!</v>
      </c>
      <c r="AG117" s="199" t="e">
        <f t="shared" si="73"/>
        <v>#REF!</v>
      </c>
      <c r="AH117" s="3"/>
      <c r="AI117" s="3"/>
      <c r="AJ117" s="3"/>
      <c r="AK117" s="3"/>
      <c r="AL117" s="3"/>
      <c r="AM117" s="3"/>
      <c r="AN117" s="3"/>
      <c r="AO117" s="3"/>
      <c r="AP117" s="3"/>
      <c r="AQ117" s="243" t="s">
        <v>43</v>
      </c>
      <c r="AR117" s="348" t="e">
        <f t="shared" si="74"/>
        <v>#REF!</v>
      </c>
      <c r="AS117" s="3"/>
      <c r="AT117" s="201" t="e">
        <f t="shared" ca="1" si="75"/>
        <v>#NAME?</v>
      </c>
      <c r="AU117" s="201" t="e">
        <f t="shared" ca="1" si="76"/>
        <v>#NAME?</v>
      </c>
      <c r="AV117" s="201" t="e">
        <f t="shared" si="68"/>
        <v>#REF!</v>
      </c>
      <c r="AW117" s="348" t="e">
        <f t="shared" si="69"/>
        <v>#REF!</v>
      </c>
      <c r="AX117" s="162" t="e">
        <f t="shared" ca="1" si="77"/>
        <v>#REF!</v>
      </c>
      <c r="AY117" s="3"/>
    </row>
    <row r="118" spans="18:51">
      <c r="R118" s="243" t="s">
        <v>44</v>
      </c>
      <c r="S118" s="311">
        <v>604.02</v>
      </c>
      <c r="T118" s="311">
        <v>101.05</v>
      </c>
      <c r="U118" s="311">
        <v>101.05</v>
      </c>
      <c r="V118" s="327">
        <f t="shared" si="64"/>
        <v>4089.18</v>
      </c>
      <c r="W118" s="197">
        <f t="shared" si="65"/>
        <v>4596.78</v>
      </c>
      <c r="X118" s="197" t="e">
        <f>$Y$110 + IF($B$2="mil",1,0.0254)*DDR2Specs!$E$9</f>
        <v>#REF!</v>
      </c>
      <c r="Y118" s="197" t="e">
        <f>$X$110 + IF($B$2="mil",1,0.0254)*DDR2Specs!$F$9</f>
        <v>#REF!</v>
      </c>
      <c r="Z118" s="198" t="e">
        <f t="shared" si="66"/>
        <v>#REF!</v>
      </c>
      <c r="AA118" s="199" t="e">
        <f t="shared" si="67"/>
        <v>#REF!</v>
      </c>
      <c r="AB118" s="327">
        <f t="shared" si="70"/>
        <v>4089.18</v>
      </c>
      <c r="AC118" s="197">
        <f t="shared" si="71"/>
        <v>4596.78</v>
      </c>
      <c r="AD118" s="197" t="e">
        <f>$AE$110 + IF($B$2="mil",1,0.0254)*DDR2Specs!$E$9</f>
        <v>#REF!</v>
      </c>
      <c r="AE118" s="197" t="e">
        <f>$AD$110 + IF($B$2="mil",1,0.0254)*DDR2Specs!$F$9</f>
        <v>#REF!</v>
      </c>
      <c r="AF118" s="198" t="e">
        <f t="shared" si="72"/>
        <v>#REF!</v>
      </c>
      <c r="AG118" s="199" t="e">
        <f t="shared" si="73"/>
        <v>#REF!</v>
      </c>
      <c r="AH118" s="3"/>
      <c r="AI118" s="3"/>
      <c r="AJ118" s="3"/>
      <c r="AK118" s="3"/>
      <c r="AL118" s="3"/>
      <c r="AM118" s="3"/>
      <c r="AN118" s="3"/>
      <c r="AO118" s="3"/>
      <c r="AP118" s="3"/>
      <c r="AQ118" s="243" t="s">
        <v>44</v>
      </c>
      <c r="AR118" s="348" t="e">
        <f t="shared" si="74"/>
        <v>#REF!</v>
      </c>
      <c r="AS118" s="3"/>
      <c r="AT118" s="201" t="e">
        <f t="shared" ca="1" si="75"/>
        <v>#NAME?</v>
      </c>
      <c r="AU118" s="201" t="e">
        <f t="shared" ca="1" si="76"/>
        <v>#NAME?</v>
      </c>
      <c r="AV118" s="201" t="e">
        <f t="shared" si="68"/>
        <v>#REF!</v>
      </c>
      <c r="AW118" s="348" t="e">
        <f t="shared" si="69"/>
        <v>#REF!</v>
      </c>
      <c r="AX118" s="162" t="e">
        <f t="shared" ca="1" si="77"/>
        <v>#REF!</v>
      </c>
      <c r="AY118" s="3"/>
    </row>
    <row r="119" spans="18:51">
      <c r="R119" s="243" t="s">
        <v>46</v>
      </c>
      <c r="S119" s="311">
        <v>596.35</v>
      </c>
      <c r="T119" s="311">
        <v>144.30000000000001</v>
      </c>
      <c r="U119" s="311">
        <v>144.30000000000001</v>
      </c>
      <c r="V119" s="327">
        <f t="shared" si="64"/>
        <v>4007.0099999999998</v>
      </c>
      <c r="W119" s="197">
        <f t="shared" si="65"/>
        <v>4502.6099999999997</v>
      </c>
      <c r="X119" s="197" t="e">
        <f>$Y$110 + IF($B$2="mil",1,0.0254)*DDR2Specs!$E$9</f>
        <v>#REF!</v>
      </c>
      <c r="Y119" s="197" t="e">
        <f>$X$110 + IF($B$2="mil",1,0.0254)*DDR2Specs!$F$9</f>
        <v>#REF!</v>
      </c>
      <c r="Z119" s="198" t="e">
        <f t="shared" si="66"/>
        <v>#REF!</v>
      </c>
      <c r="AA119" s="199" t="e">
        <f t="shared" si="67"/>
        <v>#REF!</v>
      </c>
      <c r="AB119" s="327">
        <f t="shared" si="70"/>
        <v>4007.0099999999998</v>
      </c>
      <c r="AC119" s="197">
        <f t="shared" si="71"/>
        <v>4502.6099999999997</v>
      </c>
      <c r="AD119" s="197" t="e">
        <f>$AE$110 + IF($B$2="mil",1,0.0254)*DDR2Specs!$E$9</f>
        <v>#REF!</v>
      </c>
      <c r="AE119" s="197" t="e">
        <f>$AD$110 + IF($B$2="mil",1,0.0254)*DDR2Specs!$F$9</f>
        <v>#REF!</v>
      </c>
      <c r="AF119" s="198" t="e">
        <f t="shared" si="72"/>
        <v>#REF!</v>
      </c>
      <c r="AG119" s="199" t="e">
        <f t="shared" si="73"/>
        <v>#REF!</v>
      </c>
      <c r="AH119" s="3"/>
      <c r="AI119" s="3"/>
      <c r="AJ119" s="3"/>
      <c r="AK119" s="3"/>
      <c r="AL119" s="3"/>
      <c r="AM119" s="3"/>
      <c r="AN119" s="3"/>
      <c r="AO119" s="3"/>
      <c r="AP119" s="3"/>
      <c r="AQ119" s="243" t="s">
        <v>46</v>
      </c>
      <c r="AR119" s="348" t="e">
        <f t="shared" si="74"/>
        <v>#REF!</v>
      </c>
      <c r="AS119" s="3"/>
      <c r="AT119" s="201" t="e">
        <f t="shared" ca="1" si="75"/>
        <v>#NAME?</v>
      </c>
      <c r="AU119" s="201" t="e">
        <f t="shared" ca="1" si="76"/>
        <v>#NAME?</v>
      </c>
      <c r="AV119" s="201" t="e">
        <f t="shared" si="68"/>
        <v>#REF!</v>
      </c>
      <c r="AW119" s="348" t="e">
        <f t="shared" si="69"/>
        <v>#REF!</v>
      </c>
      <c r="AX119" s="162" t="e">
        <f t="shared" ca="1" si="77"/>
        <v>#REF!</v>
      </c>
      <c r="AY119" s="3"/>
    </row>
    <row r="120" spans="18:51">
      <c r="R120" s="243" t="s">
        <v>47</v>
      </c>
      <c r="S120" s="311">
        <v>615.67999999999995</v>
      </c>
      <c r="T120" s="311">
        <v>75.209999999999994</v>
      </c>
      <c r="U120" s="311">
        <v>75.209999999999994</v>
      </c>
      <c r="V120" s="327">
        <f t="shared" si="64"/>
        <v>4017.61</v>
      </c>
      <c r="W120" s="197">
        <f t="shared" si="65"/>
        <v>4581.3100000000004</v>
      </c>
      <c r="X120" s="197" t="e">
        <f>$Y$110 + IF($B$2="mil",1,0.0254)*DDR2Specs!$E$9</f>
        <v>#REF!</v>
      </c>
      <c r="Y120" s="197" t="e">
        <f>$X$110 + IF($B$2="mil",1,0.0254)*DDR2Specs!$F$9</f>
        <v>#REF!</v>
      </c>
      <c r="Z120" s="198" t="e">
        <f t="shared" si="66"/>
        <v>#REF!</v>
      </c>
      <c r="AA120" s="199" t="e">
        <f t="shared" si="67"/>
        <v>#REF!</v>
      </c>
      <c r="AB120" s="327">
        <f t="shared" si="70"/>
        <v>4017.61</v>
      </c>
      <c r="AC120" s="197">
        <f t="shared" si="71"/>
        <v>4581.3100000000004</v>
      </c>
      <c r="AD120" s="197" t="e">
        <f>$AE$110 + IF($B$2="mil",1,0.0254)*DDR2Specs!$E$9</f>
        <v>#REF!</v>
      </c>
      <c r="AE120" s="197" t="e">
        <f>$AD$110 + IF($B$2="mil",1,0.0254)*DDR2Specs!$F$9</f>
        <v>#REF!</v>
      </c>
      <c r="AF120" s="198" t="e">
        <f t="shared" si="72"/>
        <v>#REF!</v>
      </c>
      <c r="AG120" s="199" t="e">
        <f t="shared" si="73"/>
        <v>#REF!</v>
      </c>
      <c r="AH120" s="3"/>
      <c r="AI120" s="3"/>
      <c r="AJ120" s="3"/>
      <c r="AK120" s="3"/>
      <c r="AL120" s="3"/>
      <c r="AM120" s="3"/>
      <c r="AN120" s="3"/>
      <c r="AO120" s="3"/>
      <c r="AP120" s="3"/>
      <c r="AQ120" s="243" t="s">
        <v>47</v>
      </c>
      <c r="AR120" s="348" t="e">
        <f t="shared" si="74"/>
        <v>#REF!</v>
      </c>
      <c r="AS120" s="3"/>
      <c r="AT120" s="201" t="e">
        <f t="shared" ca="1" si="75"/>
        <v>#NAME?</v>
      </c>
      <c r="AU120" s="201" t="e">
        <f t="shared" ca="1" si="76"/>
        <v>#NAME?</v>
      </c>
      <c r="AV120" s="201" t="e">
        <f t="shared" si="68"/>
        <v>#REF!</v>
      </c>
      <c r="AW120" s="348" t="e">
        <f t="shared" si="69"/>
        <v>#REF!</v>
      </c>
      <c r="AX120" s="162" t="e">
        <f t="shared" ca="1" si="77"/>
        <v>#REF!</v>
      </c>
      <c r="AY120" s="3"/>
    </row>
    <row r="121" spans="18:51">
      <c r="R121" s="243" t="s">
        <v>48</v>
      </c>
      <c r="S121" s="311">
        <v>533.94000000000005</v>
      </c>
      <c r="T121" s="311">
        <v>117.25</v>
      </c>
      <c r="U121" s="311">
        <v>117.25</v>
      </c>
      <c r="V121" s="327">
        <f t="shared" si="64"/>
        <v>4225.9599999999991</v>
      </c>
      <c r="W121" s="197">
        <f t="shared" si="65"/>
        <v>5055.2599999999993</v>
      </c>
      <c r="X121" s="197" t="e">
        <f>$Y$110 + IF($B$2="mil",1,0.0254)*DDR2Specs!$E$9</f>
        <v>#REF!</v>
      </c>
      <c r="Y121" s="197" t="e">
        <f>$X$110 + IF($B$2="mil",1,0.0254)*DDR2Specs!$F$9</f>
        <v>#REF!</v>
      </c>
      <c r="Z121" s="198" t="e">
        <f t="shared" si="66"/>
        <v>#REF!</v>
      </c>
      <c r="AA121" s="199" t="e">
        <f t="shared" si="67"/>
        <v>#REF!</v>
      </c>
      <c r="AB121" s="327">
        <f t="shared" si="70"/>
        <v>4225.9599999999991</v>
      </c>
      <c r="AC121" s="197">
        <f t="shared" si="71"/>
        <v>5055.2599999999993</v>
      </c>
      <c r="AD121" s="197" t="e">
        <f>$AE$110 + IF($B$2="mil",1,0.0254)*DDR2Specs!$E$9</f>
        <v>#REF!</v>
      </c>
      <c r="AE121" s="197" t="e">
        <f>$AD$110 + IF($B$2="mil",1,0.0254)*DDR2Specs!$F$9</f>
        <v>#REF!</v>
      </c>
      <c r="AF121" s="198" t="e">
        <f t="shared" si="72"/>
        <v>#REF!</v>
      </c>
      <c r="AG121" s="199" t="e">
        <f t="shared" si="73"/>
        <v>#REF!</v>
      </c>
      <c r="AH121" s="3"/>
      <c r="AI121" s="3"/>
      <c r="AJ121" s="3"/>
      <c r="AK121" s="3"/>
      <c r="AL121" s="3"/>
      <c r="AM121" s="3"/>
      <c r="AN121" s="3"/>
      <c r="AO121" s="3"/>
      <c r="AP121" s="3"/>
      <c r="AQ121" s="243" t="s">
        <v>48</v>
      </c>
      <c r="AR121" s="348" t="e">
        <f t="shared" si="74"/>
        <v>#REF!</v>
      </c>
      <c r="AS121" s="3"/>
      <c r="AT121" s="201" t="e">
        <f t="shared" ca="1" si="75"/>
        <v>#NAME?</v>
      </c>
      <c r="AU121" s="201" t="e">
        <f t="shared" ca="1" si="76"/>
        <v>#NAME?</v>
      </c>
      <c r="AV121" s="201" t="e">
        <f t="shared" si="68"/>
        <v>#REF!</v>
      </c>
      <c r="AW121" s="348" t="e">
        <f t="shared" si="69"/>
        <v>#REF!</v>
      </c>
      <c r="AX121" s="162" t="e">
        <f t="shared" ca="1" si="77"/>
        <v>#REF!</v>
      </c>
      <c r="AY121" s="3"/>
    </row>
    <row r="122" spans="18:51">
      <c r="R122" s="243" t="s">
        <v>50</v>
      </c>
      <c r="S122" s="311">
        <v>559.79</v>
      </c>
      <c r="T122" s="311">
        <v>37.24</v>
      </c>
      <c r="U122" s="311">
        <v>37.24</v>
      </c>
      <c r="V122" s="327">
        <f t="shared" si="64"/>
        <v>4016.8199999999997</v>
      </c>
      <c r="W122" s="197">
        <f t="shared" si="65"/>
        <v>4583.7199999999993</v>
      </c>
      <c r="X122" s="197" t="e">
        <f>$Y$110 + IF($B$2="mil",1,0.0254)*DDR2Specs!$E$9</f>
        <v>#REF!</v>
      </c>
      <c r="Y122" s="197" t="e">
        <f>$X$110 + IF($B$2="mil",1,0.0254)*DDR2Specs!$F$9</f>
        <v>#REF!</v>
      </c>
      <c r="Z122" s="198" t="e">
        <f t="shared" si="66"/>
        <v>#REF!</v>
      </c>
      <c r="AA122" s="199" t="e">
        <f t="shared" si="67"/>
        <v>#REF!</v>
      </c>
      <c r="AB122" s="327">
        <f t="shared" si="70"/>
        <v>4016.8199999999997</v>
      </c>
      <c r="AC122" s="197">
        <f t="shared" si="71"/>
        <v>4583.7199999999993</v>
      </c>
      <c r="AD122" s="197" t="e">
        <f>$AE$110 + IF($B$2="mil",1,0.0254)*DDR2Specs!$E$9</f>
        <v>#REF!</v>
      </c>
      <c r="AE122" s="197" t="e">
        <f>$AD$110 + IF($B$2="mil",1,0.0254)*DDR2Specs!$F$9</f>
        <v>#REF!</v>
      </c>
      <c r="AF122" s="198" t="e">
        <f t="shared" si="72"/>
        <v>#REF!</v>
      </c>
      <c r="AG122" s="199" t="e">
        <f t="shared" si="73"/>
        <v>#REF!</v>
      </c>
      <c r="AH122" s="3"/>
      <c r="AI122" s="3"/>
      <c r="AJ122" s="3"/>
      <c r="AK122" s="3"/>
      <c r="AL122" s="3"/>
      <c r="AM122" s="3"/>
      <c r="AN122" s="3"/>
      <c r="AO122" s="3"/>
      <c r="AP122" s="3"/>
      <c r="AQ122" s="243" t="s">
        <v>50</v>
      </c>
      <c r="AR122" s="348" t="e">
        <f t="shared" si="74"/>
        <v>#REF!</v>
      </c>
      <c r="AS122" s="3"/>
      <c r="AT122" s="201" t="e">
        <f t="shared" ca="1" si="75"/>
        <v>#NAME?</v>
      </c>
      <c r="AU122" s="201" t="e">
        <f t="shared" ca="1" si="76"/>
        <v>#NAME?</v>
      </c>
      <c r="AV122" s="201" t="e">
        <f t="shared" si="68"/>
        <v>#REF!</v>
      </c>
      <c r="AW122" s="348" t="e">
        <f t="shared" si="69"/>
        <v>#REF!</v>
      </c>
      <c r="AX122" s="162" t="e">
        <f t="shared" ca="1" si="77"/>
        <v>#REF!</v>
      </c>
      <c r="AY122" s="3"/>
    </row>
    <row r="123" spans="18:51">
      <c r="R123" s="243" t="s">
        <v>51</v>
      </c>
      <c r="S123" s="311">
        <v>632.15</v>
      </c>
      <c r="T123" s="311">
        <v>72.760000000000005</v>
      </c>
      <c r="U123" s="311">
        <v>72.760000000000005</v>
      </c>
      <c r="V123" s="327">
        <f t="shared" si="64"/>
        <v>4150.96</v>
      </c>
      <c r="W123" s="197">
        <f t="shared" si="65"/>
        <v>4890.66</v>
      </c>
      <c r="X123" s="197" t="e">
        <f>$Y$110 + IF($B$2="mil",1,0.0254)*DDR2Specs!$E$9</f>
        <v>#REF!</v>
      </c>
      <c r="Y123" s="197" t="e">
        <f>$X$110 + IF($B$2="mil",1,0.0254)*DDR2Specs!$F$9</f>
        <v>#REF!</v>
      </c>
      <c r="Z123" s="198" t="e">
        <f t="shared" si="66"/>
        <v>#REF!</v>
      </c>
      <c r="AA123" s="199" t="e">
        <f t="shared" si="67"/>
        <v>#REF!</v>
      </c>
      <c r="AB123" s="327">
        <f t="shared" si="70"/>
        <v>4150.96</v>
      </c>
      <c r="AC123" s="197">
        <f t="shared" si="71"/>
        <v>4890.66</v>
      </c>
      <c r="AD123" s="197" t="e">
        <f>$AE$110 + IF($B$2="mil",1,0.0254)*DDR2Specs!$E$9</f>
        <v>#REF!</v>
      </c>
      <c r="AE123" s="197" t="e">
        <f>$AD$110 + IF($B$2="mil",1,0.0254)*DDR2Specs!$F$9</f>
        <v>#REF!</v>
      </c>
      <c r="AF123" s="198" t="e">
        <f t="shared" si="72"/>
        <v>#REF!</v>
      </c>
      <c r="AG123" s="199" t="e">
        <f t="shared" si="73"/>
        <v>#REF!</v>
      </c>
      <c r="AH123" s="3"/>
      <c r="AI123" s="3"/>
      <c r="AJ123" s="3"/>
      <c r="AK123" s="3"/>
      <c r="AL123" s="3"/>
      <c r="AM123" s="3"/>
      <c r="AN123" s="3"/>
      <c r="AO123" s="3"/>
      <c r="AP123" s="3"/>
      <c r="AQ123" s="243" t="s">
        <v>51</v>
      </c>
      <c r="AR123" s="348" t="e">
        <f t="shared" si="74"/>
        <v>#REF!</v>
      </c>
      <c r="AS123" s="3"/>
      <c r="AT123" s="201" t="e">
        <f t="shared" ca="1" si="75"/>
        <v>#NAME?</v>
      </c>
      <c r="AU123" s="201" t="e">
        <f t="shared" ca="1" si="76"/>
        <v>#NAME?</v>
      </c>
      <c r="AV123" s="201" t="e">
        <f t="shared" si="68"/>
        <v>#REF!</v>
      </c>
      <c r="AW123" s="348" t="e">
        <f t="shared" si="69"/>
        <v>#REF!</v>
      </c>
      <c r="AX123" s="162" t="e">
        <f t="shared" ca="1" si="77"/>
        <v>#REF!</v>
      </c>
      <c r="AY123" s="3"/>
    </row>
    <row r="124" spans="18:51">
      <c r="R124" s="243" t="s">
        <v>52</v>
      </c>
      <c r="S124" s="311">
        <v>566.39</v>
      </c>
      <c r="T124" s="311">
        <v>77.489999999999995</v>
      </c>
      <c r="U124" s="311">
        <v>77.489999999999995</v>
      </c>
      <c r="V124" s="327">
        <f t="shared" si="64"/>
        <v>4190.6499999999996</v>
      </c>
      <c r="W124" s="197">
        <f t="shared" si="65"/>
        <v>4932.8499999999995</v>
      </c>
      <c r="X124" s="197" t="e">
        <f>$Y$110 + IF($B$2="mil",1,0.0254)*DDR2Specs!$E$9</f>
        <v>#REF!</v>
      </c>
      <c r="Y124" s="197" t="e">
        <f>$X$110 + IF($B$2="mil",1,0.0254)*DDR2Specs!$F$9</f>
        <v>#REF!</v>
      </c>
      <c r="Z124" s="198" t="e">
        <f t="shared" si="66"/>
        <v>#REF!</v>
      </c>
      <c r="AA124" s="199" t="e">
        <f t="shared" si="67"/>
        <v>#REF!</v>
      </c>
      <c r="AB124" s="327">
        <f t="shared" si="70"/>
        <v>4190.6499999999996</v>
      </c>
      <c r="AC124" s="197">
        <f t="shared" si="71"/>
        <v>4932.8499999999995</v>
      </c>
      <c r="AD124" s="197" t="e">
        <f>$AE$110 + IF($B$2="mil",1,0.0254)*DDR2Specs!$E$9</f>
        <v>#REF!</v>
      </c>
      <c r="AE124" s="197" t="e">
        <f>$AD$110 + IF($B$2="mil",1,0.0254)*DDR2Specs!$F$9</f>
        <v>#REF!</v>
      </c>
      <c r="AF124" s="198" t="e">
        <f t="shared" si="72"/>
        <v>#REF!</v>
      </c>
      <c r="AG124" s="199" t="e">
        <f t="shared" si="73"/>
        <v>#REF!</v>
      </c>
      <c r="AH124" s="3"/>
      <c r="AI124" s="3"/>
      <c r="AJ124" s="3"/>
      <c r="AK124" s="3"/>
      <c r="AL124" s="3"/>
      <c r="AM124" s="3"/>
      <c r="AN124" s="3"/>
      <c r="AO124" s="3"/>
      <c r="AP124" s="3"/>
      <c r="AQ124" s="243" t="s">
        <v>52</v>
      </c>
      <c r="AR124" s="348" t="e">
        <f t="shared" si="74"/>
        <v>#REF!</v>
      </c>
      <c r="AS124" s="3"/>
      <c r="AT124" s="201" t="e">
        <f t="shared" ca="1" si="75"/>
        <v>#NAME?</v>
      </c>
      <c r="AU124" s="201" t="e">
        <f t="shared" ca="1" si="76"/>
        <v>#NAME?</v>
      </c>
      <c r="AV124" s="201" t="e">
        <f t="shared" si="68"/>
        <v>#REF!</v>
      </c>
      <c r="AW124" s="348" t="e">
        <f t="shared" si="69"/>
        <v>#REF!</v>
      </c>
      <c r="AX124" s="162" t="e">
        <f t="shared" ca="1" si="77"/>
        <v>#REF!</v>
      </c>
      <c r="AY124" s="3"/>
    </row>
    <row r="125" spans="18:51">
      <c r="R125" s="243" t="s">
        <v>53</v>
      </c>
      <c r="S125" s="311">
        <v>566.39</v>
      </c>
      <c r="T125" s="311">
        <v>77.489999999999995</v>
      </c>
      <c r="U125" s="311">
        <v>77.489999999999995</v>
      </c>
      <c r="V125" s="327">
        <f t="shared" si="64"/>
        <v>4070.6499999999996</v>
      </c>
      <c r="W125" s="197">
        <f t="shared" si="65"/>
        <v>4572.6499999999996</v>
      </c>
      <c r="X125" s="197" t="e">
        <f>$Y$110 + IF($B$2="mil",1,0.0254)*DDR2Specs!$E$9</f>
        <v>#REF!</v>
      </c>
      <c r="Y125" s="197" t="e">
        <f>$X$110 + IF($B$2="mil",1,0.0254)*DDR2Specs!$F$9</f>
        <v>#REF!</v>
      </c>
      <c r="Z125" s="198" t="e">
        <f t="shared" si="66"/>
        <v>#REF!</v>
      </c>
      <c r="AA125" s="199" t="e">
        <f t="shared" si="67"/>
        <v>#REF!</v>
      </c>
      <c r="AB125" s="327">
        <f t="shared" si="70"/>
        <v>4070.6499999999996</v>
      </c>
      <c r="AC125" s="197">
        <f t="shared" si="71"/>
        <v>4572.6499999999996</v>
      </c>
      <c r="AD125" s="197" t="e">
        <f>$AE$110 + IF($B$2="mil",1,0.0254)*DDR2Specs!$E$9</f>
        <v>#REF!</v>
      </c>
      <c r="AE125" s="197" t="e">
        <f>$AD$110 + IF($B$2="mil",1,0.0254)*DDR2Specs!$F$9</f>
        <v>#REF!</v>
      </c>
      <c r="AF125" s="198" t="e">
        <f t="shared" si="72"/>
        <v>#REF!</v>
      </c>
      <c r="AG125" s="199" t="e">
        <f t="shared" si="73"/>
        <v>#REF!</v>
      </c>
      <c r="AH125" s="3"/>
      <c r="AI125" s="3"/>
      <c r="AJ125" s="3"/>
      <c r="AK125" s="3"/>
      <c r="AL125" s="3"/>
      <c r="AM125" s="3"/>
      <c r="AN125" s="3"/>
      <c r="AO125" s="3"/>
      <c r="AP125" s="3"/>
      <c r="AQ125" s="243" t="s">
        <v>53</v>
      </c>
      <c r="AR125" s="348" t="e">
        <f t="shared" si="74"/>
        <v>#REF!</v>
      </c>
      <c r="AS125" s="3"/>
      <c r="AT125" s="201" t="e">
        <f t="shared" ca="1" si="75"/>
        <v>#NAME?</v>
      </c>
      <c r="AU125" s="201" t="e">
        <f t="shared" ca="1" si="76"/>
        <v>#NAME?</v>
      </c>
      <c r="AV125" s="201" t="e">
        <f t="shared" si="68"/>
        <v>#REF!</v>
      </c>
      <c r="AW125" s="348" t="e">
        <f t="shared" si="69"/>
        <v>#REF!</v>
      </c>
      <c r="AX125" s="162" t="e">
        <f t="shared" ca="1" si="77"/>
        <v>#REF!</v>
      </c>
      <c r="AY125" s="3"/>
    </row>
    <row r="126" spans="18:51">
      <c r="R126" s="205" t="s">
        <v>230</v>
      </c>
      <c r="S126" s="338"/>
      <c r="T126" s="338"/>
      <c r="U126" s="338"/>
      <c r="V126" s="209"/>
      <c r="W126" s="209"/>
      <c r="X126" s="209"/>
      <c r="Y126" s="209"/>
      <c r="Z126" s="212"/>
      <c r="AA126" s="212"/>
      <c r="AB126" s="209"/>
      <c r="AC126" s="209"/>
      <c r="AD126" s="209"/>
      <c r="AE126" s="209"/>
      <c r="AF126" s="212"/>
      <c r="AG126" s="212"/>
      <c r="AH126" s="3"/>
      <c r="AI126" s="3"/>
      <c r="AJ126" s="3"/>
      <c r="AK126" s="3"/>
      <c r="AL126" s="3"/>
      <c r="AM126" s="3"/>
      <c r="AN126" s="3"/>
      <c r="AO126" s="3"/>
      <c r="AP126" s="3"/>
      <c r="AQ126" s="205" t="s">
        <v>230</v>
      </c>
      <c r="AR126" s="349"/>
      <c r="AS126" s="3"/>
      <c r="AT126" s="183"/>
      <c r="AU126" s="183"/>
      <c r="AV126" s="183"/>
      <c r="AW126" s="350"/>
      <c r="AX126" s="3"/>
      <c r="AY126" s="3"/>
    </row>
    <row r="127" spans="18:51">
      <c r="R127" s="186" t="s">
        <v>54</v>
      </c>
      <c r="S127" s="311">
        <v>570.59</v>
      </c>
      <c r="T127" s="337">
        <v>72.239999999999995</v>
      </c>
      <c r="U127" s="337">
        <v>72.239999999999995</v>
      </c>
      <c r="V127" s="327">
        <f>SUM($E49:$H49,$M49,$N49,$P49,$Q49,$S127,$S101,$T127)</f>
        <v>4072.49</v>
      </c>
      <c r="W127" s="197">
        <f>$V127+$C49</f>
        <v>4385.8364566929131</v>
      </c>
      <c r="X127" s="197" t="e">
        <f>$Y$110 + IF($B$2="mil",1,0.0254)*DDR2Specs!$E$9</f>
        <v>#REF!</v>
      </c>
      <c r="Y127" s="197" t="e">
        <f>$X$110 + IF($B$2="mil",1,0.0254)*DDR2Specs!$F$9</f>
        <v>#REF!</v>
      </c>
      <c r="Z127" s="198" t="e">
        <f>IF($W127&lt;$X127,$X127-$W127,"Pass")</f>
        <v>#REF!</v>
      </c>
      <c r="AA127" s="199" t="e">
        <f>IF($W127&gt;$Y127,$W127-$Y127,"Pass")</f>
        <v>#REF!</v>
      </c>
      <c r="AB127" s="327">
        <f t="shared" si="70"/>
        <v>4072.49</v>
      </c>
      <c r="AC127" s="197">
        <f t="shared" si="71"/>
        <v>4385.8364566929131</v>
      </c>
      <c r="AD127" s="197" t="e">
        <f>$AE$110 + IF($B$2="mil",1,0.0254)*DDR2Specs!$E$9</f>
        <v>#REF!</v>
      </c>
      <c r="AE127" s="197" t="e">
        <f>$AD$110 + IF($B$2="mil",1,0.0254)*DDR2Specs!$F$9</f>
        <v>#REF!</v>
      </c>
      <c r="AF127" s="198" t="e">
        <f t="shared" si="72"/>
        <v>#REF!</v>
      </c>
      <c r="AG127" s="199" t="e">
        <f t="shared" si="73"/>
        <v>#REF!</v>
      </c>
      <c r="AH127" s="3"/>
      <c r="AI127" s="3"/>
      <c r="AJ127" s="3"/>
      <c r="AK127" s="3"/>
      <c r="AL127" s="3"/>
      <c r="AM127" s="3"/>
      <c r="AN127" s="3"/>
      <c r="AO127" s="3"/>
      <c r="AP127" s="3"/>
      <c r="AQ127" s="186" t="s">
        <v>54</v>
      </c>
      <c r="AR127" s="348" t="e">
        <f t="shared" si="74"/>
        <v>#REF!</v>
      </c>
      <c r="AS127" s="3"/>
      <c r="AT127" s="201" t="e">
        <f ca="1">CheckLength2(1400,S127,T127,0)</f>
        <v>#NAME?</v>
      </c>
      <c r="AU127" s="201" t="e">
        <f ca="1">CheckLength2(1400,S127,U127,0)</f>
        <v>#NAME?</v>
      </c>
      <c r="AV127" s="201" t="e">
        <f>IF(AND(V127&gt;=IF($B$2="mil",1,0.0254)*500, $V127&lt;=IF($B$2="mil",1,0.0254)*7500),"Pass",IF($B$2="mil",1,0.0254)*7500-$V127)</f>
        <v>#REF!</v>
      </c>
      <c r="AW127" s="348" t="e">
        <f>IF(AND($W127&gt;=IF($B$2="mil",1,0.0254)*500, $W127&lt;=IF($B$2="mil",1,0.0254)*8000),"Pass",IF($B$2="mil",1,0.0254)*8000-$W127)</f>
        <v>#REF!</v>
      </c>
      <c r="AX127" s="162" t="e">
        <f t="shared" ca="1" si="77"/>
        <v>#REF!</v>
      </c>
      <c r="AY127" s="3"/>
    </row>
    <row r="128" spans="18:51">
      <c r="R128" s="242" t="s">
        <v>55</v>
      </c>
      <c r="S128" s="311">
        <v>585.74</v>
      </c>
      <c r="T128" s="337">
        <v>51.87</v>
      </c>
      <c r="U128" s="337">
        <v>51.87</v>
      </c>
      <c r="V128" s="327">
        <f>SUM($E50:$H50,$M50,$N50,$P50,$Q50,$S128,$S102,$T128)</f>
        <v>4121.6400000000003</v>
      </c>
      <c r="W128" s="197">
        <f>$V128+$C50</f>
        <v>4479.1203149606299</v>
      </c>
      <c r="X128" s="197" t="e">
        <f>$Y$110 + IF($B$2="mil",1,0.0254)*DDR2Specs!$E$9</f>
        <v>#REF!</v>
      </c>
      <c r="Y128" s="197" t="e">
        <f>$X$110 + IF($B$2="mil",1,0.0254)*DDR2Specs!$F$9</f>
        <v>#REF!</v>
      </c>
      <c r="Z128" s="198" t="e">
        <f>IF($W128&lt;$X128,$X128-$W128,"Pass")</f>
        <v>#REF!</v>
      </c>
      <c r="AA128" s="199" t="e">
        <f>IF($W128&gt;$Y128,$W128-$Y128,"Pass")</f>
        <v>#REF!</v>
      </c>
      <c r="AB128" s="327">
        <f t="shared" si="70"/>
        <v>4121.6400000000003</v>
      </c>
      <c r="AC128" s="197">
        <f t="shared" si="71"/>
        <v>4479.1203149606299</v>
      </c>
      <c r="AD128" s="197" t="e">
        <f>$AE$110 + IF($B$2="mil",1,0.0254)*DDR2Specs!$E$9</f>
        <v>#REF!</v>
      </c>
      <c r="AE128" s="197" t="e">
        <f>$AD$110 + IF($B$2="mil",1,0.0254)*DDR2Specs!$F$9</f>
        <v>#REF!</v>
      </c>
      <c r="AF128" s="198" t="e">
        <f t="shared" si="72"/>
        <v>#REF!</v>
      </c>
      <c r="AG128" s="199" t="e">
        <f t="shared" si="73"/>
        <v>#REF!</v>
      </c>
      <c r="AH128" s="3"/>
      <c r="AI128" s="3"/>
      <c r="AJ128" s="3"/>
      <c r="AK128" s="3"/>
      <c r="AL128" s="3"/>
      <c r="AM128" s="3"/>
      <c r="AN128" s="3"/>
      <c r="AO128" s="3"/>
      <c r="AP128" s="3"/>
      <c r="AQ128" s="242" t="s">
        <v>55</v>
      </c>
      <c r="AR128" s="348" t="e">
        <f t="shared" si="74"/>
        <v>#REF!</v>
      </c>
      <c r="AS128" s="3"/>
      <c r="AT128" s="201" t="e">
        <f ca="1">CheckLength2(1400,S128,T128,0)</f>
        <v>#NAME?</v>
      </c>
      <c r="AU128" s="201" t="e">
        <f ca="1">CheckLength2(1400,S128,U128,0)</f>
        <v>#NAME?</v>
      </c>
      <c r="AV128" s="201" t="e">
        <f>IF(AND(V128&gt;=IF($B$2="mil",1,0.0254)*500, $V128&lt;=IF($B$2="mil",1,0.0254)*7500),"Pass",IF($B$2="mil",1,0.0254)*7500-$V128)</f>
        <v>#REF!</v>
      </c>
      <c r="AW128" s="348" t="e">
        <f>IF(AND($W128&gt;=IF($B$2="mil",1,0.0254)*500, $W128&lt;=IF($B$2="mil",1,0.0254)*8000),"Pass",IF($B$2="mil",1,0.0254)*8000-$W128)</f>
        <v>#REF!</v>
      </c>
      <c r="AX128" s="162" t="e">
        <f t="shared" ca="1" si="77"/>
        <v>#REF!</v>
      </c>
      <c r="AY128" s="3"/>
    </row>
    <row r="129" spans="18:51">
      <c r="R129" s="242" t="s">
        <v>56</v>
      </c>
      <c r="S129" s="311">
        <v>541.1</v>
      </c>
      <c r="T129" s="337">
        <v>74.75</v>
      </c>
      <c r="U129" s="337">
        <v>74.75</v>
      </c>
      <c r="V129" s="327">
        <f>SUM($E51:$H51,$M51,$N51,$P51,$Q51,$S129,$S103,$T129)</f>
        <v>3944.68</v>
      </c>
      <c r="W129" s="197">
        <f>$V129+$C51</f>
        <v>4912.9083464566929</v>
      </c>
      <c r="X129" s="197" t="e">
        <f>$Y$110 + IF($B$2="mil",1,0.0254)*DDR2Specs!$E$9</f>
        <v>#REF!</v>
      </c>
      <c r="Y129" s="197" t="e">
        <f>$X$110 + IF($B$2="mil",1,0.0254)*DDR2Specs!$F$9</f>
        <v>#REF!</v>
      </c>
      <c r="Z129" s="198" t="e">
        <f>IF($W129&lt;$X129,$X129-$W129,"Pass")</f>
        <v>#REF!</v>
      </c>
      <c r="AA129" s="199" t="e">
        <f>IF($W129&gt;$Y129,$W129-$Y129,"Pass")</f>
        <v>#REF!</v>
      </c>
      <c r="AB129" s="327">
        <f t="shared" si="70"/>
        <v>3944.68</v>
      </c>
      <c r="AC129" s="197">
        <f t="shared" si="71"/>
        <v>4912.9083464566929</v>
      </c>
      <c r="AD129" s="197" t="e">
        <f>$AE$110 + IF($B$2="mil",1,0.0254)*DDR2Specs!$E$9</f>
        <v>#REF!</v>
      </c>
      <c r="AE129" s="197" t="e">
        <f>$AD$110 + IF($B$2="mil",1,0.0254)*DDR2Specs!$F$9</f>
        <v>#REF!</v>
      </c>
      <c r="AF129" s="198" t="e">
        <f t="shared" si="72"/>
        <v>#REF!</v>
      </c>
      <c r="AG129" s="199" t="e">
        <f t="shared" si="73"/>
        <v>#REF!</v>
      </c>
      <c r="AH129" s="3"/>
      <c r="AI129" s="3"/>
      <c r="AJ129" s="3"/>
      <c r="AK129" s="3"/>
      <c r="AL129" s="3"/>
      <c r="AM129" s="3"/>
      <c r="AN129" s="3"/>
      <c r="AO129" s="3"/>
      <c r="AP129" s="3"/>
      <c r="AQ129" s="242" t="s">
        <v>56</v>
      </c>
      <c r="AR129" s="348" t="e">
        <f t="shared" si="74"/>
        <v>#REF!</v>
      </c>
      <c r="AS129" s="3"/>
      <c r="AT129" s="201" t="e">
        <f ca="1">CheckLength2(1400,S129,T129,0)</f>
        <v>#NAME?</v>
      </c>
      <c r="AU129" s="201" t="e">
        <f ca="1">CheckLength2(1400,S129,U129,0)</f>
        <v>#NAME?</v>
      </c>
      <c r="AV129" s="201" t="e">
        <f>IF(AND(V129&gt;=IF($B$2="mil",1,0.0254)*500, $V129&lt;=IF($B$2="mil",1,0.0254)*7500),"Pass",IF($B$2="mil",1,0.0254)*7500-$V129)</f>
        <v>#REF!</v>
      </c>
      <c r="AW129" s="348" t="e">
        <f>IF(AND($W129&gt;=IF($B$2="mil",1,0.0254)*500, $W129&lt;=IF($B$2="mil",1,0.0254)*8000),"Pass",IF($B$2="mil",1,0.0254)*8000-$W129)</f>
        <v>#REF!</v>
      </c>
      <c r="AX129" s="162" t="e">
        <f t="shared" ca="1" si="77"/>
        <v>#REF!</v>
      </c>
      <c r="AY129" s="3"/>
    </row>
    <row r="130" spans="18:51">
      <c r="R130" s="205" t="s">
        <v>231</v>
      </c>
      <c r="S130" s="338"/>
      <c r="T130" s="338"/>
      <c r="U130" s="338"/>
      <c r="V130" s="209"/>
      <c r="W130" s="209"/>
      <c r="X130" s="209"/>
      <c r="Y130" s="209"/>
      <c r="Z130" s="212"/>
      <c r="AA130" s="212"/>
      <c r="AB130" s="209"/>
      <c r="AC130" s="209"/>
      <c r="AD130" s="209"/>
      <c r="AE130" s="209"/>
      <c r="AF130" s="212"/>
      <c r="AG130" s="212"/>
      <c r="AH130" s="3"/>
      <c r="AI130" s="3"/>
      <c r="AJ130" s="3"/>
      <c r="AK130" s="3"/>
      <c r="AL130" s="3"/>
      <c r="AM130" s="3"/>
      <c r="AN130" s="3"/>
      <c r="AO130" s="3"/>
      <c r="AP130" s="3"/>
      <c r="AQ130" s="205" t="s">
        <v>231</v>
      </c>
      <c r="AR130" s="350"/>
      <c r="AS130" s="3"/>
      <c r="AT130" s="212"/>
      <c r="AU130" s="212"/>
      <c r="AV130" s="212"/>
      <c r="AW130" s="350"/>
      <c r="AX130" s="3"/>
      <c r="AY130" s="3"/>
    </row>
    <row r="131" spans="18:51">
      <c r="R131" s="186" t="s">
        <v>58</v>
      </c>
      <c r="S131" s="311">
        <v>564.66</v>
      </c>
      <c r="T131" s="337">
        <v>28.02</v>
      </c>
      <c r="U131" s="337">
        <v>28.02</v>
      </c>
      <c r="V131" s="327">
        <f>SUM($E53:$H53,$M53,$N53,$P53,$Q53,$S131,$S105,$T131)</f>
        <v>3907.2999999999993</v>
      </c>
      <c r="W131" s="197">
        <f>$V131+$C53</f>
        <v>4256.7999999999993</v>
      </c>
      <c r="X131" s="197" t="e">
        <f>$Y$110 + IF($B$2="mil",1,0.0254)*DDR2Specs!$E$9</f>
        <v>#REF!</v>
      </c>
      <c r="Y131" s="197" t="e">
        <f>$X$110 + IF($B$2="mil",1,0.0254)*DDR2Specs!$F$9</f>
        <v>#REF!</v>
      </c>
      <c r="Z131" s="198" t="e">
        <f>IF($W131&lt;$X131,$X131-$W131,"Pass")</f>
        <v>#REF!</v>
      </c>
      <c r="AA131" s="199" t="e">
        <f>IF($W131&gt;$Y131,$W131-$Y131,"Pass")</f>
        <v>#REF!</v>
      </c>
      <c r="AB131" s="327">
        <f t="shared" si="70"/>
        <v>3907.2999999999993</v>
      </c>
      <c r="AC131" s="197">
        <f t="shared" si="71"/>
        <v>4256.7999999999993</v>
      </c>
      <c r="AD131" s="197" t="e">
        <f>$AE$110 + IF($B$2="mil",1,0.0254)*DDR2Specs!$E$9</f>
        <v>#REF!</v>
      </c>
      <c r="AE131" s="197" t="e">
        <f>$AD$110 + IF($B$2="mil",1,0.0254)*DDR2Specs!$F$9</f>
        <v>#REF!</v>
      </c>
      <c r="AF131" s="198" t="e">
        <f t="shared" si="72"/>
        <v>#REF!</v>
      </c>
      <c r="AG131" s="199" t="e">
        <f t="shared" si="73"/>
        <v>#REF!</v>
      </c>
      <c r="AH131" s="3"/>
      <c r="AI131" s="3"/>
      <c r="AJ131" s="3"/>
      <c r="AK131" s="3"/>
      <c r="AL131" s="3"/>
      <c r="AM131" s="3"/>
      <c r="AN131" s="3"/>
      <c r="AO131" s="3"/>
      <c r="AP131" s="3"/>
      <c r="AQ131" s="186" t="s">
        <v>58</v>
      </c>
      <c r="AR131" s="348" t="e">
        <f t="shared" si="74"/>
        <v>#REF!</v>
      </c>
      <c r="AS131" s="3"/>
      <c r="AT131" s="201" t="e">
        <f ca="1">CheckLength2(1400,S131,T131,0)</f>
        <v>#NAME?</v>
      </c>
      <c r="AU131" s="201" t="e">
        <f ca="1">CheckLength2(1400,S131,U131,0)</f>
        <v>#NAME?</v>
      </c>
      <c r="AV131" s="201" t="e">
        <f>IF(AND(V131&gt;=IF($B$2="mil",1,0.0254)*500, $V131&lt;=IF($B$2="mil",1,0.0254)*7500),"Pass",IF($B$2="mil",1,0.0254)*7500-$V131)</f>
        <v>#REF!</v>
      </c>
      <c r="AW131" s="348" t="e">
        <f>IF(AND($W131&gt;=IF($B$2="mil",1,0.0254)*500, $W131&lt;=IF($B$2="mil",1,0.0254)*8000),"Pass",IF($B$2="mil",1,0.0254)*8000-$W131)</f>
        <v>#REF!</v>
      </c>
      <c r="AX131" s="162" t="e">
        <f t="shared" ca="1" si="77"/>
        <v>#REF!</v>
      </c>
      <c r="AY131" s="3"/>
    </row>
    <row r="132" spans="18:51">
      <c r="R132" s="243" t="s">
        <v>59</v>
      </c>
      <c r="S132" s="311">
        <v>578.77</v>
      </c>
      <c r="T132" s="337">
        <v>51.88</v>
      </c>
      <c r="U132" s="337">
        <v>51.88</v>
      </c>
      <c r="V132" s="327">
        <f>SUM($E54:$H54,$M54,$N54,$P54,$Q54,$S132,$S106,$T132)</f>
        <v>3998.6199999999994</v>
      </c>
      <c r="W132" s="197">
        <f>$V132+$C54</f>
        <v>4709.2199999999993</v>
      </c>
      <c r="X132" s="197" t="e">
        <f>$Y$110 + IF($B$2="mil",1,0.0254)*DDR2Specs!$E$9</f>
        <v>#REF!</v>
      </c>
      <c r="Y132" s="197" t="e">
        <f>$X$110 + IF($B$2="mil",1,0.0254)*DDR2Specs!$F$9</f>
        <v>#REF!</v>
      </c>
      <c r="Z132" s="198" t="e">
        <f>IF($W132&lt;$X132,$X132-$W132,"Pass")</f>
        <v>#REF!</v>
      </c>
      <c r="AA132" s="199" t="e">
        <f>IF($W132&gt;$Y132,$W132-$Y132,"Pass")</f>
        <v>#REF!</v>
      </c>
      <c r="AB132" s="327">
        <f t="shared" si="70"/>
        <v>3998.6199999999994</v>
      </c>
      <c r="AC132" s="197">
        <f t="shared" si="71"/>
        <v>4709.2199999999993</v>
      </c>
      <c r="AD132" s="197" t="e">
        <f>$AE$110 + IF($B$2="mil",1,0.0254)*DDR2Specs!$E$9</f>
        <v>#REF!</v>
      </c>
      <c r="AE132" s="197" t="e">
        <f>$AD$110 + IF($B$2="mil",1,0.0254)*DDR2Specs!$F$9</f>
        <v>#REF!</v>
      </c>
      <c r="AF132" s="198" t="e">
        <f t="shared" si="72"/>
        <v>#REF!</v>
      </c>
      <c r="AG132" s="199" t="e">
        <f t="shared" si="73"/>
        <v>#REF!</v>
      </c>
      <c r="AH132" s="3"/>
      <c r="AI132" s="3"/>
      <c r="AJ132" s="3"/>
      <c r="AK132" s="3"/>
      <c r="AL132" s="3"/>
      <c r="AM132" s="3"/>
      <c r="AN132" s="3"/>
      <c r="AO132" s="3"/>
      <c r="AP132" s="3"/>
      <c r="AQ132" s="243" t="s">
        <v>59</v>
      </c>
      <c r="AR132" s="348" t="e">
        <f t="shared" si="74"/>
        <v>#REF!</v>
      </c>
      <c r="AS132" s="3"/>
      <c r="AT132" s="201" t="e">
        <f ca="1">CheckLength2(1400,S132,T132,0)</f>
        <v>#NAME?</v>
      </c>
      <c r="AU132" s="201" t="e">
        <f ca="1">CheckLength2(1400,S132,U132,0)</f>
        <v>#NAME?</v>
      </c>
      <c r="AV132" s="201" t="e">
        <f>IF(AND(V132&gt;=IF($B$2="mil",1,0.0254)*500, $V132&lt;=IF($B$2="mil",1,0.0254)*7500),"Pass",IF($B$2="mil",1,0.0254)*7500-$V132)</f>
        <v>#REF!</v>
      </c>
      <c r="AW132" s="348" t="e">
        <f>IF(AND($W132&gt;=IF($B$2="mil",1,0.0254)*500, $W132&lt;=IF($B$2="mil",1,0.0254)*8000),"Pass",IF($B$2="mil",1,0.0254)*8000-$W132)</f>
        <v>#REF!</v>
      </c>
      <c r="AX132" s="162" t="e">
        <f t="shared" ca="1" si="77"/>
        <v>#REF!</v>
      </c>
      <c r="AY132" s="3"/>
    </row>
    <row r="133" spans="18:51">
      <c r="R133" s="243" t="s">
        <v>60</v>
      </c>
      <c r="S133" s="311">
        <v>574.72</v>
      </c>
      <c r="T133" s="337">
        <v>30.98</v>
      </c>
      <c r="U133" s="337">
        <v>30.98</v>
      </c>
      <c r="V133" s="327">
        <f>SUM($E55:$H55,$M55,$N55,$P55,$Q55,$S133,$S107,$T133)</f>
        <v>3980.35</v>
      </c>
      <c r="W133" s="197">
        <f>$V133+$C55</f>
        <v>4342.05</v>
      </c>
      <c r="X133" s="197" t="e">
        <f>$Y$110 + IF($B$2="mil",1,0.0254)*DDR2Specs!$E$9</f>
        <v>#REF!</v>
      </c>
      <c r="Y133" s="197" t="e">
        <f>$X$110 + IF($B$2="mil",1,0.0254)*DDR2Specs!$F$9</f>
        <v>#REF!</v>
      </c>
      <c r="Z133" s="198" t="e">
        <f>IF($W133&lt;$X133,$X133-$W133,"Pass")</f>
        <v>#REF!</v>
      </c>
      <c r="AA133" s="199" t="e">
        <f>IF($W133&gt;$Y133,$W133-$Y133,"Pass")</f>
        <v>#REF!</v>
      </c>
      <c r="AB133" s="327">
        <f t="shared" si="70"/>
        <v>3980.35</v>
      </c>
      <c r="AC133" s="197">
        <f t="shared" si="71"/>
        <v>4342.05</v>
      </c>
      <c r="AD133" s="197" t="e">
        <f>$AE$110 + IF($B$2="mil",1,0.0254)*DDR2Specs!$E$9</f>
        <v>#REF!</v>
      </c>
      <c r="AE133" s="197" t="e">
        <f>$AD$110 + IF($B$2="mil",1,0.0254)*DDR2Specs!$F$9</f>
        <v>#REF!</v>
      </c>
      <c r="AF133" s="198" t="e">
        <f t="shared" si="72"/>
        <v>#REF!</v>
      </c>
      <c r="AG133" s="199" t="e">
        <f t="shared" si="73"/>
        <v>#REF!</v>
      </c>
      <c r="AH133" s="3"/>
      <c r="AI133" s="3"/>
      <c r="AJ133" s="3"/>
      <c r="AK133" s="3"/>
      <c r="AL133" s="3"/>
      <c r="AM133" s="3"/>
      <c r="AN133" s="3"/>
      <c r="AO133" s="3"/>
      <c r="AP133" s="3"/>
      <c r="AQ133" s="243" t="s">
        <v>60</v>
      </c>
      <c r="AR133" s="348" t="e">
        <f t="shared" si="74"/>
        <v>#REF!</v>
      </c>
      <c r="AS133" s="3"/>
      <c r="AT133" s="201" t="e">
        <f ca="1">CheckLength2(1400,S133,T133,0)</f>
        <v>#NAME?</v>
      </c>
      <c r="AU133" s="201" t="e">
        <f ca="1">CheckLength2(1400,S133,U133,0)</f>
        <v>#NAME?</v>
      </c>
      <c r="AV133" s="201" t="e">
        <f>IF(AND(V133&gt;=IF($B$2="mil",1,0.0254)*500, $V133&lt;=IF($B$2="mil",1,0.0254)*7500),"Pass",IF($B$2="mil",1,0.0254)*7500-$V133)</f>
        <v>#REF!</v>
      </c>
      <c r="AW133" s="348" t="e">
        <f>IF(AND($W133&gt;=IF($B$2="mil",1,0.0254)*500, $W133&lt;=IF($B$2="mil",1,0.0254)*8000),"Pass",IF($B$2="mil",1,0.0254)*8000-$W133)</f>
        <v>#REF!</v>
      </c>
      <c r="AX133" s="162" t="e">
        <f t="shared" ca="1" si="77"/>
        <v>#REF!</v>
      </c>
      <c r="AY133" s="3"/>
    </row>
    <row r="136" spans="18:51" ht="18">
      <c r="AQ136" s="419" t="s">
        <v>391</v>
      </c>
    </row>
  </sheetData>
  <protectedRanges>
    <protectedRange sqref="T79:U81 T60:U73 T75:U77 S86:U99 S101:U103 E7:H20 E22:H24 E26:H28 J26:K28 J22:K24 J7:K20 E34:H47 E49:H51 E53:H55 J53:K55 J49:K51 J34:K47 M34:N47 M49:N51 M53:N55 S105:U107 S112:U125 S127:U129 S131:U133" name="DDR2_COMMAND_8LTB"/>
  </protectedRanges>
  <mergeCells count="2">
    <mergeCell ref="A1:E1"/>
    <mergeCell ref="F1:G1"/>
  </mergeCells>
  <phoneticPr fontId="25" type="noConversion"/>
  <conditionalFormatting sqref="R7:S20 U7:Z20 R22:S24 R26:S28 AF131:AG133 AI53:AW55 AP101:AP103 AT127:AW129 AP86:AP99 AQ77 AR127:AR129 AI34:AW47 AR112:AR125 AF49:AG51 AF79:AG81 AF34:AG47 Z75:AA77 Z127:AA129 Z112:AA125 AF105:AG107 Z86:AA99 Z101:AA103 Z60:AA73 U22:Z24 AF75:AG77 Z34:AA47 Z49:AA51 Z53:AA55 AT112:AW125 AT101:AW103 AT75:AW77 AI49:AW51 AT86:AW99 AP105:AP107 AR131:AR133 AT131:AW133 AT105:AW107 AT79:AW81 AT60:AW73 Z79:AA81 AF60:AG73 AF101:AG103 Z105:AA107 AF53:AG55 AF86:AG99 Z131:AA133 AF112:AG125 AF127:AG129 U26:Z28">
    <cfRule type="cellIs" priority="1" stopIfTrue="1" operator="equal">
      <formula>"Pass"</formula>
    </cfRule>
    <cfRule type="cellIs" dxfId="69" priority="2" stopIfTrue="1" operator="notEqual">
      <formula>"Pass"</formula>
    </cfRule>
  </conditionalFormatting>
  <conditionalFormatting sqref="T26:T28 AH34:AH47 AH49:AH51 T22:T24 T7:T20 AH53:AH55">
    <cfRule type="cellIs" dxfId="68" priority="3" stopIfTrue="1" operator="equal">
      <formula>"Pass"</formula>
    </cfRule>
    <cfRule type="cellIs" dxfId="67" priority="4" stopIfTrue="1" operator="notEqual">
      <formula>"Pass"</formula>
    </cfRule>
  </conditionalFormatting>
  <conditionalFormatting sqref="A1 F1:AA1">
    <cfRule type="expression" dxfId="66" priority="5" stopIfTrue="1">
      <formula>$F$1 = "Fail"</formula>
    </cfRule>
    <cfRule type="expression" dxfId="65" priority="6" stopIfTrue="1">
      <formula>$F$1 = "Pass"</formula>
    </cfRule>
  </conditionalFormatting>
  <pageMargins left="0.75" right="0.75" top="1" bottom="1" header="0.5" footer="0.5"/>
  <headerFooter alignWithMargins="0"/>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S64"/>
  <sheetViews>
    <sheetView topLeftCell="A28" zoomScale="75" workbookViewId="0">
      <selection activeCell="AO26" sqref="AO26"/>
    </sheetView>
  </sheetViews>
  <sheetFormatPr defaultColWidth="9.140625"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10.28515625" style="3" customWidth="1"/>
    <col min="9" max="9" width="18.140625" style="3" customWidth="1"/>
    <col min="10" max="10" width="0.85546875" style="3" customWidth="1"/>
    <col min="11" max="11" width="10" style="3" bestFit="1" customWidth="1"/>
    <col min="12" max="12" width="0.85546875" style="3" customWidth="1"/>
    <col min="13" max="13" width="16" style="3" customWidth="1"/>
    <col min="14" max="14" width="17.140625" style="3" bestFit="1" customWidth="1"/>
    <col min="15" max="15" width="0.85546875" style="3" customWidth="1"/>
    <col min="16" max="16" width="12.7109375" style="3" hidden="1" customWidth="1"/>
    <col min="17" max="17" width="10.7109375" style="3" customWidth="1"/>
    <col min="18" max="18" width="10.5703125" style="3" customWidth="1"/>
    <col min="19" max="19" width="13.42578125" style="3" customWidth="1"/>
    <col min="20" max="20" width="10.42578125" style="3" customWidth="1"/>
    <col min="21" max="21" width="11.7109375" style="3" customWidth="1"/>
    <col min="22" max="22" width="23.42578125" style="3" customWidth="1"/>
    <col min="23" max="23" width="23.5703125" style="3" customWidth="1"/>
    <col min="24" max="24" width="14.5703125" style="3" customWidth="1"/>
    <col min="25" max="25" width="16.85546875" style="3" customWidth="1"/>
    <col min="26" max="26" width="20" style="3" customWidth="1"/>
    <col min="27" max="27" width="14.85546875" style="3" customWidth="1"/>
    <col min="28" max="28" width="17.85546875" style="3" customWidth="1"/>
    <col min="29" max="29" width="11.42578125" style="3" customWidth="1"/>
    <col min="30" max="30" width="11" style="3" customWidth="1"/>
    <col min="31" max="31" width="11.5703125" style="3" customWidth="1"/>
    <col min="32" max="32" width="14.28515625" style="3" customWidth="1"/>
    <col min="33" max="33" width="11.85546875" style="3" customWidth="1"/>
    <col min="34" max="34" width="11.5703125" style="3" customWidth="1"/>
    <col min="35" max="35" width="12.140625" style="3" customWidth="1"/>
    <col min="36" max="36" width="11" style="3" customWidth="1"/>
    <col min="37" max="37" width="12.7109375" style="3" customWidth="1"/>
    <col min="38" max="38" width="12.5703125" style="3" customWidth="1"/>
    <col min="39" max="39" width="15.28515625" style="3" customWidth="1"/>
    <col min="40" max="40" width="18.7109375" style="3" customWidth="1"/>
    <col min="41" max="41" width="23.7109375" style="3" customWidth="1"/>
    <col min="42" max="42" width="24.85546875" style="3" customWidth="1"/>
    <col min="43" max="48" width="14.7109375" style="3" customWidth="1"/>
    <col min="49" max="49" width="9" style="3" customWidth="1"/>
    <col min="50" max="50" width="8.85546875" style="3" customWidth="1"/>
    <col min="51" max="51" width="9.28515625" style="3" customWidth="1"/>
    <col min="52" max="52" width="9.140625" style="3"/>
    <col min="53" max="53" width="18" style="3" customWidth="1"/>
    <col min="54" max="54" width="13.85546875" style="3" customWidth="1"/>
    <col min="55" max="55" width="15.5703125" style="3" customWidth="1"/>
    <col min="56" max="56" width="10.7109375" style="3" customWidth="1"/>
    <col min="57" max="16384" width="9.140625" style="3"/>
  </cols>
  <sheetData>
    <row r="1" spans="1:43" ht="26.25">
      <c r="A1" s="1322" t="s">
        <v>20</v>
      </c>
      <c r="B1" s="1322"/>
      <c r="C1" s="1322"/>
      <c r="D1" s="1322"/>
      <c r="E1" s="1322"/>
      <c r="F1" s="1323" t="e">
        <f ca="1">IF(AND(AQ7="Pass",AQ8="Pass",AQ10="Pass",AQ11="Pass",AQ13="Pass",AQ14="Pass",AR20="Pass"),"Pass","Fail")</f>
        <v>#REF!</v>
      </c>
      <c r="G1" s="1323"/>
    </row>
    <row r="2" spans="1:43" s="97" customFormat="1">
      <c r="A2" s="142" t="s">
        <v>10</v>
      </c>
      <c r="B2" s="298" t="e">
        <f>'DDR2 Clocks - 2L'!B2</f>
        <v>#REF!</v>
      </c>
      <c r="C2" s="98"/>
      <c r="D2" s="98"/>
      <c r="E2" s="98"/>
      <c r="F2" s="143"/>
      <c r="G2" s="143"/>
      <c r="H2" s="99"/>
      <c r="I2" s="99"/>
      <c r="J2" s="99"/>
      <c r="K2" s="99"/>
      <c r="L2" s="99"/>
      <c r="M2" s="99"/>
      <c r="N2" s="99"/>
      <c r="O2" s="99"/>
      <c r="P2" s="99"/>
      <c r="Q2" s="99"/>
      <c r="R2" s="99"/>
      <c r="S2" s="99"/>
      <c r="T2" s="99"/>
      <c r="U2" s="99"/>
      <c r="V2" s="99"/>
      <c r="W2" s="99"/>
      <c r="X2" s="99"/>
      <c r="Y2" s="99"/>
      <c r="Z2" s="99"/>
      <c r="AA2" s="265"/>
    </row>
    <row r="3" spans="1:43" s="154" customFormat="1" ht="45" customHeight="1">
      <c r="A3" s="144" t="s">
        <v>31</v>
      </c>
      <c r="B3" s="144" t="s">
        <v>14</v>
      </c>
      <c r="C3" s="145" t="s">
        <v>22</v>
      </c>
      <c r="D3" s="146"/>
      <c r="E3" s="147" t="e">
        <f>"EscapeLength L0 ["&amp;$B$2&amp;"]"</f>
        <v>#REF!</v>
      </c>
      <c r="F3" s="147" t="e">
        <f>"BreakoutLength L1["&amp; $B$2&amp;"]"</f>
        <v>#REF!</v>
      </c>
      <c r="G3" s="147" t="e">
        <f>"MainLength L2[" &amp;$B$2&amp; " ]"</f>
        <v>#REF!</v>
      </c>
      <c r="H3" s="147" t="e">
        <f>"BreakinLength S1  [" &amp;$B$2&amp;"]"</f>
        <v>#REF!</v>
      </c>
      <c r="I3" s="151" t="e">
        <f>"Via-to-via (SODIMM-to-Rt) L3 [" &amp;$B$2&amp;"]"</f>
        <v>#REF!</v>
      </c>
      <c r="J3" s="150"/>
      <c r="K3" s="151" t="e">
        <f>"Via-to-Rt L4 [" &amp;$B$2&amp;"]"</f>
        <v>#REF!</v>
      </c>
      <c r="L3" s="150"/>
      <c r="M3" s="149" t="e">
        <f>"Total MB Length(L0+L1+L2+S1)[" &amp;$B$2&amp;"]"</f>
        <v>#REF!</v>
      </c>
      <c r="N3" s="150" t="e">
        <f>"Total Pad-to-Pin Length (P1+L0+L1+L2+S1)[" &amp;$B$2&amp;"]"</f>
        <v>#REF!</v>
      </c>
      <c r="O3" s="151"/>
      <c r="P3" s="152" t="s">
        <v>23</v>
      </c>
      <c r="Q3" s="151" t="e">
        <f>"Target Min Length ["&amp;$B$2&amp;"]"</f>
        <v>#REF!</v>
      </c>
      <c r="R3" s="150" t="e">
        <f>"Target Max Length ["&amp;$B$2&amp;"]"</f>
        <v>#REF!</v>
      </c>
      <c r="S3" s="152" t="e">
        <f>"Routed Too Short [" &amp;$B$2&amp;"]"</f>
        <v>#REF!</v>
      </c>
      <c r="T3" s="151" t="e">
        <f>"Routed Too Long [" &amp;$B$2&amp;"]"</f>
        <v>#REF!</v>
      </c>
      <c r="U3" s="153" t="e">
        <f>"L0 Length Test (&lt;=" &amp; IF($B$2="mil",1,0.0254)*35&amp;$B$2&amp;")"</f>
        <v>#REF!</v>
      </c>
      <c r="V3" s="153" t="e">
        <f>"L1 Length Test (&lt;=" &amp; IF($B$2="mil",1,0.0254)*500&amp;$B$2&amp;")"</f>
        <v>#REF!</v>
      </c>
      <c r="W3" s="153" t="e">
        <f>"S1 Length test (&lt;=" &amp; IF($B$2="mil",1,0.0254)*500 &amp;$B$2&amp;")"</f>
        <v>#REF!</v>
      </c>
      <c r="X3" s="150" t="e">
        <f>"Total Length    (L0+L1+L2+S1) Test ("&amp;IF($B$2="mil",1,0.0254)*500&amp;"-"&amp;IF($B$2="mil",1,0.0254)*4750&amp;IF($B$2="mil","mil","mm")&amp;")"</f>
        <v>#REF!</v>
      </c>
      <c r="Y3" s="150" t="e">
        <f>"Total Length    (P1+L0+L1+L2+S1) Test (&lt;="&amp;IF($B$2="mil",1,25.4)*5250&amp;IF($B$2="mil","mil","mm")&amp;")"</f>
        <v>#REF!</v>
      </c>
      <c r="Z3" s="150" t="e">
        <f>"L3 Length Test (&lt;="&amp;IF($B$2="mil",1,0.0254)*1000&amp;$B$2&amp; ")"</f>
        <v>#REF!</v>
      </c>
      <c r="AA3" s="153" t="e">
        <f>"L4 Length Test (&lt;=" &amp; IF($B$2="mil",1,0.0254)*150&amp;$B$2&amp;") or (L3+L4&lt;= "&amp;IF($B$2="mil",1,0.0254)*1150&amp;$B$2&amp;")"</f>
        <v>#REF!</v>
      </c>
    </row>
    <row r="4" spans="1:43" s="162" customFormat="1" ht="12.75" customHeight="1">
      <c r="A4" s="155" t="s">
        <v>211</v>
      </c>
      <c r="B4" s="155"/>
      <c r="C4" s="155"/>
      <c r="D4" s="156"/>
      <c r="E4" s="156"/>
      <c r="F4" s="156"/>
      <c r="G4" s="156"/>
      <c r="H4" s="156"/>
      <c r="I4" s="156"/>
      <c r="J4" s="156"/>
      <c r="K4" s="156"/>
      <c r="L4" s="156"/>
      <c r="M4" s="156"/>
      <c r="N4" s="157"/>
      <c r="O4" s="156"/>
      <c r="P4" s="156"/>
      <c r="Q4" s="156"/>
      <c r="R4" s="156"/>
      <c r="S4" s="156"/>
      <c r="T4" s="156"/>
      <c r="U4" s="156"/>
      <c r="V4" s="156"/>
      <c r="W4" s="156"/>
      <c r="X4" s="156"/>
      <c r="Y4" s="156"/>
      <c r="Z4" s="156"/>
      <c r="AA4" s="221"/>
      <c r="AB4" s="159"/>
      <c r="AC4" s="160"/>
      <c r="AD4" s="160"/>
      <c r="AE4" s="161"/>
    </row>
    <row r="5" spans="1:43" s="162" customFormat="1" ht="11.25">
      <c r="A5" s="163" t="s">
        <v>18</v>
      </c>
      <c r="B5" s="164"/>
      <c r="C5" s="164"/>
      <c r="D5" s="165"/>
      <c r="E5" s="166"/>
      <c r="F5" s="166"/>
      <c r="G5" s="166"/>
      <c r="H5" s="166"/>
      <c r="I5" s="167"/>
      <c r="J5" s="167"/>
      <c r="K5" s="166"/>
      <c r="L5" s="167"/>
      <c r="M5" s="166"/>
      <c r="N5" s="168"/>
      <c r="O5" s="170"/>
      <c r="P5" s="171"/>
      <c r="Q5" s="173" t="e">
        <f>MIN('DDR2 Clocks - 2L'!$R$10:$R$13)</f>
        <v>#REF!</v>
      </c>
      <c r="R5" s="173" t="e">
        <f>MAX('DDR2 Clocks - 2L'!$R$10:$R$13)</f>
        <v>#REF!</v>
      </c>
      <c r="S5" s="172"/>
      <c r="T5" s="172"/>
      <c r="U5" s="172"/>
      <c r="V5" s="175"/>
      <c r="W5" s="176"/>
      <c r="X5" s="176"/>
      <c r="Y5" s="176"/>
      <c r="Z5" s="176"/>
      <c r="AA5" s="176"/>
      <c r="AB5" s="161"/>
      <c r="AC5" s="178"/>
      <c r="AD5" s="178"/>
      <c r="AE5" s="161"/>
    </row>
    <row r="6" spans="1:43" s="162" customFormat="1" ht="11.25">
      <c r="A6" s="155" t="s">
        <v>212</v>
      </c>
      <c r="B6" s="155"/>
      <c r="C6" s="155"/>
      <c r="D6" s="179"/>
      <c r="E6" s="180"/>
      <c r="F6" s="180"/>
      <c r="G6" s="180"/>
      <c r="H6" s="180"/>
      <c r="I6" s="181"/>
      <c r="J6" s="180"/>
      <c r="K6" s="181"/>
      <c r="L6" s="180"/>
      <c r="M6" s="180"/>
      <c r="N6" s="180"/>
      <c r="O6" s="183"/>
      <c r="P6" s="183"/>
      <c r="Q6" s="183"/>
      <c r="R6" s="184"/>
      <c r="S6" s="183"/>
      <c r="T6" s="183"/>
      <c r="U6" s="183"/>
      <c r="V6" s="183"/>
      <c r="W6" s="183"/>
      <c r="X6" s="183"/>
      <c r="Y6" s="183"/>
      <c r="Z6" s="183"/>
      <c r="AA6" s="183"/>
    </row>
    <row r="7" spans="1:43" s="162" customFormat="1">
      <c r="A7" s="185" t="s">
        <v>32</v>
      </c>
      <c r="B7" s="186" t="s">
        <v>33</v>
      </c>
      <c r="C7" s="187">
        <v>650.29999999999995</v>
      </c>
      <c r="D7" s="226"/>
      <c r="E7" s="275">
        <v>29.7</v>
      </c>
      <c r="F7" s="275">
        <v>0</v>
      </c>
      <c r="G7" s="305">
        <v>1227.8399999999999</v>
      </c>
      <c r="H7" s="315">
        <v>65.459999999999994</v>
      </c>
      <c r="I7" s="193">
        <v>0</v>
      </c>
      <c r="J7" s="191"/>
      <c r="K7" s="194">
        <v>54.86</v>
      </c>
      <c r="L7" s="357"/>
      <c r="M7" s="327">
        <f xml:space="preserve"> E7+F7+G7+H7</f>
        <v>1323</v>
      </c>
      <c r="N7" s="190" t="e">
        <f>IF($B$2="mil",1,0.0254)*C7+ M7</f>
        <v>#REF!</v>
      </c>
      <c r="O7" s="195"/>
      <c r="P7" s="196" t="e">
        <f>N7-($Q$5-1250)</f>
        <v>#REF!</v>
      </c>
      <c r="Q7" s="197" t="e">
        <f>MAX($Q$5:$R$5) + IF($B$2="mil",1,0.0254)*DDR2Specs!$B$6</f>
        <v>#REF!</v>
      </c>
      <c r="R7" s="197" t="e">
        <f>MIN($Q$5:$R$5) + IF($B$2="mil",1,0.0254)*DDR2Specs!$C$6</f>
        <v>#REF!</v>
      </c>
      <c r="S7" s="198" t="e">
        <f>IF($N7&lt;$Q7,$Q7-$N7,"Pass")</f>
        <v>#REF!</v>
      </c>
      <c r="T7" s="199" t="e">
        <f>IF($N7&gt;$R7,$N7-$R7,"Pass")</f>
        <v>#REF!</v>
      </c>
      <c r="U7" s="200" t="e">
        <f>IF($E7&lt;=IF($B$2="mil",1,0.0254)*35,"Pass",IF($B$2="mil",1,0.0254)*35-$E7)</f>
        <v>#REF!</v>
      </c>
      <c r="V7" s="201" t="e">
        <f>IF($F7&lt;=IF($B$2="mil",1,0.0254)*500,"Pass",IF($B$2="mil",1,0.0254)*500-$F7)</f>
        <v>#REF!</v>
      </c>
      <c r="W7" s="201" t="e">
        <f>IF($H7&lt;=IF($B$2="mil",1,0.0254)*500,"Pass",IF($B$2="mil",1,0.0254)*500-$H7)</f>
        <v>#REF!</v>
      </c>
      <c r="X7" s="201" t="e">
        <f>IF(AND($M7&gt;=IF($B$2="mil",1,0.0254)*500, $M7&lt;=IF($B$2="mil",1,0.0254)*4750),"Pass",IF($B$2="mil",1,0.0254)*4750-$M7)</f>
        <v>#REF!</v>
      </c>
      <c r="Y7" s="201" t="e">
        <f>IF(AND($N7&gt;=IF($B$2="mil",1,0.0254)*500, $N7&lt;=IF($B$2="mil",1,0.0254)*5250),"Pass",IF($B$2="mil",1,0.0254)*5250-$N7)</f>
        <v>#REF!</v>
      </c>
      <c r="Z7" s="201" t="e">
        <f>IF((I7&lt;=IF($B$2="mil",1,0.0254)*1000),"Pass",IF($B$2="mil",1,0.0254)*1000-I7)</f>
        <v>#REF!</v>
      </c>
      <c r="AA7" s="201" t="e">
        <f ca="1">CheckLength2(1150,I7,K7,0)</f>
        <v>#NAME?</v>
      </c>
      <c r="AQ7" s="162" t="e">
        <f ca="1">IF(AND(U7="Pass",Z7="Pass",Y7="Pass",X7="Pass",W7="Pass",V7="Pass",S7="Pass",T7="Pass",AA7="Pass"),"Pass","Fail")</f>
        <v>#REF!</v>
      </c>
    </row>
    <row r="8" spans="1:43" s="162" customFormat="1">
      <c r="A8" s="185" t="s">
        <v>34</v>
      </c>
      <c r="B8" s="186" t="s">
        <v>329</v>
      </c>
      <c r="C8" s="202">
        <v>471.3</v>
      </c>
      <c r="D8" s="227"/>
      <c r="E8" s="275">
        <v>29.7</v>
      </c>
      <c r="F8" s="275">
        <v>0</v>
      </c>
      <c r="G8" s="305">
        <v>1092.77</v>
      </c>
      <c r="H8" s="315">
        <v>112.27</v>
      </c>
      <c r="I8" s="193">
        <v>0</v>
      </c>
      <c r="J8" s="191"/>
      <c r="K8" s="194">
        <v>97.86</v>
      </c>
      <c r="L8" s="357"/>
      <c r="M8" s="327">
        <f xml:space="preserve"> E8+F8+G8+H8</f>
        <v>1234.74</v>
      </c>
      <c r="N8" s="190" t="e">
        <f>IF($B$2="mil",1,0.0254)*C8+ M8</f>
        <v>#REF!</v>
      </c>
      <c r="O8" s="204"/>
      <c r="P8" s="196" t="e">
        <f>N8-($Q$5-1250)</f>
        <v>#REF!</v>
      </c>
      <c r="Q8" s="197" t="e">
        <f>MAX($Q$5:$R$5) + IF($B$2="mil",1,0.0254)*DDR2Specs!$B$6</f>
        <v>#REF!</v>
      </c>
      <c r="R8" s="197" t="e">
        <f>MIN($Q$5:$R$5) + IF($B$2="mil",1,0.0254)*DDR2Specs!$C$6</f>
        <v>#REF!</v>
      </c>
      <c r="S8" s="198" t="e">
        <f>IF($N8&lt;$Q8,$Q8-$N8,"Pass")</f>
        <v>#REF!</v>
      </c>
      <c r="T8" s="199" t="e">
        <f>IF($N8&gt;$R8,$N8-$R8,"Pass")</f>
        <v>#REF!</v>
      </c>
      <c r="U8" s="200" t="e">
        <f>IF($E8&lt;=IF($B$2="mil",1,0.0254)*35,"Pass",IF($B$2="mil",1,0.0254)*35-$E8)</f>
        <v>#REF!</v>
      </c>
      <c r="V8" s="201" t="e">
        <f>IF($F8&lt;=IF($B$2="mil",1,0.0254)*500,"Pass",IF($B$2="mil",1,0.0254)*500-$F8)</f>
        <v>#REF!</v>
      </c>
      <c r="W8" s="201" t="e">
        <f>IF($H8&lt;=IF($B$2="mil",1,0.0254)*500,"Pass",IF($B$2="mil",1,0.0254)*500-$H8)</f>
        <v>#REF!</v>
      </c>
      <c r="X8" s="201" t="e">
        <f>IF(AND($M8&gt;=IF($B$2="mil",1,0.0254)*500, $M8&lt;=IF($B$2="mil",1,0.0254)*4750),"Pass",IF($B$2="mil",1,0.0254)*4750-$M8)</f>
        <v>#REF!</v>
      </c>
      <c r="Y8" s="201" t="e">
        <f>IF(AND($N8&gt;=IF($B$2="mil",1,0.0254)*500, $N8&lt;=IF($B$2="mil",1,0.0254)*5250),"Pass",IF($B$2="mil",1,0.0254)*5250-$N8)</f>
        <v>#REF!</v>
      </c>
      <c r="Z8" s="201" t="e">
        <f>IF((I8&lt;=IF($B$2="mil",1,0.0254)*1000),"Pass",IF($B$2="mil",1,0.0254)*1000-I8)</f>
        <v>#REF!</v>
      </c>
      <c r="AA8" s="201" t="e">
        <f ca="1">CheckLength2(1150,I8,K8,0)</f>
        <v>#NAME?</v>
      </c>
      <c r="AQ8" s="162" t="e">
        <f ca="1">IF(AND(U8="Pass",Z8="Pass",Y8="Pass",X8="Pass",W8="Pass",V8="Pass",S8="Pass",T8="Pass",AA8="Pass"),"Pass","Fail")</f>
        <v>#REF!</v>
      </c>
    </row>
    <row r="9" spans="1:43" s="213" customFormat="1" ht="12">
      <c r="A9" s="205" t="s">
        <v>208</v>
      </c>
      <c r="B9" s="205"/>
      <c r="C9" s="205"/>
      <c r="D9" s="179"/>
      <c r="E9" s="354"/>
      <c r="F9" s="355"/>
      <c r="G9" s="356"/>
      <c r="H9" s="356"/>
      <c r="I9" s="358"/>
      <c r="J9" s="208"/>
      <c r="K9" s="358"/>
      <c r="L9" s="207"/>
      <c r="M9" s="208"/>
      <c r="N9" s="209"/>
      <c r="O9" s="209"/>
      <c r="P9" s="209"/>
      <c r="Q9" s="209"/>
      <c r="R9" s="209"/>
      <c r="S9" s="210"/>
      <c r="T9" s="210"/>
      <c r="U9" s="210"/>
      <c r="V9" s="211"/>
      <c r="W9" s="211"/>
      <c r="X9" s="212"/>
      <c r="Y9" s="212"/>
      <c r="Z9" s="212"/>
      <c r="AA9" s="233"/>
      <c r="AQ9" s="162"/>
    </row>
    <row r="10" spans="1:43" s="162" customFormat="1">
      <c r="A10" s="185" t="s">
        <v>35</v>
      </c>
      <c r="B10" s="186" t="s">
        <v>332</v>
      </c>
      <c r="C10" s="187">
        <v>483.3</v>
      </c>
      <c r="D10" s="226"/>
      <c r="E10" s="275">
        <v>29.7</v>
      </c>
      <c r="F10" s="275">
        <v>0</v>
      </c>
      <c r="G10" s="305">
        <v>1406.42</v>
      </c>
      <c r="H10" s="315">
        <v>61.6</v>
      </c>
      <c r="I10" s="193">
        <v>0</v>
      </c>
      <c r="J10" s="191"/>
      <c r="K10" s="193">
        <v>56.23</v>
      </c>
      <c r="L10" s="357"/>
      <c r="M10" s="327">
        <f xml:space="preserve"> E10+F10+G10+H10</f>
        <v>1497.72</v>
      </c>
      <c r="N10" s="190" t="e">
        <f>IF($B$2="mil",1,0.0254)*C10+ M10</f>
        <v>#REF!</v>
      </c>
      <c r="O10" s="195"/>
      <c r="P10" s="196" t="e">
        <f>N10-($Q$5-1250)</f>
        <v>#REF!</v>
      </c>
      <c r="Q10" s="197" t="e">
        <f>MAX($Q$5:$R$5) + IF($B$2="mil",1,0.0254)*DDR2Specs!$B$6</f>
        <v>#REF!</v>
      </c>
      <c r="R10" s="197" t="e">
        <f>MIN($Q$5:$R$5) + IF($B$2="mil",1,0.0254)*DDR2Specs!$C$6</f>
        <v>#REF!</v>
      </c>
      <c r="S10" s="198" t="e">
        <f>IF($N10&lt;$Q10,$Q10-$N10,"Pass")</f>
        <v>#REF!</v>
      </c>
      <c r="T10" s="199" t="e">
        <f>IF($N10&gt;$R10,$N10-$R10,"Pass")</f>
        <v>#REF!</v>
      </c>
      <c r="U10" s="200" t="e">
        <f>IF($E10&lt;=IF($B$2="mil",1,0.0254)*35,"Pass",IF($B$2="mil",1,0.0254)*35-$E10)</f>
        <v>#REF!</v>
      </c>
      <c r="V10" s="201" t="e">
        <f>IF($F10&lt;=IF($B$2="mil",1,0.0254)*500,"Pass",IF($B$2="mil",1,0.0254)*500-$F10)</f>
        <v>#REF!</v>
      </c>
      <c r="W10" s="201" t="e">
        <f>IF($H10&lt;=IF($B$2="mil",1,0.0254)*500,"Pass",IF($B$2="mil",1,0.0254)*500-$H10)</f>
        <v>#REF!</v>
      </c>
      <c r="X10" s="201" t="e">
        <f>IF(AND($M10&gt;=IF($B$2="mil",1,0.0254)*500, $M10&lt;=IF($B$2="mil",1,0.0254)*4750),"Pass",IF($B$2="mil",1,0.0254)*4750-$M10)</f>
        <v>#REF!</v>
      </c>
      <c r="Y10" s="201" t="e">
        <f>IF(AND($N10&gt;=IF($B$2="mil",1,0.0254)*500, $N10&lt;=IF($B$2="mil",1,0.0254)*5250),"Pass",IF($B$2="mil",1,0.0254)*5250-$N10)</f>
        <v>#REF!</v>
      </c>
      <c r="Z10" s="201" t="e">
        <f>IF((I10&lt;=IF($B$2="mil",1,0.0254)*1000),"Pass",IF($B$2="mil",1,0.0254)*1000-I10)</f>
        <v>#REF!</v>
      </c>
      <c r="AA10" s="201" t="e">
        <f ca="1">CheckLength2(1150,I10,K10,0)</f>
        <v>#NAME?</v>
      </c>
      <c r="AQ10" s="162" t="e">
        <f ca="1">IF(AND(U10="Pass",Z10="Pass",Y10="Pass",X10="Pass",W10="Pass",V10="Pass",S10="Pass",T10="Pass",AA10="Pass"),"Pass","Fail")</f>
        <v>#REF!</v>
      </c>
    </row>
    <row r="11" spans="1:43" s="162" customFormat="1">
      <c r="A11" s="185" t="s">
        <v>36</v>
      </c>
      <c r="B11" s="214" t="s">
        <v>333</v>
      </c>
      <c r="C11" s="215">
        <v>291.10000000000002</v>
      </c>
      <c r="D11" s="228"/>
      <c r="E11" s="275">
        <v>29.7</v>
      </c>
      <c r="F11" s="275">
        <v>0</v>
      </c>
      <c r="G11" s="305">
        <v>1120.71</v>
      </c>
      <c r="H11" s="315">
        <v>72.81</v>
      </c>
      <c r="I11" s="193">
        <v>0</v>
      </c>
      <c r="J11" s="191"/>
      <c r="K11" s="193">
        <v>60.78</v>
      </c>
      <c r="L11" s="357"/>
      <c r="M11" s="327">
        <f xml:space="preserve"> E11+F11+G11+H11</f>
        <v>1223.22</v>
      </c>
      <c r="N11" s="190" t="e">
        <f>IF($B$2="mil",1,0.0254)*C11+ M11</f>
        <v>#REF!</v>
      </c>
      <c r="O11" s="217"/>
      <c r="P11" s="196" t="e">
        <f>N11-($Q$5-1250)</f>
        <v>#REF!</v>
      </c>
      <c r="Q11" s="197" t="e">
        <f>MAX($Q$5:$R$5) + IF($B$2="mil",1,0.0254)*DDR2Specs!$B$6</f>
        <v>#REF!</v>
      </c>
      <c r="R11" s="197" t="e">
        <f>MIN($Q$5:$R$5) + IF($B$2="mil",1,0.0254)*DDR2Specs!$C$6</f>
        <v>#REF!</v>
      </c>
      <c r="S11" s="198" t="e">
        <f>IF($N11&lt;$Q11,$Q11-$N11,"Pass")</f>
        <v>#REF!</v>
      </c>
      <c r="T11" s="199" t="e">
        <f>IF($N11&gt;$R11,$N11-$R11,"Pass")</f>
        <v>#REF!</v>
      </c>
      <c r="U11" s="200" t="e">
        <f>IF($E11&lt;=IF($B$2="mil",1,0.0254)*35,"Pass",IF($B$2="mil",1,0.0254)*35-$E11)</f>
        <v>#REF!</v>
      </c>
      <c r="V11" s="201" t="e">
        <f>IF($F11&lt;=IF($B$2="mil",1,0.0254)*500,"Pass",IF($B$2="mil",1,0.0254)*500-$F11)</f>
        <v>#REF!</v>
      </c>
      <c r="W11" s="201" t="e">
        <f>IF($H11&lt;=IF($B$2="mil",1,0.0254)*500,"Pass",IF($B$2="mil",1,0.0254)*500-$H11)</f>
        <v>#REF!</v>
      </c>
      <c r="X11" s="201" t="e">
        <f>IF(AND($M11&gt;=IF($B$2="mil",1,0.0254)*500, $M11&lt;=IF($B$2="mil",1,0.0254)*4750),"Pass",IF($B$2="mil",1,0.0254)*4750-$M11)</f>
        <v>#REF!</v>
      </c>
      <c r="Y11" s="201" t="e">
        <f>IF(AND($N11&gt;=IF($B$2="mil",1,0.0254)*500, $N11&lt;=IF($B$2="mil",1,0.0254)*5250),"Pass",IF($B$2="mil",1,0.0254)*5250-$N11)</f>
        <v>#REF!</v>
      </c>
      <c r="Z11" s="201" t="e">
        <f>IF((I11&lt;=IF($B$2="mil",1,0.0254)*1000),"Pass",IF($B$2="mil",1,0.0254)*1000-I11)</f>
        <v>#REF!</v>
      </c>
      <c r="AA11" s="201" t="e">
        <f ca="1">CheckLength2(1150,I11,K11,0)</f>
        <v>#NAME?</v>
      </c>
      <c r="AC11" s="236" t="s">
        <v>224</v>
      </c>
      <c r="AD11" s="172" t="e">
        <f>MIN('DDR2 Clocks - 2L'!$R$5:$R$6)</f>
        <v>#REF!</v>
      </c>
      <c r="AE11" s="235" t="e">
        <f>MAX('DDR2 Clocks - 2L'!$R$5:$R$6)</f>
        <v>#REF!</v>
      </c>
      <c r="AQ11" s="162" t="e">
        <f ca="1">IF(AND(U11="Pass",Z11="Pass",Y11="Pass",X11="Pass",W11="Pass",V11="Pass",S11="Pass",T11="Pass",AA11="Pass"),"Pass","Fail")</f>
        <v>#REF!</v>
      </c>
    </row>
    <row r="12" spans="1:43" s="213" customFormat="1" ht="12">
      <c r="A12" s="205" t="s">
        <v>209</v>
      </c>
      <c r="B12" s="205"/>
      <c r="C12" s="205"/>
      <c r="D12" s="179"/>
      <c r="E12" s="354"/>
      <c r="F12" s="355"/>
      <c r="G12" s="356"/>
      <c r="H12" s="356"/>
      <c r="I12" s="358"/>
      <c r="J12" s="208"/>
      <c r="K12" s="358"/>
      <c r="L12" s="207"/>
      <c r="M12" s="208"/>
      <c r="N12" s="209"/>
      <c r="O12" s="209"/>
      <c r="P12" s="209"/>
      <c r="Q12" s="209"/>
      <c r="R12" s="209"/>
      <c r="S12" s="210"/>
      <c r="T12" s="210"/>
      <c r="U12" s="210"/>
      <c r="V12" s="211"/>
      <c r="W12" s="211"/>
      <c r="X12" s="212"/>
      <c r="Y12" s="212"/>
      <c r="Z12" s="212"/>
      <c r="AA12" s="233"/>
      <c r="AC12" s="383" t="s">
        <v>227</v>
      </c>
      <c r="AD12" s="235" t="e">
        <f>MIN('DDR2 Clocks - 2L'!$S$5:$S$6)</f>
        <v>#REF!</v>
      </c>
      <c r="AE12" s="235" t="e">
        <f>MAX('DDR2 Clocks - 2L'!$S$5:$S$6)</f>
        <v>#REF!</v>
      </c>
      <c r="AQ12" s="162"/>
    </row>
    <row r="13" spans="1:43" s="162" customFormat="1">
      <c r="A13" s="185" t="s">
        <v>37</v>
      </c>
      <c r="B13" s="186" t="s">
        <v>336</v>
      </c>
      <c r="C13" s="187">
        <v>423.8</v>
      </c>
      <c r="D13" s="226"/>
      <c r="E13" s="275">
        <v>29.7</v>
      </c>
      <c r="F13" s="275">
        <v>0</v>
      </c>
      <c r="G13" s="305">
        <v>1098.0999999999999</v>
      </c>
      <c r="H13" s="315">
        <v>129.22</v>
      </c>
      <c r="I13" s="193">
        <v>0</v>
      </c>
      <c r="J13" s="191"/>
      <c r="K13" s="193">
        <v>139.15</v>
      </c>
      <c r="L13" s="357"/>
      <c r="M13" s="327">
        <f xml:space="preserve"> E13+F13+G13+H13</f>
        <v>1257.02</v>
      </c>
      <c r="N13" s="190" t="e">
        <f>IF($B$2="mil",1,0.0254)*C13+ M13</f>
        <v>#REF!</v>
      </c>
      <c r="O13" s="195"/>
      <c r="P13" s="196" t="e">
        <f>N13-($Q$5-1250)</f>
        <v>#REF!</v>
      </c>
      <c r="Q13" s="197" t="e">
        <f>MAX($Q$5:$R$5) + IF($B$2="mil",1,0.0254)*DDR2Specs!$B$6</f>
        <v>#REF!</v>
      </c>
      <c r="R13" s="197" t="e">
        <f>MIN($Q$5:$R$5) + IF($B$2="mil",1,0.0254)*DDR2Specs!$C$6</f>
        <v>#REF!</v>
      </c>
      <c r="S13" s="198" t="e">
        <f>IF($N13&lt;$Q13,$Q13-$N13,"Pass")</f>
        <v>#REF!</v>
      </c>
      <c r="T13" s="199" t="e">
        <f>IF($N13&gt;$R13,$N13-$R13,"Pass")</f>
        <v>#REF!</v>
      </c>
      <c r="U13" s="200" t="e">
        <f>IF($E13&lt;=IF($B$2="mil",1,0.0254)*35,"Pass",IF($B$2="mil",1,0.0254)*35-$E13)</f>
        <v>#REF!</v>
      </c>
      <c r="V13" s="201" t="e">
        <f>IF($F13&lt;=IF($B$2="mil",1,0.0254)*500,"Pass",IF($B$2="mil",1,0.0254)*500-$F13)</f>
        <v>#REF!</v>
      </c>
      <c r="W13" s="201" t="e">
        <f>IF($H13&lt;=IF($B$2="mil",1,0.0254)*500,"Pass",IF($B$2="mil",1,0.0254)*500-$H13)</f>
        <v>#REF!</v>
      </c>
      <c r="X13" s="201" t="e">
        <f>IF(AND($M13&gt;=IF($B$2="mil",1,0.0254)*500, $M13&lt;=IF($B$2="mil",1,0.0254)*4750),"Pass",IF($B$2="mil",1,0.0254)*4750-$M13)</f>
        <v>#REF!</v>
      </c>
      <c r="Y13" s="201" t="e">
        <f>IF(AND($N13&gt;=IF($B$2="mil",1,0.0254)*500, $N13&lt;=IF($B$2="mil",1,0.0254)*5250),"Pass",IF($B$2="mil",1,0.0254)*5250-$N13)</f>
        <v>#REF!</v>
      </c>
      <c r="Z13" s="201" t="e">
        <f>IF((I13&lt;=IF($B$2="mil",1,0.0254)*1000),"Pass",IF($B$2="mil",1,0.0254)*1000-I13)</f>
        <v>#REF!</v>
      </c>
      <c r="AA13" s="201" t="e">
        <f ca="1">CheckLength2(1150,I13,K13,0)</f>
        <v>#NAME?</v>
      </c>
      <c r="AC13" s="383" t="s">
        <v>226</v>
      </c>
      <c r="AD13" s="235" t="e">
        <f>MIN('DDR2 Clocks - 2L'!$R$7:$R$8)</f>
        <v>#REF!</v>
      </c>
      <c r="AE13" s="235" t="e">
        <f>MAX('DDR2 Clocks - 2L'!$R$7:$R$8)</f>
        <v>#REF!</v>
      </c>
      <c r="AQ13" s="162" t="e">
        <f ca="1">IF(AND(U13="Pass",Z13="Pass",Y13="Pass",X13="Pass",W13="Pass",V13="Pass",S13="Pass",T13="Pass",AA13="Pass"),"Pass","Fail")</f>
        <v>#REF!</v>
      </c>
    </row>
    <row r="14" spans="1:43" s="162" customFormat="1">
      <c r="A14" s="185" t="s">
        <v>38</v>
      </c>
      <c r="B14" s="186" t="s">
        <v>337</v>
      </c>
      <c r="C14" s="202">
        <v>384.5</v>
      </c>
      <c r="D14" s="227"/>
      <c r="E14" s="275">
        <v>29.7</v>
      </c>
      <c r="F14" s="275">
        <v>0</v>
      </c>
      <c r="G14" s="305">
        <v>1042.5899999999999</v>
      </c>
      <c r="H14" s="315">
        <v>71.78</v>
      </c>
      <c r="I14" s="193">
        <v>0</v>
      </c>
      <c r="J14" s="191"/>
      <c r="K14" s="193">
        <v>110.28</v>
      </c>
      <c r="L14" s="357"/>
      <c r="M14" s="327">
        <f xml:space="preserve"> E14+F14+G14+H14</f>
        <v>1144.07</v>
      </c>
      <c r="N14" s="190" t="e">
        <f>IF($B$2="mil",1,0.0254)*C14+ M14</f>
        <v>#REF!</v>
      </c>
      <c r="O14" s="204"/>
      <c r="P14" s="196" t="e">
        <f>N14-($Q$5-1250)</f>
        <v>#REF!</v>
      </c>
      <c r="Q14" s="197" t="e">
        <f>MAX($Q$5:$R$5) + IF($B$2="mil",1,0.0254)*DDR2Specs!$B$6</f>
        <v>#REF!</v>
      </c>
      <c r="R14" s="197" t="e">
        <f>MIN($Q$5:$R$5) + IF($B$2="mil",1,0.0254)*DDR2Specs!$C$6</f>
        <v>#REF!</v>
      </c>
      <c r="S14" s="198" t="e">
        <f>IF($N14&lt;$Q14,$Q14-$N14,"Pass")</f>
        <v>#REF!</v>
      </c>
      <c r="T14" s="199" t="e">
        <f>IF($N14&gt;$R14,$N14-$R14,"Pass")</f>
        <v>#REF!</v>
      </c>
      <c r="U14" s="200" t="e">
        <f>IF($E14&lt;=IF($B$2="mil",1,0.0254)*35,"Pass",IF($B$2="mil",1,0.0254)*35-$E14)</f>
        <v>#REF!</v>
      </c>
      <c r="V14" s="201" t="e">
        <f>IF($F14&lt;=IF($B$2="mil",1,0.0254)*500,"Pass",IF($B$2="mil",1,0.0254)*500-$F14)</f>
        <v>#REF!</v>
      </c>
      <c r="W14" s="201" t="e">
        <f>IF($H14&lt;=IF($B$2="mil",1,0.0254)*500,"Pass",IF($B$2="mil",1,0.0254)*500-$H14)</f>
        <v>#REF!</v>
      </c>
      <c r="X14" s="201" t="e">
        <f>IF(AND($M14&gt;=IF($B$2="mil",1,0.0254)*500, $M14&lt;=IF($B$2="mil",1,0.0254)*4750),"Pass",IF($B$2="mil",1,0.0254)*4750-$M14)</f>
        <v>#REF!</v>
      </c>
      <c r="Y14" s="201" t="e">
        <f>IF(AND($N14&gt;=IF($B$2="mil",1,0.0254)*500, $N14&lt;=IF($B$2="mil",1,0.0254)*5250),"Pass",IF($B$2="mil",1,0.0254)*5250-$N14)</f>
        <v>#REF!</v>
      </c>
      <c r="Z14" s="201" t="e">
        <f>IF((I14&lt;=IF($B$2="mil",1,0.0254)*1000),"Pass",IF($B$2="mil",1,0.0254)*1000-I14)</f>
        <v>#REF!</v>
      </c>
      <c r="AA14" s="201" t="e">
        <f ca="1">CheckLength2(1150,I14,K14,0)</f>
        <v>#NAME?</v>
      </c>
      <c r="AC14" s="383" t="s">
        <v>225</v>
      </c>
      <c r="AD14" s="235" t="e">
        <f>MIN('DDR2 Clocks - 2L'!$S$7:$S$8)</f>
        <v>#REF!</v>
      </c>
      <c r="AE14" s="235" t="e">
        <f>MAX('DDR2 Clocks - 2L'!$S$7:$S$8)</f>
        <v>#REF!</v>
      </c>
      <c r="AQ14" s="162" t="e">
        <f ca="1">IF(AND(U14="Pass",Z14="Pass",Y14="Pass",X14="Pass",W14="Pass",V14="Pass",S14="Pass",T14="Pass",AA14="Pass"),"Pass","Fail")</f>
        <v>#REF!</v>
      </c>
    </row>
    <row r="15" spans="1:43" ht="38.25" customHeight="1">
      <c r="A15" s="56"/>
      <c r="B15" s="56"/>
      <c r="C15" s="56"/>
      <c r="D15" s="56"/>
      <c r="E15" s="56"/>
      <c r="F15" s="57"/>
      <c r="G15" s="56"/>
      <c r="H15" s="56"/>
      <c r="I15" s="56"/>
      <c r="J15" s="56"/>
      <c r="K15" s="56"/>
      <c r="L15" s="56"/>
      <c r="M15" s="56"/>
      <c r="N15" s="56"/>
      <c r="O15" s="120"/>
      <c r="P15" s="120"/>
      <c r="Q15" s="120"/>
      <c r="R15" s="120"/>
      <c r="S15" s="120"/>
      <c r="T15" s="120"/>
      <c r="U15" s="120"/>
      <c r="V15" s="121"/>
      <c r="W15" s="120"/>
      <c r="X15" s="122"/>
      <c r="Y15" s="123"/>
      <c r="Z15" s="123"/>
      <c r="AA15" s="234"/>
    </row>
    <row r="16" spans="1:43" s="154" customFormat="1" ht="33.75">
      <c r="A16" s="218" t="s">
        <v>31</v>
      </c>
      <c r="B16" s="144" t="s">
        <v>14</v>
      </c>
      <c r="C16" s="219" t="s">
        <v>22</v>
      </c>
      <c r="D16" s="151"/>
      <c r="E16" s="148" t="e">
        <f>"EscapeLength L0 ["&amp;$B$2&amp;"]"</f>
        <v>#REF!</v>
      </c>
      <c r="F16" s="148" t="e">
        <f>"BreakoutLength L1["&amp; $B$2&amp;"]"</f>
        <v>#REF!</v>
      </c>
      <c r="G16" s="148" t="e">
        <f>"MainLength L2[" &amp;$B$2&amp; " ]"</f>
        <v>#REF!</v>
      </c>
      <c r="H16" s="148" t="e">
        <f>"BreakinLength S1  [" &amp;$B$2&amp;"]"</f>
        <v>#REF!</v>
      </c>
      <c r="I16" s="151" t="e">
        <f>"Via-to-via (SODIMM-to-Rt) L3 [" &amp;$B$2&amp;"]"</f>
        <v>#REF!</v>
      </c>
      <c r="J16" s="150"/>
      <c r="K16" s="151" t="e">
        <f>"Via-to-Rt L4 [" &amp;$B$2&amp;"]"</f>
        <v>#REF!</v>
      </c>
      <c r="L16" s="150"/>
      <c r="M16" s="150" t="e">
        <f>"Break-in to Rs L5 ["&amp;$B$2&amp;"]"</f>
        <v>#REF!</v>
      </c>
      <c r="N16" s="144" t="e">
        <f>"Rs Length ["&amp;$B$2&amp;"]"</f>
        <v>#REF!</v>
      </c>
      <c r="O16" s="151"/>
      <c r="P16" s="152" t="s">
        <v>23</v>
      </c>
      <c r="Q16" s="144" t="e">
        <f>"Breakout from Rs L6 ["&amp;$B$2&amp;"]"</f>
        <v>#REF!</v>
      </c>
      <c r="R16" s="144" t="e">
        <f>"Trace L7 ["&amp;$B$2&amp;"]"</f>
        <v>#REF!</v>
      </c>
      <c r="S16" s="144" t="e">
        <f>"Trace L8-1 ["&amp;$B$2&amp;"]"</f>
        <v>#REF!</v>
      </c>
      <c r="T16" s="144" t="e">
        <f>"Trace L9-1 ["&amp;$B$2&amp;"]"</f>
        <v>#REF!</v>
      </c>
      <c r="U16" s="144" t="e">
        <f>"Trace L10-1 ["&amp;$B$2&amp;"]"</f>
        <v>#REF!</v>
      </c>
      <c r="V16" s="144" t="e">
        <f>"Total MB Length to U1 (L0+L1+L2+S1+L5+Rs+L6+L7+L8-1+L9-1+L10-1) ["&amp;$B$2&amp;"]"</f>
        <v>#REF!</v>
      </c>
      <c r="W16" s="144" t="e">
        <f>"Total Pad to Pin U1 (P1+L0+L1+L2+S1+L5+Rs+L6+L7+L8-1+L9-1+L10-1) ["&amp;$B$2&amp;"]"</f>
        <v>#REF!</v>
      </c>
      <c r="X16" s="151" t="e">
        <f>"Target Min Length to U1["&amp;$B$2&amp;"]"</f>
        <v>#REF!</v>
      </c>
      <c r="Y16" s="150" t="e">
        <f>"Target Max Length  to U1 ["&amp;$B$2&amp;"]"</f>
        <v>#REF!</v>
      </c>
      <c r="Z16" s="152" t="e">
        <f>"Routed Too Short  to U1 [" &amp;$B$2&amp;"]"</f>
        <v>#REF!</v>
      </c>
      <c r="AA16" s="151" t="e">
        <f>"Routed Too Long  to U1 [" &amp;$B$2&amp;"]"</f>
        <v>#REF!</v>
      </c>
      <c r="AB16" s="153" t="e">
        <f>"L0 Length Test (&lt;=" &amp; IF($B$2="mil",1,0.0254)*35&amp;$B$2&amp;")"</f>
        <v>#REF!</v>
      </c>
      <c r="AC16" s="153" t="e">
        <f>"L1 Length Test (&lt;=" &amp; IF($B$2="mil",1,0.0254)*500&amp;$B$2&amp;")"</f>
        <v>#REF!</v>
      </c>
      <c r="AD16" s="153" t="e">
        <f>"S1 Length Test (&lt;=" &amp; IF($B$2="mil",1,0.0254)*500 &amp;$B$2&amp;")"</f>
        <v>#REF!</v>
      </c>
      <c r="AE16" s="153" t="e">
        <f>"L3 Length Test (&lt;=" &amp; IF($B$2="mil",1,0.0254)*1000&amp;$B$2&amp;")"</f>
        <v>#REF!</v>
      </c>
      <c r="AF16" s="153" t="e">
        <f>"L4 Length Test (&lt;=" &amp; IF($B$2="mil",1,0.0254)*150&amp;$B$2&amp;") or (L3+L4&lt;= "&amp;IF($B$2="mil",1,0.0254)*1150&amp;$B$2&amp;")"</f>
        <v>#REF!</v>
      </c>
      <c r="AG16" s="153" t="e">
        <f>"L5 Length Test (&lt;=" &amp; IF($B$2="mil",1,0.0254)*125&amp;$B$2&amp;")"</f>
        <v>#REF!</v>
      </c>
      <c r="AH16" s="153" t="e">
        <f>"L6 Length Test (&lt;=" &amp; IF($B$2="mil",1,0.0254)*125&amp;$B$2&amp;")"</f>
        <v>#REF!</v>
      </c>
      <c r="AI16" s="153" t="e">
        <f>"L7 Length Test (&lt;=" &amp; IF($B$2="mil",1,0.0254)*1000&amp;$B$2&amp;")"</f>
        <v>#REF!</v>
      </c>
      <c r="AJ16" s="153" t="e">
        <f>"L8-1 Length Test (&lt;=" &amp; IF($B$2="mil",1,0.0254)*750&amp;$B$2&amp;")"</f>
        <v>#REF!</v>
      </c>
      <c r="AK16" s="153" t="e">
        <f>"Diff L8-1 &amp; L8-2 (&lt;="&amp;IF($B$2="mil",1,0.0254)*50&amp;$B$2&amp;")"</f>
        <v>#REF!</v>
      </c>
      <c r="AL16" s="153" t="e">
        <f>"L9-1 Length Test (&lt;=" &amp; IF($B$2="mil",1,0.0254)*1250&amp;$B$2&amp;")"</f>
        <v>#REF!</v>
      </c>
      <c r="AM16" s="153" t="e">
        <f>"Diff L9-1 &amp; L9-2 (&lt;="&amp;IF($B$2="mil",1,0.0254)*50&amp;$B$2&amp;")"</f>
        <v>#REF!</v>
      </c>
      <c r="AN16" s="153" t="e">
        <f>"L10-1 Length Test (&lt;=" &amp; IF($B$2="mil",1,0.0254)*150&amp;$B$2&amp;") or (L9-1+L10-1&lt;= "&amp;IF($B$2="mil",1,0.0254)*1400&amp;$B$2&amp;")"</f>
        <v>#REF!</v>
      </c>
      <c r="AO16" s="150" t="e">
        <f>"Total Length to U1 (L0+L1+L2+S1+L5+Rs+L6+L7+L8-1+L9-1+L10-1) Test ("&amp;IF($B$2="mil",1,0.0254)*500&amp;"-"&amp;IF($B$2="mil",1,0.0254)*7500&amp;IF($B$2="mil","mil","mm")&amp;")"</f>
        <v>#REF!</v>
      </c>
      <c r="AP16" s="150" t="e">
        <f>"Total Length to U1 (P1+L0+L1+L2+S1+L5+Rs+L6+L7+L8-1+L9-1+L10-1) Test (&lt;="&amp;IF($B$2="mil",1,25.4)*8000&amp;IF($B$2="mil","mil","mm")&amp;")"</f>
        <v>#REF!</v>
      </c>
      <c r="AQ16" s="162"/>
    </row>
    <row r="17" spans="1:45" s="162" customFormat="1" ht="12.75" customHeight="1">
      <c r="A17" s="155" t="s">
        <v>210</v>
      </c>
      <c r="B17" s="155"/>
      <c r="C17" s="155"/>
      <c r="D17" s="156"/>
      <c r="E17" s="156"/>
      <c r="F17" s="220"/>
      <c r="G17" s="156"/>
      <c r="H17" s="156"/>
      <c r="I17" s="156"/>
      <c r="J17" s="156"/>
      <c r="K17" s="156"/>
      <c r="L17" s="156"/>
      <c r="M17" s="156"/>
      <c r="N17" s="156"/>
      <c r="O17" s="221"/>
      <c r="P17" s="221"/>
      <c r="Q17" s="156"/>
      <c r="R17" s="156"/>
      <c r="S17" s="156"/>
      <c r="T17" s="156"/>
      <c r="U17" s="156"/>
      <c r="V17" s="221"/>
      <c r="W17" s="221"/>
      <c r="X17" s="221"/>
      <c r="Y17" s="221"/>
      <c r="Z17" s="221"/>
      <c r="AA17" s="221"/>
      <c r="AB17" s="212"/>
      <c r="AC17" s="221"/>
      <c r="AD17" s="221"/>
      <c r="AE17" s="221"/>
      <c r="AF17" s="221"/>
      <c r="AG17" s="221"/>
      <c r="AH17" s="221"/>
      <c r="AI17" s="221"/>
      <c r="AJ17" s="221"/>
      <c r="AK17" s="221"/>
      <c r="AL17" s="221"/>
      <c r="AM17" s="221"/>
      <c r="AN17" s="221"/>
      <c r="AO17" s="221"/>
      <c r="AP17" s="271"/>
    </row>
    <row r="18" spans="1:45" s="162" customFormat="1" ht="11.25">
      <c r="A18" s="163" t="s">
        <v>19</v>
      </c>
      <c r="B18" s="164"/>
      <c r="C18" s="164"/>
      <c r="D18" s="165"/>
      <c r="E18" s="166"/>
      <c r="F18" s="222"/>
      <c r="G18" s="166"/>
      <c r="H18" s="166"/>
      <c r="I18" s="167"/>
      <c r="J18" s="167"/>
      <c r="K18" s="166"/>
      <c r="L18" s="167"/>
      <c r="M18" s="167"/>
      <c r="N18" s="166"/>
      <c r="O18" s="170"/>
      <c r="P18" s="171"/>
      <c r="Q18" s="166"/>
      <c r="R18" s="166"/>
      <c r="S18" s="166"/>
      <c r="T18" s="166"/>
      <c r="U18" s="166"/>
      <c r="V18" s="169"/>
      <c r="W18" s="236" t="s">
        <v>224</v>
      </c>
      <c r="X18" s="172" t="e">
        <f>MIN('DDR2 Clocks - 4L'!$O$5:$O$6)</f>
        <v>#REF!</v>
      </c>
      <c r="Y18" s="235" t="e">
        <f>MAX('DDR2 Clocks - 4L'!$O$5:$O$6)</f>
        <v>#REF!</v>
      </c>
      <c r="Z18" s="174"/>
      <c r="AA18" s="172"/>
      <c r="AB18" s="223"/>
      <c r="AC18" s="223"/>
      <c r="AD18" s="176"/>
      <c r="AE18" s="176"/>
      <c r="AF18" s="176"/>
      <c r="AG18" s="176"/>
      <c r="AH18" s="176"/>
      <c r="AI18" s="176"/>
      <c r="AJ18" s="176"/>
      <c r="AK18" s="176"/>
      <c r="AL18" s="176"/>
      <c r="AM18" s="176"/>
      <c r="AN18" s="176"/>
      <c r="AO18" s="176"/>
      <c r="AP18" s="177"/>
    </row>
    <row r="19" spans="1:45" s="162" customFormat="1" ht="11.25">
      <c r="A19" s="155" t="s">
        <v>377</v>
      </c>
      <c r="B19" s="155"/>
      <c r="C19" s="155"/>
      <c r="D19" s="179"/>
      <c r="E19" s="180"/>
      <c r="F19" s="224"/>
      <c r="G19" s="180"/>
      <c r="H19" s="180"/>
      <c r="I19" s="181"/>
      <c r="J19" s="180"/>
      <c r="K19" s="181"/>
      <c r="L19" s="180"/>
      <c r="M19" s="181"/>
      <c r="N19" s="181"/>
      <c r="O19" s="328"/>
      <c r="P19" s="328"/>
      <c r="Q19" s="181"/>
      <c r="R19" s="181"/>
      <c r="S19" s="181"/>
      <c r="T19" s="181"/>
      <c r="U19" s="181"/>
      <c r="V19" s="182"/>
      <c r="W19" s="183"/>
      <c r="X19" s="183"/>
      <c r="Y19" s="184"/>
      <c r="Z19" s="184"/>
      <c r="AA19" s="183"/>
      <c r="AB19" s="212"/>
      <c r="AC19" s="183"/>
      <c r="AD19" s="183"/>
      <c r="AE19" s="183"/>
      <c r="AF19" s="183"/>
      <c r="AG19" s="183"/>
      <c r="AH19" s="183"/>
      <c r="AI19" s="183"/>
      <c r="AJ19" s="183"/>
      <c r="AK19" s="183"/>
      <c r="AL19" s="183"/>
      <c r="AM19" s="183"/>
      <c r="AN19" s="183"/>
      <c r="AO19" s="183"/>
      <c r="AP19" s="232"/>
    </row>
    <row r="20" spans="1:45" s="162" customFormat="1">
      <c r="A20" s="185" t="s">
        <v>25</v>
      </c>
      <c r="B20" s="186" t="s">
        <v>327</v>
      </c>
      <c r="C20" s="187">
        <v>807.9</v>
      </c>
      <c r="D20" s="188"/>
      <c r="E20" s="225">
        <v>29.7</v>
      </c>
      <c r="F20" s="193">
        <v>0</v>
      </c>
      <c r="G20" s="305">
        <v>1795.64</v>
      </c>
      <c r="H20" s="193">
        <v>0</v>
      </c>
      <c r="I20" s="193">
        <v>0</v>
      </c>
      <c r="J20" s="238"/>
      <c r="K20" s="194">
        <v>40</v>
      </c>
      <c r="L20" s="192"/>
      <c r="M20" s="193">
        <v>122.17</v>
      </c>
      <c r="N20" s="194">
        <v>40</v>
      </c>
      <c r="O20" s="191"/>
      <c r="P20" s="359" t="e">
        <f>K20-($Q$5-1250)</f>
        <v>#REF!</v>
      </c>
      <c r="Q20" s="194">
        <v>32.5</v>
      </c>
      <c r="R20" s="194">
        <v>700</v>
      </c>
      <c r="S20" s="305">
        <v>705.31</v>
      </c>
      <c r="T20" s="305">
        <v>566.49</v>
      </c>
      <c r="U20" s="194">
        <v>25.54</v>
      </c>
      <c r="V20" s="327">
        <f>SUM($E20:$H20,$M20,$N20,$Q20,$R20,$S20,$T20,$U20)</f>
        <v>4017.3500000000004</v>
      </c>
      <c r="W20" s="197">
        <f>$V20+$C20</f>
        <v>4825.25</v>
      </c>
      <c r="X20" s="197" t="e">
        <f>MAX($X$18:$Y$18) + IF($B$2="mil",1,0.0254)*DDR2Specs!$E$6</f>
        <v>#REF!</v>
      </c>
      <c r="Y20" s="197" t="e">
        <f>MIN($X$18:$Y$18) + IF($B$2="mil",1,0.0254)*DDR2Specs!$F$6</f>
        <v>#REF!</v>
      </c>
      <c r="Z20" s="198" t="e">
        <f>IF($W20&lt;$X20,$X20-$W20,"Pass")</f>
        <v>#REF!</v>
      </c>
      <c r="AA20" s="199" t="e">
        <f>IF($W20&gt;$Y20,$W20-$Y20,"Pass")</f>
        <v>#REF!</v>
      </c>
      <c r="AB20" s="200" t="e">
        <f>IF($E20&lt;=IF($B$2="mil",1,0.0254)*35,"Pass",IF($B$2="mil",1,0.0254)*35-$E20)</f>
        <v>#REF!</v>
      </c>
      <c r="AC20" s="201" t="e">
        <f>IF($F20&lt;=IF($B$2="mil",1,0.0254)*500,"Pass",IF($B$2="mil",1,0.0254)*500-$F20)</f>
        <v>#REF!</v>
      </c>
      <c r="AD20" s="201" t="e">
        <f>IF($H20&lt;=IF($B$2="mil",1,0.0254)*500,"Pass",IF($B$2="mil",1,0.0254)*500-$H20)</f>
        <v>#REF!</v>
      </c>
      <c r="AE20" s="201" t="e">
        <f>IF($I20&lt;=IF($B$2="mil",1,0.0254)*1000,"Pass",IF($B$2="mil",1,0.0254)*1000-$I20)</f>
        <v>#REF!</v>
      </c>
      <c r="AF20" s="201" t="e">
        <f ca="1">CheckLength2(1150,I20,K20,0)</f>
        <v>#NAME?</v>
      </c>
      <c r="AG20" s="201" t="e">
        <f>IF(M20&lt;=IF($B$2="mil",1,0.0254)*125,"Pass",IF($B$2="mil",1,0.0254)*125-M20)</f>
        <v>#REF!</v>
      </c>
      <c r="AH20" s="201" t="e">
        <f>IF(Q20&lt;=IF($B$2="mil",1,0.0254)*125,"Pass",IF($B$2="mil",1,0.0254)*125-Q20)</f>
        <v>#REF!</v>
      </c>
      <c r="AI20" s="201" t="e">
        <f>IF(R20&lt;=IF($B$2="mil",1,0.0254)*1000,"Pass",IF($B$2="mil",1,0.0254)*1000-R20)</f>
        <v>#REF!</v>
      </c>
      <c r="AJ20" s="201" t="e">
        <f>IF(S20&lt;=IF($B$2="mil",1,0.0254)*750,"Pass",IF($B$2="mil",1,0.0254)*750-S20)</f>
        <v>#REF!</v>
      </c>
      <c r="AK20" s="201" t="e">
        <f>IF(MAX(S20,T44)-MIN(S20,T44)&lt;=IF($B$2="mil",1,0.0254)*50,"Pass",MAX(S20,T44)-MIN(S20,T44)-IF($B$2="mil",1,0.0254)*50)</f>
        <v>#REF!</v>
      </c>
      <c r="AL20" s="201" t="e">
        <f>IF(T20&lt;=IF($B$2="mil",1,0.0254)*1250,"Pass",IF($B$2="mil",1,0.0254)*1250-T20)</f>
        <v>#REF!</v>
      </c>
      <c r="AM20" s="201" t="e">
        <f>IF(MAX(T20,T56)-MIN(T20,T56)&lt;=IF($B$2="mil",1,0.0254)*50,"Pass",MAX(T20,T56)-MIN(T20,T56)-IF($B$2="mil",1,0.0254)*50)</f>
        <v>#REF!</v>
      </c>
      <c r="AN20" s="201" t="e">
        <f ca="1">CheckLength2(1400,T20,U20,0)</f>
        <v>#NAME?</v>
      </c>
      <c r="AO20" s="201" t="e">
        <f>IF(AND($V20&gt;=IF($B$2="mil",1,0.0254)*500, $V20&lt;=IF($B$2="mil",1,0.0254)*7500),"Pass",IF($B$2="mil",1,0.0254)*7500-$V20)</f>
        <v>#REF!</v>
      </c>
      <c r="AP20" s="266" t="e">
        <f>IF(AND($W20&gt;=IF($B$2="mil",1,0.0254)*500, $W20&lt;=IF($B$2="mil",1,0.0254)*8000),"Pass",IF($B$2="mil",1,0.0254)*8000-$W20)</f>
        <v>#REF!</v>
      </c>
      <c r="AQ20" s="162" t="e">
        <f ca="1">IF(AND(Z20="Pass",AA20="Pass",AB20="Pass",AC20="Pass",AD20="Pass",AE20="Pass",AF20="Pass",AG20="Pass",AH20="Pass",AI20="Pass",AJ20="Pass",AK20="Pass",AL20="Pass",AM20="Pass",AN20="Pass",AO20="Pass",AP20="Pass"),"Pass","Fail")</f>
        <v>#REF!</v>
      </c>
      <c r="AR20" s="162" t="e">
        <f ca="1">IF(AND(AQ20="Pass",AQ21="Pass",AQ22="Pass",AQ32="Pass",AQ33="Pass",AQ34="Pass",AQ44="Pass",AQ45="Pass",AQ46="Pass",AQ56="Pass",AQ57="Pass",AQ58="Pass"),"Pass","Fail")</f>
        <v>#REF!</v>
      </c>
    </row>
    <row r="21" spans="1:45" s="162" customFormat="1">
      <c r="A21" s="185" t="s">
        <v>27</v>
      </c>
      <c r="B21" s="186" t="s">
        <v>330</v>
      </c>
      <c r="C21" s="187">
        <v>369</v>
      </c>
      <c r="D21" s="188"/>
      <c r="E21" s="225">
        <v>29.7</v>
      </c>
      <c r="F21" s="189">
        <v>0</v>
      </c>
      <c r="G21" s="305">
        <v>1850.62</v>
      </c>
      <c r="H21" s="193">
        <v>0</v>
      </c>
      <c r="I21" s="193">
        <v>0</v>
      </c>
      <c r="J21" s="238"/>
      <c r="K21" s="193">
        <v>32.5</v>
      </c>
      <c r="L21" s="192"/>
      <c r="M21" s="193">
        <v>32.5</v>
      </c>
      <c r="N21" s="193">
        <v>40</v>
      </c>
      <c r="O21" s="191"/>
      <c r="P21" s="359" t="e">
        <f>K21-($Q$5-1250)</f>
        <v>#REF!</v>
      </c>
      <c r="Q21" s="194">
        <v>40.5</v>
      </c>
      <c r="R21" s="194">
        <v>700</v>
      </c>
      <c r="S21" s="305">
        <v>668.9</v>
      </c>
      <c r="T21" s="305">
        <v>554.57000000000005</v>
      </c>
      <c r="U21" s="194">
        <v>31.52</v>
      </c>
      <c r="V21" s="327">
        <f>SUM($E21:$H21,$M21,$N21,$Q21,$R21,$S21,$T21,$U21)</f>
        <v>3948.31</v>
      </c>
      <c r="W21" s="197">
        <f>$V21+$C21</f>
        <v>4317.3099999999995</v>
      </c>
      <c r="X21" s="197" t="e">
        <f>MAX($X$18:$Y$18) + IF($B$2="mil",1,0.0254)*DDR2Specs!$E$6</f>
        <v>#REF!</v>
      </c>
      <c r="Y21" s="197" t="e">
        <f>MIN($X$18:$Y$18) + IF($B$2="mil",1,0.0254)*DDR2Specs!$F$6</f>
        <v>#REF!</v>
      </c>
      <c r="Z21" s="198" t="e">
        <f>IF($W21&lt;$X21,$X21-$W21,"Pass")</f>
        <v>#REF!</v>
      </c>
      <c r="AA21" s="199" t="e">
        <f>IF($W21&gt;$Y21,$W21-$Y21,"Pass")</f>
        <v>#REF!</v>
      </c>
      <c r="AB21" s="200" t="e">
        <f>IF($E21&lt;=IF($B$2="mil",1,0.0254)*35,"Pass",IF($B$2="mil",1,0.0254)*35-$E21)</f>
        <v>#REF!</v>
      </c>
      <c r="AC21" s="201" t="e">
        <f>IF($F21&lt;=IF($B$2="mil",1,0.0254)*500,"Pass",IF($B$2="mil",1,0.0254)*500-$F21)</f>
        <v>#REF!</v>
      </c>
      <c r="AD21" s="201" t="e">
        <f>IF($H21&lt;=IF($B$2="mil",1,0.0254)*500,"Pass",IF($B$2="mil",1,0.0254)*500-$H21)</f>
        <v>#REF!</v>
      </c>
      <c r="AE21" s="201" t="e">
        <f>IF($I21&lt;=IF($B$2="mil",1,0.0254)*1000,"Pass",IF($B$2="mil",1,0.0254)*1000-$I21)</f>
        <v>#REF!</v>
      </c>
      <c r="AF21" s="201" t="e">
        <f ca="1">CheckLength2(1150,I21,K21,0)</f>
        <v>#NAME?</v>
      </c>
      <c r="AG21" s="201" t="e">
        <f>IF(M21&lt;=IF($B$2="mil",1,0.0254)*125,"Pass",IF($B$2="mil",1,0.0254)*125-M21)</f>
        <v>#REF!</v>
      </c>
      <c r="AH21" s="201" t="e">
        <f>IF(Q21&lt;=IF($B$2="mil",1,0.0254)*125,"Pass",IF($B$2="mil",1,0.0254)*125-Q21)</f>
        <v>#REF!</v>
      </c>
      <c r="AI21" s="201" t="e">
        <f>IF(R21&lt;=IF($B$2="mil",1,0.0254)*1000,"Pass",IF($B$2="mil",1,0.0254)*1000-R21)</f>
        <v>#REF!</v>
      </c>
      <c r="AJ21" s="201" t="e">
        <f>IF(S21&lt;=IF($B$2="mil",1,0.0254)*750,"Pass",IF($B$2="mil",1,0.0254)*750-S21)</f>
        <v>#REF!</v>
      </c>
      <c r="AK21" s="201" t="e">
        <f>IF(MAX(S21,T45)-MIN(S21,T45)&lt;=IF($B$2="mil",1,0.0254)*50,"Pass",MAX(S21,T45)-MIN(S21,T45)-IF($B$2="mil",1,0.0254)*50)</f>
        <v>#REF!</v>
      </c>
      <c r="AL21" s="201" t="e">
        <f>IF(T21&lt;=IF($B$2="mil",1,0.0254)*1250,"Pass",IF($B$2="mil",1,0.0254)*1250-T21)</f>
        <v>#REF!</v>
      </c>
      <c r="AM21" s="201" t="e">
        <f>IF(MAX(T21,T57)-MIN(T21,T57)&lt;=IF($B$2="mil",1,0.0254)*50,"Pass",MAX(T21,T57)-MIN(T21,T57)-IF($B$2="mil",1,0.0254)*50)</f>
        <v>#REF!</v>
      </c>
      <c r="AN21" s="201" t="e">
        <f ca="1">CheckLength2(1400,T21,U21,0)</f>
        <v>#NAME?</v>
      </c>
      <c r="AO21" s="201" t="e">
        <f>IF(AND($V21&gt;=IF($B$2="mil",1,0.0254)*500, $V21&lt;=IF($B$2="mil",1,0.0254)*7500),"Pass",IF($B$2="mil",1,0.0254)*7500-$V21)</f>
        <v>#REF!</v>
      </c>
      <c r="AP21" s="266" t="e">
        <f>IF(AND($W21&gt;=IF($B$2="mil",1,0.0254)*500, $W21&lt;=IF($B$2="mil",1,0.0254)*8000),"Pass",IF($B$2="mil",1,0.0254)*8000-$W21)</f>
        <v>#REF!</v>
      </c>
      <c r="AQ21" s="162" t="e">
        <f ca="1">IF(AND(Z21="Pass",AA21="Pass",AB21="Pass",AC21="Pass",AD21="Pass",AE21="Pass",AF21="Pass",AG21="Pass",AH21="Pass",AI21="Pass",AJ21="Pass",AK21="Pass",AL21="Pass",AM21="Pass",AN21="Pass",AO21="Pass",AP21="Pass"),"Pass","Fail")</f>
        <v>#REF!</v>
      </c>
    </row>
    <row r="22" spans="1:45" s="162" customFormat="1">
      <c r="A22" s="185" t="s">
        <v>29</v>
      </c>
      <c r="B22" s="186" t="s">
        <v>334</v>
      </c>
      <c r="C22" s="187">
        <v>262.2</v>
      </c>
      <c r="D22" s="188"/>
      <c r="E22" s="225">
        <v>29.7</v>
      </c>
      <c r="F22" s="189">
        <v>0</v>
      </c>
      <c r="G22" s="305">
        <v>1702.82</v>
      </c>
      <c r="H22" s="193">
        <v>0</v>
      </c>
      <c r="I22" s="193">
        <v>0</v>
      </c>
      <c r="J22" s="238"/>
      <c r="K22" s="193">
        <v>40</v>
      </c>
      <c r="L22" s="192"/>
      <c r="M22" s="193">
        <v>91.63</v>
      </c>
      <c r="N22" s="193">
        <v>40</v>
      </c>
      <c r="O22" s="191"/>
      <c r="P22" s="359" t="e">
        <f>K22-($Q$5-1250)</f>
        <v>#REF!</v>
      </c>
      <c r="Q22" s="194">
        <v>70.510000000000005</v>
      </c>
      <c r="R22" s="194">
        <v>700</v>
      </c>
      <c r="S22" s="305">
        <v>728.33</v>
      </c>
      <c r="T22" s="305">
        <v>496.08</v>
      </c>
      <c r="U22" s="194">
        <v>76.06</v>
      </c>
      <c r="V22" s="327">
        <f>SUM($E22:$H22,$M22,$N22,$Q22,$R22,$S22,$T22,$U22)</f>
        <v>3935.1299999999997</v>
      </c>
      <c r="W22" s="197">
        <f>$V22+$C22</f>
        <v>4197.33</v>
      </c>
      <c r="X22" s="197" t="e">
        <f>MAX($X$18:$Y$18) + IF($B$2="mil",1,0.0254)*DDR2Specs!$E$6</f>
        <v>#REF!</v>
      </c>
      <c r="Y22" s="197" t="e">
        <f>MIN($X$18:$Y$18) + IF($B$2="mil",1,0.0254)*DDR2Specs!$F$6</f>
        <v>#REF!</v>
      </c>
      <c r="Z22" s="198" t="e">
        <f>IF($W22&lt;$X22,$X22-$W22,"Pass")</f>
        <v>#REF!</v>
      </c>
      <c r="AA22" s="199" t="e">
        <f>IF($W22&gt;$Y22,$W22-$Y22,"Pass")</f>
        <v>#REF!</v>
      </c>
      <c r="AB22" s="200" t="e">
        <f>IF($E22&lt;=IF($B$2="mil",1,0.0254)*35,"Pass",IF($B$2="mil",1,0.0254)*35-$E22)</f>
        <v>#REF!</v>
      </c>
      <c r="AC22" s="201" t="e">
        <f>IF($F22&lt;=IF($B$2="mil",1,0.0254)*500,"Pass",IF($B$2="mil",1,0.0254)*500-$F22)</f>
        <v>#REF!</v>
      </c>
      <c r="AD22" s="201" t="e">
        <f>IF($H22&lt;=IF($B$2="mil",1,0.0254)*500,"Pass",IF($B$2="mil",1,0.0254)*500-$H22)</f>
        <v>#REF!</v>
      </c>
      <c r="AE22" s="201" t="e">
        <f>IF($I22&lt;=IF($B$2="mil",1,0.0254)*1000,"Pass",IF($B$2="mil",1,0.0254)*1000-$I22)</f>
        <v>#REF!</v>
      </c>
      <c r="AF22" s="201" t="e">
        <f ca="1">CheckLength2(1150,I22,K22,0)</f>
        <v>#NAME?</v>
      </c>
      <c r="AG22" s="201" t="e">
        <f>IF(M22&lt;=IF($B$2="mil",1,0.0254)*125,"Pass",IF($B$2="mil",1,0.0254)*125-M22)</f>
        <v>#REF!</v>
      </c>
      <c r="AH22" s="201" t="e">
        <f>IF(Q22&lt;=IF($B$2="mil",1,0.0254)*125,"Pass",IF($B$2="mil",1,0.0254)*125-Q22)</f>
        <v>#REF!</v>
      </c>
      <c r="AI22" s="201" t="e">
        <f>IF(R22&lt;=IF($B$2="mil",1,0.0254)*1000,"Pass",IF($B$2="mil",1,0.0254)*1000-R22)</f>
        <v>#REF!</v>
      </c>
      <c r="AJ22" s="201" t="e">
        <f>IF(S22&lt;=IF($B$2="mil",1,0.0254)*750,"Pass",IF($B$2="mil",1,0.0254)*750-S22)</f>
        <v>#REF!</v>
      </c>
      <c r="AK22" s="201" t="e">
        <f>IF(MAX(S22,T46)-MIN(S22,T46)&lt;=IF($B$2="mil",1,0.0254)*50,"Pass",MAX(S22,T46)-MIN(S22,T46)-IF($B$2="mil",1,0.0254)*50)</f>
        <v>#REF!</v>
      </c>
      <c r="AL22" s="201" t="e">
        <f>IF(T22&lt;=IF($B$2="mil",1,0.0254)*1250,"Pass",IF($B$2="mil",1,0.0254)*1250-T22)</f>
        <v>#REF!</v>
      </c>
      <c r="AM22" s="201" t="e">
        <f>IF(MAX(T22,T58)-MIN(T22,T58)&lt;=IF($B$2="mil",1,0.0254)*50,"Pass",MAX(T22,T58)-MIN(T22,T58)-IF($B$2="mil",1,0.0254)*50)</f>
        <v>#REF!</v>
      </c>
      <c r="AN22" s="201" t="e">
        <f ca="1">CheckLength2(1400,T22,U22,0)</f>
        <v>#NAME?</v>
      </c>
      <c r="AO22" s="201" t="e">
        <f>IF(AND($V22&gt;=IF($B$2="mil",1,0.0254)*500, $V22&lt;=IF($B$2="mil",1,0.0254)*7500),"Pass",IF($B$2="mil",1,0.0254)*7500-$V22)</f>
        <v>#REF!</v>
      </c>
      <c r="AP22" s="266" t="e">
        <f>IF(AND($W22&gt;=IF($B$2="mil",1,0.0254)*500, $W22&lt;=IF($B$2="mil",1,0.0254)*8000),"Pass",IF($B$2="mil",1,0.0254)*8000-$W22)</f>
        <v>#REF!</v>
      </c>
      <c r="AQ22" s="162" t="e">
        <f ca="1">IF(AND(Z22="Pass",AA22="Pass",AB22="Pass",AC22="Pass",AD22="Pass",AE22="Pass",AF22="Pass",AG22="Pass",AH22="Pass",AI22="Pass",AJ22="Pass",AK22="Pass",AL22="Pass",AM22="Pass",AN22="Pass",AO22="Pass",AP22="Pass"),"Pass","Fail")</f>
        <v>#REF!</v>
      </c>
    </row>
    <row r="23" spans="1:45" s="154" customFormat="1" ht="33.75">
      <c r="A23" s="144" t="s">
        <v>31</v>
      </c>
      <c r="B23" s="144" t="s">
        <v>14</v>
      </c>
      <c r="C23" s="144" t="s">
        <v>22</v>
      </c>
      <c r="D23" s="151"/>
      <c r="E23" s="148" t="e">
        <f>"EscapeLength L0 ["&amp;$B$2&amp;"]"</f>
        <v>#REF!</v>
      </c>
      <c r="F23" s="148" t="e">
        <f>"BreakoutLength L1["&amp; $B$2&amp;"]"</f>
        <v>#REF!</v>
      </c>
      <c r="G23" s="148" t="e">
        <f>"MainLength L2[" &amp;$B$2&amp; " ]"</f>
        <v>#REF!</v>
      </c>
      <c r="H23" s="148" t="e">
        <f>"BreakinLength S1  [" &amp;$B$2&amp;"]"</f>
        <v>#REF!</v>
      </c>
      <c r="I23" s="151" t="e">
        <f>"Via-to-via (SODIMM-to-Rt) L3 [" &amp;$B$2&amp;"]"</f>
        <v>#REF!</v>
      </c>
      <c r="J23" s="150"/>
      <c r="K23" s="151" t="e">
        <f>"Via-to-Rt L4 [" &amp;$B$2&amp;"]"</f>
        <v>#REF!</v>
      </c>
      <c r="L23" s="150"/>
      <c r="M23" s="150" t="e">
        <f>"Break-in to Rs L5 ["&amp;$B$2&amp;"]"</f>
        <v>#REF!</v>
      </c>
      <c r="N23" s="144" t="e">
        <f>"Rs Length ["&amp;$B$2&amp;"]"</f>
        <v>#REF!</v>
      </c>
      <c r="O23" s="151"/>
      <c r="P23" s="152" t="s">
        <v>23</v>
      </c>
      <c r="Q23" s="144" t="e">
        <f>"Breakout from Rs L6 ["&amp;$B$2&amp;"]"</f>
        <v>#REF!</v>
      </c>
      <c r="R23" s="144" t="e">
        <f>"Trace L7 ["&amp;$B$2&amp;"]"</f>
        <v>#REF!</v>
      </c>
      <c r="S23" s="144" t="e">
        <f>"Trace L8-1 ["&amp;$B$2&amp;"]"</f>
        <v>#REF!</v>
      </c>
      <c r="T23" s="144" t="e">
        <f>"Trace L9-1 ["&amp;$B$2&amp;"]"</f>
        <v>#REF!</v>
      </c>
      <c r="U23" s="144" t="e">
        <f>"Trace L10-1 ["&amp;$B$2&amp;"]"</f>
        <v>#REF!</v>
      </c>
      <c r="V23" s="144" t="e">
        <f>"Total MB Length to U5 (L0+L1+L2+S1+L5+Rs+L6+L7+L8-1+L9-1+L10-1) ["&amp;$B$2&amp;"]"</f>
        <v>#REF!</v>
      </c>
      <c r="W23" s="144" t="e">
        <f>"Total Pad to Pin U5 (P1+L0+L1+L2+S1+L5+Rs+L6+L7+L8-1+L9-1+L10-1) ["&amp;$B$2&amp;"]"</f>
        <v>#REF!</v>
      </c>
      <c r="X23" s="150" t="e">
        <f>"Target Min Length to U5["&amp;$B$2&amp;"]"</f>
        <v>#REF!</v>
      </c>
      <c r="Y23" s="150" t="e">
        <f>"Target Max Length  to U5 ["&amp;$B$2&amp;"]"</f>
        <v>#REF!</v>
      </c>
      <c r="Z23" s="403" t="e">
        <f>"Routed Too Short  to U5 [" &amp;$B$2&amp;"]"</f>
        <v>#REF!</v>
      </c>
      <c r="AA23" s="150" t="e">
        <f>"Routed Too Long  to U5 [" &amp;$B$2&amp;"]"</f>
        <v>#REF!</v>
      </c>
      <c r="AB23" s="153" t="e">
        <f>"L0 Length Test (&lt;=" &amp; IF($B$2="mil",1,0.0254)*35&amp;$B$2&amp;")"</f>
        <v>#REF!</v>
      </c>
      <c r="AC23" s="153" t="e">
        <f>"L1 Length Test (&lt;=" &amp; IF($B$2="mil",1,0.0254)*500&amp;$B$2&amp;")"</f>
        <v>#REF!</v>
      </c>
      <c r="AD23" s="153" t="e">
        <f>"S1 Length Test (&lt;=" &amp; IF($B$2="mil",1,0.0254)*500 &amp;$B$2&amp;")"</f>
        <v>#REF!</v>
      </c>
      <c r="AE23" s="153" t="e">
        <f>"L3 Length Test (&lt;=" &amp; IF($B$2="mil",1,0.0254)*1000&amp;$B$2&amp;")"</f>
        <v>#REF!</v>
      </c>
      <c r="AF23" s="153" t="e">
        <f>"L4 Length Test (&lt;=" &amp; IF($B$2="mil",1,0.0254)*150&amp;$B$2&amp;") or (L3+L4&lt;= "&amp;IF($B$2="mil",1,0.0254)*1150&amp;$B$2&amp;")"</f>
        <v>#REF!</v>
      </c>
      <c r="AG23" s="153" t="e">
        <f>"L5 Length Test (&lt;=" &amp; IF($B$2="mil",1,0.0254)*125&amp;$B$2&amp;")"</f>
        <v>#REF!</v>
      </c>
      <c r="AH23" s="153" t="e">
        <f>"L6 Length Test (&lt;=" &amp; IF($B$2="mil",1,0.0254)*125&amp;$B$2&amp;")"</f>
        <v>#REF!</v>
      </c>
      <c r="AI23" s="153" t="e">
        <f>"L7 Length Test (&lt;=" &amp; IF($B$2="mil",1,0.0254)*1000&amp;$B$2&amp;")"</f>
        <v>#REF!</v>
      </c>
      <c r="AJ23" s="153" t="e">
        <f>"L8-1 Length Test (&lt;=" &amp; IF($B$2="mil",1,0.0254)*750&amp;$B$2&amp;")"</f>
        <v>#REF!</v>
      </c>
      <c r="AK23" s="153" t="e">
        <f>"Diff L8-1 &amp; L8-2 (&lt;="&amp;IF($B$2="mil",1,0.0254)*50&amp;$B$2&amp;")"</f>
        <v>#REF!</v>
      </c>
      <c r="AL23" s="153" t="e">
        <f>"L9-1 Length Test (&lt;=" &amp; IF($B$2="mil",1,0.0254)*1250&amp;$B$2&amp;")"</f>
        <v>#REF!</v>
      </c>
      <c r="AM23" s="153" t="e">
        <f>"Diff L9-1 &amp; L9-2 (&lt;="&amp;IF($B$2="mil",1,0.0254)*50&amp;$B$2&amp;")"</f>
        <v>#REF!</v>
      </c>
      <c r="AN23" s="153" t="e">
        <f>"L10-1 Length Test (&lt;=" &amp; IF($B$2="mil",1,0.0254)*150&amp;$B$2&amp;") or (L9-1+L10-1&lt;= "&amp;IF($B$2="mil",1,0.0254)*1400&amp;$B$2&amp;")"</f>
        <v>#REF!</v>
      </c>
      <c r="AO23" s="150" t="e">
        <f>"Total Length to U1 (L0+L1+L2+S1+L5+Rs+L6+L7+L8-1+L9-1+L10-1) Test ("&amp;IF($B$2="mil",1,0.0254)*500&amp;"-"&amp;IF($B$2="mil",1,0.0254)*7500&amp;IF($B$2="mil","mil","mm")&amp;")"</f>
        <v>#REF!</v>
      </c>
      <c r="AP23" s="418" t="e">
        <f>"Total Length to U1 (P1+L0+L1+L2+S1+L5+Rs+L6+L7+L8-1+L9-1+L10-1) Test (&lt;="&amp;IF($B$2="mil",1,25.4)*8000&amp;IF($B$2="mil","mil","mm")&amp;")"</f>
        <v>#REF!</v>
      </c>
      <c r="AQ23" s="162"/>
    </row>
    <row r="24" spans="1:45" s="162" customFormat="1" ht="11.25">
      <c r="A24" s="163" t="s">
        <v>19</v>
      </c>
      <c r="B24" s="164"/>
      <c r="C24" s="164"/>
      <c r="D24" s="165"/>
      <c r="E24" s="166"/>
      <c r="F24" s="222"/>
      <c r="G24" s="166"/>
      <c r="H24" s="166"/>
      <c r="I24" s="167"/>
      <c r="J24" s="167"/>
      <c r="K24" s="166"/>
      <c r="L24" s="167"/>
      <c r="M24" s="167"/>
      <c r="N24" s="166"/>
      <c r="O24" s="170"/>
      <c r="P24" s="171"/>
      <c r="Q24" s="166"/>
      <c r="R24" s="166"/>
      <c r="S24" s="166"/>
      <c r="T24" s="166"/>
      <c r="U24" s="166"/>
      <c r="V24" s="390"/>
      <c r="W24" s="236" t="s">
        <v>284</v>
      </c>
      <c r="X24" s="172" t="e">
        <f>MIN('DDR2 Clocks - 4L'!$O$7:$O$8)</f>
        <v>#REF!</v>
      </c>
      <c r="Y24" s="391" t="e">
        <f>MAX('DDR2 Clocks - 4L'!$O$7:$O$8)</f>
        <v>#REF!</v>
      </c>
      <c r="Z24" s="174"/>
      <c r="AA24" s="172"/>
      <c r="AB24" s="223"/>
      <c r="AC24" s="223"/>
      <c r="AD24" s="176"/>
      <c r="AE24" s="176"/>
      <c r="AF24" s="176"/>
      <c r="AG24" s="176"/>
      <c r="AH24" s="176"/>
      <c r="AI24" s="176"/>
      <c r="AJ24" s="176"/>
      <c r="AK24" s="176"/>
      <c r="AL24" s="176"/>
      <c r="AM24" s="176"/>
      <c r="AN24" s="176"/>
      <c r="AO24" s="176"/>
      <c r="AP24" s="177"/>
    </row>
    <row r="25" spans="1:45" s="162" customFormat="1" ht="11.25">
      <c r="A25" s="155" t="s">
        <v>378</v>
      </c>
      <c r="B25" s="155"/>
      <c r="C25" s="155"/>
      <c r="D25" s="179"/>
      <c r="E25" s="180"/>
      <c r="F25" s="224"/>
      <c r="G25" s="180"/>
      <c r="H25" s="180"/>
      <c r="I25" s="181"/>
      <c r="J25" s="180"/>
      <c r="K25" s="181"/>
      <c r="L25" s="180"/>
      <c r="M25" s="181"/>
      <c r="N25" s="181"/>
      <c r="O25" s="328"/>
      <c r="P25" s="328"/>
      <c r="Q25" s="181"/>
      <c r="R25" s="181"/>
      <c r="S25" s="181"/>
      <c r="T25" s="181"/>
      <c r="U25" s="181"/>
      <c r="V25" s="182"/>
      <c r="W25" s="183"/>
      <c r="X25" s="183"/>
      <c r="Y25" s="184"/>
      <c r="Z25" s="184"/>
      <c r="AA25" s="183"/>
      <c r="AB25" s="212"/>
      <c r="AC25" s="183"/>
      <c r="AD25" s="183"/>
      <c r="AE25" s="183"/>
      <c r="AF25" s="183"/>
      <c r="AG25" s="183"/>
      <c r="AH25" s="183"/>
      <c r="AI25" s="183"/>
      <c r="AJ25" s="183"/>
      <c r="AK25" s="183"/>
      <c r="AL25" s="183"/>
      <c r="AM25" s="183"/>
      <c r="AN25" s="183"/>
      <c r="AO25" s="183"/>
      <c r="AP25" s="232"/>
    </row>
    <row r="26" spans="1:45" s="162" customFormat="1">
      <c r="A26" s="185" t="s">
        <v>26</v>
      </c>
      <c r="B26" s="186" t="s">
        <v>328</v>
      </c>
      <c r="C26" s="202">
        <v>779</v>
      </c>
      <c r="D26" s="203"/>
      <c r="E26" s="225">
        <v>29.7</v>
      </c>
      <c r="F26" s="193">
        <v>0</v>
      </c>
      <c r="G26" s="305">
        <v>1795.64</v>
      </c>
      <c r="H26" s="193">
        <v>0</v>
      </c>
      <c r="I26" s="193">
        <v>0</v>
      </c>
      <c r="J26" s="238"/>
      <c r="K26" s="194">
        <v>40</v>
      </c>
      <c r="L26" s="192"/>
      <c r="M26" s="193">
        <v>122.17</v>
      </c>
      <c r="N26" s="194">
        <v>40</v>
      </c>
      <c r="O26" s="191"/>
      <c r="P26" s="359" t="e">
        <f>K26-($Q$5-1250)</f>
        <v>#REF!</v>
      </c>
      <c r="Q26" s="194">
        <v>32.5</v>
      </c>
      <c r="R26" s="194">
        <v>700</v>
      </c>
      <c r="S26" s="305">
        <v>705.31</v>
      </c>
      <c r="T26" s="305">
        <v>566.49</v>
      </c>
      <c r="U26" s="194">
        <v>25.54</v>
      </c>
      <c r="V26" s="327">
        <f>SUM($E26:$H26,$M26,$N26,$Q26,$R26,$S26,$T26,$U26)</f>
        <v>4017.3500000000004</v>
      </c>
      <c r="W26" s="197">
        <f>$V26+$C26</f>
        <v>4796.3500000000004</v>
      </c>
      <c r="X26" s="197" t="e">
        <f>MAX($X$18:$Y$18) + IF($B$2="mil",1,0.0254)*DDR2Specs!$E$6</f>
        <v>#REF!</v>
      </c>
      <c r="Y26" s="197" t="e">
        <f>MIN($X$18:$Y$18) + IF($B$2="mil",1,0.0254)*DDR2Specs!$F$6</f>
        <v>#REF!</v>
      </c>
      <c r="Z26" s="198" t="e">
        <f>IF($W26&lt;$X26,$X26-$W26,"Pass")</f>
        <v>#REF!</v>
      </c>
      <c r="AA26" s="199" t="e">
        <f>IF($W26&gt;$Y26,$W26-$Y26,"Pass")</f>
        <v>#REF!</v>
      </c>
      <c r="AB26" s="200" t="e">
        <f>IF($E26&lt;=IF($B$2="mil",1,0.0254)*35,"Pass",IF($B$2="mil",1,0.0254)*35-$E26)</f>
        <v>#REF!</v>
      </c>
      <c r="AC26" s="201" t="e">
        <f>IF($F26&lt;=IF($B$2="mil",1,0.0254)*500,"Pass",IF($B$2="mil",1,0.0254)*500-$F26)</f>
        <v>#REF!</v>
      </c>
      <c r="AD26" s="201" t="e">
        <f>IF($H26&lt;=IF($B$2="mil",1,0.0254)*500,"Pass",IF($B$2="mil",1,0.0254)*500-$H26)</f>
        <v>#REF!</v>
      </c>
      <c r="AE26" s="201" t="e">
        <f>IF($I26&lt;=IF($B$2="mil",1,0.0254)*1000,"Pass",IF($B$2="mil",1,0.0254)*1000-$I26)</f>
        <v>#REF!</v>
      </c>
      <c r="AF26" s="201" t="e">
        <f ca="1">CheckLength2(1150,I26,K26,0)</f>
        <v>#NAME?</v>
      </c>
      <c r="AG26" s="201" t="e">
        <f>IF(M26&lt;=IF($B$2="mil",1,0.0254)*125,"Pass",IF($B$2="mil",1,0.0254)*125-M26)</f>
        <v>#REF!</v>
      </c>
      <c r="AH26" s="201" t="e">
        <f>IF(Q26&lt;=IF($B$2="mil",1,0.0254)*125,"Pass",IF($B$2="mil",1,0.0254)*125-Q26)</f>
        <v>#REF!</v>
      </c>
      <c r="AI26" s="201" t="e">
        <f>IF(R26&lt;=IF($B$2="mil",1,0.0254)*1000,"Pass",IF($B$2="mil",1,0.0254)*1000-R26)</f>
        <v>#REF!</v>
      </c>
      <c r="AJ26" s="201" t="e">
        <f>IF(S26&lt;=IF($B$2="mil",1,0.0254)*750,"Pass",IF($B$2="mil",1,0.0254)*750-S26)</f>
        <v>#REF!</v>
      </c>
      <c r="AK26" s="201" t="e">
        <f>IF(MAX(S26,T50)-MIN(S26,T50)&lt;=IF($B$2="mil",1,0.0254)*50,"Pass",MAX(S26,T50)-MIN(S26,T50)-IF($B$2="mil",1,0.0254)*50)</f>
        <v>#REF!</v>
      </c>
      <c r="AL26" s="201" t="e">
        <f>IF(T26&lt;=IF($B$2="mil",1,0.0254)*1250,"Pass",IF($B$2="mil",1,0.0254)*1250-T26)</f>
        <v>#REF!</v>
      </c>
      <c r="AM26" s="201" t="e">
        <f>IF(MAX(T26,T62)-MIN(T26,T62)&lt;=IF($B$2="mil",1,0.0254)*50,"Pass",MAX(T26,T62)-MIN(T26,T62)-IF($B$2="mil",1,0.0254)*50)</f>
        <v>#REF!</v>
      </c>
      <c r="AN26" s="201" t="e">
        <f ca="1">CheckLength2(1400,T26,U26,0)</f>
        <v>#NAME?</v>
      </c>
      <c r="AO26" s="201" t="e">
        <f>IF(AND($V26&gt;=IF($B$2="mil",1,0.0254)*500, $V26&lt;=IF($B$2="mil",1,0.0254)*7500),"Pass",IF($B$2="mil",1,0.0254)*7500-$V26)</f>
        <v>#REF!</v>
      </c>
      <c r="AP26" s="266" t="e">
        <f>IF(AND($W26&gt;=IF($B$2="mil",1,0.0254)*500, $W26&lt;=IF($B$2="mil",1,0.0254)*8000),"Pass",IF($B$2="mil",1,0.0254)*8000-$W26)</f>
        <v>#REF!</v>
      </c>
      <c r="AQ26" s="162" t="e">
        <f ca="1">IF(AND(Z26="Pass",AA26="Pass",AB26="Pass",AC26="Pass",AD26="Pass",AE26="Pass",AF26="Pass",AG26="Pass",AH26="Pass",AI26="Pass",AJ26="Pass",AK26="Pass",AL26="Pass",AM26="Pass",AN26="Pass",AO26="Pass",AP26="Pass"),"Pass","Fail")</f>
        <v>#REF!</v>
      </c>
    </row>
    <row r="27" spans="1:45" s="162" customFormat="1">
      <c r="A27" s="185" t="s">
        <v>28</v>
      </c>
      <c r="B27" s="240" t="s">
        <v>331</v>
      </c>
      <c r="C27" s="215">
        <v>267.2</v>
      </c>
      <c r="D27" s="216"/>
      <c r="E27" s="225">
        <v>29.7</v>
      </c>
      <c r="F27" s="189">
        <v>0</v>
      </c>
      <c r="G27" s="305">
        <v>1850.62</v>
      </c>
      <c r="H27" s="193">
        <v>0</v>
      </c>
      <c r="I27" s="193">
        <v>0</v>
      </c>
      <c r="J27" s="238"/>
      <c r="K27" s="193">
        <v>32.5</v>
      </c>
      <c r="L27" s="192"/>
      <c r="M27" s="193">
        <v>32.5</v>
      </c>
      <c r="N27" s="193">
        <v>40</v>
      </c>
      <c r="O27" s="191"/>
      <c r="P27" s="359" t="e">
        <f>K27-($Q$5-1250)</f>
        <v>#REF!</v>
      </c>
      <c r="Q27" s="194">
        <v>40.5</v>
      </c>
      <c r="R27" s="194">
        <v>700</v>
      </c>
      <c r="S27" s="305">
        <v>668.9</v>
      </c>
      <c r="T27" s="305">
        <v>554.57000000000005</v>
      </c>
      <c r="U27" s="194">
        <v>31.52</v>
      </c>
      <c r="V27" s="327">
        <f>SUM($E27:$H27,$M27,$N27,$Q27,$R27,$S27,$T27,$U27)</f>
        <v>3948.31</v>
      </c>
      <c r="W27" s="197">
        <f>$V27+$C27</f>
        <v>4215.51</v>
      </c>
      <c r="X27" s="197" t="e">
        <f>MAX($X$18:$Y$18) + IF($B$2="mil",1,0.0254)*DDR2Specs!$E$6</f>
        <v>#REF!</v>
      </c>
      <c r="Y27" s="197" t="e">
        <f>MIN($X$18:$Y$18) + IF($B$2="mil",1,0.0254)*DDR2Specs!$F$6</f>
        <v>#REF!</v>
      </c>
      <c r="Z27" s="198" t="e">
        <f>IF($W27&lt;$X27,$X27-$W27,"Pass")</f>
        <v>#REF!</v>
      </c>
      <c r="AA27" s="199" t="e">
        <f>IF($W27&gt;$Y27,$W27-$Y27,"Pass")</f>
        <v>#REF!</v>
      </c>
      <c r="AB27" s="200" t="e">
        <f>IF($E27&lt;=IF($B$2="mil",1,0.0254)*35,"Pass",IF($B$2="mil",1,0.0254)*35-$E27)</f>
        <v>#REF!</v>
      </c>
      <c r="AC27" s="201" t="e">
        <f>IF($F27&lt;=IF($B$2="mil",1,0.0254)*500,"Pass",IF($B$2="mil",1,0.0254)*500-$F27)</f>
        <v>#REF!</v>
      </c>
      <c r="AD27" s="201" t="e">
        <f>IF($H27&lt;=IF($B$2="mil",1,0.0254)*500,"Pass",IF($B$2="mil",1,0.0254)*500-$H27)</f>
        <v>#REF!</v>
      </c>
      <c r="AE27" s="201" t="e">
        <f>IF($I27&lt;=IF($B$2="mil",1,0.0254)*1000,"Pass",IF($B$2="mil",1,0.0254)*1000-$I27)</f>
        <v>#REF!</v>
      </c>
      <c r="AF27" s="201" t="e">
        <f ca="1">CheckLength2(1150,I27,K27,0)</f>
        <v>#NAME?</v>
      </c>
      <c r="AG27" s="201" t="e">
        <f>IF(M27&lt;=IF($B$2="mil",1,0.0254)*125,"Pass",IF($B$2="mil",1,0.0254)*125-M27)</f>
        <v>#REF!</v>
      </c>
      <c r="AH27" s="201" t="e">
        <f>IF(Q27&lt;=IF($B$2="mil",1,0.0254)*125,"Pass",IF($B$2="mil",1,0.0254)*125-Q27)</f>
        <v>#REF!</v>
      </c>
      <c r="AI27" s="201" t="e">
        <f>IF(R27&lt;=IF($B$2="mil",1,0.0254)*1000,"Pass",IF($B$2="mil",1,0.0254)*1000-R27)</f>
        <v>#REF!</v>
      </c>
      <c r="AJ27" s="201" t="e">
        <f>IF(S27&lt;=IF($B$2="mil",1,0.0254)*750,"Pass",IF($B$2="mil",1,0.0254)*750-S27)</f>
        <v>#REF!</v>
      </c>
      <c r="AK27" s="201" t="e">
        <f>IF(MAX(S27,T51)-MIN(S27,T51)&lt;=IF($B$2="mil",1,0.0254)*50,"Pass",MAX(S27,T51)-MIN(S27,T51)-IF($B$2="mil",1,0.0254)*50)</f>
        <v>#REF!</v>
      </c>
      <c r="AL27" s="201" t="e">
        <f>IF(T27&lt;=IF($B$2="mil",1,0.0254)*1250,"Pass",IF($B$2="mil",1,0.0254)*1250-T27)</f>
        <v>#REF!</v>
      </c>
      <c r="AM27" s="201" t="e">
        <f>IF(MAX(T27,T63)-MIN(T27,T63)&lt;=IF($B$2="mil",1,0.0254)*50,"Pass",MAX(T27,T63)-MIN(T27,T63)-IF($B$2="mil",1,0.0254)*50)</f>
        <v>#REF!</v>
      </c>
      <c r="AN27" s="201" t="e">
        <f ca="1">CheckLength2(1400,T27,U27,0)</f>
        <v>#NAME?</v>
      </c>
      <c r="AO27" s="201" t="e">
        <f>IF(AND($V27&gt;=IF($B$2="mil",1,0.0254)*500, $V27&lt;=IF($B$2="mil",1,0.0254)*7500),"Pass",IF($B$2="mil",1,0.0254)*7500-$V27)</f>
        <v>#REF!</v>
      </c>
      <c r="AP27" s="266" t="e">
        <f>IF(AND($W27&gt;=IF($B$2="mil",1,0.0254)*500, $W27&lt;=IF($B$2="mil",1,0.0254)*8000),"Pass",IF($B$2="mil",1,0.0254)*8000-$W27)</f>
        <v>#REF!</v>
      </c>
      <c r="AQ27" s="162" t="e">
        <f ca="1">IF(AND(Z27="Pass",AA27="Pass",AB27="Pass",AC27="Pass",AD27="Pass",AE27="Pass",AF27="Pass",AG27="Pass",AH27="Pass",AI27="Pass",AJ27="Pass",AK27="Pass",AL27="Pass",AM27="Pass",AN27="Pass",AO27="Pass",AP27="Pass"),"Pass","Fail")</f>
        <v>#REF!</v>
      </c>
    </row>
    <row r="28" spans="1:45" s="162" customFormat="1">
      <c r="A28" s="185" t="s">
        <v>30</v>
      </c>
      <c r="B28" s="240" t="s">
        <v>335</v>
      </c>
      <c r="C28" s="202">
        <v>326.39999999999998</v>
      </c>
      <c r="D28" s="203"/>
      <c r="E28" s="225">
        <v>29.7</v>
      </c>
      <c r="F28" s="189">
        <v>0</v>
      </c>
      <c r="G28" s="305">
        <v>1702.82</v>
      </c>
      <c r="H28" s="193">
        <v>0</v>
      </c>
      <c r="I28" s="193">
        <v>0</v>
      </c>
      <c r="J28" s="238"/>
      <c r="K28" s="193">
        <v>40</v>
      </c>
      <c r="L28" s="192"/>
      <c r="M28" s="193">
        <v>91.63</v>
      </c>
      <c r="N28" s="193">
        <v>40</v>
      </c>
      <c r="O28" s="191"/>
      <c r="P28" s="359" t="e">
        <f>K28-($Q$5-1250)</f>
        <v>#REF!</v>
      </c>
      <c r="Q28" s="194">
        <v>70.510000000000005</v>
      </c>
      <c r="R28" s="194">
        <v>700</v>
      </c>
      <c r="S28" s="305">
        <v>728.33</v>
      </c>
      <c r="T28" s="305">
        <v>496.08</v>
      </c>
      <c r="U28" s="194">
        <v>76.06</v>
      </c>
      <c r="V28" s="327">
        <f>SUM($E28:$H28,$M28,$N28,$Q28,$R28,$S28,$T28,$U28)</f>
        <v>3935.1299999999997</v>
      </c>
      <c r="W28" s="197">
        <f>$V28+$C28</f>
        <v>4261.53</v>
      </c>
      <c r="X28" s="197" t="e">
        <f>MAX($X$18:$Y$18) + IF($B$2="mil",1,0.0254)*DDR2Specs!$E$6</f>
        <v>#REF!</v>
      </c>
      <c r="Y28" s="197" t="e">
        <f>MIN($X$18:$Y$18) + IF($B$2="mil",1,0.0254)*DDR2Specs!$F$6</f>
        <v>#REF!</v>
      </c>
      <c r="Z28" s="198" t="e">
        <f>IF($W28&lt;$X28,$X28-$W28,"Pass")</f>
        <v>#REF!</v>
      </c>
      <c r="AA28" s="199" t="e">
        <f>IF($W28&gt;$Y28,$W28-$Y28,"Pass")</f>
        <v>#REF!</v>
      </c>
      <c r="AB28" s="200" t="e">
        <f>IF($E28&lt;=IF($B$2="mil",1,0.0254)*35,"Pass",IF($B$2="mil",1,0.0254)*35-$E28)</f>
        <v>#REF!</v>
      </c>
      <c r="AC28" s="201" t="e">
        <f>IF($F28&lt;=IF($B$2="mil",1,0.0254)*500,"Pass",IF($B$2="mil",1,0.0254)*500-$F28)</f>
        <v>#REF!</v>
      </c>
      <c r="AD28" s="201" t="e">
        <f>IF($H28&lt;=IF($B$2="mil",1,0.0254)*500,"Pass",IF($B$2="mil",1,0.0254)*500-$H28)</f>
        <v>#REF!</v>
      </c>
      <c r="AE28" s="201" t="e">
        <f>IF($I28&lt;=IF($B$2="mil",1,0.0254)*1000,"Pass",IF($B$2="mil",1,0.0254)*1000-$I28)</f>
        <v>#REF!</v>
      </c>
      <c r="AF28" s="201" t="e">
        <f ca="1">CheckLength2(1150,I28,K28,0)</f>
        <v>#NAME?</v>
      </c>
      <c r="AG28" s="201" t="e">
        <f>IF(M28&lt;=IF($B$2="mil",1,0.0254)*125,"Pass",IF($B$2="mil",1,0.0254)*125-M28)</f>
        <v>#REF!</v>
      </c>
      <c r="AH28" s="201" t="e">
        <f>IF(Q28&lt;=IF($B$2="mil",1,0.0254)*125,"Pass",IF($B$2="mil",1,0.0254)*125-Q28)</f>
        <v>#REF!</v>
      </c>
      <c r="AI28" s="201" t="e">
        <f>IF(R28&lt;=IF($B$2="mil",1,0.0254)*1000,"Pass",IF($B$2="mil",1,0.0254)*1000-R28)</f>
        <v>#REF!</v>
      </c>
      <c r="AJ28" s="201" t="e">
        <f>IF(S28&lt;=IF($B$2="mil",1,0.0254)*750,"Pass",IF($B$2="mil",1,0.0254)*750-S28)</f>
        <v>#REF!</v>
      </c>
      <c r="AK28" s="201" t="e">
        <f>IF(MAX(S28,T52)-MIN(S28,T52)&lt;=IF($B$2="mil",1,0.0254)*50,"Pass",MAX(S28,T52)-MIN(S28,T52)-IF($B$2="mil",1,0.0254)*50)</f>
        <v>#REF!</v>
      </c>
      <c r="AL28" s="201" t="e">
        <f>IF(T28&lt;=IF($B$2="mil",1,0.0254)*1250,"Pass",IF($B$2="mil",1,0.0254)*1250-T28)</f>
        <v>#REF!</v>
      </c>
      <c r="AM28" s="201" t="e">
        <f>IF(MAX(T28,T64)-MIN(T28,T64)&lt;=IF($B$2="mil",1,0.0254)*50,"Pass",MAX(T28,T64)-MIN(T28,T64)-IF($B$2="mil",1,0.0254)*50)</f>
        <v>#REF!</v>
      </c>
      <c r="AN28" s="201" t="e">
        <f ca="1">CheckLength2(1400,T28,U28,0)</f>
        <v>#NAME?</v>
      </c>
      <c r="AO28" s="201" t="e">
        <f>IF(AND($V28&gt;=IF($B$2="mil",1,0.0254)*500, $V28&lt;=IF($B$2="mil",1,0.0254)*7500),"Pass",IF($B$2="mil",1,0.0254)*7500-$V28)</f>
        <v>#REF!</v>
      </c>
      <c r="AP28" s="266" t="e">
        <f>IF(AND($W28&gt;=IF($B$2="mil",1,0.0254)*500, $W28&lt;=IF($B$2="mil",1,0.0254)*8000),"Pass",IF($B$2="mil",1,0.0254)*8000-$W28)</f>
        <v>#REF!</v>
      </c>
      <c r="AQ28" s="162" t="e">
        <f ca="1">IF(AND(Z28="Pass",AA28="Pass",AB28="Pass",AC28="Pass",AD28="Pass",AE28="Pass",AF28="Pass",AG28="Pass",AH28="Pass",AI28="Pass",AJ28="Pass",AK28="Pass",AL28="Pass",AM28="Pass",AN28="Pass",AO28="Pass",AP28="Pass"),"Pass","Fail")</f>
        <v>#REF!</v>
      </c>
    </row>
    <row r="29" spans="1:45" s="162" customFormat="1" ht="33.75">
      <c r="A29" s="392"/>
      <c r="B29" s="392"/>
      <c r="C29" s="230"/>
      <c r="D29" s="395"/>
      <c r="E29" s="161"/>
      <c r="F29" s="178"/>
      <c r="G29" s="396"/>
      <c r="H29" s="178"/>
      <c r="I29" s="178"/>
      <c r="J29" s="397"/>
      <c r="K29" s="178"/>
      <c r="L29" s="398"/>
      <c r="M29" s="178"/>
      <c r="N29" s="178"/>
      <c r="O29" s="397"/>
      <c r="P29" s="397"/>
      <c r="Q29" s="386"/>
      <c r="R29" s="386"/>
      <c r="S29" s="396"/>
      <c r="T29" s="218" t="s">
        <v>31</v>
      </c>
      <c r="U29" s="218" t="e">
        <f>"Trace L10-2 ["&amp;$B$2&amp;"]"</f>
        <v>#REF!</v>
      </c>
      <c r="V29" s="218" t="s">
        <v>218</v>
      </c>
      <c r="W29" s="218" t="s">
        <v>221</v>
      </c>
      <c r="X29" s="151" t="e">
        <f>"Target Min Length  to U2["&amp;$B$2&amp;"]"</f>
        <v>#REF!</v>
      </c>
      <c r="Y29" s="151" t="e">
        <f>"Target Max Length  to U2 ["&amp;$B$2&amp;"]"</f>
        <v>#REF!</v>
      </c>
      <c r="Z29" s="152" t="e">
        <f>"Routed Too Short to U2 [" &amp;$B$2&amp;"]"</f>
        <v>#REF!</v>
      </c>
      <c r="AA29" s="151" t="e">
        <f>"Routed Too Long to U2 [" &amp;$B$2&amp;"]"</f>
        <v>#REF!</v>
      </c>
      <c r="AB29" s="231"/>
      <c r="AC29" s="394"/>
      <c r="AD29" s="394"/>
      <c r="AE29" s="394"/>
      <c r="AF29" s="394"/>
      <c r="AG29" s="394"/>
      <c r="AH29" s="394"/>
      <c r="AI29" s="394"/>
      <c r="AJ29" s="394"/>
      <c r="AK29" s="394"/>
      <c r="AL29" s="394"/>
      <c r="AM29" s="218" t="s">
        <v>31</v>
      </c>
      <c r="AN29" s="153" t="e">
        <f>"L10-2 Length Test (&lt;=" &amp; IF($B$2="mil",1,0.0254)*150&amp;$B$2&amp;") or (L8-1+L10-2&lt;= "&amp;IF($B$2="mil",1,0.0254)*900&amp;$B$2&amp;")"</f>
        <v>#REF!</v>
      </c>
      <c r="AO29" s="150" t="e">
        <f>"Total Length to U2 (L0+L1+L2+S1+L5+Rs+L6+L7+L8-1+L10-2)Test ("&amp;IF($B$2="mil",1,0.0254)*500&amp;"-"&amp;IF($B$2="mil",1,0.0254)*7500&amp;IF($B$2="mil","mil","mm")&amp;")"</f>
        <v>#REF!</v>
      </c>
      <c r="AP29" s="150" t="e">
        <f>"Total Length to U2 (P1+L0+L1+L2+S1+L5+Rs+L6+L7+L8-1+L10-2) Test (&lt;="&amp;IF($B$2="mil",1,25.4)*8000&amp;IF($B$2="mil","mil","mm")&amp;")"</f>
        <v>#REF!</v>
      </c>
    </row>
    <row r="30" spans="1:45">
      <c r="Q30" s="29" t="s">
        <v>379</v>
      </c>
      <c r="R30" s="29" t="s">
        <v>380</v>
      </c>
      <c r="T30" s="166" t="s">
        <v>19</v>
      </c>
      <c r="U30" s="166"/>
      <c r="V30" s="169"/>
      <c r="W30" s="383" t="s">
        <v>227</v>
      </c>
      <c r="X30" s="235" t="e">
        <f>MIN('DDR2 Clocks - 4L'!$O$9:$O$10)</f>
        <v>#REF!</v>
      </c>
      <c r="Y30" s="235" t="e">
        <f>MAX('DDR2 Clocks - 4L'!$O$9:$O$10)</f>
        <v>#REF!</v>
      </c>
      <c r="Z30" s="235"/>
      <c r="AA30" s="235"/>
      <c r="AM30" s="166" t="s">
        <v>19</v>
      </c>
      <c r="AN30" s="176"/>
      <c r="AO30" s="176"/>
      <c r="AP30" s="177"/>
      <c r="AS30" s="162"/>
    </row>
    <row r="31" spans="1:45">
      <c r="K31" s="272"/>
      <c r="T31" s="155" t="s">
        <v>377</v>
      </c>
      <c r="U31" s="181"/>
      <c r="V31" s="182"/>
      <c r="W31" s="182"/>
      <c r="X31" s="393"/>
      <c r="Y31" s="399"/>
      <c r="Z31" s="399"/>
      <c r="AA31" s="393"/>
      <c r="AM31" s="155" t="s">
        <v>232</v>
      </c>
      <c r="AN31" s="183"/>
      <c r="AO31" s="183"/>
      <c r="AP31" s="232"/>
      <c r="AS31" s="162"/>
    </row>
    <row r="32" spans="1:45">
      <c r="K32" s="272"/>
      <c r="Q32" s="29" t="s">
        <v>245</v>
      </c>
      <c r="R32" s="29" t="s">
        <v>251</v>
      </c>
      <c r="T32" s="240" t="s">
        <v>25</v>
      </c>
      <c r="U32" s="387">
        <v>26.29</v>
      </c>
      <c r="V32" s="388">
        <f>SUM($E20:$H20,$M20,$N20,$Q20,$R20,$S20,$U32)</f>
        <v>3451.61</v>
      </c>
      <c r="W32" s="190">
        <f>$V32+$C20</f>
        <v>4259.51</v>
      </c>
      <c r="X32" s="190" t="e">
        <f>MAX($X$30:$Y$30) + IF($B$2="mil",1,0.0254)*DDR2Specs!$E$6</f>
        <v>#REF!</v>
      </c>
      <c r="Y32" s="190" t="e">
        <f>MIN($X$30:$Y$30) + IF($B$2="mil",1,0.0254)*DDR2Specs!$F$6</f>
        <v>#REF!</v>
      </c>
      <c r="Z32" s="402" t="e">
        <f>IF($W32&lt;$X32,$X32-$W32,"Pass")</f>
        <v>#REF!</v>
      </c>
      <c r="AA32" s="402" t="e">
        <f>IF($W32&gt;$Y32,$W32-$Y32,"Pass")</f>
        <v>#REF!</v>
      </c>
      <c r="AM32" s="240" t="s">
        <v>25</v>
      </c>
      <c r="AN32" s="201" t="e">
        <f ca="1">CheckLength2(900,S20,U32,0)</f>
        <v>#NAME?</v>
      </c>
      <c r="AO32" s="348" t="e">
        <f>IF(AND(V32&gt;=IF($B$2="mil",1,0.0254)*500, $V32&lt;=IF($B$2="mil",1,0.0254)*7500),"Pass",IF($B$2="mil",1,0.0254)*7500-$V32)</f>
        <v>#REF!</v>
      </c>
      <c r="AP32" s="348" t="e">
        <f>IF(AND($W32&gt;=IF($B$2="mil",1,0.0254)*500, $W32&lt;=IF($B$2="mil",1,0.0254)*8000),"Pass",IF($B$2="mil",1,0.0254)*8000-$W32)</f>
        <v>#REF!</v>
      </c>
      <c r="AQ32" s="162" t="e">
        <f ca="1">IF(AND(Z32="Pass",AA32="Pass",,AN32="Pass",AO32="Pass",AP32="Pass"),"Pass","Fail")</f>
        <v>#REF!</v>
      </c>
      <c r="AS32" s="162"/>
    </row>
    <row r="33" spans="11:45">
      <c r="K33" s="272"/>
      <c r="T33" s="240" t="s">
        <v>27</v>
      </c>
      <c r="U33" s="337">
        <v>26.5</v>
      </c>
      <c r="V33" s="327">
        <f>SUM($E21:$H21,$M21,$N21,$Q21,$R21,$S21,$U33)</f>
        <v>3388.72</v>
      </c>
      <c r="W33" s="197">
        <f>$V33+$C21</f>
        <v>3757.72</v>
      </c>
      <c r="X33" s="190" t="e">
        <f>MAX($X$30:$Y$30) + IF($B$2="mil",1,0.0254)*DDR2Specs!$E$6</f>
        <v>#REF!</v>
      </c>
      <c r="Y33" s="190" t="e">
        <f>MIN($X$30:$Y$30) + IF($B$2="mil",1,0.0254)*DDR2Specs!$F$6</f>
        <v>#REF!</v>
      </c>
      <c r="Z33" s="402" t="e">
        <f>IF($W33&lt;$X33,$X33-$W33,"Pass")</f>
        <v>#REF!</v>
      </c>
      <c r="AA33" s="402" t="e">
        <f>IF($W33&gt;$Y33,$W33-$Y33,"Pass")</f>
        <v>#REF!</v>
      </c>
      <c r="AG33" s="29"/>
      <c r="AM33" s="240" t="s">
        <v>27</v>
      </c>
      <c r="AN33" s="201" t="e">
        <f ca="1">CheckLength2(900,S21,U33,0)</f>
        <v>#NAME?</v>
      </c>
      <c r="AO33" s="348" t="e">
        <f>IF(AND(V33&gt;=IF($B$2="mil",1,0.0254)*500, $V33&lt;=IF($B$2="mil",1,0.0254)*7500),"Pass",IF($B$2="mil",1,0.0254)*7500-$V33)</f>
        <v>#REF!</v>
      </c>
      <c r="AP33" s="348" t="e">
        <f>IF(AND($W33&gt;=IF($B$2="mil",1,0.0254)*500, $W33&lt;=IF($B$2="mil",1,0.0254)*8000),"Pass",IF($B$2="mil",1,0.0254)*8000-$W33)</f>
        <v>#REF!</v>
      </c>
      <c r="AQ33" s="162" t="e">
        <f ca="1">IF(AND(Z33="Pass",AA33="Pass",,AN33="Pass",AO33="Pass",AP33="Pass"),"Pass","Fail")</f>
        <v>#REF!</v>
      </c>
      <c r="AS33" s="162"/>
    </row>
    <row r="34" spans="11:45">
      <c r="T34" s="186" t="s">
        <v>29</v>
      </c>
      <c r="U34" s="337">
        <v>131.22999999999999</v>
      </c>
      <c r="V34" s="327">
        <f>SUM($E22:$H22,$M22,$N22,$Q22,$R22,$S22,$U34)</f>
        <v>3494.22</v>
      </c>
      <c r="W34" s="197">
        <f>$V34+$C22</f>
        <v>3756.4199999999996</v>
      </c>
      <c r="X34" s="197" t="e">
        <f>MAX($X$30:$Y$30) + IF($B$2="mil",1,0.0254)*DDR2Specs!$E$6</f>
        <v>#REF!</v>
      </c>
      <c r="Y34" s="197" t="e">
        <f>MIN($X$30:$Y$30) + IF($B$2="mil",1,0.0254)*DDR2Specs!$F$6</f>
        <v>#REF!</v>
      </c>
      <c r="Z34" s="198" t="e">
        <f>IF($W34&lt;$X34,$X34-$W34,"Pass")</f>
        <v>#REF!</v>
      </c>
      <c r="AA34" s="199" t="e">
        <f>IF($W34&gt;$Y34,$W34-$Y34,"Pass")</f>
        <v>#REF!</v>
      </c>
      <c r="AM34" s="185" t="s">
        <v>29</v>
      </c>
      <c r="AN34" s="201" t="e">
        <f ca="1">CheckLength2(900,S22,U34,0)</f>
        <v>#NAME?</v>
      </c>
      <c r="AO34" s="348" t="e">
        <f>IF(AND(V34&gt;=IF($B$2="mil",1,0.0254)*500, $V34&lt;=IF($B$2="mil",1,0.0254)*7500),"Pass",IF($B$2="mil",1,0.0254)*7500-$V34)</f>
        <v>#REF!</v>
      </c>
      <c r="AP34" s="348" t="e">
        <f>IF(AND($W34&gt;=IF($B$2="mil",1,0.0254)*500, $W34&lt;=IF($B$2="mil",1,0.0254)*8000),"Pass",IF($B$2="mil",1,0.0254)*8000-$W34)</f>
        <v>#REF!</v>
      </c>
      <c r="AQ34" s="162" t="e">
        <f ca="1">IF(AND(Z34="Pass",AA34="Pass",,AN34="Pass",AO34="Pass",AP34="Pass"),"Pass","Fail")</f>
        <v>#REF!</v>
      </c>
      <c r="AS34" s="162"/>
    </row>
    <row r="35" spans="11:45" ht="33.75">
      <c r="S35" s="55"/>
      <c r="T35" s="144" t="s">
        <v>31</v>
      </c>
      <c r="U35" s="144" t="e">
        <f>"Trace L10-2 ["&amp;$B$2&amp;"]"</f>
        <v>#REF!</v>
      </c>
      <c r="V35" s="144" t="s">
        <v>381</v>
      </c>
      <c r="W35" s="144" t="s">
        <v>382</v>
      </c>
      <c r="X35" s="150" t="e">
        <f>"Target Min Length  to U6["&amp;$B$2&amp;"]"</f>
        <v>#REF!</v>
      </c>
      <c r="Y35" s="150" t="e">
        <f>"Target Max Length  to U6 ["&amp;$B$2&amp;"]"</f>
        <v>#REF!</v>
      </c>
      <c r="Z35" s="150" t="e">
        <f>"Routed Too Short to U6 [" &amp;$B$2&amp;"]"</f>
        <v>#REF!</v>
      </c>
      <c r="AA35" s="150" t="e">
        <f>"Routed Too Long to U6 [" &amp;$B$2&amp;"]"</f>
        <v>#REF!</v>
      </c>
      <c r="AM35" s="218" t="s">
        <v>31</v>
      </c>
      <c r="AN35" s="153" t="e">
        <f>"L10-2 Length Test (&lt;=" &amp; IF($B$2="mil",1,0.0254)*150&amp;$B$2&amp;") or (L8-1+L10-2&lt;= "&amp;IF($B$2="mil",1,0.0254)*900&amp;$B$2&amp;")"</f>
        <v>#REF!</v>
      </c>
      <c r="AO35" s="150" t="e">
        <f>"Total Length to U6 (L0+L1+L2+S1+L5+Rs+L6+L7+L8-1+L10-2)Test ("&amp;IF($B$2="mil",1,0.0254)*500&amp;"-"&amp;IF($B$2="mil",1,0.0254)*7500&amp;IF($B$2="mil","mil","mm")&amp;")"</f>
        <v>#REF!</v>
      </c>
      <c r="AP35" s="150" t="e">
        <f>"Total Length to U6 (P1+L0+L1+L2+S1+L5+Rs+L6+L7+L8-1+L10-2) Test (&lt;="&amp;IF($B$2="mil",1,25.4)*8000&amp;IF($B$2="mil","mil","mm")&amp;")"</f>
        <v>#REF!</v>
      </c>
      <c r="AQ35" s="162"/>
      <c r="AS35" s="162"/>
    </row>
    <row r="36" spans="11:45">
      <c r="T36" s="163" t="s">
        <v>19</v>
      </c>
      <c r="U36" s="389"/>
      <c r="V36" s="390"/>
      <c r="W36" s="383" t="s">
        <v>285</v>
      </c>
      <c r="X36" s="172" t="e">
        <f>MIN('DDR2 Clocks - 4L'!$O$11:$O$12)</f>
        <v>#REF!</v>
      </c>
      <c r="Y36" s="391" t="e">
        <f>MAX('DDR2 Clocks - 4L'!$O$11:$O$12)</f>
        <v>#REF!</v>
      </c>
      <c r="Z36" s="174"/>
      <c r="AA36" s="172"/>
      <c r="AM36" s="166" t="s">
        <v>19</v>
      </c>
      <c r="AN36" s="176"/>
      <c r="AO36" s="176"/>
      <c r="AP36" s="177"/>
      <c r="AQ36" s="162"/>
      <c r="AS36" s="162"/>
    </row>
    <row r="37" spans="11:45">
      <c r="Q37" s="29" t="s">
        <v>246</v>
      </c>
      <c r="R37" s="29" t="s">
        <v>252</v>
      </c>
      <c r="T37" s="155" t="s">
        <v>378</v>
      </c>
      <c r="U37" s="181"/>
      <c r="V37" s="182"/>
      <c r="W37" s="182"/>
      <c r="X37" s="183"/>
      <c r="Y37" s="184"/>
      <c r="Z37" s="184"/>
      <c r="AA37" s="183"/>
      <c r="AM37" s="155" t="s">
        <v>232</v>
      </c>
      <c r="AN37" s="183"/>
      <c r="AO37" s="183"/>
      <c r="AP37" s="232"/>
      <c r="AQ37" s="162"/>
      <c r="AS37" s="162"/>
    </row>
    <row r="38" spans="11:45">
      <c r="T38" s="186" t="s">
        <v>26</v>
      </c>
      <c r="U38" s="337">
        <v>26.29</v>
      </c>
      <c r="V38" s="388">
        <f>SUM($E26:$H26,$M26,$N26,$Q26,$R26,$S26,$U38)</f>
        <v>3451.61</v>
      </c>
      <c r="W38" s="190">
        <f>$V38+$C26</f>
        <v>4230.6100000000006</v>
      </c>
      <c r="X38" s="197" t="e">
        <f>MAX($X$30:$Y$30) + IF($B$2="mil",1,0.0254)*DDR2Specs!$E$6</f>
        <v>#REF!</v>
      </c>
      <c r="Y38" s="197" t="e">
        <f>MIN($X$30:$Y$30) + IF($B$2="mil",1,0.0254)*DDR2Specs!$F$6</f>
        <v>#REF!</v>
      </c>
      <c r="Z38" s="198" t="e">
        <f>IF($W38&lt;$X38,$X38-$W38,"Pass")</f>
        <v>#REF!</v>
      </c>
      <c r="AA38" s="199" t="e">
        <f>IF($W38&gt;$Y38,$W38-$Y38,"Pass")</f>
        <v>#REF!</v>
      </c>
      <c r="AM38" s="185" t="s">
        <v>26</v>
      </c>
      <c r="AN38" s="201" t="e">
        <f ca="1">CheckLength2(900,S26,U38,0)</f>
        <v>#NAME?</v>
      </c>
      <c r="AO38" s="348" t="e">
        <f>IF(AND(V38&gt;=IF($B$2="mil",1,0.0254)*500, $V38&lt;=IF($B$2="mil",1,0.0254)*7500),"Pass",IF($B$2="mil",1,0.0254)*7500-$V38)</f>
        <v>#REF!</v>
      </c>
      <c r="AP38" s="348" t="e">
        <f>IF(AND($W38&gt;=IF($B$2="mil",1,0.0254)*500, $W38&lt;=IF($B$2="mil",1,0.0254)*8000),"Pass",IF($B$2="mil",1,0.0254)*8000-$W38)</f>
        <v>#REF!</v>
      </c>
      <c r="AQ38" s="162" t="e">
        <f ca="1">IF(AND(Z38="Pass",AA38="Pass",,AN38="Pass",AO38="Pass",AP38="Pass"),"Pass","Fail")</f>
        <v>#REF!</v>
      </c>
      <c r="AS38" s="162"/>
    </row>
    <row r="39" spans="11:45">
      <c r="T39" s="186" t="s">
        <v>28</v>
      </c>
      <c r="U39" s="337">
        <v>46.5</v>
      </c>
      <c r="V39" s="388">
        <f>SUM($E27:$H27,$M27,$N27,$Q27,$R27,$S27,$U39)</f>
        <v>3408.72</v>
      </c>
      <c r="W39" s="190">
        <f>$V39+$C27</f>
        <v>3675.9199999999996</v>
      </c>
      <c r="X39" s="197" t="e">
        <f>MAX($X$30:$Y$30) + IF($B$2="mil",1,0.0254)*DDR2Specs!$E$6</f>
        <v>#REF!</v>
      </c>
      <c r="Y39" s="197" t="e">
        <f>MIN($X$30:$Y$30) + IF($B$2="mil",1,0.0254)*DDR2Specs!$F$6</f>
        <v>#REF!</v>
      </c>
      <c r="Z39" s="198" t="e">
        <f>IF($W39&lt;$X39,$X39-$W39,"Pass")</f>
        <v>#REF!</v>
      </c>
      <c r="AA39" s="199" t="e">
        <f>IF($W39&gt;$Y39,$W39-$Y39,"Pass")</f>
        <v>#REF!</v>
      </c>
      <c r="AM39" s="185" t="s">
        <v>28</v>
      </c>
      <c r="AN39" s="201" t="e">
        <f ca="1">CheckLength2(900,S27,U39,0)</f>
        <v>#NAME?</v>
      </c>
      <c r="AO39" s="348" t="e">
        <f>IF(AND(V39&gt;=IF($B$2="mil",1,0.0254)*500, $V39&lt;=IF($B$2="mil",1,0.0254)*7500),"Pass",IF($B$2="mil",1,0.0254)*7500-$V39)</f>
        <v>#REF!</v>
      </c>
      <c r="AP39" s="348" t="e">
        <f>IF(AND($W39&gt;=IF($B$2="mil",1,0.0254)*500, $W39&lt;=IF($B$2="mil",1,0.0254)*8000),"Pass",IF($B$2="mil",1,0.0254)*8000-$W39)</f>
        <v>#REF!</v>
      </c>
      <c r="AQ39" s="162" t="e">
        <f ca="1">IF(AND(Z39="Pass",AA39="Pass",,AN39="Pass",AO39="Pass",AP39="Pass"),"Pass","Fail")</f>
        <v>#REF!</v>
      </c>
      <c r="AS39" s="162"/>
    </row>
    <row r="40" spans="11:45">
      <c r="T40" s="186" t="s">
        <v>30</v>
      </c>
      <c r="U40" s="337">
        <v>131.22999999999999</v>
      </c>
      <c r="V40" s="388">
        <f>SUM($E28:$H28,$M28,$N28,$Q28,$R28,$S28,$U40)</f>
        <v>3494.22</v>
      </c>
      <c r="W40" s="190">
        <f>$V40+$C28</f>
        <v>3820.62</v>
      </c>
      <c r="X40" s="197" t="e">
        <f>MAX($X$30:$Y$30) + IF($B$2="mil",1,0.0254)*DDR2Specs!$E$6</f>
        <v>#REF!</v>
      </c>
      <c r="Y40" s="197" t="e">
        <f>MIN($X$30:$Y$30) + IF($B$2="mil",1,0.0254)*DDR2Specs!$F$6</f>
        <v>#REF!</v>
      </c>
      <c r="Z40" s="198" t="e">
        <f>IF($W40&lt;$X40,$X40-$W40,"Pass")</f>
        <v>#REF!</v>
      </c>
      <c r="AA40" s="199" t="e">
        <f>IF($W40&gt;$Y40,$W40-$Y40,"Pass")</f>
        <v>#REF!</v>
      </c>
      <c r="AM40" s="185" t="s">
        <v>30</v>
      </c>
      <c r="AN40" s="201" t="e">
        <f ca="1">CheckLength2(900,S28,U40,0)</f>
        <v>#NAME?</v>
      </c>
      <c r="AO40" s="348" t="e">
        <f>IF(AND(V40&gt;=IF($B$2="mil",1,0.0254)*500, $V40&lt;=IF($B$2="mil",1,0.0254)*7500),"Pass",IF($B$2="mil",1,0.0254)*7500-$V40)</f>
        <v>#REF!</v>
      </c>
      <c r="AP40" s="348" t="e">
        <f>IF(AND($W40&gt;=IF($B$2="mil",1,0.0254)*500, $W40&lt;=IF($B$2="mil",1,0.0254)*8000),"Pass",IF($B$2="mil",1,0.0254)*8000-$W40)</f>
        <v>#REF!</v>
      </c>
      <c r="AQ40" s="162" t="e">
        <f ca="1">IF(AND(Z40="Pass",AA40="Pass",,AN40="Pass",AO40="Pass",AP40="Pass"),"Pass","Fail")</f>
        <v>#REF!</v>
      </c>
      <c r="AS40" s="162"/>
    </row>
    <row r="41" spans="11:45" ht="33.75">
      <c r="Q41" s="400" t="s">
        <v>248</v>
      </c>
      <c r="R41" s="400" t="s">
        <v>253</v>
      </c>
      <c r="S41" s="144" t="s">
        <v>31</v>
      </c>
      <c r="T41" s="144" t="e">
        <f>"Trace L8-2 ["&amp;$B$2&amp;"]"</f>
        <v>#REF!</v>
      </c>
      <c r="U41" s="144" t="e">
        <f>"Trace L10-3 ["&amp;$B$2&amp;"]"</f>
        <v>#REF!</v>
      </c>
      <c r="V41" s="144" t="s">
        <v>219</v>
      </c>
      <c r="W41" s="218" t="s">
        <v>222</v>
      </c>
      <c r="X41" s="151" t="e">
        <f>"Target Min Length to U3["&amp;$B$2&amp;"]"</f>
        <v>#REF!</v>
      </c>
      <c r="Y41" s="151" t="e">
        <f>"Target Max Length to U3 ["&amp;$B$2&amp;"]"</f>
        <v>#REF!</v>
      </c>
      <c r="Z41" s="152" t="e">
        <f>"Routed Too Short to U3 [" &amp;$B$2&amp;"]"</f>
        <v>#REF!</v>
      </c>
      <c r="AA41" s="151" t="e">
        <f>"Routed Too Long to U3 [" &amp;$B$2&amp;"]"</f>
        <v>#REF!</v>
      </c>
      <c r="AI41" s="218" t="s">
        <v>31</v>
      </c>
      <c r="AJ41" s="150" t="e">
        <f>"L8-2 Length Test (&lt;=" &amp; IF($B$2="mil",1,0.0254)*750&amp;$B$2&amp;")"</f>
        <v>#REF!</v>
      </c>
      <c r="AN41" s="153" t="e">
        <f>"L10-3 Length Test (&lt;=" &amp; IF($B$2="mil",1,0.0254)*150&amp;$B$2&amp;") or (L8-2+L10-3&lt;= "&amp;IF($B$2="mil",1,0.0254)*900&amp;$B$2&amp;")"</f>
        <v>#REF!</v>
      </c>
      <c r="AO41" s="150" t="e">
        <f>"Total Length to U3 (L0+L1+L2+S1+L5+Rs+L6+L7+L8-2+L10-3)Test ("&amp;IF($B$2="mil",1,0.0254)*500&amp;"-"&amp;IF($B$2="mil",1,0.0254)*7500&amp;IF($B$2="mil","mil","mm")&amp;")"</f>
        <v>#REF!</v>
      </c>
      <c r="AP41" s="150" t="e">
        <f>"Total Length to U3 (P1+L0+L1+L2+S1+L5+Rs+L6+L7+L8-2+L10-3) Test (&lt;="&amp;IF($B$2="mil",1,25.4)*8000&amp;IF($B$2="mil","mil","mm")&amp;")"</f>
        <v>#REF!</v>
      </c>
      <c r="AS41" s="162"/>
    </row>
    <row r="42" spans="11:45">
      <c r="S42" s="163" t="s">
        <v>19</v>
      </c>
      <c r="T42" s="166"/>
      <c r="U42" s="166"/>
      <c r="V42" s="169"/>
      <c r="W42" s="383" t="s">
        <v>226</v>
      </c>
      <c r="X42" s="235" t="e">
        <f>MIN('DDR2 Clocks - 4L'!$O$13:$O$14)</f>
        <v>#REF!</v>
      </c>
      <c r="Y42" s="235" t="e">
        <f>MAX('DDR2 Clocks - 4L'!$O$13:$O$14)</f>
        <v>#REF!</v>
      </c>
      <c r="Z42" s="404"/>
      <c r="AA42" s="235"/>
      <c r="AI42" s="166" t="s">
        <v>19</v>
      </c>
      <c r="AJ42" s="177"/>
      <c r="AN42" s="176"/>
      <c r="AO42" s="176"/>
      <c r="AP42" s="177"/>
      <c r="AS42" s="162"/>
    </row>
    <row r="43" spans="11:45">
      <c r="S43" s="155" t="s">
        <v>377</v>
      </c>
      <c r="T43" s="181"/>
      <c r="U43" s="181"/>
      <c r="V43" s="182"/>
      <c r="W43" s="182"/>
      <c r="X43" s="393"/>
      <c r="Y43" s="399"/>
      <c r="Z43" s="399"/>
      <c r="AA43" s="393"/>
      <c r="AI43" s="155" t="s">
        <v>232</v>
      </c>
      <c r="AJ43" s="349"/>
      <c r="AN43" s="183"/>
      <c r="AO43" s="183"/>
      <c r="AP43" s="232"/>
      <c r="AS43" s="162"/>
    </row>
    <row r="44" spans="11:45">
      <c r="S44" s="185" t="s">
        <v>25</v>
      </c>
      <c r="T44" s="305">
        <v>705.31</v>
      </c>
      <c r="U44" s="194">
        <v>28.4</v>
      </c>
      <c r="V44" s="190">
        <f>SUM($E20:$H20,$M20,$N20,$Q20,$R20,$T44,$U44)</f>
        <v>3453.7200000000003</v>
      </c>
      <c r="W44" s="190">
        <f>$V44+$C20</f>
        <v>4261.62</v>
      </c>
      <c r="X44" s="197" t="e">
        <f>MAX($X$42:$Y$42) + IF($B$2="mil",1,0.0254)*DDR2Specs!$E$6</f>
        <v>#REF!</v>
      </c>
      <c r="Y44" s="197" t="e">
        <f>MIN($X$42:$Y$42) + IF($B$2="mil",1,0.0254)*DDR2Specs!$F$6</f>
        <v>#REF!</v>
      </c>
      <c r="Z44" s="198" t="e">
        <f>IF($W44&lt;$X44,$X44-$W44,"Pass")</f>
        <v>#REF!</v>
      </c>
      <c r="AA44" s="199" t="e">
        <f>IF($W44&gt;$Y44,$W44-$Y44,"Pass")</f>
        <v>#REF!</v>
      </c>
      <c r="AI44" s="185" t="s">
        <v>25</v>
      </c>
      <c r="AJ44" s="348" t="e">
        <f>IF(T44&lt;=IF($B$2="mil",1,0.0254)*750,"Pass",IF($B$2="mil",1,0.0254)*750-T44)</f>
        <v>#REF!</v>
      </c>
      <c r="AN44" s="201" t="e">
        <f ca="1">CheckLength2(900,T44,U44,0)</f>
        <v>#NAME?</v>
      </c>
      <c r="AO44" s="201" t="e">
        <f>IF(AND(V44&gt;=IF($B$2="mil",1,0.0254)*500, $V44&lt;=IF($B$2="mil",1,0.0254)*7500),"Pass",IF($B$2="mil",1,0.0254)*7500-$V44)</f>
        <v>#REF!</v>
      </c>
      <c r="AP44" s="266" t="e">
        <f>IF(AND($W44&gt;=IF($B$2="mil",1,0.0254)*500, $W44&lt;=IF($B$2="mil",1,0.0254)*8000),"Pass",IF($B$2="mil",1,0.0254)*8000-$W44)</f>
        <v>#REF!</v>
      </c>
      <c r="AQ44" s="162" t="e">
        <f ca="1">IF(AND(Z44="Pass",AA44="Pass",AJ44="Pass",AN44="Pass",AO44="Pass",AP44="Pass"),"Pass","Fail")</f>
        <v>#REF!</v>
      </c>
      <c r="AS44" s="162"/>
    </row>
    <row r="45" spans="11:45">
      <c r="S45" s="185" t="s">
        <v>27</v>
      </c>
      <c r="T45" s="305">
        <v>668.9</v>
      </c>
      <c r="U45" s="194">
        <v>31.52</v>
      </c>
      <c r="V45" s="190">
        <f>SUM($E21:$H21,$M21,$N21,$Q21,$R21,$T45,$U45)</f>
        <v>3393.74</v>
      </c>
      <c r="W45" s="197">
        <f>$V45+$C21</f>
        <v>3762.74</v>
      </c>
      <c r="X45" s="197" t="e">
        <f>MAX($X$42:$Y$42) + IF($B$2="mil",1,0.0254)*DDR2Specs!$E$6</f>
        <v>#REF!</v>
      </c>
      <c r="Y45" s="197" t="e">
        <f>MIN($X$42:$Y$42) + IF($B$2="mil",1,0.0254)*DDR2Specs!$F$6</f>
        <v>#REF!</v>
      </c>
      <c r="Z45" s="198" t="e">
        <f>IF($W45&lt;$X45,$X45-$W45,"Pass")</f>
        <v>#REF!</v>
      </c>
      <c r="AA45" s="199" t="e">
        <f>IF($W45&gt;$Y45,$W45-$Y45,"Pass")</f>
        <v>#REF!</v>
      </c>
      <c r="AI45" s="185" t="s">
        <v>27</v>
      </c>
      <c r="AJ45" s="348" t="e">
        <f>IF(T45&lt;=IF($B$2="mil",1,0.0254)*750,"Pass",IF($B$2="mil",1,0.0254)*750-T45)</f>
        <v>#REF!</v>
      </c>
      <c r="AN45" s="201" t="e">
        <f ca="1">CheckLength2(900,T45,U45,0)</f>
        <v>#NAME?</v>
      </c>
      <c r="AO45" s="201" t="e">
        <f>IF(AND(V45&gt;=IF($B$2="mil",1,0.0254)*500, $V45&lt;=IF($B$2="mil",1,0.0254)*7500),"Pass",IF($B$2="mil",1,0.0254)*7500-$V45)</f>
        <v>#REF!</v>
      </c>
      <c r="AP45" s="266" t="e">
        <f>IF(AND($W45&gt;=IF($B$2="mil",1,0.0254)*500, $W45&lt;=IF($B$2="mil",1,0.0254)*8000),"Pass",IF($B$2="mil",1,0.0254)*8000-$W45)</f>
        <v>#REF!</v>
      </c>
      <c r="AQ45" s="162" t="e">
        <f ca="1">IF(AND(Z45="Pass",AA45="Pass",AJ45="Pass",AN45="Pass",AO45="Pass",AP45="Pass"),"Pass","Fail")</f>
        <v>#REF!</v>
      </c>
      <c r="AS45" s="162"/>
    </row>
    <row r="46" spans="11:45">
      <c r="S46" s="185" t="s">
        <v>29</v>
      </c>
      <c r="T46" s="305">
        <v>728.33</v>
      </c>
      <c r="U46" s="194">
        <v>76.06</v>
      </c>
      <c r="V46" s="190">
        <f>SUM($E22:$H22,$M22,$N22,$Q22,$R22,$T46,$U46)</f>
        <v>3439.0499999999997</v>
      </c>
      <c r="W46" s="197">
        <f>$V46+$C22</f>
        <v>3701.2499999999995</v>
      </c>
      <c r="X46" s="197" t="e">
        <f>MAX($X$42:$Y$42) + IF($B$2="mil",1,0.0254)*DDR2Specs!$E$6</f>
        <v>#REF!</v>
      </c>
      <c r="Y46" s="197" t="e">
        <f>MIN($X$42:$Y$42) + IF($B$2="mil",1,0.0254)*DDR2Specs!$F$6</f>
        <v>#REF!</v>
      </c>
      <c r="Z46" s="198" t="e">
        <f>IF($W46&lt;$X46,$X46-$W46,"Pass")</f>
        <v>#REF!</v>
      </c>
      <c r="AA46" s="199" t="e">
        <f>IF($W46&gt;$Y46,$W46-$Y46,"Pass")</f>
        <v>#REF!</v>
      </c>
      <c r="AI46" s="185" t="s">
        <v>29</v>
      </c>
      <c r="AJ46" s="348" t="e">
        <f>IF(T46&lt;=IF($B$2="mil",1,0.0254)*750,"Pass",IF($B$2="mil",1,0.0254)*750-T46)</f>
        <v>#REF!</v>
      </c>
      <c r="AN46" s="201" t="e">
        <f ca="1">CheckLength2(900,T46,U46,0)</f>
        <v>#NAME?</v>
      </c>
      <c r="AO46" s="201" t="e">
        <f>IF(AND(V46&gt;=IF($B$2="mil",1,0.0254)*500, $V46&lt;=IF($B$2="mil",1,0.0254)*7500),"Pass",IF($B$2="mil",1,0.0254)*7500-$V46)</f>
        <v>#REF!</v>
      </c>
      <c r="AP46" s="266" t="e">
        <f>IF(AND($W46&gt;=IF($B$2="mil",1,0.0254)*500, $W46&lt;=IF($B$2="mil",1,0.0254)*8000),"Pass",IF($B$2="mil",1,0.0254)*8000-$W46)</f>
        <v>#REF!</v>
      </c>
      <c r="AQ46" s="162" t="e">
        <f ca="1">IF(AND(Z46="Pass",AA46="Pass",AJ46="Pass",AN46="Pass",AO46="Pass",AP46="Pass"),"Pass","Fail")</f>
        <v>#REF!</v>
      </c>
      <c r="AS46" s="162"/>
    </row>
    <row r="47" spans="11:45" ht="33.75">
      <c r="Q47" s="401" t="s">
        <v>247</v>
      </c>
      <c r="R47" s="401" t="s">
        <v>254</v>
      </c>
      <c r="S47" s="144" t="s">
        <v>31</v>
      </c>
      <c r="T47" s="144" t="e">
        <f>"Trace L8-2 ["&amp;$B$2&amp;"]"</f>
        <v>#REF!</v>
      </c>
      <c r="U47" s="144" t="e">
        <f>"Trace L10-3 ["&amp;$B$2&amp;"]"</f>
        <v>#REF!</v>
      </c>
      <c r="V47" s="144" t="s">
        <v>383</v>
      </c>
      <c r="W47" s="144" t="s">
        <v>384</v>
      </c>
      <c r="X47" s="150" t="e">
        <f>"Target Min Length to U7["&amp;$B$2&amp;"]"</f>
        <v>#REF!</v>
      </c>
      <c r="Y47" s="150" t="e">
        <f>"Target Max Length to U7 ["&amp;$B$2&amp;"]"</f>
        <v>#REF!</v>
      </c>
      <c r="Z47" s="403" t="e">
        <f>"Routed Too Short to U7 [" &amp;$B$2&amp;"]"</f>
        <v>#REF!</v>
      </c>
      <c r="AA47" s="150" t="e">
        <f>"Routed Too Long to U7 [" &amp;$B$2&amp;"]"</f>
        <v>#REF!</v>
      </c>
      <c r="AI47" s="144" t="s">
        <v>31</v>
      </c>
      <c r="AJ47" s="150" t="e">
        <f>"L8-2 Length Test (&lt;=" &amp; IF($B$2="mil",1,0.0254)*750&amp;$B$2&amp;")"</f>
        <v>#REF!</v>
      </c>
      <c r="AN47" s="153" t="e">
        <f>"L10-3 Length Test (&lt;=" &amp; IF($B$2="mil",1,0.0254)*150&amp;$B$2&amp;") or (L8-2+L10-3&lt;= "&amp;IF($B$2="mil",1,0.0254)*900&amp;$B$2&amp;")"</f>
        <v>#REF!</v>
      </c>
      <c r="AO47" s="150" t="e">
        <f>"Total Length to U7 (L0+L1+L2+S1+L5+Rs+L6+L7+L8-2+L10-3)Test ("&amp;IF($B$2="mil",1,0.0254)*500&amp;"-"&amp;IF($B$2="mil",1,0.0254)*7500&amp;IF($B$2="mil","mil","mm")&amp;")"</f>
        <v>#REF!</v>
      </c>
      <c r="AP47" s="150" t="e">
        <f>"Total Length to U7 (P1+L0+L1+L2+S1+L5+Rs+L6+L7+L8-2+L10-3) Test (&lt;="&amp;IF($B$2="mil",1,25.4)*8000&amp;IF($B$2="mil","mil","mm")&amp;")"</f>
        <v>#REF!</v>
      </c>
      <c r="AS47" s="162"/>
    </row>
    <row r="48" spans="11:45">
      <c r="S48" s="163" t="s">
        <v>19</v>
      </c>
      <c r="T48" s="166"/>
      <c r="U48" s="166"/>
      <c r="V48" s="390"/>
      <c r="W48" s="236" t="s">
        <v>286</v>
      </c>
      <c r="X48" s="172" t="e">
        <f>MIN('DDR2 Clocks - 4L'!$O$15:$O$16)</f>
        <v>#REF!</v>
      </c>
      <c r="Y48" s="391" t="e">
        <f>MAX('DDR2 Clocks - 4L'!$O$15:$O$16)</f>
        <v>#REF!</v>
      </c>
      <c r="Z48" s="174"/>
      <c r="AA48" s="172"/>
      <c r="AI48" s="163" t="s">
        <v>19</v>
      </c>
      <c r="AJ48" s="177"/>
      <c r="AN48" s="176"/>
      <c r="AO48" s="176"/>
      <c r="AP48" s="177"/>
      <c r="AS48" s="162"/>
    </row>
    <row r="49" spans="19:45">
      <c r="S49" s="155" t="s">
        <v>378</v>
      </c>
      <c r="T49" s="181"/>
      <c r="U49" s="181"/>
      <c r="V49" s="182"/>
      <c r="W49" s="182"/>
      <c r="X49" s="183"/>
      <c r="Y49" s="184"/>
      <c r="Z49" s="184"/>
      <c r="AA49" s="183"/>
      <c r="AI49" s="155" t="s">
        <v>232</v>
      </c>
      <c r="AJ49" s="349"/>
      <c r="AN49" s="183"/>
      <c r="AO49" s="183"/>
      <c r="AP49" s="232"/>
      <c r="AS49" s="162"/>
    </row>
    <row r="50" spans="19:45">
      <c r="S50" s="185" t="s">
        <v>26</v>
      </c>
      <c r="T50" s="305">
        <v>705.31</v>
      </c>
      <c r="U50" s="194">
        <v>28.4</v>
      </c>
      <c r="V50" s="190">
        <f>SUM($E26:$H26,$M26,$N26,$Q26,$R26,$T50,$U50)</f>
        <v>3453.7200000000003</v>
      </c>
      <c r="W50" s="190">
        <f>$V50+$C26</f>
        <v>4232.72</v>
      </c>
      <c r="X50" s="197" t="e">
        <f>MAX($X$42:$Y$42) + IF($B$2="mil",1,0.0254)*DDR2Specs!$E$6</f>
        <v>#REF!</v>
      </c>
      <c r="Y50" s="197" t="e">
        <f>MIN($X$42:$Y$42) + IF($B$2="mil",1,0.0254)*DDR2Specs!$F$6</f>
        <v>#REF!</v>
      </c>
      <c r="Z50" s="198" t="e">
        <f>IF($W50&lt;$X50,$X50-$W50,"Pass")</f>
        <v>#REF!</v>
      </c>
      <c r="AA50" s="199" t="e">
        <f>IF($W50&gt;$Y50,$W50-$Y50,"Pass")</f>
        <v>#REF!</v>
      </c>
      <c r="AI50" s="185" t="s">
        <v>26</v>
      </c>
      <c r="AJ50" s="348" t="e">
        <f>IF(T50&lt;=IF($B$2="mil",1,0.0254)*750,"Pass",IF($B$2="mil",1,0.0254)*750-T50)</f>
        <v>#REF!</v>
      </c>
      <c r="AN50" s="201" t="e">
        <f ca="1">CheckLength2(900,T50,U50,0)</f>
        <v>#NAME?</v>
      </c>
      <c r="AO50" s="201" t="e">
        <f>IF(AND(V50&gt;=IF($B$2="mil",1,0.0254)*500, $V50&lt;=IF($B$2="mil",1,0.0254)*7500),"Pass",IF($B$2="mil",1,0.0254)*7500-$V50)</f>
        <v>#REF!</v>
      </c>
      <c r="AP50" s="266" t="e">
        <f>IF(AND($W50&gt;=IF($B$2="mil",1,0.0254)*500, $W50&lt;=IF($B$2="mil",1,0.0254)*8000),"Pass",IF($B$2="mil",1,0.0254)*8000-$W50)</f>
        <v>#REF!</v>
      </c>
      <c r="AQ50" s="162" t="e">
        <f ca="1">IF(AND(Z50="Pass",AA50="Pass",AJ50="Pass",AN50="Pass",AO50="Pass",AP50="Pass"),"Pass","Fail")</f>
        <v>#REF!</v>
      </c>
      <c r="AS50" s="162"/>
    </row>
    <row r="51" spans="19:45">
      <c r="S51" s="185" t="s">
        <v>28</v>
      </c>
      <c r="T51" s="305">
        <v>668.9</v>
      </c>
      <c r="U51" s="194">
        <v>51.52</v>
      </c>
      <c r="V51" s="190">
        <f>SUM($E27:$H27,$M27,$N27,$Q27,$R27,$T51,$U51)</f>
        <v>3413.74</v>
      </c>
      <c r="W51" s="190">
        <f>$V51+$C27</f>
        <v>3680.9399999999996</v>
      </c>
      <c r="X51" s="197" t="e">
        <f>MAX($X$42:$Y$42) + IF($B$2="mil",1,0.0254)*DDR2Specs!$E$6</f>
        <v>#REF!</v>
      </c>
      <c r="Y51" s="197" t="e">
        <f>MIN($X$42:$Y$42) + IF($B$2="mil",1,0.0254)*DDR2Specs!$F$6</f>
        <v>#REF!</v>
      </c>
      <c r="Z51" s="198" t="e">
        <f>IF($W51&lt;$X51,$X51-$W51,"Pass")</f>
        <v>#REF!</v>
      </c>
      <c r="AA51" s="199" t="e">
        <f>IF($W51&gt;$Y51,$W51-$Y51,"Pass")</f>
        <v>#REF!</v>
      </c>
      <c r="AI51" s="185" t="s">
        <v>28</v>
      </c>
      <c r="AJ51" s="348" t="e">
        <f>IF(T51&lt;=IF($B$2="mil",1,0.0254)*750,"Pass",IF($B$2="mil",1,0.0254)*750-T51)</f>
        <v>#REF!</v>
      </c>
      <c r="AN51" s="201" t="e">
        <f ca="1">CheckLength2(900,T51,U51,0)</f>
        <v>#NAME?</v>
      </c>
      <c r="AO51" s="201" t="e">
        <f>IF(AND(V51&gt;=IF($B$2="mil",1,0.0254)*500, $V51&lt;=IF($B$2="mil",1,0.0254)*7500),"Pass",IF($B$2="mil",1,0.0254)*7500-$V51)</f>
        <v>#REF!</v>
      </c>
      <c r="AP51" s="266" t="e">
        <f>IF(AND($W51&gt;=IF($B$2="mil",1,0.0254)*500, $W51&lt;=IF($B$2="mil",1,0.0254)*8000),"Pass",IF($B$2="mil",1,0.0254)*8000-$W51)</f>
        <v>#REF!</v>
      </c>
      <c r="AQ51" s="162" t="e">
        <f ca="1">IF(AND(Z51="Pass",AA51="Pass",AJ51="Pass",AN51="Pass",AO51="Pass",AP51="Pass"),"Pass","Fail")</f>
        <v>#REF!</v>
      </c>
      <c r="AS51" s="162"/>
    </row>
    <row r="52" spans="19:45">
      <c r="S52" s="185" t="s">
        <v>30</v>
      </c>
      <c r="T52" s="305">
        <v>728.33</v>
      </c>
      <c r="U52" s="194">
        <v>76.06</v>
      </c>
      <c r="V52" s="190">
        <f>SUM($E28:$H28,$M28,$N28,$Q28,$R28,$T52,$U52)</f>
        <v>3439.0499999999997</v>
      </c>
      <c r="W52" s="190">
        <f>$V52+$C28</f>
        <v>3765.45</v>
      </c>
      <c r="X52" s="197" t="e">
        <f>MAX($X$42:$Y$42) + IF($B$2="mil",1,0.0254)*DDR2Specs!$E$6</f>
        <v>#REF!</v>
      </c>
      <c r="Y52" s="197" t="e">
        <f>MIN($X$42:$Y$42) + IF($B$2="mil",1,0.0254)*DDR2Specs!$F$6</f>
        <v>#REF!</v>
      </c>
      <c r="Z52" s="198" t="e">
        <f>IF($W52&lt;$X52,$X52-$W52,"Pass")</f>
        <v>#REF!</v>
      </c>
      <c r="AA52" s="199" t="e">
        <f>IF($W52&gt;$Y52,$W52-$Y52,"Pass")</f>
        <v>#REF!</v>
      </c>
      <c r="AI52" s="185" t="s">
        <v>30</v>
      </c>
      <c r="AJ52" s="348" t="e">
        <f>IF(T52&lt;=IF($B$2="mil",1,0.0254)*750,"Pass",IF($B$2="mil",1,0.0254)*750-T52)</f>
        <v>#REF!</v>
      </c>
      <c r="AN52" s="201" t="e">
        <f ca="1">CheckLength2(900,T52,U52,0)</f>
        <v>#NAME?</v>
      </c>
      <c r="AO52" s="201" t="e">
        <f>IF(AND(V52&gt;=IF($B$2="mil",1,0.0254)*500, $V52&lt;=IF($B$2="mil",1,0.0254)*7500),"Pass",IF($B$2="mil",1,0.0254)*7500-$V52)</f>
        <v>#REF!</v>
      </c>
      <c r="AP52" s="266" t="e">
        <f>IF(AND($W52&gt;=IF($B$2="mil",1,0.0254)*500, $W52&lt;=IF($B$2="mil",1,0.0254)*8000),"Pass",IF($B$2="mil",1,0.0254)*8000-$W52)</f>
        <v>#REF!</v>
      </c>
      <c r="AQ52" s="162" t="e">
        <f ca="1">IF(AND(Z52="Pass",AA52="Pass",AJ52="Pass",AN52="Pass",AO52="Pass",AP52="Pass"),"Pass","Fail")</f>
        <v>#REF!</v>
      </c>
      <c r="AS52" s="162"/>
    </row>
    <row r="53" spans="19:45" ht="33.75">
      <c r="S53" s="144" t="s">
        <v>31</v>
      </c>
      <c r="T53" s="144" t="e">
        <f>"Trace L9-2 ["&amp;$B$2&amp;"]"</f>
        <v>#REF!</v>
      </c>
      <c r="U53" s="144" t="e">
        <f>"Trace L10-4 ["&amp;$B$2&amp;"]"</f>
        <v>#REF!</v>
      </c>
      <c r="V53" s="218" t="s">
        <v>220</v>
      </c>
      <c r="W53" s="218" t="s">
        <v>223</v>
      </c>
      <c r="X53" s="151" t="e">
        <f>"Target Min Length to U4["&amp;$B$2&amp;"]"</f>
        <v>#REF!</v>
      </c>
      <c r="Y53" s="151" t="e">
        <f>"Target Max Length to U4 ["&amp;$B$2&amp;"]"</f>
        <v>#REF!</v>
      </c>
      <c r="Z53" s="152" t="e">
        <f>"Routed Too Short to U4 [" &amp;$B$2&amp;"]"</f>
        <v>#REF!</v>
      </c>
      <c r="AA53" s="151" t="e">
        <f>"Routed Too Long to U4 [" &amp;$B$2&amp;"]"</f>
        <v>#REF!</v>
      </c>
      <c r="AK53" s="218" t="s">
        <v>31</v>
      </c>
      <c r="AL53" s="150" t="e">
        <f>"L9-2 Length Test (&lt;=" &amp; IF($B$2="mil",1,0.0254)*1250&amp;$B$2&amp;")"</f>
        <v>#REF!</v>
      </c>
      <c r="AN53" s="153" t="e">
        <f>"L10-4 Length Test (&lt;=" &amp; IF($B$2="mil",1,0.0254)*150&amp;$B$2&amp;") or (L9-2+L10-4&lt;= "&amp;IF($B$2="mil",1,0.0254)*1400&amp;$B$2&amp;")"</f>
        <v>#REF!</v>
      </c>
      <c r="AO53" s="150" t="e">
        <f>"Total Length to U4 (L0+L1+L2+S1+L5+Rs+L6+L7+L8-2+L9-2+L10-4)Test ("&amp;IF($B$2="mil",1,0.0254)*500&amp;"-"&amp;IF($B$2="mil",1,0.0254)*7500&amp;IF($B$2="mil","mil","mm")&amp;")"</f>
        <v>#REF!</v>
      </c>
      <c r="AP53" s="150" t="e">
        <f>"Total Length to U4 (P1+L0+L1+L2+S1+L5+Rs+L6+L7+L8-2+L9-2+L10-4) Test (&lt;="&amp;IF($B$2="mil",1,25.4)*8000&amp;IF($B$2="mil","mil","mm")&amp;")"</f>
        <v>#REF!</v>
      </c>
      <c r="AS53" s="162"/>
    </row>
    <row r="54" spans="19:45">
      <c r="S54" s="163" t="s">
        <v>19</v>
      </c>
      <c r="T54" s="166"/>
      <c r="U54" s="166"/>
      <c r="V54" s="169"/>
      <c r="W54" s="383" t="s">
        <v>225</v>
      </c>
      <c r="X54" s="235" t="e">
        <f>MIN('DDR2 Clocks - 4L'!$O$17:$O$18)</f>
        <v>#REF!</v>
      </c>
      <c r="Y54" s="235" t="e">
        <f>MAX('DDR2 Clocks - 4L'!$O$17:$O$18)</f>
        <v>#REF!</v>
      </c>
      <c r="Z54" s="404"/>
      <c r="AA54" s="235"/>
      <c r="AK54" s="163" t="s">
        <v>19</v>
      </c>
      <c r="AL54" s="177"/>
      <c r="AN54" s="176"/>
      <c r="AO54" s="176"/>
      <c r="AP54" s="177"/>
    </row>
    <row r="55" spans="19:45">
      <c r="S55" s="155" t="s">
        <v>377</v>
      </c>
      <c r="T55" s="181"/>
      <c r="U55" s="181"/>
      <c r="V55" s="182"/>
      <c r="W55" s="182"/>
      <c r="X55" s="393"/>
      <c r="Y55" s="399"/>
      <c r="Z55" s="399"/>
      <c r="AA55" s="393"/>
      <c r="AK55" s="155" t="s">
        <v>232</v>
      </c>
      <c r="AL55" s="349"/>
      <c r="AN55" s="183"/>
      <c r="AO55" s="183"/>
      <c r="AP55" s="232"/>
    </row>
    <row r="56" spans="19:45">
      <c r="S56" s="185" t="s">
        <v>25</v>
      </c>
      <c r="T56" s="305">
        <v>566.49</v>
      </c>
      <c r="U56" s="194">
        <v>26.29</v>
      </c>
      <c r="V56" s="190">
        <f>SUM($E20:$H20,$M20,$N20,$Q20,$R20,$T44,T56,$U56)</f>
        <v>4018.1000000000004</v>
      </c>
      <c r="W56" s="190">
        <f>$V56+$C20</f>
        <v>4826</v>
      </c>
      <c r="X56" s="197" t="e">
        <f>MAX($X$54:$Y$54) + IF($B$2="mil",1,0.0254)*DDR2Specs!$E$6</f>
        <v>#REF!</v>
      </c>
      <c r="Y56" s="197" t="e">
        <f>MIN($X$54:$Y$54) + IF($B$2="mil",1,0.0254)*DDR2Specs!$F$6</f>
        <v>#REF!</v>
      </c>
      <c r="Z56" s="198" t="e">
        <f>IF($W56&lt;$X56,$X56-$W56,"Pass")</f>
        <v>#REF!</v>
      </c>
      <c r="AA56" s="199" t="e">
        <f>IF($W56&gt;$Y56,$W56-$Y56,"Pass")</f>
        <v>#REF!</v>
      </c>
      <c r="AK56" s="185" t="s">
        <v>25</v>
      </c>
      <c r="AL56" s="348" t="e">
        <f>IF(T56&lt;=IF($B$2="mil",1,0.0254)*1250,"Pass",IF($B$2="mil",1,0.0254)*1250-T56)</f>
        <v>#REF!</v>
      </c>
      <c r="AN56" s="201" t="e">
        <f ca="1">CheckLength2(1400,T56,U56,0)</f>
        <v>#NAME?</v>
      </c>
      <c r="AO56" s="201" t="e">
        <f>IF(AND(V56&gt;=IF($B$2="mil",1,0.0254)*500, $V56&lt;=IF($B$2="mil",1,0.0254)*7500),"Pass",IF($B$2="mil",1,0.0254)*7500-$V56)</f>
        <v>#REF!</v>
      </c>
      <c r="AP56" s="266" t="e">
        <f>IF(AND($W56&gt;=IF($B$2="mil",1,0.0254)*500, $W56&lt;=IF($B$2="mil",1,0.0254)*8000),"Pass",IF($B$2="mil",1,0.0254)*8000-$W56)</f>
        <v>#REF!</v>
      </c>
      <c r="AQ56" s="162" t="e">
        <f ca="1">IF(AND(Z56="Pass",AA56="Pass",AL56="Pass",AN56="Pass",AO56="Pass",AP56="Pass"),"Pass","Fail")</f>
        <v>#REF!</v>
      </c>
    </row>
    <row r="57" spans="19:45">
      <c r="S57" s="185" t="s">
        <v>27</v>
      </c>
      <c r="T57" s="305">
        <v>554.57000000000005</v>
      </c>
      <c r="U57" s="194">
        <v>31.52</v>
      </c>
      <c r="V57" s="190">
        <f>SUM($E21:$H21,$M21,$N21,$Q21,$R21,$T45,T57,$U57)</f>
        <v>3948.31</v>
      </c>
      <c r="W57" s="197">
        <f>$V57+$C21</f>
        <v>4317.3099999999995</v>
      </c>
      <c r="X57" s="197" t="e">
        <f>MAX($X$54:$Y$54) + IF($B$2="mil",1,0.0254)*DDR2Specs!$E$6</f>
        <v>#REF!</v>
      </c>
      <c r="Y57" s="197" t="e">
        <f>MIN($X$54:$Y$54) + IF($B$2="mil",1,0.0254)*DDR2Specs!$F$6</f>
        <v>#REF!</v>
      </c>
      <c r="Z57" s="198" t="e">
        <f>IF($W57&lt;$X57,$X57-$W57,"Pass")</f>
        <v>#REF!</v>
      </c>
      <c r="AA57" s="199" t="e">
        <f>IF($W57&gt;$Y57,$W57-$Y57,"Pass")</f>
        <v>#REF!</v>
      </c>
      <c r="AK57" s="185" t="s">
        <v>27</v>
      </c>
      <c r="AL57" s="348" t="e">
        <f>IF(T57&lt;=IF($B$2="mil",1,0.0254)*1250,"Pass",IF($B$2="mil",1,0.0254)*1250-T57)</f>
        <v>#REF!</v>
      </c>
      <c r="AN57" s="201" t="e">
        <f ca="1">CheckLength2(1400,T57,U57,0)</f>
        <v>#NAME?</v>
      </c>
      <c r="AO57" s="201" t="e">
        <f>IF(AND(V57&gt;=IF($B$2="mil",1,0.0254)*500, $V57&lt;=IF($B$2="mil",1,0.0254)*7500),"Pass",IF($B$2="mil",1,0.0254)*7500-$V57)</f>
        <v>#REF!</v>
      </c>
      <c r="AP57" s="266" t="e">
        <f>IF(AND($W57&gt;=IF($B$2="mil",1,0.0254)*500, $W57&lt;=IF($B$2="mil",1,0.0254)*8000),"Pass",IF($B$2="mil",1,0.0254)*8000-$W57)</f>
        <v>#REF!</v>
      </c>
      <c r="AQ57" s="162" t="e">
        <f ca="1">IF(AND(Z57="Pass",AA57="Pass",AL57="Pass",AN57="Pass",AO57="Pass",AP57="Pass"),"Pass","Fail")</f>
        <v>#REF!</v>
      </c>
    </row>
    <row r="58" spans="19:45">
      <c r="S58" s="185" t="s">
        <v>29</v>
      </c>
      <c r="T58" s="305">
        <v>496.08</v>
      </c>
      <c r="U58" s="194">
        <v>76.06</v>
      </c>
      <c r="V58" s="190">
        <f>SUM($E22:$H22,$M22,$N22,$Q22,$R22,$T46,T58,$U58)</f>
        <v>3935.1299999999997</v>
      </c>
      <c r="W58" s="197">
        <f>$V58+$C22</f>
        <v>4197.33</v>
      </c>
      <c r="X58" s="197" t="e">
        <f>MAX($X$54:$Y$54) + IF($B$2="mil",1,0.0254)*DDR2Specs!$E$6</f>
        <v>#REF!</v>
      </c>
      <c r="Y58" s="197" t="e">
        <f>MIN($X$54:$Y$54) + IF($B$2="mil",1,0.0254)*DDR2Specs!$F$6</f>
        <v>#REF!</v>
      </c>
      <c r="Z58" s="198" t="e">
        <f>IF($W58&lt;$X58,$X58-$W58,"Pass")</f>
        <v>#REF!</v>
      </c>
      <c r="AA58" s="199" t="e">
        <f>IF($W58&gt;$Y58,$W58-$Y58,"Pass")</f>
        <v>#REF!</v>
      </c>
      <c r="AK58" s="185" t="s">
        <v>29</v>
      </c>
      <c r="AL58" s="348" t="e">
        <f>IF(T58&lt;=IF($B$2="mil",1,0.0254)*1250,"Pass",IF($B$2="mil",1,0.0254)*1250-T58)</f>
        <v>#REF!</v>
      </c>
      <c r="AN58" s="201" t="e">
        <f ca="1">CheckLength2(1400,T58,U58,0)</f>
        <v>#NAME?</v>
      </c>
      <c r="AO58" s="201" t="e">
        <f>IF(AND(V58&gt;=IF($B$2="mil",1,0.0254)*500, $V58&lt;=IF($B$2="mil",1,0.0254)*7500),"Pass",IF($B$2="mil",1,0.0254)*7500-$V58)</f>
        <v>#REF!</v>
      </c>
      <c r="AP58" s="266" t="e">
        <f>IF(AND($W58&gt;=IF($B$2="mil",1,0.0254)*500, $W58&lt;=IF($B$2="mil",1,0.0254)*8000),"Pass",IF($B$2="mil",1,0.0254)*8000-$W58)</f>
        <v>#REF!</v>
      </c>
      <c r="AQ58" s="162" t="e">
        <f ca="1">IF(AND(Z58="Pass",AA58="Pass",AL58="Pass",AN58="Pass",AO58="Pass",AP58="Pass"),"Pass","Fail")</f>
        <v>#REF!</v>
      </c>
    </row>
    <row r="59" spans="19:45" ht="33.75">
      <c r="S59" s="144" t="s">
        <v>31</v>
      </c>
      <c r="T59" s="144" t="e">
        <f>"Trace L9-2 ["&amp;$B$2&amp;"]"</f>
        <v>#REF!</v>
      </c>
      <c r="U59" s="144" t="e">
        <f>"Trace L10-4 ["&amp;$B$2&amp;"]"</f>
        <v>#REF!</v>
      </c>
      <c r="V59" s="144" t="s">
        <v>385</v>
      </c>
      <c r="W59" s="144" t="s">
        <v>386</v>
      </c>
      <c r="X59" s="150" t="e">
        <f>"Target Min Length to U8["&amp;$B$2&amp;"]"</f>
        <v>#REF!</v>
      </c>
      <c r="Y59" s="150" t="e">
        <f>"Target Max Length to U8 ["&amp;$B$2&amp;"]"</f>
        <v>#REF!</v>
      </c>
      <c r="Z59" s="403" t="e">
        <f>"Routed Too Short to U8 [" &amp;$B$2&amp;"]"</f>
        <v>#REF!</v>
      </c>
      <c r="AA59" s="150" t="e">
        <f>"Routed Too Long to U8 [" &amp;$B$2&amp;"]"</f>
        <v>#REF!</v>
      </c>
      <c r="AK59" s="144" t="s">
        <v>31</v>
      </c>
      <c r="AL59" s="150" t="e">
        <f>"L9-2 Length Test (&lt;=" &amp; IF($B$2="mil",1,0.0254)*1250&amp;$B$2&amp;")"</f>
        <v>#REF!</v>
      </c>
      <c r="AN59" s="153" t="e">
        <f>"L10-4 Length Test (&lt;=" &amp; IF($B$2="mil",1,0.0254)*150&amp;$B$2&amp;") or (L9-2+L10-4&lt;= "&amp;IF($B$2="mil",1,0.0254)*1400&amp;$B$2&amp;")"</f>
        <v>#REF!</v>
      </c>
      <c r="AO59" s="150" t="e">
        <f>"Total Length to U8 (L0+L1+L2+S1+L5+Rs+L6+L7+L8-2+L9-2+L10-4)Test ("&amp;IF($B$2="mil",1,0.0254)*500&amp;"-"&amp;IF($B$2="mil",1,0.0254)*7500&amp;IF($B$2="mil","mil","mm")&amp;")"</f>
        <v>#REF!</v>
      </c>
      <c r="AP59" s="150" t="e">
        <f>"Total Length to U8 (P1+L0+L1+L2+S1+L5+Rs+L6+L7+L8-2+L9-2+L10-4) Test (&lt;="&amp;IF($B$2="mil",1,25.4)*8000&amp;IF($B$2="mil","mil","mm")&amp;")"</f>
        <v>#REF!</v>
      </c>
      <c r="AS59" s="162"/>
    </row>
    <row r="60" spans="19:45">
      <c r="S60" s="163" t="s">
        <v>19</v>
      </c>
      <c r="T60" s="166"/>
      <c r="U60" s="166"/>
      <c r="V60" s="390"/>
      <c r="W60" s="236" t="s">
        <v>287</v>
      </c>
      <c r="X60" s="172" t="e">
        <f>MIN('DDR2 Clocks - 4L'!$O$19:$O$20)</f>
        <v>#REF!</v>
      </c>
      <c r="Y60" s="391" t="e">
        <f>MAX('DDR2 Clocks - 4L'!$O$19:$O$20)</f>
        <v>#REF!</v>
      </c>
      <c r="Z60" s="174"/>
      <c r="AA60" s="172"/>
      <c r="AK60" s="163" t="s">
        <v>19</v>
      </c>
      <c r="AL60" s="406"/>
      <c r="AN60" s="405"/>
      <c r="AO60" s="405"/>
      <c r="AP60" s="406"/>
    </row>
    <row r="61" spans="19:45">
      <c r="S61" s="155" t="s">
        <v>378</v>
      </c>
      <c r="T61" s="181"/>
      <c r="U61" s="181"/>
      <c r="V61" s="182"/>
      <c r="W61" s="183"/>
      <c r="X61" s="183"/>
      <c r="Y61" s="184"/>
      <c r="Z61" s="184"/>
      <c r="AA61" s="183"/>
      <c r="AK61" s="155" t="s">
        <v>232</v>
      </c>
      <c r="AL61" s="349"/>
      <c r="AN61" s="183"/>
      <c r="AO61" s="183"/>
      <c r="AP61" s="232"/>
    </row>
    <row r="62" spans="19:45">
      <c r="S62" s="185" t="s">
        <v>26</v>
      </c>
      <c r="T62" s="305">
        <v>566.49</v>
      </c>
      <c r="U62" s="194">
        <v>26.29</v>
      </c>
      <c r="V62" s="190">
        <f>SUM($E26:$H26,$M26,$N26,$Q26,$R26,$T50,T62,$U62)</f>
        <v>4018.1000000000004</v>
      </c>
      <c r="W62" s="190">
        <f>$V62+$C26</f>
        <v>4797.1000000000004</v>
      </c>
      <c r="X62" s="197" t="e">
        <f>MAX($X$54:$Y$54) + IF($B$2="mil",1,0.0254)*DDR2Specs!$E$6</f>
        <v>#REF!</v>
      </c>
      <c r="Y62" s="197" t="e">
        <f>MIN($X$54:$Y$54) + IF($B$2="mil",1,0.0254)*DDR2Specs!$F$6</f>
        <v>#REF!</v>
      </c>
      <c r="Z62" s="198" t="e">
        <f>IF($W62&lt;$X62,$X62-$W62,"Pass")</f>
        <v>#REF!</v>
      </c>
      <c r="AA62" s="199" t="e">
        <f>IF($W62&gt;$Y62,$W62-$Y62,"Pass")</f>
        <v>#REF!</v>
      </c>
      <c r="AK62" s="185" t="s">
        <v>26</v>
      </c>
      <c r="AL62" s="348" t="e">
        <f>IF(T62&lt;=IF($B$2="mil",1,0.0254)*1250,"Pass",IF($B$2="mil",1,0.0254)*1250-T62)</f>
        <v>#REF!</v>
      </c>
      <c r="AN62" s="201" t="e">
        <f ca="1">CheckLength2(1400,T62,U62,0)</f>
        <v>#NAME?</v>
      </c>
      <c r="AO62" s="201" t="e">
        <f>IF(AND(V62&gt;=IF($B$2="mil",1,0.0254)*500, $V62&lt;=IF($B$2="mil",1,0.0254)*7500),"Pass",IF($B$2="mil",1,0.0254)*7500-$V62)</f>
        <v>#REF!</v>
      </c>
      <c r="AP62" s="266" t="e">
        <f>IF(AND($W62&gt;=IF($B$2="mil",1,0.0254)*500, $W62&lt;=IF($B$2="mil",1,0.0254)*8000),"Pass",IF($B$2="mil",1,0.0254)*8000-$W62)</f>
        <v>#REF!</v>
      </c>
      <c r="AQ62" s="162" t="e">
        <f ca="1">IF(AND(Z62="Pass",AA62="Pass",AL62="Pass",AN62="Pass",AO62="Pass",AP62="Pass"),"Pass","Fail")</f>
        <v>#REF!</v>
      </c>
    </row>
    <row r="63" spans="19:45">
      <c r="S63" s="185" t="s">
        <v>28</v>
      </c>
      <c r="T63" s="305">
        <v>554.57000000000005</v>
      </c>
      <c r="U63" s="194">
        <v>31.52</v>
      </c>
      <c r="V63" s="190">
        <f>SUM($E27:$H27,$M27,$N27,$Q27,$R27,$T51,T63,$U63)</f>
        <v>3948.31</v>
      </c>
      <c r="W63" s="190">
        <f>$V63+$C27</f>
        <v>4215.51</v>
      </c>
      <c r="X63" s="197" t="e">
        <f>MAX($X$54:$Y$54) + IF($B$2="mil",1,0.0254)*DDR2Specs!$E$6</f>
        <v>#REF!</v>
      </c>
      <c r="Y63" s="197" t="e">
        <f>MIN($X$54:$Y$54) + IF($B$2="mil",1,0.0254)*DDR2Specs!$F$6</f>
        <v>#REF!</v>
      </c>
      <c r="Z63" s="198" t="e">
        <f>IF($W63&lt;$X63,$X63-$W63,"Pass")</f>
        <v>#REF!</v>
      </c>
      <c r="AA63" s="199" t="e">
        <f>IF($W63&gt;$Y63,$W63-$Y63,"Pass")</f>
        <v>#REF!</v>
      </c>
      <c r="AK63" s="185" t="s">
        <v>28</v>
      </c>
      <c r="AL63" s="348" t="e">
        <f>IF(T63&lt;=IF($B$2="mil",1,0.0254)*1250,"Pass",IF($B$2="mil",1,0.0254)*1250-T63)</f>
        <v>#REF!</v>
      </c>
      <c r="AN63" s="201" t="e">
        <f ca="1">CheckLength2(1400,T63,U63,0)</f>
        <v>#NAME?</v>
      </c>
      <c r="AO63" s="201" t="e">
        <f>IF(AND(V63&gt;=IF($B$2="mil",1,0.0254)*500, $V63&lt;=IF($B$2="mil",1,0.0254)*7500),"Pass",IF($B$2="mil",1,0.0254)*7500-$V63)</f>
        <v>#REF!</v>
      </c>
      <c r="AP63" s="266" t="e">
        <f>IF(AND($W63&gt;=IF($B$2="mil",1,0.0254)*500, $W63&lt;=IF($B$2="mil",1,0.0254)*8000),"Pass",IF($B$2="mil",1,0.0254)*8000-$W63)</f>
        <v>#REF!</v>
      </c>
      <c r="AQ63" s="162" t="e">
        <f ca="1">IF(AND(Z63="Pass",AA63="Pass",AL63="Pass",AN63="Pass",AO63="Pass",AP63="Pass"),"Pass","Fail")</f>
        <v>#REF!</v>
      </c>
    </row>
    <row r="64" spans="19:45">
      <c r="S64" s="185" t="s">
        <v>30</v>
      </c>
      <c r="T64" s="305">
        <v>496.08</v>
      </c>
      <c r="U64" s="194">
        <v>76.06</v>
      </c>
      <c r="V64" s="190">
        <f>SUM($E28:$H28,$M28,$N28,$Q28,$R28,$T52,T64,$U64)</f>
        <v>3935.1299999999997</v>
      </c>
      <c r="W64" s="190">
        <f>$V64+$C28</f>
        <v>4261.53</v>
      </c>
      <c r="X64" s="197" t="e">
        <f>MAX($X$54:$Y$54) + IF($B$2="mil",1,0.0254)*DDR2Specs!$E$6</f>
        <v>#REF!</v>
      </c>
      <c r="Y64" s="197" t="e">
        <f>MIN($X$54:$Y$54) + IF($B$2="mil",1,0.0254)*DDR2Specs!$F$6</f>
        <v>#REF!</v>
      </c>
      <c r="Z64" s="198" t="e">
        <f>IF($W64&lt;$X64,$X64-$W64,"Pass")</f>
        <v>#REF!</v>
      </c>
      <c r="AA64" s="199" t="e">
        <f>IF($W64&gt;$Y64,$W64-$Y64,"Pass")</f>
        <v>#REF!</v>
      </c>
      <c r="AK64" s="185" t="s">
        <v>30</v>
      </c>
      <c r="AL64" s="348" t="e">
        <f>IF(T64&lt;=IF($B$2="mil",1,0.0254)*1250,"Pass",IF($B$2="mil",1,0.0254)*1250-T64)</f>
        <v>#REF!</v>
      </c>
      <c r="AN64" s="201" t="e">
        <f ca="1">CheckLength2(1400,T64,U64,0)</f>
        <v>#NAME?</v>
      </c>
      <c r="AO64" s="201" t="e">
        <f>IF(AND(V64&gt;=IF($B$2="mil",1,0.0254)*500, $V64&lt;=IF($B$2="mil",1,0.0254)*7500),"Pass",IF($B$2="mil",1,0.0254)*7500-$V64)</f>
        <v>#REF!</v>
      </c>
      <c r="AP64" s="266" t="e">
        <f>IF(AND($W64&gt;=IF($B$2="mil",1,0.0254)*500, $W64&lt;=IF($B$2="mil",1,0.0254)*8000),"Pass",IF($B$2="mil",1,0.0254)*8000-$W64)</f>
        <v>#REF!</v>
      </c>
      <c r="AQ64" s="162" t="e">
        <f ca="1">IF(AND(Z64="Pass",AA64="Pass",AL64="Pass",AN64="Pass",AO64="Pass",AP64="Pass"),"Pass","Fail")</f>
        <v>#REF!</v>
      </c>
    </row>
  </sheetData>
  <sheetProtection password="D843" sheet="1" objects="1" scenarios="1"/>
  <protectedRanges>
    <protectedRange sqref="T44:U46 T50:U52 T62:U64 T56:U58" name="DDR2_CONTROL_4L_2"/>
    <protectedRange sqref="L10:L11 L7:L8 L13:L14 D7:I8 D10:I11 D13:I14 T44 T28:U28 D26:U27 U32:U34 U38:U40 D28:S29 D20:U22" name="DDR2Control"/>
  </protectedRanges>
  <mergeCells count="2">
    <mergeCell ref="A1:E1"/>
    <mergeCell ref="F1:G1"/>
  </mergeCells>
  <phoneticPr fontId="4" type="noConversion"/>
  <conditionalFormatting sqref="AL62:AL64 Z62:AA64 AL56:AL58 Z56:AA58 AJ50:AJ52 Z50:AA52 AJ44:AJ46 Z44:AA46 Z20:AA22 Z38:AA40 Z32:AA34 Z26:AA28 V10:AA11 S7:T8 S10:T11 S13:T14 V7:AA8 AC26:AL29 AN38:AP40 AN62:AP64 AN56:AP58 AN50:AP52 AN44:AP46 AM26:AP28 AN32:AP34 AC20:AP22 V13:AA14">
    <cfRule type="cellIs" priority="1" stopIfTrue="1" operator="equal">
      <formula>"Pass"</formula>
    </cfRule>
    <cfRule type="cellIs" dxfId="64" priority="2" stopIfTrue="1" operator="notEqual">
      <formula>"Pass"</formula>
    </cfRule>
  </conditionalFormatting>
  <conditionalFormatting sqref="AB26:AB29 U7:U8 U13:U14 U10:U11 AB20:AB22">
    <cfRule type="cellIs" dxfId="63" priority="3" stopIfTrue="1" operator="equal">
      <formula>"Pass"</formula>
    </cfRule>
    <cfRule type="cellIs" dxfId="62" priority="4" stopIfTrue="1" operator="notEqual">
      <formula>"Pass"</formula>
    </cfRule>
  </conditionalFormatting>
  <conditionalFormatting sqref="A1 F1:AB1">
    <cfRule type="expression" dxfId="61" priority="5" stopIfTrue="1">
      <formula>$F$1 = "Fail"</formula>
    </cfRule>
    <cfRule type="expression" dxfId="60" priority="6" stopIfTrue="1">
      <formula>$F$1 = "Pass"</formula>
    </cfRule>
  </conditionalFormatting>
  <pageMargins left="0.75" right="0.75" top="1" bottom="1" header="0.5" footer="0.5"/>
  <pageSetup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AU59"/>
  <sheetViews>
    <sheetView zoomScale="75" workbookViewId="0">
      <selection activeCell="AS27" sqref="AS27"/>
    </sheetView>
  </sheetViews>
  <sheetFormatPr defaultRowHeight="12.75"/>
  <cols>
    <col min="12" max="12" width="11.85546875" customWidth="1"/>
    <col min="13" max="13" width="13" customWidth="1"/>
    <col min="18" max="18" width="18.42578125" customWidth="1"/>
    <col min="19" max="19" width="18" customWidth="1"/>
    <col min="20" max="20" width="18.140625" customWidth="1"/>
    <col min="21" max="21" width="11" customWidth="1"/>
    <col min="22" max="22" width="12.85546875" customWidth="1"/>
    <col min="23" max="23" width="15.5703125" customWidth="1"/>
    <col min="24" max="24" width="19.28515625" customWidth="1"/>
    <col min="25" max="25" width="17.5703125" customWidth="1"/>
    <col min="26" max="26" width="18.42578125" customWidth="1"/>
    <col min="27" max="27" width="11.28515625" customWidth="1"/>
    <col min="28" max="28" width="11" customWidth="1"/>
    <col min="31" max="31" width="16.42578125" customWidth="1"/>
    <col min="32" max="32" width="18.28515625" customWidth="1"/>
    <col min="33" max="33" width="22.42578125" customWidth="1"/>
    <col min="34" max="34" width="19.42578125" customWidth="1"/>
    <col min="35" max="35" width="19" customWidth="1"/>
    <col min="36" max="36" width="18.140625" customWidth="1"/>
    <col min="37" max="37" width="18.85546875" customWidth="1"/>
    <col min="38" max="38" width="20.85546875" customWidth="1"/>
    <col min="39" max="40" width="25.85546875" customWidth="1"/>
    <col min="41" max="41" width="25.42578125" customWidth="1"/>
    <col min="42" max="42" width="27.42578125" customWidth="1"/>
    <col min="43" max="43" width="20.7109375" customWidth="1"/>
    <col min="44" max="44" width="24.42578125" customWidth="1"/>
  </cols>
  <sheetData>
    <row r="1" spans="1:46" s="3" customFormat="1" ht="26.25">
      <c r="A1" s="1322" t="s">
        <v>20</v>
      </c>
      <c r="B1" s="1322"/>
      <c r="C1" s="1322"/>
      <c r="D1" s="1322"/>
      <c r="E1" s="1322"/>
      <c r="F1" s="1323" t="e">
        <f ca="1">IF(AND(AT7="Pass", AT20="Pass", AT27="Pass", AT34="Pass", AT41="Pass"),"Pass","Fail")</f>
        <v>#NAME?</v>
      </c>
      <c r="G1" s="1323"/>
    </row>
    <row r="2" spans="1:46" s="97" customFormat="1">
      <c r="A2" s="473" t="s">
        <v>10</v>
      </c>
      <c r="B2" s="474" t="s">
        <v>193</v>
      </c>
      <c r="C2" s="98"/>
      <c r="D2" s="98"/>
      <c r="E2" s="98"/>
      <c r="F2" s="143"/>
      <c r="G2" s="143"/>
      <c r="H2" s="99"/>
      <c r="I2" s="99"/>
      <c r="J2" s="99"/>
      <c r="K2" s="99"/>
      <c r="L2" s="99"/>
      <c r="M2" s="99"/>
      <c r="N2" s="99"/>
      <c r="O2" s="99"/>
      <c r="P2" s="99"/>
      <c r="Q2" s="99"/>
      <c r="R2" s="99"/>
      <c r="S2" s="99"/>
      <c r="T2" s="99"/>
      <c r="U2" s="99"/>
      <c r="V2" s="99"/>
      <c r="W2" s="99"/>
      <c r="X2" s="99"/>
      <c r="Y2" s="99"/>
      <c r="Z2" s="99"/>
      <c r="AA2" s="265"/>
    </row>
    <row r="3" spans="1:46" s="154" customFormat="1" ht="73.5" customHeight="1">
      <c r="A3" s="144" t="s">
        <v>457</v>
      </c>
      <c r="B3" s="144" t="s">
        <v>420</v>
      </c>
      <c r="C3" s="219" t="s">
        <v>22</v>
      </c>
      <c r="D3" s="151"/>
      <c r="E3" s="148" t="s">
        <v>530</v>
      </c>
      <c r="F3" s="148" t="s">
        <v>531</v>
      </c>
      <c r="G3" s="148" t="s">
        <v>532</v>
      </c>
      <c r="H3" s="148" t="s">
        <v>533</v>
      </c>
      <c r="I3" s="151" t="s">
        <v>534</v>
      </c>
      <c r="J3" s="151" t="s">
        <v>535</v>
      </c>
      <c r="K3" s="150"/>
      <c r="L3" s="149" t="s">
        <v>536</v>
      </c>
      <c r="M3" s="150" t="s">
        <v>537</v>
      </c>
      <c r="N3" s="151"/>
      <c r="O3" s="152" t="s">
        <v>23</v>
      </c>
      <c r="P3" s="151" t="s">
        <v>538</v>
      </c>
      <c r="Q3" s="150" t="s">
        <v>539</v>
      </c>
      <c r="R3" s="152" t="s">
        <v>540</v>
      </c>
      <c r="S3" s="151" t="s">
        <v>541</v>
      </c>
      <c r="T3" s="153" t="s">
        <v>542</v>
      </c>
      <c r="U3" s="153" t="s">
        <v>543</v>
      </c>
      <c r="V3" s="153" t="s">
        <v>544</v>
      </c>
      <c r="W3" s="150" t="s">
        <v>545</v>
      </c>
      <c r="X3" s="150" t="s">
        <v>546</v>
      </c>
      <c r="Y3" s="150" t="s">
        <v>547</v>
      </c>
      <c r="Z3" s="150" t="s">
        <v>548</v>
      </c>
    </row>
    <row r="4" spans="1:46" s="162" customFormat="1" ht="12.75" customHeight="1">
      <c r="A4" s="460" t="s">
        <v>211</v>
      </c>
      <c r="B4" s="155"/>
      <c r="C4" s="155"/>
      <c r="D4" s="156"/>
      <c r="E4" s="156"/>
      <c r="F4" s="156"/>
      <c r="G4" s="156"/>
      <c r="H4" s="156"/>
      <c r="I4" s="156"/>
      <c r="J4" s="156"/>
      <c r="K4" s="156"/>
      <c r="L4" s="156"/>
      <c r="M4" s="157"/>
      <c r="N4" s="156"/>
      <c r="O4" s="156"/>
      <c r="P4" s="156"/>
      <c r="Q4" s="156"/>
      <c r="R4" s="156"/>
      <c r="S4" s="156"/>
      <c r="T4" s="156"/>
      <c r="U4" s="156"/>
      <c r="V4" s="156"/>
      <c r="W4" s="156"/>
      <c r="X4" s="156"/>
      <c r="Y4" s="156"/>
      <c r="Z4" s="271"/>
      <c r="AA4" s="159"/>
      <c r="AB4" s="161"/>
    </row>
    <row r="5" spans="1:46" s="162" customFormat="1" ht="11.25">
      <c r="A5" s="163" t="s">
        <v>18</v>
      </c>
      <c r="B5" s="164"/>
      <c r="C5" s="164"/>
      <c r="D5" s="165"/>
      <c r="E5" s="166"/>
      <c r="F5" s="166"/>
      <c r="G5" s="166"/>
      <c r="H5" s="166"/>
      <c r="I5" s="167"/>
      <c r="J5" s="166"/>
      <c r="K5" s="167"/>
      <c r="L5" s="166"/>
      <c r="M5" s="168"/>
      <c r="N5" s="165"/>
      <c r="O5" s="579"/>
      <c r="P5" s="536">
        <v>2567.4899999999998</v>
      </c>
      <c r="Q5" s="536">
        <v>2573.4570078740157</v>
      </c>
      <c r="R5" s="168"/>
      <c r="S5" s="168"/>
      <c r="T5" s="168"/>
      <c r="U5" s="537"/>
      <c r="V5" s="538"/>
      <c r="W5" s="538"/>
      <c r="X5" s="538"/>
      <c r="Y5" s="538"/>
      <c r="Z5" s="539"/>
      <c r="AA5" s="24"/>
      <c r="AB5" s="161"/>
    </row>
    <row r="6" spans="1:46" s="162" customFormat="1" ht="11.25">
      <c r="A6" s="460" t="s">
        <v>212</v>
      </c>
      <c r="B6" s="155"/>
      <c r="C6" s="155"/>
      <c r="D6" s="179"/>
      <c r="E6" s="180"/>
      <c r="F6" s="180"/>
      <c r="G6" s="180"/>
      <c r="H6" s="180"/>
      <c r="I6" s="181"/>
      <c r="J6" s="181"/>
      <c r="K6" s="180"/>
      <c r="L6" s="180"/>
      <c r="M6" s="180"/>
      <c r="N6" s="179"/>
      <c r="O6" s="179"/>
      <c r="P6" s="179"/>
      <c r="Q6" s="531"/>
      <c r="R6" s="179"/>
      <c r="S6" s="179"/>
      <c r="T6" s="179"/>
      <c r="U6" s="179"/>
      <c r="V6" s="179"/>
      <c r="W6" s="179"/>
      <c r="X6" s="179"/>
      <c r="Y6" s="179"/>
      <c r="Z6" s="533"/>
      <c r="AA6" s="6"/>
    </row>
    <row r="7" spans="1:46" s="162" customFormat="1">
      <c r="A7" s="559" t="s">
        <v>32</v>
      </c>
      <c r="B7" s="646" t="s">
        <v>340</v>
      </c>
      <c r="C7" s="635">
        <v>468.42519685039372</v>
      </c>
      <c r="D7" s="226"/>
      <c r="E7" s="621">
        <v>22.63</v>
      </c>
      <c r="F7" s="275">
        <v>0</v>
      </c>
      <c r="G7" s="622">
        <v>1406.07</v>
      </c>
      <c r="H7" s="622">
        <v>135.41999999999999</v>
      </c>
      <c r="I7" s="193">
        <v>0</v>
      </c>
      <c r="J7" s="623">
        <v>41.81</v>
      </c>
      <c r="K7" s="357"/>
      <c r="L7" s="545">
        <f xml:space="preserve"> E7+F7+G7+H7</f>
        <v>1564.1200000000001</v>
      </c>
      <c r="M7" s="534">
        <f>IF($B$2="mil",1,0.0254)*C7+ L7</f>
        <v>2032.5451968503939</v>
      </c>
      <c r="N7" s="523"/>
      <c r="O7" s="534">
        <f>M7-($P$5-1250)</f>
        <v>715.05519685039417</v>
      </c>
      <c r="P7" s="524">
        <v>1573.4570078740157</v>
      </c>
      <c r="Q7" s="524">
        <v>2567.4899999999998</v>
      </c>
      <c r="R7" s="546" t="str">
        <f>IF($M7&lt;$P7,$P7-$M7,"Pass")</f>
        <v>Pass</v>
      </c>
      <c r="S7" s="547" t="str">
        <f>IF($M7&gt;$Q7,$M7-$Q7,"Pass")</f>
        <v>Pass</v>
      </c>
      <c r="T7" s="527" t="str">
        <f>IF($E7&lt;=IF($B$2="mil",1,0.0254)*50,"Pass",IF($B$2="mil",1,0.0254)*50-$E7)</f>
        <v>Pass</v>
      </c>
      <c r="U7" s="528" t="str">
        <f>IF($F7&lt;=IF($B$2="mil",1,0.0254)*500,"Pass",IF($B$2="mil",1,0.0254)*500-$F7)</f>
        <v>Pass</v>
      </c>
      <c r="V7" s="528" t="str">
        <f>IF($H7&lt;=IF($B$2="mil",1,0.0254)*200,"Pass",IF($B$2="mil",1,0.0254)*200-$H7)</f>
        <v>Pass</v>
      </c>
      <c r="W7" s="528" t="str">
        <f>IF(AND($L7&gt;=IF($B$2="mil",1,0.0254)*500, $L7&lt;=IF($B$2="mil",1,0.0254)*3500),"Pass",IF($B$2="mil",1,0.0254)*3500-$L7)</f>
        <v>Pass</v>
      </c>
      <c r="X7" s="528" t="str">
        <f>IF(AND($M7&gt;=IF($B$2="mil",1,0.0254)*500, $M7&lt;=IF($B$2="mil",1,0.0254)*4000),"Pass",IF($B$2="mil",1,0.0254)*4000-$M7)</f>
        <v>Pass</v>
      </c>
      <c r="Y7" s="528" t="str">
        <f>IF((I7&lt;=IF($B$2="mil",1,0.0254)*1300),"Pass",IF($B$2="mil",1,0.0254)*1300-I7)</f>
        <v>Pass</v>
      </c>
      <c r="Z7" s="529" t="e">
        <f ca="1">CheckLength2(IF($B$2="mil",1,0.0254)*1500,I7,J7,0)</f>
        <v>#NAME?</v>
      </c>
      <c r="AA7" s="6"/>
      <c r="AS7" s="162" t="e">
        <f ca="1">IF(AND(T7="Pass",Y7="Pass",X7="Pass",W7="Pass",V7="Pass",U7="Pass",R7="Pass",S7="Pass",Z7="Pass"),"Pass","Fail")</f>
        <v>#NAME?</v>
      </c>
      <c r="AT7" s="162" t="e">
        <f ca="1">IF(AND(AS7="Pass", AS8="Pass", AS10="Pass", AS11="Pass", AS13="Pass", AS14="Pass"),"Pass","Fail")</f>
        <v>#NAME?</v>
      </c>
    </row>
    <row r="8" spans="1:46" s="162" customFormat="1">
      <c r="A8" s="559" t="s">
        <v>34</v>
      </c>
      <c r="B8" s="646" t="s">
        <v>338</v>
      </c>
      <c r="C8" s="635">
        <v>270.6692913385827</v>
      </c>
      <c r="D8" s="227"/>
      <c r="E8" s="621">
        <v>22.63</v>
      </c>
      <c r="F8" s="275">
        <v>0</v>
      </c>
      <c r="G8" s="622">
        <v>1215.79</v>
      </c>
      <c r="H8" s="622">
        <v>126.24</v>
      </c>
      <c r="I8" s="193">
        <v>0</v>
      </c>
      <c r="J8" s="623">
        <v>32.5</v>
      </c>
      <c r="K8" s="357"/>
      <c r="L8" s="545">
        <f xml:space="preserve"> E8+F8+G8+H8</f>
        <v>1364.66</v>
      </c>
      <c r="M8" s="534">
        <f>IF($B$2="mil",1,0.0254)*C8+ L8</f>
        <v>1635.3292913385828</v>
      </c>
      <c r="N8" s="530"/>
      <c r="O8" s="534">
        <f>M8-($P$5-1250)</f>
        <v>317.83929133858305</v>
      </c>
      <c r="P8" s="524">
        <v>1573.4570078740157</v>
      </c>
      <c r="Q8" s="524">
        <v>2567.4899999999998</v>
      </c>
      <c r="R8" s="546" t="str">
        <f>IF($M8&lt;$P8,$P8-$M8,"Pass")</f>
        <v>Pass</v>
      </c>
      <c r="S8" s="547" t="str">
        <f>IF($M8&gt;$Q8,$M8-$Q8,"Pass")</f>
        <v>Pass</v>
      </c>
      <c r="T8" s="527" t="str">
        <f>IF($E8&lt;=IF($B$2="mil",1,0.0254)*50,"Pass",IF($B$2="mil",1,0.0254)*50-$E8)</f>
        <v>Pass</v>
      </c>
      <c r="U8" s="528" t="str">
        <f>IF($F8&lt;=IF($B$2="mil",1,0.0254)*500,"Pass",IF($B$2="mil",1,0.0254)*500-$F8)</f>
        <v>Pass</v>
      </c>
      <c r="V8" s="528" t="str">
        <f>IF($H8&lt;=IF($B$2="mil",1,0.0254)*200,"Pass",IF($B$2="mil",1,0.0254)*200-$H8)</f>
        <v>Pass</v>
      </c>
      <c r="W8" s="528" t="str">
        <f>IF(AND($L8&gt;=IF($B$2="mil",1,0.0254)*500, $L8&lt;=IF($B$2="mil",1,0.0254)*3500),"Pass",IF($B$2="mil",1,0.0254)*3500-$L8)</f>
        <v>Pass</v>
      </c>
      <c r="X8" s="528" t="str">
        <f>IF(AND($M8&gt;=IF($B$2="mil",1,0.0254)*500, $M8&lt;=IF($B$2="mil",1,0.0254)*4000),"Pass",IF($B$2="mil",1,0.0254)*4000-$M8)</f>
        <v>Pass</v>
      </c>
      <c r="Y8" s="528" t="str">
        <f>IF((I8&lt;=IF($B$2="mil",1,0.0254)*1300),"Pass",IF($B$2="mil",1,0.0254)*1300-I8)</f>
        <v>Pass</v>
      </c>
      <c r="Z8" s="529" t="e">
        <f ca="1">CheckLength2(IF($B$2="mil",1,0.0254)*1500,I8,J8,0)</f>
        <v>#NAME?</v>
      </c>
      <c r="AA8" s="6"/>
      <c r="AS8" s="162" t="e">
        <f ca="1">IF(AND(T8="Pass",Y8="Pass",X8="Pass",W8="Pass",V8="Pass",U8="Pass",R8="Pass",S8="Pass",Z8="Pass"),"Pass","Fail")</f>
        <v>#NAME?</v>
      </c>
    </row>
    <row r="9" spans="1:46" s="213" customFormat="1" ht="12">
      <c r="A9" s="460" t="s">
        <v>208</v>
      </c>
      <c r="B9" s="155"/>
      <c r="C9" s="639"/>
      <c r="D9" s="179"/>
      <c r="E9" s="354"/>
      <c r="F9" s="355"/>
      <c r="G9" s="356"/>
      <c r="H9" s="356"/>
      <c r="I9" s="358"/>
      <c r="J9" s="358"/>
      <c r="K9" s="207"/>
      <c r="L9" s="580"/>
      <c r="M9" s="207"/>
      <c r="N9" s="207"/>
      <c r="O9" s="207"/>
      <c r="P9" s="207"/>
      <c r="Q9" s="207"/>
      <c r="R9" s="571"/>
      <c r="S9" s="571"/>
      <c r="T9" s="571"/>
      <c r="U9" s="548"/>
      <c r="V9" s="548"/>
      <c r="W9" s="430"/>
      <c r="X9" s="430"/>
      <c r="Y9" s="430"/>
      <c r="Z9" s="549"/>
      <c r="AA9" s="75"/>
      <c r="AS9" s="162"/>
    </row>
    <row r="10" spans="1:46" s="162" customFormat="1">
      <c r="A10" s="559" t="s">
        <v>35</v>
      </c>
      <c r="B10" s="646" t="s">
        <v>85</v>
      </c>
      <c r="C10" s="635">
        <v>361.10236220472444</v>
      </c>
      <c r="D10" s="226"/>
      <c r="E10" s="621">
        <v>22.63</v>
      </c>
      <c r="F10" s="275">
        <v>0</v>
      </c>
      <c r="G10" s="622">
        <v>1257.76</v>
      </c>
      <c r="H10" s="622">
        <v>89.36</v>
      </c>
      <c r="I10" s="194">
        <v>0</v>
      </c>
      <c r="J10" s="623">
        <v>85.78</v>
      </c>
      <c r="K10" s="357"/>
      <c r="L10" s="545">
        <f xml:space="preserve"> E10+F10+G10+H10</f>
        <v>1369.75</v>
      </c>
      <c r="M10" s="534">
        <f>IF($B$2="mil",1,0.0254)*C10+ L10</f>
        <v>1730.8523622047244</v>
      </c>
      <c r="N10" s="523"/>
      <c r="O10" s="534">
        <f>M10-($P$5-1250)</f>
        <v>413.3623622047246</v>
      </c>
      <c r="P10" s="524">
        <v>1573.4570078740157</v>
      </c>
      <c r="Q10" s="524">
        <v>2567.4899999999998</v>
      </c>
      <c r="R10" s="546" t="str">
        <f>IF($M10&lt;$P10,$P10-$M10,"Pass")</f>
        <v>Pass</v>
      </c>
      <c r="S10" s="547" t="str">
        <f>IF($M10&gt;$Q10,$M10-$Q10,"Pass")</f>
        <v>Pass</v>
      </c>
      <c r="T10" s="527" t="str">
        <f>IF($E10&lt;=IF($B$2="mil",1,0.0254)*50,"Pass",IF($B$2="mil",1,0.0254)*50-$E10)</f>
        <v>Pass</v>
      </c>
      <c r="U10" s="528" t="str">
        <f>IF($F10&lt;=IF($B$2="mil",1,0.0254)*500,"Pass",IF($B$2="mil",1,0.0254)*500-$F10)</f>
        <v>Pass</v>
      </c>
      <c r="V10" s="528" t="str">
        <f>IF($H10&lt;=IF($B$2="mil",1,0.0254)*200,"Pass",IF($B$2="mil",1,0.0254)*200-$H10)</f>
        <v>Pass</v>
      </c>
      <c r="W10" s="528" t="str">
        <f>IF(AND($L10&gt;=IF($B$2="mil",1,0.0254)*500, $L10&lt;=IF($B$2="mil",1,0.0254)*3500),"Pass",IF($B$2="mil",1,0.0254)*3500-$L10)</f>
        <v>Pass</v>
      </c>
      <c r="X10" s="528" t="str">
        <f>IF(AND($M10&gt;=IF($B$2="mil",1,0.0254)*500, $M10&lt;=IF($B$2="mil",1,0.0254)*4000),"Pass",IF($B$2="mil",1,0.0254)*4000-$M10)</f>
        <v>Pass</v>
      </c>
      <c r="Y10" s="528" t="str">
        <f>IF((I10&lt;=IF($B$2="mil",1,0.0254)*1300),"Pass",IF($B$2="mil",1,0.0254)*1300-I10)</f>
        <v>Pass</v>
      </c>
      <c r="Z10" s="529" t="e">
        <f ca="1">CheckLength2(IF($B$2="mil",1,0.0254)*1500,I10,J10,0)</f>
        <v>#NAME?</v>
      </c>
      <c r="AA10" s="6"/>
      <c r="AS10" s="162" t="e">
        <f ca="1">IF(AND(T10="Pass",Y10="Pass",X10="Pass",W10="Pass",V10="Pass",U10="Pass",R10="Pass",S10="Pass",Z10="Pass"),"Pass","Fail")</f>
        <v>#NAME?</v>
      </c>
    </row>
    <row r="11" spans="1:46" s="162" customFormat="1">
      <c r="A11" s="559" t="s">
        <v>36</v>
      </c>
      <c r="B11" s="646" t="s">
        <v>333</v>
      </c>
      <c r="C11" s="635">
        <v>365.03937007874021</v>
      </c>
      <c r="D11" s="228"/>
      <c r="E11" s="621">
        <v>22.63</v>
      </c>
      <c r="F11" s="275">
        <v>0</v>
      </c>
      <c r="G11" s="683">
        <v>1371.22</v>
      </c>
      <c r="H11" s="683">
        <v>126.78</v>
      </c>
      <c r="I11" s="194">
        <v>0</v>
      </c>
      <c r="J11" s="684">
        <v>42.5</v>
      </c>
      <c r="K11" s="357"/>
      <c r="L11" s="545">
        <f xml:space="preserve"> E11+F11+G11+H11</f>
        <v>1520.63</v>
      </c>
      <c r="M11" s="534">
        <f>IF($B$2="mil",1,0.0254)*C11+ L11</f>
        <v>1885.6693700787403</v>
      </c>
      <c r="N11" s="581"/>
      <c r="O11" s="534">
        <f>M11-($P$5-1250)</f>
        <v>568.17937007874048</v>
      </c>
      <c r="P11" s="524">
        <v>1573.4570078740157</v>
      </c>
      <c r="Q11" s="524">
        <v>2567.4899999999998</v>
      </c>
      <c r="R11" s="546" t="str">
        <f>IF($M11&lt;$P11,$P11-$M11,"Pass")</f>
        <v>Pass</v>
      </c>
      <c r="S11" s="547" t="str">
        <f>IF($M11&gt;$Q11,$M11-$Q11,"Pass")</f>
        <v>Pass</v>
      </c>
      <c r="T11" s="527" t="str">
        <f>IF($E11&lt;=IF($B$2="mil",1,0.0254)*50,"Pass",IF($B$2="mil",1,0.0254)*50-$E11)</f>
        <v>Pass</v>
      </c>
      <c r="U11" s="528" t="str">
        <f>IF($F11&lt;=IF($B$2="mil",1,0.0254)*500,"Pass",IF($B$2="mil",1,0.0254)*500-$F11)</f>
        <v>Pass</v>
      </c>
      <c r="V11" s="528" t="str">
        <f>IF($H11&lt;=IF($B$2="mil",1,0.0254)*200,"Pass",IF($B$2="mil",1,0.0254)*200-$H11)</f>
        <v>Pass</v>
      </c>
      <c r="W11" s="528" t="str">
        <f>IF(AND($L11&gt;=IF($B$2="mil",1,0.0254)*500, $L11&lt;=IF($B$2="mil",1,0.0254)*3500),"Pass",IF($B$2="mil",1,0.0254)*3500-$L11)</f>
        <v>Pass</v>
      </c>
      <c r="X11" s="528" t="str">
        <f>IF(AND($M11&gt;=IF($B$2="mil",1,0.0254)*500, $M11&lt;=IF($B$2="mil",1,0.0254)*4000),"Pass",IF($B$2="mil",1,0.0254)*4000-$M11)</f>
        <v>Pass</v>
      </c>
      <c r="Y11" s="528" t="str">
        <f>IF((I11&lt;=IF($B$2="mil",1,0.0254)*1300),"Pass",IF($B$2="mil",1,0.0254)*1300-I11)</f>
        <v>Pass</v>
      </c>
      <c r="Z11" s="529" t="e">
        <f ca="1">CheckLength2(IF($B$2="mil",1,0.0254)*1500,I11,J11,0)</f>
        <v>#NAME?</v>
      </c>
      <c r="AA11" s="6"/>
      <c r="AS11" s="162" t="e">
        <f ca="1">IF(AND(T11="Pass",Y11="Pass",X11="Pass",W11="Pass",V11="Pass",U11="Pass",R11="Pass",S11="Pass",Z11="Pass"),"Pass","Fail")</f>
        <v>#NAME?</v>
      </c>
    </row>
    <row r="12" spans="1:46" s="213" customFormat="1" ht="12">
      <c r="A12" s="460" t="s">
        <v>209</v>
      </c>
      <c r="B12" s="155"/>
      <c r="C12" s="639"/>
      <c r="D12" s="179"/>
      <c r="E12" s="354"/>
      <c r="F12" s="355"/>
      <c r="G12" s="356"/>
      <c r="H12" s="356"/>
      <c r="I12" s="625"/>
      <c r="J12" s="625"/>
      <c r="K12" s="207"/>
      <c r="L12" s="580"/>
      <c r="M12" s="207"/>
      <c r="N12" s="207"/>
      <c r="O12" s="207"/>
      <c r="P12" s="207"/>
      <c r="Q12" s="207"/>
      <c r="R12" s="571"/>
      <c r="S12" s="571"/>
      <c r="T12" s="571"/>
      <c r="U12" s="548"/>
      <c r="V12" s="548"/>
      <c r="W12" s="430"/>
      <c r="X12" s="430"/>
      <c r="Y12" s="430"/>
      <c r="Z12" s="549"/>
      <c r="AA12" s="75"/>
      <c r="AS12" s="162"/>
    </row>
    <row r="13" spans="1:46" s="162" customFormat="1">
      <c r="A13" s="559" t="s">
        <v>37</v>
      </c>
      <c r="B13" s="646" t="s">
        <v>316</v>
      </c>
      <c r="C13" s="635">
        <v>280.70866141732284</v>
      </c>
      <c r="D13" s="226"/>
      <c r="E13" s="621">
        <v>22.63</v>
      </c>
      <c r="F13" s="275">
        <v>0</v>
      </c>
      <c r="G13" s="622">
        <v>1240.18</v>
      </c>
      <c r="H13" s="622">
        <v>126.91</v>
      </c>
      <c r="I13" s="194">
        <v>0</v>
      </c>
      <c r="J13" s="623">
        <v>32.5</v>
      </c>
      <c r="K13" s="357"/>
      <c r="L13" s="545">
        <f xml:space="preserve"> E13+F13+G13+H13</f>
        <v>1389.7200000000003</v>
      </c>
      <c r="M13" s="534">
        <f>IF($B$2="mil",1,0.0254)*C13+ L13</f>
        <v>1670.4286614173232</v>
      </c>
      <c r="N13" s="523"/>
      <c r="O13" s="534">
        <f>M13-($P$5-1250)</f>
        <v>352.93866141732337</v>
      </c>
      <c r="P13" s="524">
        <v>1573.4570078740157</v>
      </c>
      <c r="Q13" s="524">
        <v>2567.4899999999998</v>
      </c>
      <c r="R13" s="546" t="str">
        <f>IF($M13&lt;$P13,$P13-$M13,"Pass")</f>
        <v>Pass</v>
      </c>
      <c r="S13" s="547" t="str">
        <f>IF($M13&gt;$Q13,$M13-$Q13,"Pass")</f>
        <v>Pass</v>
      </c>
      <c r="T13" s="527" t="str">
        <f>IF($E13&lt;=IF($B$2="mil",1,0.0254)*50,"Pass",IF($B$2="mil",1,0.0254)*50-$E13)</f>
        <v>Pass</v>
      </c>
      <c r="U13" s="528" t="str">
        <f>IF($F13&lt;=IF($B$2="mil",1,0.0254)*500,"Pass",IF($B$2="mil",1,0.0254)*500-$F13)</f>
        <v>Pass</v>
      </c>
      <c r="V13" s="528" t="str">
        <f>IF($H13&lt;=IF($B$2="mil",1,0.0254)*200,"Pass",IF($B$2="mil",1,0.0254)*200-$H13)</f>
        <v>Pass</v>
      </c>
      <c r="W13" s="528" t="str">
        <f>IF(AND($L13&gt;=IF($B$2="mil",1,0.0254)*500, $L13&lt;=IF($B$2="mil",1,0.0254)*3500),"Pass",IF($B$2="mil",1,0.0254)*3500-$L13)</f>
        <v>Pass</v>
      </c>
      <c r="X13" s="528" t="str">
        <f>IF(AND($M13&gt;=IF($B$2="mil",1,0.0254)*500, $M13&lt;=IF($B$2="mil",1,0.0254)*4000),"Pass",IF($B$2="mil",1,0.0254)*4000-$M13)</f>
        <v>Pass</v>
      </c>
      <c r="Y13" s="528" t="str">
        <f>IF((I13&lt;=IF($B$2="mil",1,0.0254)*1300),"Pass",IF($B$2="mil",1,0.0254)*1300-I13)</f>
        <v>Pass</v>
      </c>
      <c r="Z13" s="529" t="e">
        <f ca="1">CheckLength2(IF($B$2="mil",1,0.0254)*1500,I13,J13,0)</f>
        <v>#NAME?</v>
      </c>
      <c r="AA13" s="6"/>
      <c r="AS13" s="162" t="e">
        <f ca="1">IF(AND(T13="Pass",Y13="Pass",X13="Pass",W13="Pass",V13="Pass",U13="Pass",R13="Pass",S13="Pass",Z13="Pass"),"Pass","Fail")</f>
        <v>#NAME?</v>
      </c>
    </row>
    <row r="14" spans="1:46" s="162" customFormat="1">
      <c r="A14" s="559" t="s">
        <v>38</v>
      </c>
      <c r="B14" s="646" t="s">
        <v>337</v>
      </c>
      <c r="C14" s="635">
        <v>459.64566929133861</v>
      </c>
      <c r="D14" s="227"/>
      <c r="E14" s="621">
        <v>22.63</v>
      </c>
      <c r="F14" s="275">
        <v>0</v>
      </c>
      <c r="G14" s="622">
        <v>1351.67</v>
      </c>
      <c r="H14" s="622">
        <v>132.19999999999999</v>
      </c>
      <c r="I14" s="194">
        <v>0</v>
      </c>
      <c r="J14" s="623">
        <v>44.57</v>
      </c>
      <c r="K14" s="357"/>
      <c r="L14" s="545">
        <f xml:space="preserve"> E14+F14+G14+H14</f>
        <v>1506.5000000000002</v>
      </c>
      <c r="M14" s="534">
        <f>IF($B$2="mil",1,0.0254)*C14+ L14</f>
        <v>1966.1456692913389</v>
      </c>
      <c r="N14" s="530"/>
      <c r="O14" s="534">
        <f>M14-($P$5-1250)</f>
        <v>648.65566929133911</v>
      </c>
      <c r="P14" s="524">
        <v>1573.4570078740157</v>
      </c>
      <c r="Q14" s="524">
        <v>2567.4899999999998</v>
      </c>
      <c r="R14" s="546" t="str">
        <f>IF($M14&lt;$P14,$P14-$M14,"Pass")</f>
        <v>Pass</v>
      </c>
      <c r="S14" s="547" t="str">
        <f>IF($M14&gt;$Q14,$M14-$Q14,"Pass")</f>
        <v>Pass</v>
      </c>
      <c r="T14" s="527" t="str">
        <f>IF($E14&lt;=IF($B$2="mil",1,0.0254)*50,"Pass",IF($B$2="mil",1,0.0254)*50-$E14)</f>
        <v>Pass</v>
      </c>
      <c r="U14" s="528" t="str">
        <f>IF($F14&lt;=IF($B$2="mil",1,0.0254)*500,"Pass",IF($B$2="mil",1,0.0254)*500-$F14)</f>
        <v>Pass</v>
      </c>
      <c r="V14" s="528" t="str">
        <f>IF($H14&lt;=IF($B$2="mil",1,0.0254)*200,"Pass",IF($B$2="mil",1,0.0254)*200-$H14)</f>
        <v>Pass</v>
      </c>
      <c r="W14" s="528" t="str">
        <f>IF(AND($L14&gt;=IF($B$2="mil",1,0.0254)*500, $L14&lt;=IF($B$2="mil",1,0.0254)*3500),"Pass",IF($B$2="mil",1,0.0254)*3500-$L14)</f>
        <v>Pass</v>
      </c>
      <c r="X14" s="528" t="str">
        <f>IF(AND($M14&gt;=IF($B$2="mil",1,0.0254)*500, $M14&lt;=IF($B$2="mil",1,0.0254)*4000),"Pass",IF($B$2="mil",1,0.0254)*4000-$M14)</f>
        <v>Pass</v>
      </c>
      <c r="Y14" s="528" t="str">
        <f>IF((I14&lt;=IF($B$2="mil",1,0.0254)*1300),"Pass",IF($B$2="mil",1,0.0254)*1300-I14)</f>
        <v>Pass</v>
      </c>
      <c r="Z14" s="529" t="e">
        <f ca="1">CheckLength2(IF($B$2="mil",1,0.0254)*1500,I14,J14,0)</f>
        <v>#NAME?</v>
      </c>
      <c r="AA14" s="6"/>
      <c r="AS14" s="162" t="e">
        <f ca="1">IF(AND(T14="Pass",Y14="Pass",X14="Pass",W14="Pass",V14="Pass",U14="Pass",R14="Pass",S14="Pass",Z14="Pass"),"Pass","Fail")</f>
        <v>#NAME?</v>
      </c>
    </row>
    <row r="15" spans="1:46" s="3" customFormat="1" ht="12.75" customHeight="1">
      <c r="A15" s="574"/>
      <c r="B15" s="582"/>
      <c r="C15" s="644"/>
      <c r="D15" s="42"/>
      <c r="E15" s="42"/>
      <c r="F15" s="475"/>
      <c r="G15" s="42"/>
      <c r="H15" s="42"/>
      <c r="I15" s="42"/>
      <c r="J15" s="42"/>
      <c r="K15" s="42"/>
      <c r="L15" s="42"/>
      <c r="M15" s="582"/>
      <c r="N15" s="582"/>
      <c r="O15" s="582"/>
      <c r="P15" s="582"/>
      <c r="Q15" s="582"/>
      <c r="R15" s="582"/>
      <c r="S15" s="582"/>
      <c r="T15" s="582"/>
      <c r="U15" s="582"/>
      <c r="V15" s="583"/>
      <c r="W15" s="582"/>
      <c r="X15" s="584"/>
      <c r="Y15" s="582"/>
      <c r="Z15" s="582"/>
      <c r="AA15" s="585"/>
      <c r="AB15" s="554"/>
    </row>
    <row r="16" spans="1:46" s="154" customFormat="1" ht="54" customHeight="1">
      <c r="A16" s="218" t="s">
        <v>457</v>
      </c>
      <c r="B16" s="144" t="s">
        <v>420</v>
      </c>
      <c r="C16" s="643" t="s">
        <v>22</v>
      </c>
      <c r="D16" s="151"/>
      <c r="E16" s="148" t="s">
        <v>530</v>
      </c>
      <c r="F16" s="148" t="s">
        <v>531</v>
      </c>
      <c r="G16" s="148" t="s">
        <v>532</v>
      </c>
      <c r="H16" s="150"/>
      <c r="I16" s="150" t="s">
        <v>534</v>
      </c>
      <c r="J16" s="144" t="s">
        <v>549</v>
      </c>
      <c r="K16" s="150"/>
      <c r="L16" s="144" t="s">
        <v>550</v>
      </c>
      <c r="M16" s="144" t="s">
        <v>551</v>
      </c>
      <c r="N16" s="151"/>
      <c r="O16" s="144" t="s">
        <v>552</v>
      </c>
      <c r="P16" s="144" t="s">
        <v>553</v>
      </c>
      <c r="Q16" s="144" t="s">
        <v>554</v>
      </c>
      <c r="R16" s="144" t="s">
        <v>555</v>
      </c>
      <c r="S16" s="144" t="s">
        <v>556</v>
      </c>
      <c r="T16" s="151" t="s">
        <v>557</v>
      </c>
      <c r="U16" s="150" t="s">
        <v>558</v>
      </c>
      <c r="V16" s="152" t="s">
        <v>559</v>
      </c>
      <c r="W16" s="151" t="s">
        <v>560</v>
      </c>
      <c r="X16" s="144" t="s">
        <v>561</v>
      </c>
      <c r="Y16" s="144" t="s">
        <v>562</v>
      </c>
      <c r="Z16" s="151" t="s">
        <v>563</v>
      </c>
      <c r="AA16" s="150" t="s">
        <v>564</v>
      </c>
      <c r="AB16" s="152" t="s">
        <v>565</v>
      </c>
      <c r="AC16" s="151" t="s">
        <v>566</v>
      </c>
      <c r="AD16" s="153" t="s">
        <v>542</v>
      </c>
      <c r="AE16" s="153" t="s">
        <v>543</v>
      </c>
      <c r="AF16" s="153" t="s">
        <v>567</v>
      </c>
      <c r="AG16" s="153" t="s">
        <v>568</v>
      </c>
      <c r="AH16" s="153" t="s">
        <v>569</v>
      </c>
      <c r="AI16" s="153" t="s">
        <v>570</v>
      </c>
      <c r="AJ16" s="153" t="s">
        <v>387</v>
      </c>
      <c r="AK16" s="153" t="s">
        <v>571</v>
      </c>
      <c r="AL16" s="153" t="s">
        <v>572</v>
      </c>
      <c r="AM16" s="153" t="s">
        <v>573</v>
      </c>
      <c r="AN16" s="153" t="s">
        <v>574</v>
      </c>
      <c r="AO16" s="150" t="s">
        <v>575</v>
      </c>
      <c r="AP16" s="150" t="s">
        <v>576</v>
      </c>
      <c r="AQ16" s="153" t="s">
        <v>577</v>
      </c>
      <c r="AR16" s="150" t="s">
        <v>578</v>
      </c>
      <c r="AS16" s="162"/>
    </row>
    <row r="17" spans="1:47" s="162" customFormat="1" ht="11.25">
      <c r="A17" s="155" t="s">
        <v>210</v>
      </c>
      <c r="B17" s="155"/>
      <c r="C17" s="639"/>
      <c r="D17" s="156"/>
      <c r="E17" s="156"/>
      <c r="F17" s="220"/>
      <c r="G17" s="156"/>
      <c r="H17" s="156"/>
      <c r="I17" s="156"/>
      <c r="J17" s="156"/>
      <c r="K17" s="156"/>
      <c r="L17" s="156"/>
      <c r="M17" s="156"/>
      <c r="N17" s="156"/>
      <c r="O17" s="156"/>
      <c r="P17" s="156"/>
      <c r="Q17" s="156"/>
      <c r="R17" s="221"/>
      <c r="S17" s="221"/>
      <c r="T17" s="221"/>
      <c r="U17" s="212"/>
      <c r="V17" s="221"/>
      <c r="W17" s="221"/>
      <c r="X17" s="221"/>
      <c r="Y17" s="221"/>
      <c r="Z17" s="221"/>
      <c r="AA17" s="221"/>
      <c r="AB17" s="221"/>
      <c r="AC17" s="221"/>
      <c r="AD17" s="212"/>
      <c r="AE17" s="221"/>
      <c r="AF17" s="221"/>
      <c r="AG17" s="221"/>
      <c r="AH17" s="221"/>
      <c r="AI17" s="221"/>
      <c r="AJ17" s="221"/>
      <c r="AK17" s="221"/>
      <c r="AL17" s="221"/>
      <c r="AM17" s="221"/>
      <c r="AN17" s="221"/>
      <c r="AO17" s="221"/>
      <c r="AP17" s="221"/>
      <c r="AQ17" s="221"/>
      <c r="AR17" s="351"/>
    </row>
    <row r="18" spans="1:47" s="162" customFormat="1" ht="11.25">
      <c r="A18" s="263" t="s">
        <v>214</v>
      </c>
      <c r="B18" s="164"/>
      <c r="C18" s="641"/>
      <c r="D18" s="165"/>
      <c r="E18" s="166"/>
      <c r="F18" s="222"/>
      <c r="G18" s="166"/>
      <c r="H18" s="167"/>
      <c r="I18" s="167"/>
      <c r="J18" s="166"/>
      <c r="K18" s="167"/>
      <c r="L18" s="166"/>
      <c r="M18" s="166"/>
      <c r="N18" s="170"/>
      <c r="O18" s="166"/>
      <c r="P18" s="166"/>
      <c r="Q18" s="166"/>
      <c r="R18" s="166"/>
      <c r="S18" s="558" t="s">
        <v>224</v>
      </c>
      <c r="T18" s="542">
        <v>4388.2217322834649</v>
      </c>
      <c r="U18" s="539">
        <v>4390.8811023622047</v>
      </c>
      <c r="V18" s="542"/>
      <c r="W18" s="168"/>
      <c r="X18" s="543"/>
      <c r="Y18" s="558" t="s">
        <v>284</v>
      </c>
      <c r="Z18" s="542">
        <v>4385.0011023622046</v>
      </c>
      <c r="AA18" s="541">
        <v>4387.7617322834649</v>
      </c>
      <c r="AB18" s="543"/>
      <c r="AC18" s="543"/>
      <c r="AD18" s="543"/>
      <c r="AE18" s="543"/>
      <c r="AF18" s="538"/>
      <c r="AG18" s="538"/>
      <c r="AH18" s="538"/>
      <c r="AI18" s="538"/>
      <c r="AJ18" s="538"/>
      <c r="AK18" s="538"/>
      <c r="AL18" s="538"/>
      <c r="AM18" s="538"/>
      <c r="AN18" s="538"/>
      <c r="AO18" s="538"/>
      <c r="AP18" s="538"/>
      <c r="AQ18" s="538"/>
      <c r="AR18" s="539"/>
    </row>
    <row r="19" spans="1:47" s="162" customFormat="1" ht="11.25">
      <c r="A19" s="205" t="s">
        <v>579</v>
      </c>
      <c r="B19" s="155"/>
      <c r="C19" s="639"/>
      <c r="D19" s="179"/>
      <c r="E19" s="180"/>
      <c r="F19" s="224"/>
      <c r="G19" s="180"/>
      <c r="H19" s="180"/>
      <c r="I19" s="181"/>
      <c r="J19" s="181"/>
      <c r="K19" s="180"/>
      <c r="L19" s="181"/>
      <c r="M19" s="181"/>
      <c r="N19" s="183"/>
      <c r="O19" s="181"/>
      <c r="P19" s="181"/>
      <c r="Q19" s="181"/>
      <c r="R19" s="181"/>
      <c r="S19" s="273"/>
      <c r="T19" s="179"/>
      <c r="U19" s="570"/>
      <c r="V19" s="531"/>
      <c r="W19" s="179"/>
      <c r="X19" s="179"/>
      <c r="Y19" s="179"/>
      <c r="Z19" s="179"/>
      <c r="AA19" s="179"/>
      <c r="AB19" s="179"/>
      <c r="AC19" s="179"/>
      <c r="AD19" s="430"/>
      <c r="AE19" s="179"/>
      <c r="AF19" s="179"/>
      <c r="AG19" s="179"/>
      <c r="AH19" s="179"/>
      <c r="AI19" s="179"/>
      <c r="AJ19" s="179"/>
      <c r="AK19" s="179"/>
      <c r="AL19" s="179"/>
      <c r="AM19" s="179"/>
      <c r="AN19" s="179"/>
      <c r="AO19" s="179"/>
      <c r="AP19" s="179"/>
      <c r="AQ19" s="179"/>
      <c r="AR19" s="273"/>
    </row>
    <row r="20" spans="1:47" s="162" customFormat="1">
      <c r="A20" s="185" t="s">
        <v>25</v>
      </c>
      <c r="B20" s="647" t="s">
        <v>458</v>
      </c>
      <c r="C20" s="635">
        <v>466</v>
      </c>
      <c r="D20" s="188"/>
      <c r="E20" s="621">
        <v>22.63</v>
      </c>
      <c r="F20" s="193">
        <v>0</v>
      </c>
      <c r="G20" s="622">
        <v>2625.87</v>
      </c>
      <c r="H20" s="335"/>
      <c r="I20" s="334">
        <v>0</v>
      </c>
      <c r="J20" s="623">
        <v>39.71</v>
      </c>
      <c r="K20" s="336"/>
      <c r="L20" s="623">
        <v>963.82</v>
      </c>
      <c r="M20" s="272">
        <v>641.76</v>
      </c>
      <c r="N20" s="195"/>
      <c r="O20" s="622">
        <v>653.20000000000005</v>
      </c>
      <c r="P20" s="623">
        <v>71.86</v>
      </c>
      <c r="Q20" s="272">
        <v>142.6</v>
      </c>
      <c r="R20" s="545">
        <f>SUM($E20:$G20,$L20,$O20,$M20,$P20)</f>
        <v>4979.1400000000003</v>
      </c>
      <c r="S20" s="524">
        <f>$R20+IF($B$2="mil",1,0.0254)*$C20</f>
        <v>5445.14</v>
      </c>
      <c r="T20" s="524">
        <v>4390.8811023622047</v>
      </c>
      <c r="U20" s="547">
        <v>6388.2217322834649</v>
      </c>
      <c r="V20" s="546" t="str">
        <f>IF($S20&lt;$T20,$T20-$S20,"Pass")</f>
        <v>Pass</v>
      </c>
      <c r="W20" s="547" t="str">
        <f>IF($S20&gt;$U20,$S20-$U20,"Pass")</f>
        <v>Pass</v>
      </c>
      <c r="X20" s="545">
        <f>SUM($E20:$G20,$L20,$O20,$M20,$Q20)</f>
        <v>5049.880000000001</v>
      </c>
      <c r="Y20" s="524">
        <f>$X20+IF($B$2="mil",1,0.0254)*$C20</f>
        <v>5515.880000000001</v>
      </c>
      <c r="Z20" s="524">
        <v>4387.7617322834649</v>
      </c>
      <c r="AA20" s="524">
        <v>6385.0011023622046</v>
      </c>
      <c r="AB20" s="546" t="str">
        <f>IF($Y20&lt;$Z20,$Z20-$Y20,"Pass")</f>
        <v>Pass</v>
      </c>
      <c r="AC20" s="547" t="str">
        <f>IF($Y20&gt;$AA20,$Y20-$AA20,"Pass")</f>
        <v>Pass</v>
      </c>
      <c r="AD20" s="527" t="str">
        <f>IF($E20&lt;=IF($B$2="mil",1,0.0254)*50,"Pass",IF($B$2="mil",1,0.0254)*50-$E20)</f>
        <v>Pass</v>
      </c>
      <c r="AE20" s="528" t="str">
        <f>IF($F20&lt;=IF($B$2="mil",1,0.0254)*500,"Pass",IF($B$2="mil",1,0.0254)*500-$F20)</f>
        <v>Pass</v>
      </c>
      <c r="AF20" s="528" t="str">
        <f>IF($I20&lt;=IF($B$2="mil",1,0.0254)*1000,"Pass",IF($B$2="mil",1,0.0254)*1000-$I20)</f>
        <v>Pass</v>
      </c>
      <c r="AG20" s="528" t="e">
        <f ca="1">CheckLength2(IF($B$2="mil",1,0.0254)*1200,I20,J20,0)</f>
        <v>#NAME?</v>
      </c>
      <c r="AH20" s="528" t="str">
        <f>IF(L20&lt;=IF($B$2="mil",1,0.0254)*1500,"Pass",IF($B$2="mil",1,0.0254)*1500-L20)</f>
        <v>Pass</v>
      </c>
      <c r="AI20" s="528" t="str">
        <f>IF(M20&lt;=IF($B$2="mil",1,0.0254)*1000,"Pass",IF($B$2="mil",1,0.0254)*1000-M20)</f>
        <v>Pass</v>
      </c>
      <c r="AJ20" s="528" t="str">
        <f>IF(MAX(M20,P34)-MIN(M20,P34)&lt;=IF($B$2="mil",1,0.0254)*50,"Pass",MAX(M20,P34)-MIN(M20,P34)-IF($B$2="mil",1,0.0254)*50)</f>
        <v>Pass</v>
      </c>
      <c r="AK20" s="528" t="str">
        <f>IF($O20&lt;=IF($B$2="mil",1,0.0254)*1250,"Pass",IF($B$2="mil",1,0.0254)*1250-$O20)</f>
        <v>Pass</v>
      </c>
      <c r="AL20" s="528" t="str">
        <f>IF(MAX(O20,P41)-MIN(O20,P41)&lt;=IF($B$2="mil",1,0.0254)*50,"Pass",MAX(O20,P41)-MIN(O20,P41)-IF($B$2="mil",1,0.0254)*50)</f>
        <v>Pass</v>
      </c>
      <c r="AM20" s="528" t="e">
        <f ca="1">CheckLength2(IF($B$2="mil",1,0.0254)*1450,O20,P20,0)</f>
        <v>#NAME?</v>
      </c>
      <c r="AN20" s="528" t="e">
        <f ca="1">CheckLength2(IF($B$2="mil",1,0.0254)*1450,O20,Q20,0)</f>
        <v>#NAME?</v>
      </c>
      <c r="AO20" s="528" t="str">
        <f>IF(AND($R20&gt;=IF($B$2="mil",1,0.0254)*500, $R20&lt;=IF($B$2="mil",1,0.0254)*6500),"Pass",IF($B$2="mil",1,0.0254)*6500-$R20)</f>
        <v>Pass</v>
      </c>
      <c r="AP20" s="528" t="str">
        <f>IF(AND($S20&gt;=IF($B$2="mil",1,0.0254)*500, $S20&lt;=IF($B$2="mil",1,0.0254)*7000),"Pass",IF($B$2="mil",1,0.0254)*7000-$S20)</f>
        <v>Pass</v>
      </c>
      <c r="AQ20" s="528" t="str">
        <f>IF(AND($X20&gt;=IF($B$2="mil",1,0.0254)*500, $X20&lt;=IF($B$2="mil",1,0.0254)*6500),"Pass",IF($B$2="mil",1,0.0254)*6500-$X20)</f>
        <v>Pass</v>
      </c>
      <c r="AR20" s="529" t="str">
        <f>IF(AND($Y20&gt;=IF($B$2="mil",1,0.0254)*500, $Y20&lt;=IF($B$2="mil",1,0.0254)*7000),"Pass",IF($B$2="mil",1,0.0254)*7000-$Y20)</f>
        <v>Pass</v>
      </c>
      <c r="AS20" s="162" t="e">
        <f ca="1">IF(AND(V20="Pass",W20="Pass",AD20="Pass",AE20="Pass",AF20="Pass",AG20="Pass",AH20="Pass",AI20="Pass",AJ20="Pass",AK20="Pass",AL20="Pass",AM20="Pass",AO20="Pass",AP20="Pass",AQ20="Pass",AR20="Pass", AB20="Pass", AD20="Pass", AN20="Pass"),"Pass","Fail")</f>
        <v>#NAME?</v>
      </c>
      <c r="AT20" s="162" t="e">
        <f ca="1">IF(AND(AS20="Pass", AS21="Pass", AS22="Pass"),"Pass","Fail")</f>
        <v>#NAME?</v>
      </c>
    </row>
    <row r="21" spans="1:47" s="162" customFormat="1">
      <c r="A21" s="240" t="s">
        <v>27</v>
      </c>
      <c r="B21" s="646" t="s">
        <v>317</v>
      </c>
      <c r="C21" s="635">
        <v>380</v>
      </c>
      <c r="D21" s="188"/>
      <c r="E21" s="621">
        <v>22.63</v>
      </c>
      <c r="F21" s="189">
        <v>0</v>
      </c>
      <c r="G21" s="622">
        <v>2609.2600000000002</v>
      </c>
      <c r="H21" s="335"/>
      <c r="I21" s="334">
        <v>0</v>
      </c>
      <c r="J21" s="622">
        <v>88.33</v>
      </c>
      <c r="K21" s="336"/>
      <c r="L21" s="623">
        <v>1077.47</v>
      </c>
      <c r="M21" s="272">
        <v>536.08000000000004</v>
      </c>
      <c r="N21" s="204"/>
      <c r="O21" s="622">
        <v>689.76</v>
      </c>
      <c r="P21" s="623">
        <v>116.96</v>
      </c>
      <c r="Q21" s="272">
        <v>180.68</v>
      </c>
      <c r="R21" s="545">
        <f>SUM($E21:$G21,$L21,$O21,$M21,$P21)</f>
        <v>5052.1600000000008</v>
      </c>
      <c r="S21" s="524">
        <f>$R21+IF($B$2="mil",1,0.0254)*$C21</f>
        <v>5432.1600000000008</v>
      </c>
      <c r="T21" s="524">
        <v>4390.8811023622047</v>
      </c>
      <c r="U21" s="547">
        <v>6388.2217322834649</v>
      </c>
      <c r="V21" s="546" t="str">
        <f>IF($S21&lt;$T21,$T21-$S21,"Pass")</f>
        <v>Pass</v>
      </c>
      <c r="W21" s="547" t="str">
        <f>IF($S21&gt;$U21,$S21-$U21,"Pass")</f>
        <v>Pass</v>
      </c>
      <c r="X21" s="545">
        <f>SUM($E21:$G21,$L21,$O21,$M21,$Q21)</f>
        <v>5115.880000000001</v>
      </c>
      <c r="Y21" s="524">
        <f>$X21+IF($B$2="mil",1,0.0254)*$C21</f>
        <v>5495.880000000001</v>
      </c>
      <c r="Z21" s="524">
        <v>4387.7617322834649</v>
      </c>
      <c r="AA21" s="524">
        <v>6385.0011023622046</v>
      </c>
      <c r="AB21" s="546" t="str">
        <f>IF($Y21&lt;$Z21,$Z21-$Y21,"Pass")</f>
        <v>Pass</v>
      </c>
      <c r="AC21" s="547" t="str">
        <f>IF($Y21&gt;$AA21,$Y21-$AA21,"Pass")</f>
        <v>Pass</v>
      </c>
      <c r="AD21" s="527" t="str">
        <f>IF($E21&lt;=IF($B$2="mil",1,0.0254)*50,"Pass",IF($B$2="mil",1,0.0254)*50-$E21)</f>
        <v>Pass</v>
      </c>
      <c r="AE21" s="528" t="str">
        <f>IF($F21&lt;=IF($B$2="mil",1,0.0254)*500,"Pass",IF($B$2="mil",1,0.0254)*500-$F21)</f>
        <v>Pass</v>
      </c>
      <c r="AF21" s="528" t="str">
        <f>IF($I21&lt;=IF($B$2="mil",1,0.0254)*1000,"Pass",IF($B$2="mil",1,0.0254)*1000-$I21)</f>
        <v>Pass</v>
      </c>
      <c r="AG21" s="528" t="e">
        <f ca="1">CheckLength2(IF($B$2="mil",1,0.0254)*1200,I21,J21,0)</f>
        <v>#NAME?</v>
      </c>
      <c r="AH21" s="528" t="str">
        <f>IF(L21&lt;=IF($B$2="mil",1,0.0254)*1500,"Pass",IF($B$2="mil",1,0.0254)*1500-L21)</f>
        <v>Pass</v>
      </c>
      <c r="AI21" s="528" t="str">
        <f>IF(M21&lt;=IF($B$2="mil",1,0.0254)*1000,"Pass",IF($B$2="mil",1,0.0254)*1000-M21)</f>
        <v>Pass</v>
      </c>
      <c r="AJ21" s="528" t="str">
        <f>IF(MAX(M21,P35)-MIN(M21,P35)&lt;=IF($B$2="mil",1,0.0254)*50,"Pass",MAX(M21,P35)-MIN(M21,P35)-IF($B$2="mil",1,0.0254)*50)</f>
        <v>Pass</v>
      </c>
      <c r="AK21" s="528" t="str">
        <f>IF($O21&lt;=IF($B$2="mil",1,0.0254)*1250,"Pass",IF($B$2="mil",1,0.0254)*1250-$O21)</f>
        <v>Pass</v>
      </c>
      <c r="AL21" s="528" t="str">
        <f>IF(MAX(O21,P42)-MIN(O21,P42)&lt;=IF($B$2="mil",1,0.0254)*50,"Pass",MAX(O21,P42)-MIN(O21,P42)-IF($B$2="mil",1,0.0254)*50)</f>
        <v>Pass</v>
      </c>
      <c r="AM21" s="528" t="e">
        <f ca="1">CheckLength2(IF($B$2="mil",1,0.0254)*1450,O21,P21,0)</f>
        <v>#NAME?</v>
      </c>
      <c r="AN21" s="528" t="e">
        <f ca="1">CheckLength2(IF($B$2="mil",1,0.0254)*1450,O21,Q21,0)</f>
        <v>#NAME?</v>
      </c>
      <c r="AO21" s="528" t="str">
        <f>IF(AND($R21&gt;=IF($B$2="mil",1,0.0254)*500, $R21&lt;=IF($B$2="mil",1,0.0254)*6500),"Pass",IF($B$2="mil",1,0.0254)*6500-$R21)</f>
        <v>Pass</v>
      </c>
      <c r="AP21" s="528" t="str">
        <f>IF(AND($S21&gt;=IF($B$2="mil",1,0.0254)*500, $S21&lt;=IF($B$2="mil",1,0.0254)*7000),"Pass",IF($B$2="mil",1,0.0254)*7000-$S21)</f>
        <v>Pass</v>
      </c>
      <c r="AQ21" s="528" t="str">
        <f>IF(AND($X21&gt;=IF($B$2="mil",1,0.0254)*500, $X21&lt;=IF($B$2="mil",1,0.0254)*6500),"Pass",IF($B$2="mil",1,0.0254)*6500-$X21)</f>
        <v>Pass</v>
      </c>
      <c r="AR21" s="529" t="str">
        <f>IF(AND($Y21&gt;=IF($B$2="mil",1,0.0254)*500, $Y21&lt;=IF($B$2="mil",1,0.0254)*7000),"Pass",IF($B$2="mil",1,0.0254)*7000-$Y21)</f>
        <v>Pass</v>
      </c>
      <c r="AS21" s="162" t="e">
        <f ca="1">IF(AND(V21="Pass",W21="Pass",AD21="Pass",AE21="Pass",AF21="Pass",AG21="Pass",AH21="Pass",AI21="Pass",AJ21="Pass",AK21="Pass",AL21="Pass",AM21="Pass",AO21="Pass",AP21="Pass",AQ21="Pass",AR21="Pass", AB21="Pass", AD21="Pass", AN21="Pass"),"Pass","Fail")</f>
        <v>#NAME?</v>
      </c>
    </row>
    <row r="22" spans="1:47" s="162" customFormat="1">
      <c r="A22" s="240" t="s">
        <v>29</v>
      </c>
      <c r="B22" s="646" t="s">
        <v>301</v>
      </c>
      <c r="C22" s="635">
        <v>426</v>
      </c>
      <c r="D22" s="188"/>
      <c r="E22" s="621">
        <v>22.63</v>
      </c>
      <c r="F22" s="189">
        <v>0</v>
      </c>
      <c r="G22" s="622">
        <v>2623.9</v>
      </c>
      <c r="H22" s="335"/>
      <c r="I22" s="334">
        <v>0</v>
      </c>
      <c r="J22" s="622">
        <v>95.78</v>
      </c>
      <c r="K22" s="336"/>
      <c r="L22" s="623">
        <v>1016.52</v>
      </c>
      <c r="M22" s="272">
        <v>510.62</v>
      </c>
      <c r="N22" s="238"/>
      <c r="O22" s="622">
        <v>665.74</v>
      </c>
      <c r="P22" s="623">
        <v>121.68</v>
      </c>
      <c r="Q22" s="272">
        <v>178.07</v>
      </c>
      <c r="R22" s="545">
        <f>SUM($E22:$G22,$L22,$O22,$M22,$P22)</f>
        <v>4961.09</v>
      </c>
      <c r="S22" s="524">
        <f>$R22+IF($B$2="mil",1,0.0254)*$C22</f>
        <v>5387.09</v>
      </c>
      <c r="T22" s="524">
        <v>4390.8811023622047</v>
      </c>
      <c r="U22" s="547">
        <v>6388.2217322834649</v>
      </c>
      <c r="V22" s="546" t="str">
        <f>IF($S22&lt;$T22,$T22-$S22,"Pass")</f>
        <v>Pass</v>
      </c>
      <c r="W22" s="547" t="str">
        <f>IF($S22&gt;$U22,$S22-$U22,"Pass")</f>
        <v>Pass</v>
      </c>
      <c r="X22" s="545">
        <f>SUM($E22:$G22,$L22,$O22,$M22,$Q22)</f>
        <v>5017.4799999999996</v>
      </c>
      <c r="Y22" s="524">
        <f>$X22+IF($B$2="mil",1,0.0254)*$C22</f>
        <v>5443.48</v>
      </c>
      <c r="Z22" s="524">
        <v>4387.7617322834649</v>
      </c>
      <c r="AA22" s="524">
        <v>6385.0011023622046</v>
      </c>
      <c r="AB22" s="546" t="str">
        <f>IF($Y22&lt;$Z22,$Z22-$Y22,"Pass")</f>
        <v>Pass</v>
      </c>
      <c r="AC22" s="547" t="str">
        <f>IF($Y22&gt;$AA22,$Y22-$AA22,"Pass")</f>
        <v>Pass</v>
      </c>
      <c r="AD22" s="527" t="str">
        <f>IF($E22&lt;=IF($B$2="mil",1,0.0254)*50,"Pass",IF($B$2="mil",1,0.0254)*50-$E22)</f>
        <v>Pass</v>
      </c>
      <c r="AE22" s="528" t="str">
        <f>IF($F22&lt;=IF($B$2="mil",1,0.0254)*500,"Pass",IF($B$2="mil",1,0.0254)*500-$F22)</f>
        <v>Pass</v>
      </c>
      <c r="AF22" s="528" t="str">
        <f>IF($I22&lt;=IF($B$2="mil",1,0.0254)*1000,"Pass",IF($B$2="mil",1,0.0254)*1000-$I22)</f>
        <v>Pass</v>
      </c>
      <c r="AG22" s="528" t="e">
        <f ca="1">CheckLength2(IF($B$2="mil",1,0.0254)*1200,I22,J22,0)</f>
        <v>#NAME?</v>
      </c>
      <c r="AH22" s="528" t="str">
        <f>IF(L22&lt;=IF($B$2="mil",1,0.0254)*1500,"Pass",IF($B$2="mil",1,0.0254)*1500-L22)</f>
        <v>Pass</v>
      </c>
      <c r="AI22" s="528" t="str">
        <f>IF(M22&lt;=IF($B$2="mil",1,0.0254)*1000,"Pass",IF($B$2="mil",1,0.0254)*1000-M22)</f>
        <v>Pass</v>
      </c>
      <c r="AJ22" s="528" t="str">
        <f>IF(MAX(M22,P36)-MIN(M22,P36)&lt;=IF($B$2="mil",1,0.0254)*50,"Pass",MAX(M22,P36)-MIN(M22,P36)-IF($B$2="mil",1,0.0254)*50)</f>
        <v>Pass</v>
      </c>
      <c r="AK22" s="528" t="str">
        <f>IF($O22&lt;=IF($B$2="mil",1,0.0254)*1250,"Pass",IF($B$2="mil",1,0.0254)*1250-$O22)</f>
        <v>Pass</v>
      </c>
      <c r="AL22" s="528" t="str">
        <f>IF(MAX(O22,P43)-MIN(O22,P43)&lt;=IF($B$2="mil",1,0.0254)*50,"Pass",MAX(O22,P43)-MIN(O22,P43)-IF($B$2="mil",1,0.0254)*50)</f>
        <v>Pass</v>
      </c>
      <c r="AM22" s="528" t="e">
        <f ca="1">CheckLength2(IF($B$2="mil",1,0.0254)*1450,O22,P22,0)</f>
        <v>#NAME?</v>
      </c>
      <c r="AN22" s="528" t="e">
        <f ca="1">CheckLength2(IF($B$2="mil",1,0.0254)*1450,O22,Q22,0)</f>
        <v>#NAME?</v>
      </c>
      <c r="AO22" s="528" t="str">
        <f>IF(AND($R22&gt;=IF($B$2="mil",1,0.0254)*500, $R22&lt;=IF($B$2="mil",1,0.0254)*6500),"Pass",IF($B$2="mil",1,0.0254)*6500-$R22)</f>
        <v>Pass</v>
      </c>
      <c r="AP22" s="528" t="str">
        <f>IF(AND($S22&gt;=IF($B$2="mil",1,0.0254)*500, $S22&lt;=IF($B$2="mil",1,0.0254)*7000),"Pass",IF($B$2="mil",1,0.0254)*7000-$S22)</f>
        <v>Pass</v>
      </c>
      <c r="AQ22" s="528" t="str">
        <f>IF(AND($X22&gt;=IF($B$2="mil",1,0.0254)*500, $X22&lt;=IF($B$2="mil",1,0.0254)*6500),"Pass",IF($B$2="mil",1,0.0254)*6500-$X22)</f>
        <v>Pass</v>
      </c>
      <c r="AR22" s="529" t="str">
        <f>IF(AND($Y22&gt;=IF($B$2="mil",1,0.0254)*500, $Y22&lt;=IF($B$2="mil",1,0.0254)*7000),"Pass",IF($B$2="mil",1,0.0254)*7000-$Y22)</f>
        <v>Pass</v>
      </c>
      <c r="AS22" s="162" t="e">
        <f ca="1">IF(AND(V22="Pass",W22="Pass",AD22="Pass",AE22="Pass",AF22="Pass",AG22="Pass",AH22="Pass",AI22="Pass",AJ22="Pass",AK22="Pass",AL22="Pass",AM22="Pass",AO22="Pass",AP22="Pass",AQ22="Pass",AR22="Pass", AB22="Pass", AD22="Pass", AN22="Pass"),"Pass","Fail")</f>
        <v>#NAME?</v>
      </c>
    </row>
    <row r="23" spans="1:47" ht="48" customHeight="1">
      <c r="N23" s="3"/>
      <c r="O23" s="3"/>
      <c r="P23" s="329" t="s">
        <v>457</v>
      </c>
      <c r="Q23" s="330" t="s">
        <v>389</v>
      </c>
      <c r="R23" s="330" t="s">
        <v>390</v>
      </c>
      <c r="S23" s="550" t="str">
        <f>"Total MB Length to U2 (L0+L1+L2+L5+L6-1+L8-3) ["&amp;$B$2&amp;"]"</f>
        <v>Total MB Length to U2 (L0+L1+L2+L5+L6-1+L8-3) [mil]</v>
      </c>
      <c r="T23" s="550" t="str">
        <f>"Total Pad to Pin U2 (P1+L0+L1+L2+L5+L6-1+L8-3) ["&amp;$B$2&amp;"]"</f>
        <v>Total Pad to Pin U2 (P1+L0+L1+L2+L5+L6-1+L8-3) [mil]</v>
      </c>
      <c r="U23" s="551" t="str">
        <f>"Target Min Length to U2["&amp;$B$2&amp;"]"</f>
        <v>Target Min Length to U2[mil]</v>
      </c>
      <c r="V23" s="552" t="str">
        <f>"Target Max Length to U2 ["&amp;$B$2&amp;"]"</f>
        <v>Target Max Length to U2 [mil]</v>
      </c>
      <c r="W23" s="553" t="str">
        <f>"Routed Too Short to U2 [" &amp;$B$2&amp;"]"</f>
        <v>Routed Too Short to U2 [mil]</v>
      </c>
      <c r="X23" s="551" t="str">
        <f>"Routed Too Long to U2 [" &amp;$B$2&amp;"]"</f>
        <v>Routed Too Long to U2 [mil]</v>
      </c>
      <c r="Y23" s="550" t="str">
        <f>"Total MB Length to U6 (L0+L1+L2+L5+L6-1+L8-4) ["&amp;$B$2&amp;"]"</f>
        <v>Total MB Length to U6 (L0+L1+L2+L5+L6-1+L8-4) [mil]</v>
      </c>
      <c r="Z23" s="550" t="str">
        <f>"Total Pad to Pin U6 (P1+L0+L1+L2+L5+L6-1+L8-4) ["&amp;$B$2&amp;"]"</f>
        <v>Total Pad to Pin U6 (P1+L0+L1+L2+L5+L6-1+L8-4) [mil]</v>
      </c>
      <c r="AA23" s="551" t="str">
        <f>"Target Min Length to U6["&amp;$B$2&amp;"]"</f>
        <v>Target Min Length to U6[mil]</v>
      </c>
      <c r="AB23" s="552" t="str">
        <f>"Target Max Length to U6 ["&amp;$B$2&amp;"]"</f>
        <v>Target Max Length to U6 [mil]</v>
      </c>
      <c r="AC23" s="553" t="str">
        <f>"Routed Too Short to U6 [" &amp;$B$2&amp;"]"</f>
        <v>Routed Too Short to U6 [mil]</v>
      </c>
      <c r="AD23" s="551" t="str">
        <f>"Routed Too Long to U6 [" &amp;$B$2&amp;"]"</f>
        <v>Routed Too Long to U6 [mil]</v>
      </c>
      <c r="AE23" s="554"/>
      <c r="AF23" s="554"/>
      <c r="AG23" s="554"/>
      <c r="AH23" s="554"/>
      <c r="AI23" s="554"/>
      <c r="AJ23" s="554"/>
      <c r="AK23" s="554"/>
      <c r="AL23" s="555" t="s">
        <v>457</v>
      </c>
      <c r="AM23" s="556" t="str">
        <f>"L8-3 Length Test (&lt;=" &amp; IF($B$2="mil",1,0.0254)*200&amp;$B$2&amp;") or (L6-1+L8-3&lt;= "&amp;IF($B$2="mil",1,0.0254)*1200&amp;$B$2&amp;")"</f>
        <v>L8-3 Length Test (&lt;=200mil) or (L6-1+L8-3&lt;= 1200mil)</v>
      </c>
      <c r="AN23" s="556" t="str">
        <f>"L8-4 Length Test (&lt;=" &amp; IF($B$2="mil",1,0.0254)*200&amp;$B$2&amp;") or (L6-1+L8-4&lt;= "&amp;IF($B$2="mil",1,0.0254)*1200&amp;$B$2&amp;")"</f>
        <v>L8-4 Length Test (&lt;=200mil) or (L6-1+L8-4&lt;= 1200mil)</v>
      </c>
      <c r="AO23" s="552" t="str">
        <f>"Total Length to U2 (L0+L1+L2+L5+L6-1+L8-3)Test ("&amp;IF($B$2="mil",1,0.0254)*500&amp;"-"&amp;IF($B$2="mil",1,0.0254)*6500&amp;IF($B$2="mil","mil","mm")&amp;")"</f>
        <v>Total Length to U2 (L0+L1+L2+L5+L6-1+L8-3)Test (500-6500mil)</v>
      </c>
      <c r="AP23" s="552" t="str">
        <f>"Total Length to U2 (P1+L0+L1+L2+L5+L6-1+L8-3) Test (&lt;="&amp;IF($B$2="mil",1,25.4)*7000&amp;IF($B$2="mil","mil","mm")&amp;")"</f>
        <v>Total Length to U2 (P1+L0+L1+L2+L5+L6-1+L8-3) Test (&lt;=7000mil)</v>
      </c>
      <c r="AQ23" s="556" t="str">
        <f>"Total Length to U6 (L0+L1+L2+L5+L6-1+L8-4)Test ("&amp;IF($B$2="mil",1,0.0254)*500&amp;"-"&amp;IF($B$2="mil",1,0.0254)*6500&amp;IF($B$2="mil","mil","mm")&amp;")"</f>
        <v>Total Length to U6 (L0+L1+L2+L5+L6-1+L8-4)Test (500-6500mil)</v>
      </c>
      <c r="AR23" s="552" t="str">
        <f>"Total Length to U6 (P1+L0+L1+L2+L5+L6-1+L8-4) Test (&lt;="&amp;IF($B$2="mil",1,25.4)*7000&amp;IF($B$2="mil","mil","mm")&amp;")"</f>
        <v>Total Length to U6 (P1+L0+L1+L2+L5+L6-1+L8-4) Test (&lt;=7000mil)</v>
      </c>
      <c r="AT23" s="3"/>
      <c r="AU23" s="3"/>
    </row>
    <row r="24" spans="1:47">
      <c r="N24" s="3"/>
      <c r="O24" s="3"/>
      <c r="P24" s="155" t="s">
        <v>210</v>
      </c>
      <c r="Q24" s="156"/>
      <c r="R24" s="156"/>
      <c r="S24" s="156"/>
      <c r="T24" s="156"/>
      <c r="U24" s="156"/>
      <c r="V24" s="430"/>
      <c r="W24" s="156"/>
      <c r="X24" s="156"/>
      <c r="Y24" s="156"/>
      <c r="Z24" s="156"/>
      <c r="AA24" s="156"/>
      <c r="AB24" s="156"/>
      <c r="AC24" s="156"/>
      <c r="AD24" s="156"/>
      <c r="AE24" s="554"/>
      <c r="AF24" s="554"/>
      <c r="AG24" s="554"/>
      <c r="AH24" s="554"/>
      <c r="AI24" s="554"/>
      <c r="AJ24" s="554"/>
      <c r="AK24" s="554"/>
      <c r="AL24" s="155" t="s">
        <v>210</v>
      </c>
      <c r="AM24" s="156"/>
      <c r="AN24" s="156"/>
      <c r="AO24" s="156"/>
      <c r="AP24" s="156"/>
      <c r="AQ24" s="156"/>
      <c r="AR24" s="158"/>
      <c r="AT24" s="3"/>
      <c r="AU24" s="3"/>
    </row>
    <row r="25" spans="1:47">
      <c r="N25" s="3"/>
      <c r="O25" s="3"/>
      <c r="P25" s="263" t="s">
        <v>214</v>
      </c>
      <c r="Q25" s="166"/>
      <c r="R25" s="166"/>
      <c r="S25" s="166"/>
      <c r="T25" s="558" t="s">
        <v>227</v>
      </c>
      <c r="U25" s="542">
        <v>4341.8317322834646</v>
      </c>
      <c r="V25" s="539">
        <v>4343.7611023622048</v>
      </c>
      <c r="W25" s="542"/>
      <c r="X25" s="168"/>
      <c r="Y25" s="166"/>
      <c r="Z25" s="558" t="s">
        <v>285</v>
      </c>
      <c r="AA25" s="542">
        <v>4348.3017322834648</v>
      </c>
      <c r="AB25" s="541">
        <v>4349.6811023622049</v>
      </c>
      <c r="AC25" s="542"/>
      <c r="AD25" s="168"/>
      <c r="AE25" s="554"/>
      <c r="AF25" s="554"/>
      <c r="AG25" s="554"/>
      <c r="AH25" s="554"/>
      <c r="AI25" s="554"/>
      <c r="AJ25" s="554"/>
      <c r="AK25" s="554"/>
      <c r="AL25" s="163" t="s">
        <v>214</v>
      </c>
      <c r="AM25" s="538"/>
      <c r="AN25" s="538"/>
      <c r="AO25" s="538"/>
      <c r="AP25" s="538"/>
      <c r="AQ25" s="538"/>
      <c r="AR25" s="539"/>
      <c r="AT25" s="3"/>
      <c r="AU25" s="3"/>
    </row>
    <row r="26" spans="1:47">
      <c r="N26" s="3"/>
      <c r="O26" s="3"/>
      <c r="P26" s="205" t="s">
        <v>579</v>
      </c>
      <c r="Q26" s="181"/>
      <c r="R26" s="181"/>
      <c r="S26" s="181"/>
      <c r="T26" s="181"/>
      <c r="U26" s="179"/>
      <c r="V26" s="570"/>
      <c r="W26" s="531"/>
      <c r="X26" s="179"/>
      <c r="Y26" s="181"/>
      <c r="Z26" s="181"/>
      <c r="AA26" s="179"/>
      <c r="AB26" s="531"/>
      <c r="AC26" s="531"/>
      <c r="AD26" s="179"/>
      <c r="AE26" s="554"/>
      <c r="AF26" s="554"/>
      <c r="AG26" s="554"/>
      <c r="AH26" s="554"/>
      <c r="AI26" s="554"/>
      <c r="AJ26" s="554"/>
      <c r="AK26" s="554"/>
      <c r="AL26" s="155" t="s">
        <v>579</v>
      </c>
      <c r="AM26" s="179"/>
      <c r="AN26" s="179"/>
      <c r="AO26" s="179"/>
      <c r="AP26" s="179"/>
      <c r="AQ26" s="179"/>
      <c r="AR26" s="273"/>
      <c r="AT26" s="3"/>
      <c r="AU26" s="3"/>
    </row>
    <row r="27" spans="1:47">
      <c r="N27" s="3"/>
      <c r="O27" s="3"/>
      <c r="P27" s="185" t="s">
        <v>25</v>
      </c>
      <c r="Q27" s="272">
        <v>71.86</v>
      </c>
      <c r="R27" s="272">
        <v>142.6</v>
      </c>
      <c r="S27" s="545">
        <f>SUM($E20:$G20,$L20,$M20,$Q27)</f>
        <v>4325.9399999999996</v>
      </c>
      <c r="T27" s="534">
        <f>$S27+IF($B$2="mil",1,0.0254)*$C20</f>
        <v>4791.9399999999996</v>
      </c>
      <c r="U27" s="524">
        <v>4343.7611023622048</v>
      </c>
      <c r="V27" s="547">
        <v>6341.8317322834646</v>
      </c>
      <c r="W27" s="546" t="str">
        <f>IF($T27&lt;$U27,$U27-$T27,"Pass")</f>
        <v>Pass</v>
      </c>
      <c r="X27" s="547" t="str">
        <f>IF($T27&gt;$V27,$T27-$V27,"Pass")</f>
        <v>Pass</v>
      </c>
      <c r="Y27" s="545">
        <f>SUM($E20:$G20,$L20,$M20,$R27)</f>
        <v>4396.68</v>
      </c>
      <c r="Z27" s="534">
        <f>$Y27+IF($B$2="mil",1,0.0254)*$C20</f>
        <v>4862.68</v>
      </c>
      <c r="AA27" s="524">
        <v>4349.6811023622049</v>
      </c>
      <c r="AB27" s="524">
        <v>6348.3017322834648</v>
      </c>
      <c r="AC27" s="546" t="str">
        <f>IF($Z27&lt;$AA27,$AA27-$Z27,"Pass")</f>
        <v>Pass</v>
      </c>
      <c r="AD27" s="547" t="str">
        <f>IF($Z27&gt;$AB27,$Z27-$AB27,"Pass")</f>
        <v>Pass</v>
      </c>
      <c r="AE27" s="554"/>
      <c r="AF27" s="554"/>
      <c r="AG27" s="554"/>
      <c r="AH27" s="554"/>
      <c r="AI27" s="554"/>
      <c r="AJ27" s="554"/>
      <c r="AK27" s="554"/>
      <c r="AL27" s="185" t="s">
        <v>25</v>
      </c>
      <c r="AM27" s="528" t="e">
        <f ca="1">CheckLength2(IF($B$2="mil",1,0.0254)*1200,M20,Q27,0)</f>
        <v>#NAME?</v>
      </c>
      <c r="AN27" s="528" t="e">
        <f ca="1">CheckLength2(IF($B$2="mil",1,0.0254)*1200,M20,R27,0)</f>
        <v>#NAME?</v>
      </c>
      <c r="AO27" s="528" t="str">
        <f>IF(AND(S27&gt;=IF($B$2="mil",1,0.0254)*500, $S27&lt;=IF($B$2="mil",1,0.0254)*6500),"Pass",IF($B$2="mil",1,0.0254)*6500-$S27)</f>
        <v>Pass</v>
      </c>
      <c r="AP27" s="560" t="str">
        <f>IF(AND($T27&gt;=IF($B$2="mil",1,0.0254)*500, $T27&lt;=IF($B$2="mil",1,0.0254)*7000),"Pass",IF($B$2="mil",1,0.0254)*7000-$T27)</f>
        <v>Pass</v>
      </c>
      <c r="AQ27" s="528" t="str">
        <f>IF(AND($Y27&gt;=IF($B$2="mil",1,0.0254)*500, $Y27&lt;=IF($B$2="mil",1,0.0254)*6500),"Pass",IF($B$2="mil",1,0.0254)*6500-$Y27)</f>
        <v>Pass</v>
      </c>
      <c r="AR27" s="529" t="str">
        <f>IF(AND($Z27&gt;=IF($B$2="mil",1,0.0254)*500, $Z27&lt;=IF($B$2="mil",1,0.0254)*7000),"Pass",IF($B$2="mil",1,0.0254)*7000-$Z27)</f>
        <v>Pass</v>
      </c>
      <c r="AS27" s="162" t="e">
        <f ca="1">IF(AND(W27="Pass",X27="Pass",AM27="Pass",AN27="Pass", AO27="Pass",AP27="Pass",AQ27="Pass",AR27="Pass", AC27="Pass", AD27="Pass"),"Pass","Fail")</f>
        <v>#NAME?</v>
      </c>
      <c r="AT27" t="e">
        <f ca="1">IF(AND(AS27="Pass", AS28="Pass", AS29="Pass"),"Pass","Fail")</f>
        <v>#NAME?</v>
      </c>
      <c r="AU27" s="162"/>
    </row>
    <row r="28" spans="1:47">
      <c r="N28" s="3"/>
      <c r="O28" s="3"/>
      <c r="P28" s="240" t="s">
        <v>27</v>
      </c>
      <c r="Q28" s="272">
        <v>116.96</v>
      </c>
      <c r="R28" s="272">
        <v>180.68</v>
      </c>
      <c r="S28" s="545">
        <f>SUM($E21:$G21,$L21,$M21,$Q28)</f>
        <v>4362.4000000000005</v>
      </c>
      <c r="T28" s="534">
        <f>$S28+IF($B$2="mil",1,0.0254)*$C21</f>
        <v>4742.4000000000005</v>
      </c>
      <c r="U28" s="524">
        <v>4343.7611023622048</v>
      </c>
      <c r="V28" s="547">
        <v>6341.8317322834646</v>
      </c>
      <c r="W28" s="546" t="str">
        <f>IF($T28&lt;$U28,$U28-$T28,"Pass")</f>
        <v>Pass</v>
      </c>
      <c r="X28" s="547" t="str">
        <f>IF($T28&gt;$V28,$T28-$V28,"Pass")</f>
        <v>Pass</v>
      </c>
      <c r="Y28" s="545">
        <f>SUM($E21:$G21,$L21,$M21,$R28)</f>
        <v>4426.1200000000008</v>
      </c>
      <c r="Z28" s="534">
        <f>$Y28+IF($B$2="mil",1,0.0254)*$C21</f>
        <v>4806.1200000000008</v>
      </c>
      <c r="AA28" s="524">
        <v>4349.6811023622049</v>
      </c>
      <c r="AB28" s="524">
        <v>6348.3017322834648</v>
      </c>
      <c r="AC28" s="546" t="str">
        <f>IF($Z28&lt;$AA28,$AA28-$Z28,"Pass")</f>
        <v>Pass</v>
      </c>
      <c r="AD28" s="547" t="str">
        <f>IF($Z28&gt;$AB28,$Z28-$AB28,"Pass")</f>
        <v>Pass</v>
      </c>
      <c r="AE28" s="554"/>
      <c r="AF28" s="554"/>
      <c r="AG28" s="554"/>
      <c r="AH28" s="554"/>
      <c r="AI28" s="554"/>
      <c r="AJ28" s="554"/>
      <c r="AK28" s="554"/>
      <c r="AL28" s="240" t="s">
        <v>27</v>
      </c>
      <c r="AM28" s="528" t="e">
        <f ca="1">CheckLength2(IF($B$2="mil",1,0.0254)*1200,M21,Q28,0)</f>
        <v>#NAME?</v>
      </c>
      <c r="AN28" s="528" t="e">
        <f ca="1">CheckLength2(IF($B$2="mil",1,0.0254)*1200,M21,R28,0)</f>
        <v>#NAME?</v>
      </c>
      <c r="AO28" s="528" t="str">
        <f>IF(AND(S28&gt;=IF($B$2="mil",1,0.0254)*500, $S28&lt;=IF($B$2="mil",1,0.0254)*6500),"Pass",IF($B$2="mil",1,0.0254)*6500-$S28)</f>
        <v>Pass</v>
      </c>
      <c r="AP28" s="560" t="str">
        <f>IF(AND($T28&gt;=IF($B$2="mil",1,0.0254)*500, $T28&lt;=IF($B$2="mil",1,0.0254)*7000),"Pass",IF($B$2="mil",1,0.0254)*7000-$T28)</f>
        <v>Pass</v>
      </c>
      <c r="AQ28" s="528" t="str">
        <f>IF(AND($Y28&gt;=IF($B$2="mil",1,0.0254)*500, $Y28&lt;=IF($B$2="mil",1,0.0254)*6500),"Pass",IF($B$2="mil",1,0.0254)*6500-$Y28)</f>
        <v>Pass</v>
      </c>
      <c r="AR28" s="529" t="str">
        <f>IF(AND($Z28&gt;=IF($B$2="mil",1,0.0254)*500, $Z28&lt;=IF($B$2="mil",1,0.0254)*7000),"Pass",IF($B$2="mil",1,0.0254)*7000-$Z28)</f>
        <v>Pass</v>
      </c>
      <c r="AS28" s="162" t="e">
        <f ca="1">IF(AND(W28="Pass",X28="Pass",AM28="Pass",AN28="Pass", AO28="Pass",AP28="Pass",AQ28="Pass",AR28="Pass", AC28="Pass", AD28="Pass"),"Pass","Fail")</f>
        <v>#NAME?</v>
      </c>
      <c r="AU28" s="162"/>
    </row>
    <row r="29" spans="1:47">
      <c r="N29" s="3"/>
      <c r="O29" s="3"/>
      <c r="P29" s="240" t="s">
        <v>29</v>
      </c>
      <c r="Q29" s="272">
        <v>121.68</v>
      </c>
      <c r="R29" s="272">
        <v>178.07</v>
      </c>
      <c r="S29" s="545">
        <f>SUM($E22:$G22,$L22,$M22,$Q29)</f>
        <v>4295.3500000000004</v>
      </c>
      <c r="T29" s="534">
        <f>$S29+IF($B$2="mil",1,0.0254)*$C22</f>
        <v>4721.3500000000004</v>
      </c>
      <c r="U29" s="524">
        <v>4343.7611023622048</v>
      </c>
      <c r="V29" s="547">
        <v>6341.8317322834646</v>
      </c>
      <c r="W29" s="546" t="str">
        <f>IF($T29&lt;$U29,$U29-$T29,"Pass")</f>
        <v>Pass</v>
      </c>
      <c r="X29" s="547" t="str">
        <f>IF($T29&gt;$V29,$T29-$V29,"Pass")</f>
        <v>Pass</v>
      </c>
      <c r="Y29" s="545">
        <f>SUM($E22:$G22,$L22,$M22,$R29)</f>
        <v>4351.74</v>
      </c>
      <c r="Z29" s="534">
        <f>$Y29+IF($B$2="mil",1,0.0254)*$C22</f>
        <v>4777.74</v>
      </c>
      <c r="AA29" s="524">
        <v>4349.6811023622049</v>
      </c>
      <c r="AB29" s="524">
        <v>6348.3017322834648</v>
      </c>
      <c r="AC29" s="546" t="str">
        <f>IF($Z29&lt;$AA29,$AA29-$Z29,"Pass")</f>
        <v>Pass</v>
      </c>
      <c r="AD29" s="547" t="str">
        <f>IF($Z29&gt;$AB29,$Z29-$AB29,"Pass")</f>
        <v>Pass</v>
      </c>
      <c r="AE29" s="554"/>
      <c r="AF29" s="554"/>
      <c r="AG29" s="554"/>
      <c r="AH29" s="554"/>
      <c r="AI29" s="554"/>
      <c r="AJ29" s="554"/>
      <c r="AK29" s="554"/>
      <c r="AL29" s="240" t="s">
        <v>29</v>
      </c>
      <c r="AM29" s="528" t="e">
        <f ca="1">CheckLength2(IF($B$2="mil",1,0.0254)*1200,M22,Q29,0)</f>
        <v>#NAME?</v>
      </c>
      <c r="AN29" s="528" t="e">
        <f ca="1">CheckLength2(IF($B$2="mil",1,0.0254)*1200,M22,R29,0)</f>
        <v>#NAME?</v>
      </c>
      <c r="AO29" s="528" t="str">
        <f>IF(AND(S29&gt;=IF($B$2="mil",1,0.0254)*500, $S29&lt;=IF($B$2="mil",1,0.0254)*6500),"Pass",IF($B$2="mil",1,0.0254)*6500-$S29)</f>
        <v>Pass</v>
      </c>
      <c r="AP29" s="560" t="str">
        <f>IF(AND($T29&gt;=IF($B$2="mil",1,0.0254)*500, $T29&lt;=IF($B$2="mil",1,0.0254)*7000),"Pass",IF($B$2="mil",1,0.0254)*7000-$T29)</f>
        <v>Pass</v>
      </c>
      <c r="AQ29" s="528" t="str">
        <f>IF(AND($Y29&gt;=IF($B$2="mil",1,0.0254)*500, $Y29&lt;=IF($B$2="mil",1,0.0254)*6500),"Pass",IF($B$2="mil",1,0.0254)*6500-$Y29)</f>
        <v>Pass</v>
      </c>
      <c r="AR29" s="529" t="str">
        <f>IF(AND($Z29&gt;=IF($B$2="mil",1,0.0254)*500, $Z29&lt;=IF($B$2="mil",1,0.0254)*7000),"Pass",IF($B$2="mil",1,0.0254)*7000-$Z29)</f>
        <v>Pass</v>
      </c>
      <c r="AS29" s="162" t="e">
        <f ca="1">IF(AND(W29="Pass",X29="Pass",AM29="Pass",AN29="Pass", AO29="Pass",AP29="Pass",AQ29="Pass",AR29="Pass", AC29="Pass", AD29="Pass"),"Pass","Fail")</f>
        <v>#NAME?</v>
      </c>
      <c r="AU29" s="3"/>
    </row>
    <row r="30" spans="1:47" ht="42.75" customHeight="1">
      <c r="N30" s="329" t="s">
        <v>457</v>
      </c>
      <c r="O30" s="329"/>
      <c r="P30" s="144" t="s">
        <v>580</v>
      </c>
      <c r="Q30" s="144" t="s">
        <v>581</v>
      </c>
      <c r="R30" s="144" t="s">
        <v>582</v>
      </c>
      <c r="S30" s="550" t="str">
        <f>"Total MB Length to U3 (L0+L1+L2+L5+L6-2+L8-5) ["&amp;$B$2&amp;"]"</f>
        <v>Total MB Length to U3 (L0+L1+L2+L5+L6-2+L8-5) [mil]</v>
      </c>
      <c r="T30" s="550" t="str">
        <f>"Total Pad to Pin U3 (P1+L0+L1+L2+L5+L6-2+L8-5) ["&amp;$B$2&amp;"]"</f>
        <v>Total Pad to Pin U3 (P1+L0+L1+L2+L5+L6-2+L8-5) [mil]</v>
      </c>
      <c r="U30" s="551" t="str">
        <f>"Target Min Length to U3["&amp;$B$2&amp;"]"</f>
        <v>Target Min Length to U3[mil]</v>
      </c>
      <c r="V30" s="552" t="str">
        <f>"Target Max Length to U3 ["&amp;$B$2&amp;"]"</f>
        <v>Target Max Length to U3 [mil]</v>
      </c>
      <c r="W30" s="553" t="str">
        <f>"Routed Too Short to U3 [" &amp;$B$2&amp;"]"</f>
        <v>Routed Too Short to U3 [mil]</v>
      </c>
      <c r="X30" s="551" t="str">
        <f>"Routed Too Long to U3 [" &amp;$B$2&amp;"]"</f>
        <v>Routed Too Long to U3 [mil]</v>
      </c>
      <c r="Y30" s="550" t="str">
        <f>"Total MB Length to U7 (L0+L1+L2+L5+L6-2+L8-6) ["&amp;$B$2&amp;"]"</f>
        <v>Total MB Length to U7 (L0+L1+L2+L5+L6-2+L8-6) [mil]</v>
      </c>
      <c r="Z30" s="550" t="str">
        <f>"Total Pad to Pin U7 (P1+L0+L1+L2+L5+L6-2+L8-6) ["&amp;$B$2&amp;"]"</f>
        <v>Total Pad to Pin U7 (P1+L0+L1+L2+L5+L6-2+L8-6) [mil]</v>
      </c>
      <c r="AA30" s="551" t="str">
        <f>"Target Min Length to U7["&amp;$B$2&amp;"]"</f>
        <v>Target Min Length to U7[mil]</v>
      </c>
      <c r="AB30" s="552" t="str">
        <f>"Target Max Length to U7 ["&amp;$B$2&amp;"]"</f>
        <v>Target Max Length to U7 [mil]</v>
      </c>
      <c r="AC30" s="553" t="str">
        <f>"Routed Too Short to U7 [" &amp;$B$2&amp;"]"</f>
        <v>Routed Too Short to U7 [mil]</v>
      </c>
      <c r="AD30" s="551" t="str">
        <f>"Routed Too Long to U7 [" &amp;$B$2&amp;"]"</f>
        <v>Routed Too Long to U7 [mil]</v>
      </c>
      <c r="AE30" s="554"/>
      <c r="AF30" s="554"/>
      <c r="AG30" s="554"/>
      <c r="AH30" s="554"/>
      <c r="AI30" s="555" t="s">
        <v>457</v>
      </c>
      <c r="AJ30" s="556" t="str">
        <f>"L6-2 Length Test (&lt;=" &amp; IF($B$2="mil",1,0.0254)*1000&amp;$B$2&amp;")"</f>
        <v>L6-2 Length Test (&lt;=1000mil)</v>
      </c>
      <c r="AK30" s="554"/>
      <c r="AL30" s="555" t="s">
        <v>457</v>
      </c>
      <c r="AM30" s="556" t="str">
        <f>"L8-5 Length Test (&lt;=" &amp; IF($B$2="mil",1,0.0254)*200&amp;$B$2&amp;") or (L6-2+L8-5&lt;= "&amp;IF($B$2="mil",1,0.0254)*1200&amp;$B$2&amp;")"</f>
        <v>L8-5 Length Test (&lt;=200mil) or (L6-2+L8-5&lt;= 1200mil)</v>
      </c>
      <c r="AN30" s="556" t="str">
        <f>"L8-6 Length Test (&lt;=" &amp; IF($B$2="mil",1,0.0254)*200&amp;$B$2&amp;") or (L6-2+L8-6&lt;= "&amp;IF($B$2="mil",1,0.0254)*1200&amp;$B$2&amp;")"</f>
        <v>L8-6 Length Test (&lt;=200mil) or (L6-2+L8-6&lt;= 1200mil)</v>
      </c>
      <c r="AO30" s="552" t="str">
        <f>"Total Length to U3 (L0+L1+L2+L5+L6-2+L8-5) Test ("&amp;IF($B$2="mil",1,0.0254)*500&amp;"-"&amp;IF($B$2="mil",1,0.0254)*6500&amp;IF($B$2="mil","mil","mm")&amp;")"</f>
        <v>Total Length to U3 (L0+L1+L2+L5+L6-2+L8-5) Test (500-6500mil)</v>
      </c>
      <c r="AP30" s="552" t="str">
        <f>"Total Length to U3 (P1+L0+L1+L2+L5+L6-2+L8-5) Test (&lt;="&amp;IF($B$2="mil",1,25.4)*7000&amp;IF($B$2="mil","mil","mm")&amp;")"</f>
        <v>Total Length to U3 (P1+L0+L1+L2+L5+L6-2+L8-5) Test (&lt;=7000mil)</v>
      </c>
      <c r="AQ30" s="556" t="str">
        <f>"Total Length to U7 (L0+L1+L2+L5+L6-2+L8-6) Test ("&amp;IF($B$2="mil",1,0.0254)*500&amp;"-"&amp;IF($B$2="mil",1,0.0254)*6500&amp;IF($B$2="mil","mil","mm")&amp;")"</f>
        <v>Total Length to U7 (L0+L1+L2+L5+L6-2+L8-6) Test (500-6500mil)</v>
      </c>
      <c r="AR30" s="552" t="str">
        <f>"Total Length to U7 (P1+L0+L1+L2+L5+L6-2+L8-6) Test (&lt;="&amp;IF($B$2="mil",1,25.4)*7000&amp;IF($B$2="mil","mil","mm")&amp;")"</f>
        <v>Total Length to U7 (P1+L0+L1+L2+L5+L6-2+L8-6) Test (&lt;=7000mil)</v>
      </c>
      <c r="AS30" s="3"/>
      <c r="AU30" s="3"/>
    </row>
    <row r="31" spans="1:47" ht="11.25" customHeight="1">
      <c r="N31" s="155" t="s">
        <v>210</v>
      </c>
      <c r="O31" s="155"/>
      <c r="P31" s="156"/>
      <c r="Q31" s="156"/>
      <c r="R31" s="156"/>
      <c r="S31" s="156"/>
      <c r="T31" s="156"/>
      <c r="U31" s="156"/>
      <c r="V31" s="430"/>
      <c r="W31" s="156"/>
      <c r="X31" s="156"/>
      <c r="Y31" s="156"/>
      <c r="Z31" s="156"/>
      <c r="AA31" s="156"/>
      <c r="AB31" s="156"/>
      <c r="AC31" s="156"/>
      <c r="AD31" s="156"/>
      <c r="AE31" s="554"/>
      <c r="AF31" s="554"/>
      <c r="AG31" s="554"/>
      <c r="AH31" s="554"/>
      <c r="AI31" s="155" t="s">
        <v>210</v>
      </c>
      <c r="AJ31" s="156"/>
      <c r="AK31" s="554"/>
      <c r="AL31" s="155" t="s">
        <v>210</v>
      </c>
      <c r="AM31" s="156"/>
      <c r="AN31" s="156"/>
      <c r="AO31" s="156"/>
      <c r="AP31" s="158"/>
      <c r="AQ31" s="156"/>
      <c r="AR31" s="158"/>
      <c r="AS31" s="3"/>
      <c r="AU31" s="3"/>
    </row>
    <row r="32" spans="1:47" ht="12" customHeight="1">
      <c r="N32" s="263" t="s">
        <v>214</v>
      </c>
      <c r="O32" s="263"/>
      <c r="P32" s="166"/>
      <c r="Q32" s="166"/>
      <c r="R32" s="166"/>
      <c r="S32" s="166"/>
      <c r="T32" s="558" t="s">
        <v>226</v>
      </c>
      <c r="U32" s="542">
        <v>4646.5817322834646</v>
      </c>
      <c r="V32" s="539">
        <v>4648.851732283465</v>
      </c>
      <c r="W32" s="542"/>
      <c r="X32" s="168"/>
      <c r="Y32" s="166"/>
      <c r="Z32" s="558" t="s">
        <v>286</v>
      </c>
      <c r="AA32" s="542">
        <v>4665.351732283465</v>
      </c>
      <c r="AB32" s="541">
        <v>4665.351732283465</v>
      </c>
      <c r="AC32" s="542"/>
      <c r="AD32" s="168"/>
      <c r="AE32" s="554"/>
      <c r="AF32" s="554"/>
      <c r="AG32" s="554"/>
      <c r="AH32" s="554"/>
      <c r="AI32" s="163" t="s">
        <v>214</v>
      </c>
      <c r="AJ32" s="538"/>
      <c r="AK32" s="554"/>
      <c r="AL32" s="163" t="s">
        <v>214</v>
      </c>
      <c r="AM32" s="538"/>
      <c r="AN32" s="538"/>
      <c r="AO32" s="538"/>
      <c r="AP32" s="539"/>
      <c r="AQ32" s="538"/>
      <c r="AR32" s="539"/>
      <c r="AS32" s="3"/>
      <c r="AU32" s="3"/>
    </row>
    <row r="33" spans="14:47" ht="12" customHeight="1">
      <c r="N33" s="205" t="s">
        <v>579</v>
      </c>
      <c r="O33" s="410"/>
      <c r="P33" s="181"/>
      <c r="Q33" s="181"/>
      <c r="R33" s="181"/>
      <c r="S33" s="181"/>
      <c r="T33" s="181"/>
      <c r="U33" s="179"/>
      <c r="V33" s="570"/>
      <c r="W33" s="531"/>
      <c r="X33" s="179"/>
      <c r="Y33" s="181"/>
      <c r="Z33" s="181"/>
      <c r="AA33" s="179"/>
      <c r="AB33" s="531"/>
      <c r="AC33" s="531"/>
      <c r="AD33" s="179"/>
      <c r="AE33" s="554"/>
      <c r="AF33" s="554"/>
      <c r="AG33" s="554"/>
      <c r="AH33" s="554"/>
      <c r="AI33" s="155" t="s">
        <v>579</v>
      </c>
      <c r="AJ33" s="179"/>
      <c r="AK33" s="554"/>
      <c r="AL33" s="155" t="s">
        <v>579</v>
      </c>
      <c r="AM33" s="179"/>
      <c r="AN33" s="179"/>
      <c r="AO33" s="179"/>
      <c r="AP33" s="273"/>
      <c r="AQ33" s="179"/>
      <c r="AR33" s="273"/>
      <c r="AS33" s="3"/>
      <c r="AU33" s="3"/>
    </row>
    <row r="34" spans="14:47" ht="12" customHeight="1">
      <c r="N34" s="185" t="s">
        <v>25</v>
      </c>
      <c r="O34" s="186"/>
      <c r="P34" s="272">
        <v>634.35</v>
      </c>
      <c r="Q34" s="272">
        <v>71.739999999999995</v>
      </c>
      <c r="R34" s="272">
        <v>140.41</v>
      </c>
      <c r="S34" s="545">
        <f>SUM($E20:$G20,$L20,$P34,$Q34)</f>
        <v>4318.41</v>
      </c>
      <c r="T34" s="534">
        <f>$S34+IF($B$2="mil",1,0.0254)*$C20</f>
        <v>4784.41</v>
      </c>
      <c r="U34" s="524">
        <v>4648.851732283465</v>
      </c>
      <c r="V34" s="547">
        <v>6646.5817322834646</v>
      </c>
      <c r="W34" s="546" t="str">
        <f>IF($T34&lt;$U34,$U34-$T34,"Pass")</f>
        <v>Pass</v>
      </c>
      <c r="X34" s="547" t="str">
        <f>IF($T34&gt;$V34,$T34-$V34,"Pass")</f>
        <v>Pass</v>
      </c>
      <c r="Y34" s="545">
        <f>SUM($E20:$G20,$L20,$P34,$R34)</f>
        <v>4387.08</v>
      </c>
      <c r="Z34" s="534">
        <f>$Y34+IF($B$2="mil",1,0.0254)*$C20</f>
        <v>4853.08</v>
      </c>
      <c r="AA34" s="524">
        <v>4665.351732283465</v>
      </c>
      <c r="AB34" s="524">
        <v>6665.351732283465</v>
      </c>
      <c r="AC34" s="546" t="str">
        <f>IF($Z34&lt;$AA34,$AA34-$Z34,"Pass")</f>
        <v>Pass</v>
      </c>
      <c r="AD34" s="547" t="str">
        <f>IF($Z34&gt;$AB34,$Z34-$AB34,"Pass")</f>
        <v>Pass</v>
      </c>
      <c r="AE34" s="554"/>
      <c r="AF34" s="554"/>
      <c r="AG34" s="554"/>
      <c r="AH34" s="554"/>
      <c r="AI34" s="185" t="s">
        <v>25</v>
      </c>
      <c r="AJ34" s="560" t="str">
        <f>IF(P34&lt;=IF($B$2="mil",1,0.0254)*1000,"Pass",IF($B$2="mil",1,0.0254)*1000-P34)</f>
        <v>Pass</v>
      </c>
      <c r="AK34" s="554"/>
      <c r="AL34" s="185" t="s">
        <v>25</v>
      </c>
      <c r="AM34" s="528" t="e">
        <f ca="1">CheckLength2(IF($B$2="mil",1,0.0254)*1200,P34,Q34,0)</f>
        <v>#NAME?</v>
      </c>
      <c r="AN34" s="528" t="e">
        <f ca="1">CheckLength2(IF($B$2="mil",1,0.0254)*1200,P34,R34,0)</f>
        <v>#NAME?</v>
      </c>
      <c r="AO34" s="528" t="str">
        <f>IF(AND(S34&gt;=IF($B$2="mil",1,0.0254)*500, $S34&lt;=IF($B$2="mil",1,0.0254)*6500),"Pass",IF($B$2="mil",1,0.0254)*6500-$S34)</f>
        <v>Pass</v>
      </c>
      <c r="AP34" s="560" t="str">
        <f>IF(AND($T34&gt;=IF($B$2="mil",1,0.0254)*500, $T34&lt;=IF($B$2="mil",1,0.0254)*7000),"Pass",IF($B$2="mil",1,0.0254)*7000-$T34)</f>
        <v>Pass</v>
      </c>
      <c r="AQ34" s="528" t="str">
        <f>IF(AND($Y34&gt;=IF($B$2="mil",1,0.0254)*500, $Y34&lt;=IF($B$2="mil",1,0.0254)*6500),"Pass",IF($B$2="mil",1,0.0254)*6500-$Y34)</f>
        <v>Pass</v>
      </c>
      <c r="AR34" s="529" t="str">
        <f>IF(AND($Z34&gt;=IF($B$2="mil",1,0.0254)*500, $Z34&lt;=IF($B$2="mil",1,0.0254)*7000),"Pass",IF($B$2="mil",1,0.0254)*7000-$Z34)</f>
        <v>Pass</v>
      </c>
      <c r="AS34" s="162" t="e">
        <f ca="1">IF(AND(W34="Pass",X34="Pass",AM34="Pass",AO34="Pass",AP34="Pass",AQ34="Pass",AR34="Pass", AC34="Pass", AD34="Pass", AJ34="Pass", AN34="Pass"),"Pass","Fail")</f>
        <v>#NAME?</v>
      </c>
      <c r="AT34" t="e">
        <f ca="1">IF(AND(AS34="Pass", AS36="Pass", AS35="Pass"),"Pass","Fail")</f>
        <v>#NAME?</v>
      </c>
      <c r="AU34" s="162"/>
    </row>
    <row r="35" spans="14:47" ht="12.75" customHeight="1">
      <c r="N35" s="240" t="s">
        <v>27</v>
      </c>
      <c r="O35" s="243"/>
      <c r="P35" s="272">
        <v>503.87</v>
      </c>
      <c r="Q35" s="272">
        <v>116.96</v>
      </c>
      <c r="R35" s="272">
        <v>180.68</v>
      </c>
      <c r="S35" s="545">
        <f>SUM($E21:$G21,$L21,$P35,$Q35)</f>
        <v>4330.1900000000005</v>
      </c>
      <c r="T35" s="534">
        <f>$S35+IF($B$2="mil",1,0.0254)*$C21</f>
        <v>4710.1900000000005</v>
      </c>
      <c r="U35" s="524">
        <v>4648.851732283465</v>
      </c>
      <c r="V35" s="547">
        <v>6646.5817322834646</v>
      </c>
      <c r="W35" s="546" t="str">
        <f>IF($T35&lt;$U35,$U35-$T35,"Pass")</f>
        <v>Pass</v>
      </c>
      <c r="X35" s="547" t="str">
        <f>IF($T35&gt;$V35,$T35-$V35,"Pass")</f>
        <v>Pass</v>
      </c>
      <c r="Y35" s="545">
        <f>SUM($E21:$G21,$L21,$P35,$R35)</f>
        <v>4393.9100000000008</v>
      </c>
      <c r="Z35" s="534">
        <f>$Y35+IF($B$2="mil",1,0.0254)*$C21</f>
        <v>4773.9100000000008</v>
      </c>
      <c r="AA35" s="524">
        <v>4665.351732283465</v>
      </c>
      <c r="AB35" s="524">
        <v>6665.351732283465</v>
      </c>
      <c r="AC35" s="546" t="str">
        <f>IF($Z35&lt;$AA35,$AA35-$Z35,"Pass")</f>
        <v>Pass</v>
      </c>
      <c r="AD35" s="547" t="str">
        <f>IF($Z35&gt;$AB35,$Z35-$AB35,"Pass")</f>
        <v>Pass</v>
      </c>
      <c r="AE35" s="554"/>
      <c r="AF35" s="554"/>
      <c r="AG35" s="554"/>
      <c r="AH35" s="554"/>
      <c r="AI35" s="240" t="s">
        <v>27</v>
      </c>
      <c r="AJ35" s="560" t="str">
        <f>IF(P35&lt;=IF($B$2="mil",1,0.0254)*1000,"Pass",IF($B$2="mil",1,0.0254)*1000-P35)</f>
        <v>Pass</v>
      </c>
      <c r="AK35" s="554"/>
      <c r="AL35" s="240" t="s">
        <v>27</v>
      </c>
      <c r="AM35" s="528" t="e">
        <f ca="1">CheckLength2(IF($B$2="mil",1,0.0254)*1200,P35,Q35,0)</f>
        <v>#NAME?</v>
      </c>
      <c r="AN35" s="528" t="e">
        <f ca="1">CheckLength2(IF($B$2="mil",1,0.0254)*1200,P35,R35,0)</f>
        <v>#NAME?</v>
      </c>
      <c r="AO35" s="528" t="str">
        <f>IF(AND(S35&gt;=IF($B$2="mil",1,0.0254)*500, $S35&lt;=IF($B$2="mil",1,0.0254)*6500),"Pass",IF($B$2="mil",1,0.0254)*6500-$S35)</f>
        <v>Pass</v>
      </c>
      <c r="AP35" s="560" t="str">
        <f>IF(AND($T35&gt;=IF($B$2="mil",1,0.0254)*500, $T35&lt;=IF($B$2="mil",1,0.0254)*7000),"Pass",IF($B$2="mil",1,0.0254)*7000-$T35)</f>
        <v>Pass</v>
      </c>
      <c r="AQ35" s="528" t="str">
        <f>IF(AND($Y35&gt;=IF($B$2="mil",1,0.0254)*500, $Y35&lt;=IF($B$2="mil",1,0.0254)*6500),"Pass",IF($B$2="mil",1,0.0254)*6500-$Y35)</f>
        <v>Pass</v>
      </c>
      <c r="AR35" s="529" t="str">
        <f>IF(AND($Z35&gt;=IF($B$2="mil",1,0.0254)*500, $Z35&lt;=IF($B$2="mil",1,0.0254)*7000),"Pass",IF($B$2="mil",1,0.0254)*7000-$Z35)</f>
        <v>Pass</v>
      </c>
      <c r="AS35" s="162" t="e">
        <f ca="1">IF(AND(W35="Pass",X35="Pass",AM35="Pass",AO35="Pass",AP35="Pass",AQ35="Pass",AR35="Pass", AC35="Pass", AD35="Pass", AJ35="Pass", AN35="Pass"),"Pass","Fail")</f>
        <v>#NAME?</v>
      </c>
      <c r="AU35" s="162"/>
    </row>
    <row r="36" spans="14:47" ht="10.5" customHeight="1">
      <c r="N36" s="240" t="s">
        <v>29</v>
      </c>
      <c r="O36" s="243"/>
      <c r="P36" s="272">
        <v>501.42</v>
      </c>
      <c r="Q36" s="272">
        <v>121.68</v>
      </c>
      <c r="R36" s="272">
        <v>178.07</v>
      </c>
      <c r="S36" s="545">
        <f>SUM($E22:$G22,$L22,$P36,$Q36)</f>
        <v>4286.1500000000005</v>
      </c>
      <c r="T36" s="534">
        <f>$S36+IF($B$2="mil",1,0.0254)*$C22</f>
        <v>4712.1500000000005</v>
      </c>
      <c r="U36" s="524">
        <v>4648.851732283465</v>
      </c>
      <c r="V36" s="547">
        <v>6646.5817322834646</v>
      </c>
      <c r="W36" s="546" t="str">
        <f>IF($T36&lt;$U36,$U36-$T36,"Pass")</f>
        <v>Pass</v>
      </c>
      <c r="X36" s="547" t="str">
        <f>IF($T36&gt;$V36,$T36-$V36,"Pass")</f>
        <v>Pass</v>
      </c>
      <c r="Y36" s="545">
        <f>SUM($E22:$G22,$L22,$P36,$R36)</f>
        <v>4342.54</v>
      </c>
      <c r="Z36" s="534">
        <f>$Y36+IF($B$2="mil",1,0.0254)*$C22</f>
        <v>4768.54</v>
      </c>
      <c r="AA36" s="524">
        <v>4665.351732283465</v>
      </c>
      <c r="AB36" s="524">
        <v>6665.351732283465</v>
      </c>
      <c r="AC36" s="546" t="str">
        <f>IF($Z36&lt;$AA36,$AA36-$Z36,"Pass")</f>
        <v>Pass</v>
      </c>
      <c r="AD36" s="547" t="str">
        <f>IF($Z36&gt;$AB36,$Z36-$AB36,"Pass")</f>
        <v>Pass</v>
      </c>
      <c r="AE36" s="554"/>
      <c r="AF36" s="554"/>
      <c r="AG36" s="554"/>
      <c r="AH36" s="554"/>
      <c r="AI36" s="240" t="s">
        <v>29</v>
      </c>
      <c r="AJ36" s="560" t="str">
        <f>IF(P36&lt;=IF($B$2="mil",1,0.0254)*1000,"Pass",IF($B$2="mil",1,0.0254)*1000-P36)</f>
        <v>Pass</v>
      </c>
      <c r="AK36" s="554"/>
      <c r="AL36" s="240" t="s">
        <v>29</v>
      </c>
      <c r="AM36" s="528" t="e">
        <f ca="1">CheckLength2(IF($B$2="mil",1,0.0254)*1200,P36,Q36,0)</f>
        <v>#NAME?</v>
      </c>
      <c r="AN36" s="528" t="e">
        <f ca="1">CheckLength2(IF($B$2="mil",1,0.0254)*1200,P36,R36,0)</f>
        <v>#NAME?</v>
      </c>
      <c r="AO36" s="528" t="str">
        <f>IF(AND(S36&gt;=IF($B$2="mil",1,0.0254)*500, $S36&lt;=IF($B$2="mil",1,0.0254)*6500),"Pass",IF($B$2="mil",1,0.0254)*6500-$S36)</f>
        <v>Pass</v>
      </c>
      <c r="AP36" s="560" t="str">
        <f>IF(AND($T36&gt;=IF($B$2="mil",1,0.0254)*500, $T36&lt;=IF($B$2="mil",1,0.0254)*7000),"Pass",IF($B$2="mil",1,0.0254)*7000-$T36)</f>
        <v>Pass</v>
      </c>
      <c r="AQ36" s="528" t="str">
        <f>IF(AND($Y36&gt;=IF($B$2="mil",1,0.0254)*500, $Y36&lt;=IF($B$2="mil",1,0.0254)*6500),"Pass",IF($B$2="mil",1,0.0254)*6500-$Y36)</f>
        <v>Pass</v>
      </c>
      <c r="AR36" s="529" t="str">
        <f>IF(AND($Z36&gt;=IF($B$2="mil",1,0.0254)*500, $Z36&lt;=IF($B$2="mil",1,0.0254)*7000),"Pass",IF($B$2="mil",1,0.0254)*7000-$Z36)</f>
        <v>Pass</v>
      </c>
      <c r="AS36" s="162" t="e">
        <f ca="1">IF(AND(W36="Pass",X36="Pass",AM36="Pass",AO36="Pass",AP36="Pass",AQ36="Pass",AR36="Pass", AC36="Pass", AD36="Pass", AJ36="Pass", AN36="Pass"),"Pass","Fail")</f>
        <v>#NAME?</v>
      </c>
      <c r="AU36" s="3"/>
    </row>
    <row r="37" spans="14:47" ht="46.5" customHeight="1">
      <c r="N37" s="329" t="s">
        <v>457</v>
      </c>
      <c r="O37" s="329"/>
      <c r="P37" s="144" t="s">
        <v>583</v>
      </c>
      <c r="Q37" s="144" t="s">
        <v>584</v>
      </c>
      <c r="R37" s="144" t="s">
        <v>585</v>
      </c>
      <c r="S37" s="550" t="str">
        <f>"Total MB Length to U4 (L0+L1+L2+L5+L6-2+L7-2+L8-7) ["&amp;$B$2&amp;"]"</f>
        <v>Total MB Length to U4 (L0+L1+L2+L5+L6-2+L7-2+L8-7) [mil]</v>
      </c>
      <c r="T37" s="550" t="str">
        <f>"Total Pad to Pin U4 (P1+LL0+L1+L2+L5+L6-2+L7-2+L8-7) ["&amp;$B$2&amp;"]"</f>
        <v>Total Pad to Pin U4 (P1+LL0+L1+L2+L5+L6-2+L7-2+L8-7) [mil]</v>
      </c>
      <c r="U37" s="551" t="str">
        <f>"Target Min Length  to U4["&amp;$B$2&amp;"]"</f>
        <v>Target Min Length  to U4[mil]</v>
      </c>
      <c r="V37" s="552" t="str">
        <f>"Target Max Length  to U4 ["&amp;$B$2&amp;"]"</f>
        <v>Target Max Length  to U4 [mil]</v>
      </c>
      <c r="W37" s="553" t="str">
        <f>"Routed Too Short to U4 [" &amp;$B$2&amp;"]"</f>
        <v>Routed Too Short to U4 [mil]</v>
      </c>
      <c r="X37" s="551" t="str">
        <f>"Routed Too Long to U4 [" &amp;$B$2&amp;"]"</f>
        <v>Routed Too Long to U4 [mil]</v>
      </c>
      <c r="Y37" s="550" t="str">
        <f>"Total MB Length to U8 (L0+L1+L2+L5+L6-2+L7-2+L8-8) ["&amp;$B$2&amp;"]"</f>
        <v>Total MB Length to U8 (L0+L1+L2+L5+L6-2+L7-2+L8-8) [mil]</v>
      </c>
      <c r="Z37" s="550" t="str">
        <f>"Total Pad to Pin U8 (P1+L0+L1+L2+L5+L6-2+L7-2+L8-8) ["&amp;$B$2&amp;"]"</f>
        <v>Total Pad to Pin U8 (P1+L0+L1+L2+L5+L6-2+L7-2+L8-8) [mil]</v>
      </c>
      <c r="AA37" s="551" t="str">
        <f>"Target Min Length  to U8["&amp;$B$2&amp;"]"</f>
        <v>Target Min Length  to U8[mil]</v>
      </c>
      <c r="AB37" s="552" t="str">
        <f>"Target Max Length  to U8 ["&amp;$B$2&amp;"]"</f>
        <v>Target Max Length  to U8 [mil]</v>
      </c>
      <c r="AC37" s="553" t="str">
        <f>"Routed Too Short to U8 [" &amp;$B$2&amp;"]"</f>
        <v>Routed Too Short to U8 [mil]</v>
      </c>
      <c r="AD37" s="551" t="str">
        <f>"Routed Too Long to U8 [" &amp;$B$2&amp;"]"</f>
        <v>Routed Too Long to U8 [mil]</v>
      </c>
      <c r="AE37" s="554"/>
      <c r="AF37" s="554"/>
      <c r="AG37" s="554"/>
      <c r="AH37" s="554"/>
      <c r="AI37" s="554"/>
      <c r="AJ37" s="554"/>
      <c r="AK37" s="568" t="s">
        <v>457</v>
      </c>
      <c r="AL37" s="552" t="str">
        <f>"L7-2 Length Test (&lt;=" &amp; IF($B$2="mil",1,0.0254)*1250&amp;$B$2&amp;")"</f>
        <v>L7-2 Length Test (&lt;=1250mil)</v>
      </c>
      <c r="AM37" s="556" t="str">
        <f>"L8-7 Length Test (&lt;=" &amp; IF($B$2="mil",1,0.0254)*200&amp;$B$2&amp;") or (L7-2+L8-7&lt;= "&amp;IF($B$2="mil",1,0.0254)*1450&amp;$B$2&amp;")"</f>
        <v>L8-7 Length Test (&lt;=200mil) or (L7-2+L8-7&lt;= 1450mil)</v>
      </c>
      <c r="AN37" s="556" t="str">
        <f>"L8-8 Length Test (&lt;=" &amp; IF($B$2="mil",1,0.0254)*200&amp;$B$2&amp;") or (L7-2+L8-8&lt;= "&amp;IF($B$2="mil",1,0.0254)*1450&amp;$B$2&amp;")"</f>
        <v>L8-8 Length Test (&lt;=200mil) or (L7-2+L8-8&lt;= 1450mil)</v>
      </c>
      <c r="AO37" s="552" t="str">
        <f>"Total Length to U4 (L0+L1+L2+L5+L6-2+L7-2+L8-7) Test ("&amp;IF($B$2="mil",1,0.0254)*500&amp;"-"&amp;IF($B$2="mil",1,0.0254)*6500&amp;IF($B$2="mil","mil","mm")&amp;")"</f>
        <v>Total Length to U4 (L0+L1+L2+L5+L6-2+L7-2+L8-7) Test (500-6500mil)</v>
      </c>
      <c r="AP37" s="552" t="str">
        <f>"Total Length to U4 (P1+L0+L1+L2+L5+L6-2+L7-2+L8-7) Test (&lt;="&amp;IF($B$2="mil",1,25.4)*7000&amp;IF($B$2="mil","mil","mm")&amp;")"</f>
        <v>Total Length to U4 (P1+L0+L1+L2+L5+L6-2+L7-2+L8-7) Test (&lt;=7000mil)</v>
      </c>
      <c r="AQ37" s="556" t="str">
        <f>"Total Length to U8 (L0+L1+L2+L5+L6-2+L7-2+L8-8) Test ("&amp;IF($B$2="mil",1,0.0254)*500&amp;"-"&amp;IF($B$2="mil",1,0.0254)*6500&amp;IF($B$2="mil","mil","mm")&amp;")"</f>
        <v>Total Length to U8 (L0+L1+L2+L5+L6-2+L7-2+L8-8) Test (500-6500mil)</v>
      </c>
      <c r="AR37" s="552" t="str">
        <f>"Total Length to U8 (P1+L0+L1+L2+L5+L6-2+L7-2+L8-8) Test (&lt;="&amp;IF($B$2="mil",1,25.4)*7000&amp;IF($B$2="mil","mil","mm")&amp;")"</f>
        <v>Total Length to U8 (P1+L0+L1+L2+L5+L6-2+L7-2+L8-8) Test (&lt;=7000mil)</v>
      </c>
      <c r="AS37" s="3"/>
      <c r="AU37" s="3"/>
    </row>
    <row r="38" spans="14:47" ht="15.75" customHeight="1">
      <c r="N38" s="155" t="s">
        <v>210</v>
      </c>
      <c r="O38" s="155"/>
      <c r="P38" s="156"/>
      <c r="Q38" s="156"/>
      <c r="R38" s="156"/>
      <c r="S38" s="156"/>
      <c r="T38" s="156"/>
      <c r="U38" s="156"/>
      <c r="V38" s="430"/>
      <c r="W38" s="156"/>
      <c r="X38" s="156"/>
      <c r="Y38" s="156"/>
      <c r="Z38" s="156"/>
      <c r="AA38" s="156"/>
      <c r="AB38" s="156"/>
      <c r="AC38" s="156"/>
      <c r="AD38" s="156"/>
      <c r="AE38" s="554"/>
      <c r="AF38" s="554"/>
      <c r="AG38" s="554"/>
      <c r="AH38" s="554"/>
      <c r="AI38" s="554"/>
      <c r="AJ38" s="554"/>
      <c r="AK38" s="155" t="s">
        <v>210</v>
      </c>
      <c r="AL38" s="158"/>
      <c r="AM38" s="156"/>
      <c r="AN38" s="156"/>
      <c r="AO38" s="156"/>
      <c r="AP38" s="158"/>
      <c r="AQ38" s="156"/>
      <c r="AR38" s="158"/>
      <c r="AS38" s="3"/>
      <c r="AU38" s="3"/>
    </row>
    <row r="39" spans="14:47" ht="14.25" customHeight="1">
      <c r="N39" s="263" t="s">
        <v>214</v>
      </c>
      <c r="O39" s="263"/>
      <c r="P39" s="166"/>
      <c r="Q39" s="166"/>
      <c r="R39" s="166"/>
      <c r="S39" s="166"/>
      <c r="T39" s="558" t="s">
        <v>225</v>
      </c>
      <c r="U39" s="542">
        <v>4832.9417322834652</v>
      </c>
      <c r="V39" s="539">
        <v>4836.7017322834654</v>
      </c>
      <c r="W39" s="542"/>
      <c r="X39" s="168"/>
      <c r="Y39" s="166"/>
      <c r="Z39" s="558" t="s">
        <v>287</v>
      </c>
      <c r="AA39" s="542">
        <v>4813.2517322834647</v>
      </c>
      <c r="AB39" s="541">
        <v>4814.9817322834651</v>
      </c>
      <c r="AC39" s="542"/>
      <c r="AD39" s="168"/>
      <c r="AE39" s="554"/>
      <c r="AF39" s="554"/>
      <c r="AG39" s="554"/>
      <c r="AH39" s="554"/>
      <c r="AI39" s="554"/>
      <c r="AJ39" s="554"/>
      <c r="AK39" s="164" t="s">
        <v>214</v>
      </c>
      <c r="AL39" s="539"/>
      <c r="AM39" s="538"/>
      <c r="AN39" s="538"/>
      <c r="AO39" s="538"/>
      <c r="AP39" s="539"/>
      <c r="AQ39" s="538"/>
      <c r="AR39" s="539"/>
      <c r="AS39" s="3"/>
      <c r="AU39" s="3"/>
    </row>
    <row r="40" spans="14:47" ht="13.5" customHeight="1">
      <c r="N40" s="205" t="s">
        <v>579</v>
      </c>
      <c r="O40" s="410"/>
      <c r="P40" s="181"/>
      <c r="Q40" s="181"/>
      <c r="R40" s="181"/>
      <c r="S40" s="181"/>
      <c r="T40" s="181"/>
      <c r="U40" s="179"/>
      <c r="V40" s="570"/>
      <c r="W40" s="531"/>
      <c r="X40" s="179"/>
      <c r="Y40" s="181"/>
      <c r="Z40" s="181"/>
      <c r="AA40" s="179"/>
      <c r="AB40" s="531"/>
      <c r="AC40" s="531"/>
      <c r="AD40" s="179"/>
      <c r="AE40" s="554"/>
      <c r="AF40" s="554"/>
      <c r="AG40" s="554"/>
      <c r="AH40" s="554"/>
      <c r="AI40" s="554"/>
      <c r="AJ40" s="554"/>
      <c r="AK40" s="155" t="s">
        <v>579</v>
      </c>
      <c r="AL40" s="273"/>
      <c r="AM40" s="179"/>
      <c r="AN40" s="179"/>
      <c r="AO40" s="179"/>
      <c r="AP40" s="273"/>
      <c r="AQ40" s="179"/>
      <c r="AR40" s="273"/>
      <c r="AS40" s="3"/>
      <c r="AU40" s="3"/>
    </row>
    <row r="41" spans="14:47" ht="11.25" customHeight="1">
      <c r="N41" s="185" t="s">
        <v>25</v>
      </c>
      <c r="O41" s="186"/>
      <c r="P41" s="272">
        <v>661.48</v>
      </c>
      <c r="Q41" s="272">
        <v>71.86</v>
      </c>
      <c r="R41" s="272">
        <v>142.6</v>
      </c>
      <c r="S41" s="545">
        <f>SUM($E20:$G20,$L20,$P41,$P34,$Q41)</f>
        <v>4980.01</v>
      </c>
      <c r="T41" s="534">
        <f>$S41+IF($B$2="mil",1,0.0254)*$C20</f>
        <v>5446.01</v>
      </c>
      <c r="U41" s="524">
        <v>4836.7017322834654</v>
      </c>
      <c r="V41" s="547">
        <v>6832.9417322834652</v>
      </c>
      <c r="W41" s="546" t="str">
        <f>IF($T41&lt;$U41,$U41-$T41,"Pass")</f>
        <v>Pass</v>
      </c>
      <c r="X41" s="547" t="str">
        <f>IF($T41&gt;$V41,$T41-$V41,"Pass")</f>
        <v>Pass</v>
      </c>
      <c r="Y41" s="545">
        <f>SUM($E20:$G20,$L20,$P41,$P34,$R41)</f>
        <v>5050.7500000000009</v>
      </c>
      <c r="Z41" s="534">
        <f>$Y41+IF($B$2="mil",1,0.0254)*$C20</f>
        <v>5516.7500000000009</v>
      </c>
      <c r="AA41" s="524">
        <v>4814.9817322834651</v>
      </c>
      <c r="AB41" s="524">
        <v>6813.2517322834647</v>
      </c>
      <c r="AC41" s="546" t="str">
        <f>IF($Z41&lt;$AA41,$AA41-$Z41,"Pass")</f>
        <v>Pass</v>
      </c>
      <c r="AD41" s="547" t="str">
        <f>IF($Z41&gt;$AB41,$Z41-$AB41,"Pass")</f>
        <v>Pass</v>
      </c>
      <c r="AE41" s="554"/>
      <c r="AF41" s="554"/>
      <c r="AG41" s="554"/>
      <c r="AH41" s="554"/>
      <c r="AI41" s="554"/>
      <c r="AJ41" s="554"/>
      <c r="AK41" s="185" t="s">
        <v>25</v>
      </c>
      <c r="AL41" s="560" t="str">
        <f>IF(P41&lt;=IF($B$2="mil",1,0.0254)*1250,"Pass",IF($B$2="mil",1,0.0254)*1250-P41)</f>
        <v>Pass</v>
      </c>
      <c r="AM41" s="528" t="e">
        <f ca="1">CheckLength2(IF($B$2="mil",1,0.0254)*1450,P41,Q41,0)</f>
        <v>#NAME?</v>
      </c>
      <c r="AN41" s="528" t="e">
        <f ca="1">CheckLength2(IF($B$2="mil",1,0.0254)*1450,P41,R41,0)</f>
        <v>#NAME?</v>
      </c>
      <c r="AO41" s="528" t="str">
        <f>IF(AND(S41&gt;=IF($B$2="mil",1,0.0254)*500, $S41&lt;=IF($B$2="mil",1,0.0254)*6500),"Pass",IF($B$2="mil",1,0.0254)*6500-$S41)</f>
        <v>Pass</v>
      </c>
      <c r="AP41" s="560" t="str">
        <f>IF(AND($T41&gt;=IF($B$2="mil",1,0.0254)*500, $T41&lt;=IF($B$2="mil",1,0.0254)*7000),"Pass",IF($B$2="mil",1,0.0254)*7000-$T41)</f>
        <v>Pass</v>
      </c>
      <c r="AQ41" s="528" t="str">
        <f>IF(AND($Y41&gt;=IF($B$2="mil",1,0.0254)*500, $Y41&lt;=IF($B$2="mil",1,0.0254)*6500),"Pass",IF($B$2="mil",1,0.0254)*6500-$Y41)</f>
        <v>Pass</v>
      </c>
      <c r="AR41" s="529" t="str">
        <f>IF(AND($Z41&gt;=IF($B$2="mil",1,0.0254)*500, $Z41&lt;=IF($B$2="mil",1,0.0254)*7000),"Pass",IF($B$2="mil",1,0.0254)*7000-$Z41)</f>
        <v>Pass</v>
      </c>
      <c r="AS41" s="162" t="e">
        <f ca="1">IF(AND(W41="Pass",X41="Pass", AC41="Pass", AD41="Pass", AN41="Pass", AL41="Pass",AM41="Pass",AO41="Pass",AP41="Pass",AQ41="Pass",AR41="Pass"),"Pass","Fail")</f>
        <v>#NAME?</v>
      </c>
      <c r="AT41" t="e">
        <f ca="1">IF(AND(AS41="Pass", AS42="Pass", AS43="Pass"),"Pass","Fail")</f>
        <v>#NAME?</v>
      </c>
      <c r="AU41" s="162"/>
    </row>
    <row r="42" spans="14:47" ht="12" customHeight="1">
      <c r="N42" s="240" t="s">
        <v>27</v>
      </c>
      <c r="O42" s="243"/>
      <c r="P42" s="272">
        <v>674.02</v>
      </c>
      <c r="Q42" s="272">
        <v>116.96</v>
      </c>
      <c r="R42" s="272">
        <v>180.68</v>
      </c>
      <c r="S42" s="545">
        <f>SUM($E21:$G21,$L21,$P42,$P35,$Q42)</f>
        <v>5004.2100000000009</v>
      </c>
      <c r="T42" s="534">
        <f>$S42+IF($B$2="mil",1,0.0254)*$C21</f>
        <v>5384.2100000000009</v>
      </c>
      <c r="U42" s="524">
        <v>4836.7017322834654</v>
      </c>
      <c r="V42" s="547">
        <v>6832.9417322834652</v>
      </c>
      <c r="W42" s="546" t="str">
        <f>IF($T42&lt;$U42,$U42-$T42,"Pass")</f>
        <v>Pass</v>
      </c>
      <c r="X42" s="547" t="str">
        <f>IF($T42&gt;$V42,$T42-$V42,"Pass")</f>
        <v>Pass</v>
      </c>
      <c r="Y42" s="545">
        <f>SUM($E21:$G21,$L21,$P42,$P35,$R42)</f>
        <v>5067.9300000000012</v>
      </c>
      <c r="Z42" s="534">
        <f>$Y42+IF($B$2="mil",1,0.0254)*$C21</f>
        <v>5447.9300000000012</v>
      </c>
      <c r="AA42" s="524">
        <v>4814.9817322834651</v>
      </c>
      <c r="AB42" s="524">
        <v>6813.2517322834647</v>
      </c>
      <c r="AC42" s="546" t="str">
        <f>IF($Z42&lt;$AA42,$AA42-$Z42,"Pass")</f>
        <v>Pass</v>
      </c>
      <c r="AD42" s="547" t="str">
        <f>IF($Z42&gt;$AB42,$Z42-$AB42,"Pass")</f>
        <v>Pass</v>
      </c>
      <c r="AE42" s="554"/>
      <c r="AF42" s="554"/>
      <c r="AG42" s="554"/>
      <c r="AH42" s="554"/>
      <c r="AI42" s="554"/>
      <c r="AJ42" s="554"/>
      <c r="AK42" s="240" t="s">
        <v>27</v>
      </c>
      <c r="AL42" s="560" t="str">
        <f>IF(P42&lt;=IF($B$2="mil",1,0.0254)*1250,"Pass",IF($B$2="mil",1,0.0254)*1250-P42)</f>
        <v>Pass</v>
      </c>
      <c r="AM42" s="528" t="e">
        <f ca="1">CheckLength2(IF($B$2="mil",1,0.0254)*1450,P42,Q42,0)</f>
        <v>#NAME?</v>
      </c>
      <c r="AN42" s="528" t="e">
        <f ca="1">CheckLength2(IF($B$2="mil",1,0.0254)*1450,P42,R42,0)</f>
        <v>#NAME?</v>
      </c>
      <c r="AO42" s="528" t="str">
        <f>IF(AND(S42&gt;=IF($B$2="mil",1,0.0254)*500, $S42&lt;=IF($B$2="mil",1,0.0254)*6500),"Pass",IF($B$2="mil",1,0.0254)*6500-$S42)</f>
        <v>Pass</v>
      </c>
      <c r="AP42" s="560" t="str">
        <f>IF(AND($T42&gt;=IF($B$2="mil",1,0.0254)*500, $T42&lt;=IF($B$2="mil",1,0.0254)*7000),"Pass",IF($B$2="mil",1,0.0254)*7000-$T42)</f>
        <v>Pass</v>
      </c>
      <c r="AQ42" s="528" t="str">
        <f>IF(AND($Y42&gt;=IF($B$2="mil",1,0.0254)*500, $Y42&lt;=IF($B$2="mil",1,0.0254)*6500),"Pass",IF($B$2="mil",1,0.0254)*6500-$Y42)</f>
        <v>Pass</v>
      </c>
      <c r="AR42" s="529" t="str">
        <f>IF(AND($Z42&gt;=IF($B$2="mil",1,0.0254)*500, $Z42&lt;=IF($B$2="mil",1,0.0254)*7000),"Pass",IF($B$2="mil",1,0.0254)*7000-$Z42)</f>
        <v>Pass</v>
      </c>
      <c r="AS42" s="162" t="e">
        <f ca="1">IF(AND(W42="Pass",X42="Pass", AC42="Pass", AD42="Pass", AN42="Pass", AL42="Pass",AM42="Pass",AO42="Pass",AP42="Pass",AQ42="Pass",AR42="Pass"),"Pass","Fail")</f>
        <v>#NAME?</v>
      </c>
      <c r="AU42" s="162"/>
    </row>
    <row r="43" spans="14:47" ht="12" customHeight="1">
      <c r="N43" s="240" t="s">
        <v>29</v>
      </c>
      <c r="O43" s="243"/>
      <c r="P43" s="272">
        <v>674.02</v>
      </c>
      <c r="Q43" s="272">
        <v>121.68</v>
      </c>
      <c r="R43" s="272">
        <v>178.07</v>
      </c>
      <c r="S43" s="545">
        <f>SUM($E22:$G22,$L22,$P43,$P36,$Q43)</f>
        <v>4960.17</v>
      </c>
      <c r="T43" s="534">
        <f>$S43+IF($B$2="mil",1,0.0254)*$C22</f>
        <v>5386.17</v>
      </c>
      <c r="U43" s="524">
        <v>4836.7017322834654</v>
      </c>
      <c r="V43" s="547">
        <v>6832.9417322834652</v>
      </c>
      <c r="W43" s="546" t="str">
        <f>IF($T43&lt;$U43,$U43-$T43,"Pass")</f>
        <v>Pass</v>
      </c>
      <c r="X43" s="547" t="str">
        <f>IF($T43&gt;$V43,$T43-$V43,"Pass")</f>
        <v>Pass</v>
      </c>
      <c r="Y43" s="545">
        <f>SUM($E22:$G22,$L22,$P43,$P36,$R43)</f>
        <v>5016.5599999999995</v>
      </c>
      <c r="Z43" s="534">
        <f>$Y43+IF($B$2="mil",1,0.0254)*$C22</f>
        <v>5442.5599999999995</v>
      </c>
      <c r="AA43" s="524">
        <v>4814.9817322834651</v>
      </c>
      <c r="AB43" s="524">
        <v>6813.2517322834647</v>
      </c>
      <c r="AC43" s="546" t="str">
        <f>IF($Z43&lt;$AA43,$AA43-$Z43,"Pass")</f>
        <v>Pass</v>
      </c>
      <c r="AD43" s="547" t="str">
        <f>IF($Z43&gt;$AB43,$Z43-$AB43,"Pass")</f>
        <v>Pass</v>
      </c>
      <c r="AE43" s="554"/>
      <c r="AF43" s="554"/>
      <c r="AG43" s="554"/>
      <c r="AH43" s="554"/>
      <c r="AI43" s="554"/>
      <c r="AJ43" s="554"/>
      <c r="AK43" s="240" t="s">
        <v>29</v>
      </c>
      <c r="AL43" s="560" t="str">
        <f>IF(P43&lt;=IF($B$2="mil",1,0.0254)*1250,"Pass",IF($B$2="mil",1,0.0254)*1250-P43)</f>
        <v>Pass</v>
      </c>
      <c r="AM43" s="528" t="e">
        <f ca="1">CheckLength2(IF($B$2="mil",1,0.0254)*1450,P43,Q43,0)</f>
        <v>#NAME?</v>
      </c>
      <c r="AN43" s="528" t="e">
        <f ca="1">CheckLength2(IF($B$2="mil",1,0.0254)*1450,P43,R43,0)</f>
        <v>#NAME?</v>
      </c>
      <c r="AO43" s="528" t="str">
        <f>IF(AND(S43&gt;=IF($B$2="mil",1,0.0254)*500, $S43&lt;=IF($B$2="mil",1,0.0254)*6500),"Pass",IF($B$2="mil",1,0.0254)*6500-$S43)</f>
        <v>Pass</v>
      </c>
      <c r="AP43" s="560" t="str">
        <f>IF(AND($T43&gt;=IF($B$2="mil",1,0.0254)*500, $T43&lt;=IF($B$2="mil",1,0.0254)*7000),"Pass",IF($B$2="mil",1,0.0254)*7000-$T43)</f>
        <v>Pass</v>
      </c>
      <c r="AQ43" s="528" t="str">
        <f>IF(AND($Y43&gt;=IF($B$2="mil",1,0.0254)*500, $Y43&lt;=IF($B$2="mil",1,0.0254)*6500),"Pass",IF($B$2="mil",1,0.0254)*6500-$Y43)</f>
        <v>Pass</v>
      </c>
      <c r="AR43" s="529" t="str">
        <f>IF(AND($Z43&gt;=IF($B$2="mil",1,0.0254)*500, $Z43&lt;=IF($B$2="mil",1,0.0254)*7000),"Pass",IF($B$2="mil",1,0.0254)*7000-$Z43)</f>
        <v>Pass</v>
      </c>
      <c r="AS43" s="162" t="e">
        <f ca="1">IF(AND(W43="Pass",X43="Pass", AC43="Pass", AD43="Pass", AN43="Pass", AL43="Pass",AM43="Pass",AO43="Pass",AP43="Pass",AQ43="Pass",AR43="Pass"),"Pass","Fail")</f>
        <v>#NAME?</v>
      </c>
      <c r="AU43" s="3"/>
    </row>
    <row r="44" spans="14:47">
      <c r="V44" s="1"/>
    </row>
    <row r="45" spans="14:47">
      <c r="V45" s="1"/>
    </row>
    <row r="46" spans="14:47">
      <c r="V46" s="1"/>
    </row>
    <row r="47" spans="14:47">
      <c r="V47" s="1"/>
    </row>
    <row r="48" spans="14:47">
      <c r="V48" s="1"/>
    </row>
    <row r="49" spans="4:22">
      <c r="V49" s="1"/>
    </row>
    <row r="50" spans="4:22">
      <c r="V50" s="1"/>
    </row>
    <row r="51" spans="4:22">
      <c r="V51" s="1"/>
    </row>
    <row r="52" spans="4:22">
      <c r="V52" s="1"/>
    </row>
    <row r="53" spans="4:22">
      <c r="V53" s="1"/>
    </row>
    <row r="54" spans="4:22">
      <c r="E54" s="5"/>
      <c r="F54" s="679" t="s">
        <v>586</v>
      </c>
      <c r="G54" s="680" t="s">
        <v>587</v>
      </c>
      <c r="I54" s="6"/>
      <c r="V54" s="1"/>
    </row>
    <row r="55" spans="4:22">
      <c r="E55" s="5"/>
      <c r="F55" s="3"/>
      <c r="G55" s="79"/>
      <c r="H55" s="79"/>
      <c r="I55" s="6"/>
      <c r="V55" s="1"/>
    </row>
    <row r="56" spans="4:22">
      <c r="D56" s="377" t="s">
        <v>588</v>
      </c>
      <c r="E56" s="681" t="s">
        <v>589</v>
      </c>
      <c r="F56" s="681" t="s">
        <v>245</v>
      </c>
      <c r="G56" s="682" t="s">
        <v>251</v>
      </c>
      <c r="H56" s="682" t="s">
        <v>590</v>
      </c>
      <c r="I56" s="379" t="s">
        <v>588</v>
      </c>
      <c r="T56" s="1"/>
    </row>
    <row r="57" spans="4:22">
      <c r="D57" s="377" t="s">
        <v>588</v>
      </c>
      <c r="E57" s="681" t="s">
        <v>591</v>
      </c>
      <c r="F57" s="681" t="s">
        <v>246</v>
      </c>
      <c r="G57" s="682" t="s">
        <v>252</v>
      </c>
      <c r="H57" s="682" t="s">
        <v>592</v>
      </c>
      <c r="I57" s="379" t="s">
        <v>588</v>
      </c>
      <c r="T57" s="1"/>
    </row>
    <row r="58" spans="4:22">
      <c r="D58" s="377" t="s">
        <v>593</v>
      </c>
      <c r="E58" s="681" t="s">
        <v>594</v>
      </c>
      <c r="F58" s="681" t="s">
        <v>248</v>
      </c>
      <c r="G58" s="682" t="s">
        <v>253</v>
      </c>
      <c r="H58" s="682" t="s">
        <v>595</v>
      </c>
      <c r="I58" s="379" t="s">
        <v>593</v>
      </c>
      <c r="T58" s="1"/>
    </row>
    <row r="59" spans="4:22">
      <c r="D59" s="377" t="s">
        <v>593</v>
      </c>
      <c r="E59" s="681" t="s">
        <v>596</v>
      </c>
      <c r="F59" s="681" t="s">
        <v>247</v>
      </c>
      <c r="G59" s="682" t="s">
        <v>254</v>
      </c>
      <c r="H59" s="682" t="s">
        <v>597</v>
      </c>
      <c r="I59" s="379" t="s">
        <v>593</v>
      </c>
      <c r="T59" s="1"/>
    </row>
  </sheetData>
  <protectedRanges>
    <protectedRange sqref="K10:K11 K7:K8 K13:K14 D7:I8 D10:I11 D13:I14" name="DDR2Control_1"/>
    <protectedRange sqref="Q27:R29 P34:R36 P41:R43 I20:I22" name="DDR2_COMMAND_8LTB"/>
    <protectedRange sqref="E20:G22" name="DDR2Control_1_1"/>
    <protectedRange sqref="J20:J22" name="DDR2Control_1_2"/>
    <protectedRange sqref="L20:M22" name="DDR2Control_1_3"/>
    <protectedRange sqref="O20:P22" name="DDR2Control_1_5"/>
  </protectedRanges>
  <mergeCells count="2">
    <mergeCell ref="A1:E1"/>
    <mergeCell ref="F1:G1"/>
  </mergeCells>
  <phoneticPr fontId="25" type="noConversion"/>
  <conditionalFormatting sqref="AJ34:AJ36 W27:X29 U10:Z11 U7:Z8 R7:S8 R10:S11 R13:S14 AM34:AR36 AB20:AC22 V20:W22 AC27:AD29 AM27:AR29 W41:X43 AC41:AD43 U13:Z14 W34:X36 AC34:AD36 AE20:AR22 AL41:AR43">
    <cfRule type="cellIs" priority="1" stopIfTrue="1" operator="equal">
      <formula>"Pass"</formula>
    </cfRule>
    <cfRule type="cellIs" dxfId="59" priority="2" stopIfTrue="1" operator="notEqual">
      <formula>"Pass"</formula>
    </cfRule>
  </conditionalFormatting>
  <conditionalFormatting sqref="AD20:AD22 T10:T11 T7:T8 T13:T14">
    <cfRule type="cellIs" dxfId="58" priority="3" stopIfTrue="1" operator="equal">
      <formula>"Pass"</formula>
    </cfRule>
    <cfRule type="cellIs" dxfId="57" priority="4" stopIfTrue="1" operator="notEqual">
      <formula>"Pass"</formula>
    </cfRule>
  </conditionalFormatting>
  <conditionalFormatting sqref="A1 F1:AA1">
    <cfRule type="expression" dxfId="56" priority="5" stopIfTrue="1">
      <formula>$F$1 = "Fail"</formula>
    </cfRule>
    <cfRule type="expression" dxfId="55" priority="6" stopIfTrue="1">
      <formula>$F$1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30722" r:id="rId4">
          <objectPr defaultSize="0" autoPict="0" r:id="rId5">
            <anchor moveWithCells="1">
              <from>
                <xdr:col>0</xdr:col>
                <xdr:colOff>371475</xdr:colOff>
                <xdr:row>29</xdr:row>
                <xdr:rowOff>647700</xdr:rowOff>
              </from>
              <to>
                <xdr:col>11</xdr:col>
                <xdr:colOff>1009650</xdr:colOff>
                <xdr:row>51</xdr:row>
                <xdr:rowOff>76200</xdr:rowOff>
              </to>
            </anchor>
          </objectPr>
        </oleObject>
      </mc:Choice>
      <mc:Fallback>
        <oleObject progId="Visio.Drawing.11" shapeId="30722" r:id="rId4"/>
      </mc:Fallback>
    </mc:AlternateContent>
    <mc:AlternateContent xmlns:mc="http://schemas.openxmlformats.org/markup-compatibility/2006">
      <mc:Choice Requires="x14">
        <oleObject progId="Visio.Drawing.11" shapeId="30723" r:id="rId6">
          <objectPr defaultSize="0" autoPict="0" r:id="rId7">
            <anchor moveWithCells="1">
              <from>
                <xdr:col>0</xdr:col>
                <xdr:colOff>323850</xdr:colOff>
                <xdr:row>22</xdr:row>
                <xdr:rowOff>200025</xdr:rowOff>
              </from>
              <to>
                <xdr:col>11</xdr:col>
                <xdr:colOff>304800</xdr:colOff>
                <xdr:row>29</xdr:row>
                <xdr:rowOff>428625</xdr:rowOff>
              </to>
            </anchor>
          </objectPr>
        </oleObject>
      </mc:Choice>
      <mc:Fallback>
        <oleObject progId="Visio.Drawing.11" shapeId="30723" r:id="rId6"/>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AZ104"/>
  <sheetViews>
    <sheetView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customWidth="1"/>
    <col min="26" max="26" width="16.140625" customWidth="1"/>
    <col min="27" max="27" width="12" customWidth="1"/>
    <col min="28" max="28" width="21.5703125" customWidth="1"/>
    <col min="29" max="29" width="23.7109375" customWidth="1"/>
    <col min="30" max="30" width="17.85546875" customWidth="1"/>
    <col min="31" max="31" width="13.28515625" customWidth="1"/>
    <col min="32" max="32" width="12.140625" customWidth="1"/>
    <col min="33" max="33" width="25.140625" customWidth="1"/>
    <col min="34" max="34" width="15.140625" customWidth="1"/>
    <col min="35" max="35" width="25.140625" customWidth="1"/>
    <col min="36" max="36" width="14.5703125" customWidth="1"/>
    <col min="37" max="37" width="25.140625" customWidth="1"/>
    <col min="38" max="38" width="15.7109375" customWidth="1"/>
    <col min="39" max="39" width="16.140625" customWidth="1"/>
    <col min="40" max="40" width="22.140625" customWidth="1"/>
    <col min="41" max="41" width="19.28515625" customWidth="1"/>
    <col min="42" max="42" width="18.28515625" customWidth="1"/>
    <col min="43" max="43" width="16" customWidth="1"/>
    <col min="44" max="44" width="18.28515625" customWidth="1"/>
    <col min="45" max="45" width="16.85546875" customWidth="1"/>
    <col min="46" max="46" width="18.28515625" customWidth="1"/>
    <col min="47" max="47" width="21.5703125" customWidth="1"/>
    <col min="48" max="48" width="22.5703125" customWidth="1"/>
    <col min="49" max="49" width="24" customWidth="1"/>
    <col min="50" max="50" width="22.42578125" customWidth="1"/>
  </cols>
  <sheetData>
    <row r="1" spans="1:52" s="3" customFormat="1" ht="26.25">
      <c r="A1" s="1325" t="s">
        <v>20</v>
      </c>
      <c r="B1" s="1326"/>
      <c r="C1" s="1326"/>
      <c r="D1" s="1326"/>
      <c r="E1" s="1326"/>
      <c r="F1" s="1327" t="e">
        <f ca="1">IF(AND(AZ7="Pass",AZ26="Pass",AZ20="Pass",AZ33="Pass",AZ39="Pass",AZ46="Pass",AZ52="Pass",AZ59="Pass",AZ65="Pass"),"Pass","Fail")</f>
        <v>#REF!</v>
      </c>
      <c r="G1" s="1327"/>
      <c r="H1" s="63"/>
      <c r="I1" s="63"/>
      <c r="J1" s="63"/>
      <c r="K1" s="63"/>
      <c r="L1" s="63"/>
      <c r="M1" s="63"/>
      <c r="N1" s="63"/>
      <c r="O1" s="63"/>
      <c r="P1" s="63"/>
      <c r="Q1" s="63"/>
      <c r="R1" s="63"/>
      <c r="S1" s="63"/>
      <c r="T1" s="63"/>
      <c r="U1" s="63"/>
      <c r="V1" s="428"/>
      <c r="W1" s="63"/>
      <c r="X1" s="63"/>
      <c r="Y1" s="63"/>
      <c r="Z1" s="64"/>
    </row>
    <row r="2" spans="1:52" s="97" customFormat="1">
      <c r="A2" s="245" t="s">
        <v>10</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48"/>
    </row>
    <row r="3" spans="1:52" s="154" customFormat="1" ht="22.5">
      <c r="A3" s="249" t="s">
        <v>457</v>
      </c>
      <c r="B3" s="144" t="s">
        <v>420</v>
      </c>
      <c r="C3" s="145" t="s">
        <v>22</v>
      </c>
      <c r="D3" s="146"/>
      <c r="E3" s="147" t="e">
        <f>"EscapeLength L0 ["&amp;$B$2&amp;"]"</f>
        <v>#REF!</v>
      </c>
      <c r="F3" s="147" t="e">
        <f>"BreakoutLength L1["&amp; $B$2&amp;"]"</f>
        <v>#REF!</v>
      </c>
      <c r="G3" s="147" t="e">
        <f>"MainLength L2[" &amp;$B$2&amp; " ]"</f>
        <v>#REF!</v>
      </c>
      <c r="H3" s="147" t="e">
        <f>"BreakinLength S1  [" &amp;$B$2&amp;"]"</f>
        <v>#REF!</v>
      </c>
      <c r="I3" s="150"/>
      <c r="J3" s="151" t="e">
        <f>"Via-to-via (SODIMM-to-Rt) L3 [" &amp;$B$2&amp;"]"</f>
        <v>#REF!</v>
      </c>
      <c r="K3" s="151" t="e">
        <f>"Via-to-Rt L4 [" &amp;$B$2&amp;"]"</f>
        <v>#REF!</v>
      </c>
      <c r="L3" s="150"/>
      <c r="M3" s="149" t="e">
        <f>"Total MB Length(L0+L1+L2+S1)[" &amp;$B$2&amp;"]"</f>
        <v>#REF!</v>
      </c>
      <c r="N3" s="150" t="e">
        <f>"Total Pad-to-Pin Length (P1+L0+L1+L2+S1)["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("&amp;IF($B$2="mil",1,0.0254)*500&amp;"-"&amp;IF($B$2="mil",1,0.0254)*3500&amp;IF($B$2="mil","mil","mm")&amp;")"</f>
        <v>#REF!</v>
      </c>
      <c r="X3" s="150" t="e">
        <f>"Total Length    (P1+L0+L1+L2+S1) Test (&lt;="&amp;IF($B$2="mil",1,25.4)*4000&amp;IF($B$2="mil","mil","mm")&amp;")"</f>
        <v>#REF!</v>
      </c>
      <c r="Y3" s="150" t="e">
        <f>"L3 Length Test (&lt;="&amp;IF($B$2="mil",1,0.0254)*1300&amp;$B$2&amp; ")"</f>
        <v>#REF!</v>
      </c>
      <c r="Z3" s="150" t="e">
        <f>"L4 Length Test (&lt;=" &amp; IF($B$2="mil",1,0.0254)*200&amp;$B$2&amp;") or (L3+L4&lt;= "&amp;IF($B$2="mil",1,0.0254)*1500&amp;$B$2&amp;")"</f>
        <v>#REF!</v>
      </c>
    </row>
    <row r="4" spans="1:52" s="162" customFormat="1" ht="11.25">
      <c r="A4" s="250" t="s">
        <v>211</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52" s="162" customFormat="1" ht="11.25">
      <c r="A5" s="251" t="s">
        <v>215</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161"/>
      <c r="AB5" s="178"/>
      <c r="AC5" s="178"/>
      <c r="AD5" s="161"/>
    </row>
    <row r="6" spans="1:52" s="162" customFormat="1" ht="11.25">
      <c r="A6" s="155" t="s">
        <v>212</v>
      </c>
      <c r="B6" s="155"/>
      <c r="C6" s="155"/>
      <c r="D6" s="179"/>
      <c r="E6" s="180"/>
      <c r="F6" s="180"/>
      <c r="G6" s="180"/>
      <c r="H6" s="180"/>
      <c r="I6" s="180"/>
      <c r="J6" s="181"/>
      <c r="K6" s="181"/>
      <c r="L6" s="180"/>
      <c r="M6" s="180"/>
      <c r="N6" s="180"/>
      <c r="O6" s="179"/>
      <c r="P6" s="179"/>
      <c r="Q6" s="531"/>
      <c r="R6" s="179"/>
      <c r="S6" s="179"/>
      <c r="T6" s="179"/>
      <c r="U6" s="179"/>
      <c r="V6" s="430"/>
      <c r="W6" s="179"/>
      <c r="X6" s="179"/>
      <c r="Y6" s="179"/>
      <c r="Z6" s="533"/>
    </row>
    <row r="7" spans="1:52" s="162" customFormat="1">
      <c r="A7" s="559" t="s">
        <v>32</v>
      </c>
      <c r="B7" s="646" t="s">
        <v>340</v>
      </c>
      <c r="C7" s="635">
        <v>468.42519685039372</v>
      </c>
      <c r="D7" s="226"/>
      <c r="E7" s="189">
        <v>29.7</v>
      </c>
      <c r="F7" s="189">
        <v>0</v>
      </c>
      <c r="G7" s="303">
        <v>1274.82</v>
      </c>
      <c r="H7" s="306">
        <v>108.78</v>
      </c>
      <c r="I7" s="204"/>
      <c r="J7" s="313">
        <v>0</v>
      </c>
      <c r="K7" s="315">
        <v>47.6</v>
      </c>
      <c r="L7" s="192"/>
      <c r="M7" s="522">
        <f xml:space="preserve"> E7+F7+G7+H7</f>
        <v>1413.3</v>
      </c>
      <c r="N7" s="522" t="e">
        <f>IF($B$2="mil",1,0.0254)*C7+ M7</f>
        <v>#REF!</v>
      </c>
      <c r="O7" s="523"/>
      <c r="P7" s="524" t="e">
        <f>MAX($P$5:$Q$5)+IF($B$2="mil",1,0.0254)*DDR2Specs!$B$9</f>
        <v>#REF!</v>
      </c>
      <c r="Q7" s="524" t="e">
        <f>MIN($P$5:$Q$5)+IF($B$2="mil",1,0.0254)*DDR2Specs!$C$9</f>
        <v>#REF!</v>
      </c>
      <c r="R7" s="525" t="e">
        <f>IF($N7&lt;$P7,$P7-$N7,"Pass")</f>
        <v>#REF!</v>
      </c>
      <c r="S7" s="526" t="e">
        <f>IF($N7&gt;$Q7,$N7-$Q7,"Pass")</f>
        <v>#REF!</v>
      </c>
      <c r="T7" s="527" t="e">
        <f>IF($E7&lt;=IF($B$2="mil",1,0.0254)*50,"Pass",IF($B$2="mil",1,0.0254)*50-$E7)</f>
        <v>#REF!</v>
      </c>
      <c r="U7" s="528" t="e">
        <f>IF($F7&lt;=IF($B$2="mil",1,0.0254)*500,"Pass",IF($B$2="mil",1,0.0254)*500-$F7)</f>
        <v>#REF!</v>
      </c>
      <c r="V7" s="528" t="e">
        <f>IF($H7&lt;=IF($B$2="mil",1,0.0254)*200,"Pass",IF($B$2="mil",1,0.0254)*200-$H7)</f>
        <v>#REF!</v>
      </c>
      <c r="W7" s="528" t="e">
        <f>IF(AND($M7&gt;=IF($B$2="mil",1,0.0254)*500, $M7&lt;=IF($B$2="mil",1,0.0254)*3500),"Pass",IF($B$2="mil",1,0.0254)*3500-$M7)</f>
        <v>#REF!</v>
      </c>
      <c r="X7" s="528" t="e">
        <f>IF(AND($N7&gt;=IF($B$2="mil",1,0.0254)*500, $N7&lt;=IF($B$2="mil",1,0.0254)*4000),"Pass",IF($B$2="mil",1,0.0254)*4000-$N7)</f>
        <v>#REF!</v>
      </c>
      <c r="Y7" s="528" t="e">
        <f>IF((J7&lt;=IF($B$2="mil",1,0.0254)*1300),"Pass",IF($B$2="mil",1,0.0254)*1300-J7)</f>
        <v>#REF!</v>
      </c>
      <c r="Z7" s="529" t="e">
        <f ca="1">CheckLength2(IF($B$2="mil",1,0.0254)*1500,J7,K7,0)</f>
        <v>#NAME?</v>
      </c>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162" t="e">
        <f ca="1">IF(AND(R7="Pass",S7="Pass",T7="Pass",U7="Pass",V7="Pass",W7="Pass",X7="Pass",Y7="Pass",Z7="Pass"),"Pass","Fail")</f>
        <v>#REF!</v>
      </c>
      <c r="AZ7" s="162" t="e">
        <f ca="1">IF(AND(AY7="Pass",AY8="Pass",AY10="Pass",AY11="Pass",AY13="Pass",AY14="Pass"),"Pass","Fail")</f>
        <v>#REF!</v>
      </c>
    </row>
    <row r="8" spans="1:52" s="162" customFormat="1">
      <c r="A8" s="559" t="s">
        <v>34</v>
      </c>
      <c r="B8" s="646" t="s">
        <v>338</v>
      </c>
      <c r="C8" s="635">
        <v>270.6692913385827</v>
      </c>
      <c r="D8" s="227"/>
      <c r="E8" s="189">
        <v>29.7</v>
      </c>
      <c r="F8" s="189">
        <v>0</v>
      </c>
      <c r="G8" s="303">
        <v>1197.43</v>
      </c>
      <c r="H8" s="306">
        <v>98.82</v>
      </c>
      <c r="I8" s="204"/>
      <c r="J8" s="313">
        <v>0</v>
      </c>
      <c r="K8" s="315">
        <v>73.38</v>
      </c>
      <c r="L8" s="192"/>
      <c r="M8" s="522">
        <f xml:space="preserve"> E8+F8+G8+H8</f>
        <v>1325.95</v>
      </c>
      <c r="N8" s="522" t="e">
        <f>IF($B$2="mil",1,0.0254)*C8+ M8</f>
        <v>#REF!</v>
      </c>
      <c r="O8" s="530"/>
      <c r="P8" s="524" t="e">
        <f>MAX($P$5:$Q$5)+IF($B$2="mil",1,0.0254)*DDR2Specs!$B$9</f>
        <v>#REF!</v>
      </c>
      <c r="Q8" s="524" t="e">
        <f>MIN($P$5:$Q$5)+IF($B$2="mil",1,0.0254)*DDR2Specs!$C$9</f>
        <v>#REF!</v>
      </c>
      <c r="R8" s="525" t="e">
        <f>IF($N8&lt;$P8,$P8-$N8,"Pass")</f>
        <v>#REF!</v>
      </c>
      <c r="S8" s="526" t="e">
        <f>IF($N8&gt;$Q8,$N8-$Q8,"Pass")</f>
        <v>#REF!</v>
      </c>
      <c r="T8" s="527" t="e">
        <f>IF($E8&lt;=IF($B$2="mil",1,0.0254)*50,"Pass",IF($B$2="mil",1,0.0254)*50-$E8)</f>
        <v>#REF!</v>
      </c>
      <c r="U8" s="528" t="e">
        <f>IF($F8&lt;=IF($B$2="mil",1,0.0254)*500,"Pass",IF($B$2="mil",1,0.0254)*500-$F8)</f>
        <v>#REF!</v>
      </c>
      <c r="V8" s="528" t="e">
        <f>IF($H8&lt;=IF($B$2="mil",1,0.0254)*200,"Pass",IF($B$2="mil",1,0.0254)*200-$H8)</f>
        <v>#REF!</v>
      </c>
      <c r="W8" s="528" t="e">
        <f>IF(AND($M8&gt;=IF($B$2="mil",1,0.0254)*500, $M8&lt;=IF($B$2="mil",1,0.0254)*3500),"Pass",IF($B$2="mil",1,0.0254)*3500-$M8)</f>
        <v>#REF!</v>
      </c>
      <c r="X8" s="528" t="e">
        <f>IF(AND($N8&gt;=IF($B$2="mil",1,0.0254)*500, $N8&lt;=IF($B$2="mil",1,0.0254)*4000),"Pass",IF($B$2="mil",1,0.0254)*4000-$N8)</f>
        <v>#REF!</v>
      </c>
      <c r="Y8" s="528" t="e">
        <f>IF((J8&lt;=IF($B$2="mil",1,0.0254)*1300),"Pass",IF($B$2="mil",1,0.0254)*1300-J8)</f>
        <v>#REF!</v>
      </c>
      <c r="Z8" s="529" t="e">
        <f ca="1">CheckLength2(IF($B$2="mil",1,0.0254)*1500,J8,K8,0)</f>
        <v>#NAME?</v>
      </c>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162" t="e">
        <f ca="1">IF(AND(R8="Pass",S8="Pass",T8="Pass",U8="Pass",V8="Pass",W8="Pass",X8="Pass",Y8="Pass",Z8="Pass"),"Pass","Fail")</f>
        <v>#REF!</v>
      </c>
    </row>
    <row r="9" spans="1:52" s="162" customFormat="1" ht="11.25">
      <c r="A9" s="460" t="s">
        <v>208</v>
      </c>
      <c r="B9" s="155"/>
      <c r="C9" s="639"/>
      <c r="D9" s="155"/>
      <c r="E9" s="155"/>
      <c r="F9" s="155"/>
      <c r="G9" s="155"/>
      <c r="H9" s="155"/>
      <c r="I9" s="155"/>
      <c r="J9" s="155"/>
      <c r="K9" s="155"/>
      <c r="L9" s="155"/>
      <c r="M9" s="155"/>
      <c r="N9" s="279"/>
      <c r="O9" s="179"/>
      <c r="P9" s="179"/>
      <c r="Q9" s="531"/>
      <c r="R9" s="532"/>
      <c r="S9" s="532"/>
      <c r="T9" s="179"/>
      <c r="U9" s="179"/>
      <c r="V9" s="430"/>
      <c r="W9" s="179"/>
      <c r="X9" s="179"/>
      <c r="Y9" s="179"/>
      <c r="Z9" s="533"/>
      <c r="AA9" s="462"/>
      <c r="AB9" s="462"/>
      <c r="AC9" s="462"/>
      <c r="AD9" s="462"/>
      <c r="AE9" s="462"/>
      <c r="AF9" s="462"/>
      <c r="AG9" s="462"/>
      <c r="AH9" s="462"/>
      <c r="AI9" s="462"/>
      <c r="AJ9" s="462"/>
      <c r="AK9" s="462"/>
      <c r="AL9" s="462"/>
      <c r="AM9" s="462"/>
      <c r="AN9" s="462"/>
      <c r="AO9" s="462"/>
      <c r="AP9" s="462"/>
      <c r="AQ9" s="462"/>
      <c r="AR9" s="462"/>
      <c r="AS9" s="462"/>
      <c r="AT9" s="462"/>
      <c r="AU9" s="462"/>
      <c r="AV9" s="462"/>
      <c r="AW9" s="462"/>
      <c r="AX9" s="462"/>
    </row>
    <row r="10" spans="1:52" s="162" customFormat="1">
      <c r="A10" s="559" t="s">
        <v>35</v>
      </c>
      <c r="B10" s="646" t="s">
        <v>85</v>
      </c>
      <c r="C10" s="635">
        <v>361.10236220472444</v>
      </c>
      <c r="D10" s="375"/>
      <c r="E10" s="189">
        <v>29.7</v>
      </c>
      <c r="F10" s="189">
        <v>0</v>
      </c>
      <c r="G10" s="303">
        <v>1240.99</v>
      </c>
      <c r="H10" s="306">
        <v>101.4</v>
      </c>
      <c r="I10" s="238"/>
      <c r="J10" s="313">
        <v>0</v>
      </c>
      <c r="K10" s="315">
        <v>78.7</v>
      </c>
      <c r="L10" s="239"/>
      <c r="M10" s="522">
        <f xml:space="preserve"> E10+F10+G10+H10</f>
        <v>1372.0900000000001</v>
      </c>
      <c r="N10" s="522" t="e">
        <f>IF($B$2="mil",1,0.0254)*C10+ M10</f>
        <v>#REF!</v>
      </c>
      <c r="O10" s="239"/>
      <c r="P10" s="524" t="e">
        <f>MAX($P$5:$Q$5)+IF($B$2="mil",1,0.0254)*DDR2Specs!$B$9</f>
        <v>#REF!</v>
      </c>
      <c r="Q10" s="524" t="e">
        <f>MIN($P$5:$Q$5)+IF($B$2="mil",1,0.0254)*DDR2Specs!$C$9</f>
        <v>#REF!</v>
      </c>
      <c r="R10" s="525" t="e">
        <f>IF($N10&lt;$P10,$P10-$N10,"Pass")</f>
        <v>#REF!</v>
      </c>
      <c r="S10" s="526" t="e">
        <f>IF($N10&gt;$Q10,$N10-$Q10,"Pass")</f>
        <v>#REF!</v>
      </c>
      <c r="T10" s="527" t="e">
        <f>IF($E10&lt;=IF($B$2="mil",1,0.0254)*50,"Pass",IF($B$2="mil",1,0.0254)*50-$E10)</f>
        <v>#REF!</v>
      </c>
      <c r="U10" s="528" t="e">
        <f>IF($F10&lt;=IF($B$2="mil",1,0.0254)*500,"Pass",IF($B$2="mil",1,0.0254)*500-$F10)</f>
        <v>#REF!</v>
      </c>
      <c r="V10" s="528" t="e">
        <f>IF($H10&lt;=IF($B$2="mil",1,0.0254)*200,"Pass",IF($B$2="mil",1,0.0254)*200-$H10)</f>
        <v>#REF!</v>
      </c>
      <c r="W10" s="528" t="e">
        <f>IF(AND($M10&gt;=IF($B$2="mil",1,0.0254)*500, $M10&lt;=IF($B$2="mil",1,0.0254)*3500),"Pass",IF($B$2="mil",1,0.0254)*3500-$M10)</f>
        <v>#REF!</v>
      </c>
      <c r="X10" s="528" t="e">
        <f>IF(AND($N10&gt;=IF($B$2="mil",1,0.0254)*500, $N10&lt;=IF($B$2="mil",1,0.0254)*4000),"Pass",IF($B$2="mil",1,0.0254)*4000-$N10)</f>
        <v>#REF!</v>
      </c>
      <c r="Y10" s="528" t="e">
        <f>IF((J10&lt;=IF($B$2="mil",1,0.0254)*1300),"Pass",IF($B$2="mil",1,0.0254)*1300-J10)</f>
        <v>#REF!</v>
      </c>
      <c r="Z10" s="529" t="e">
        <f ca="1">CheckLength2(IF($B$2="mil",1,0.0254)*1500,J10,K10,0)</f>
        <v>#NAME?</v>
      </c>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162" t="e">
        <f ca="1">IF(AND(R10="Pass",S10="Pass",T10="Pass",U10="Pass",V10="Pass",W10="Pass",X10="Pass",Y10="Pass",Z10="Pass"),"Pass","Fail")</f>
        <v>#REF!</v>
      </c>
    </row>
    <row r="11" spans="1:52" s="162" customFormat="1">
      <c r="A11" s="559" t="s">
        <v>36</v>
      </c>
      <c r="B11" s="646" t="s">
        <v>333</v>
      </c>
      <c r="C11" s="635">
        <v>365.03937007874021</v>
      </c>
      <c r="D11" s="375"/>
      <c r="E11" s="189">
        <v>29.7</v>
      </c>
      <c r="F11" s="189">
        <v>0</v>
      </c>
      <c r="G11" s="303">
        <v>1310.83</v>
      </c>
      <c r="H11" s="306">
        <v>61.6</v>
      </c>
      <c r="I11" s="238"/>
      <c r="J11" s="313">
        <v>0</v>
      </c>
      <c r="K11" s="315">
        <v>81.19</v>
      </c>
      <c r="L11" s="239"/>
      <c r="M11" s="522">
        <f xml:space="preserve"> E11+F11+G11+H11</f>
        <v>1402.1299999999999</v>
      </c>
      <c r="N11" s="522" t="e">
        <f>IF($B$2="mil",1,0.0254)*C11+ M11</f>
        <v>#REF!</v>
      </c>
      <c r="O11" s="239"/>
      <c r="P11" s="524" t="e">
        <f>MAX($P$5:$Q$5)+IF($B$2="mil",1,0.0254)*DDR2Specs!$B$9</f>
        <v>#REF!</v>
      </c>
      <c r="Q11" s="524" t="e">
        <f>MIN($P$5:$Q$5)+IF($B$2="mil",1,0.0254)*DDR2Specs!$C$9</f>
        <v>#REF!</v>
      </c>
      <c r="R11" s="525" t="e">
        <f>IF($N11&lt;$P11,$P11-$N11,"Pass")</f>
        <v>#REF!</v>
      </c>
      <c r="S11" s="526" t="e">
        <f>IF($N11&gt;$Q11,$N11-$Q11,"Pass")</f>
        <v>#REF!</v>
      </c>
      <c r="T11" s="527" t="e">
        <f>IF($E11&lt;=IF($B$2="mil",1,0.0254)*50,"Pass",IF($B$2="mil",1,0.0254)*50-$E11)</f>
        <v>#REF!</v>
      </c>
      <c r="U11" s="528" t="e">
        <f>IF($F11&lt;=IF($B$2="mil",1,0.0254)*500,"Pass",IF($B$2="mil",1,0.0254)*500-$F11)</f>
        <v>#REF!</v>
      </c>
      <c r="V11" s="528" t="e">
        <f>IF($H11&lt;=IF($B$2="mil",1,0.0254)*200,"Pass",IF($B$2="mil",1,0.0254)*200-$H11)</f>
        <v>#REF!</v>
      </c>
      <c r="W11" s="528" t="e">
        <f>IF(AND($M11&gt;=IF($B$2="mil",1,0.0254)*500, $M11&lt;=IF($B$2="mil",1,0.0254)*3500),"Pass",IF($B$2="mil",1,0.0254)*3500-$M11)</f>
        <v>#REF!</v>
      </c>
      <c r="X11" s="528" t="e">
        <f>IF(AND($N11&gt;=IF($B$2="mil",1,0.0254)*500, $N11&lt;=IF($B$2="mil",1,0.0254)*4000),"Pass",IF($B$2="mil",1,0.0254)*4000-$N11)</f>
        <v>#REF!</v>
      </c>
      <c r="Y11" s="528" t="e">
        <f>IF((J11&lt;=IF($B$2="mil",1,0.0254)*1300),"Pass",IF($B$2="mil",1,0.0254)*1300-J11)</f>
        <v>#REF!</v>
      </c>
      <c r="Z11" s="529" t="e">
        <f ca="1">CheckLength2(IF($B$2="mil",1,0.0254)*1500,J11,K11,0)</f>
        <v>#NAME?</v>
      </c>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162" t="e">
        <f ca="1">IF(AND(R11="Pass",S11="Pass",T11="Pass",U11="Pass",V11="Pass",W11="Pass",X11="Pass",Y11="Pass",Z11="Pass"),"Pass","Fail")</f>
        <v>#REF!</v>
      </c>
    </row>
    <row r="12" spans="1:52" s="244" customFormat="1" ht="11.25">
      <c r="A12" s="460" t="s">
        <v>209</v>
      </c>
      <c r="B12" s="155"/>
      <c r="C12" s="639"/>
      <c r="D12" s="155"/>
      <c r="E12" s="155"/>
      <c r="F12" s="155"/>
      <c r="G12" s="155"/>
      <c r="H12" s="155"/>
      <c r="I12" s="155"/>
      <c r="J12" s="155"/>
      <c r="K12" s="155"/>
      <c r="L12" s="155"/>
      <c r="M12" s="155"/>
      <c r="N12" s="280"/>
      <c r="O12" s="155"/>
      <c r="P12" s="155"/>
      <c r="Q12" s="155"/>
      <c r="R12" s="280"/>
      <c r="S12" s="280"/>
      <c r="T12" s="155"/>
      <c r="U12" s="155"/>
      <c r="V12" s="431"/>
      <c r="W12" s="155"/>
      <c r="X12" s="155"/>
      <c r="Y12" s="155"/>
      <c r="Z12" s="437"/>
    </row>
    <row r="13" spans="1:52" s="162" customFormat="1">
      <c r="A13" s="559" t="s">
        <v>37</v>
      </c>
      <c r="B13" s="646" t="s">
        <v>316</v>
      </c>
      <c r="C13" s="635">
        <v>280.70866141732284</v>
      </c>
      <c r="D13" s="375"/>
      <c r="E13" s="189">
        <v>29.7</v>
      </c>
      <c r="F13" s="189">
        <v>0</v>
      </c>
      <c r="G13" s="303">
        <v>1247.8699999999999</v>
      </c>
      <c r="H13" s="306">
        <v>107.82</v>
      </c>
      <c r="I13" s="238"/>
      <c r="J13" s="313">
        <v>0</v>
      </c>
      <c r="K13" s="315">
        <v>47.81</v>
      </c>
      <c r="L13" s="239"/>
      <c r="M13" s="522">
        <f xml:space="preserve"> E13+F13+G13+H13</f>
        <v>1385.3899999999999</v>
      </c>
      <c r="N13" s="522" t="e">
        <f>IF($B$2="mil",1,0.0254)*C13+ M13</f>
        <v>#REF!</v>
      </c>
      <c r="O13" s="239"/>
      <c r="P13" s="524" t="e">
        <f>MAX($P$5:$Q$5)+IF($B$2="mil",1,0.0254)*DDR2Specs!$B$9</f>
        <v>#REF!</v>
      </c>
      <c r="Q13" s="524" t="e">
        <f>MIN($P$5:$Q$5)+IF($B$2="mil",1,0.0254)*DDR2Specs!$C$9</f>
        <v>#REF!</v>
      </c>
      <c r="R13" s="525" t="e">
        <f>IF($N13&lt;$P13,$P13-$N13,"Pass")</f>
        <v>#REF!</v>
      </c>
      <c r="S13" s="526" t="e">
        <f>IF($N13&gt;$Q13,$N13-$Q13,"Pass")</f>
        <v>#REF!</v>
      </c>
      <c r="T13" s="527" t="e">
        <f>IF($E13&lt;=IF($B$2="mil",1,0.0254)*50,"Pass",IF($B$2="mil",1,0.0254)*50-$E13)</f>
        <v>#REF!</v>
      </c>
      <c r="U13" s="528" t="e">
        <f>IF($F13&lt;=IF($B$2="mil",1,0.0254)*500,"Pass",IF($B$2="mil",1,0.0254)*500-$F13)</f>
        <v>#REF!</v>
      </c>
      <c r="V13" s="528" t="e">
        <f>IF($H13&lt;=IF($B$2="mil",1,0.0254)*200,"Pass",IF($B$2="mil",1,0.0254)*200-$H13)</f>
        <v>#REF!</v>
      </c>
      <c r="W13" s="528" t="e">
        <f>IF(AND($M13&gt;=IF($B$2="mil",1,0.0254)*500, $M13&lt;=IF($B$2="mil",1,0.0254)*3500),"Pass",IF($B$2="mil",1,0.0254)*3500-$M13)</f>
        <v>#REF!</v>
      </c>
      <c r="X13" s="528" t="e">
        <f>IF(AND($N13&gt;=IF($B$2="mil",1,0.0254)*500, $N13&lt;=IF($B$2="mil",1,0.0254)*4000),"Pass",IF($B$2="mil",1,0.0254)*4000-$N13)</f>
        <v>#REF!</v>
      </c>
      <c r="Y13" s="528" t="e">
        <f>IF((J13&lt;=IF($B$2="mil",1,0.0254)*1300),"Pass",IF($B$2="mil",1,0.0254)*1300-J13)</f>
        <v>#REF!</v>
      </c>
      <c r="Z13" s="529" t="e">
        <f ca="1">CheckLength2(IF($B$2="mil",1,0.0254)*1500,J13,K13,0)</f>
        <v>#NAME?</v>
      </c>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162" t="e">
        <f ca="1">IF(AND(R13="Pass",S13="Pass",T13="Pass",U13="Pass",V13="Pass",W13="Pass",X13="Pass",Y13="Pass",Z13="Pass"),"Pass","Fail")</f>
        <v>#REF!</v>
      </c>
    </row>
    <row r="14" spans="1:52" s="162" customFormat="1">
      <c r="A14" s="559" t="s">
        <v>38</v>
      </c>
      <c r="B14" s="646" t="s">
        <v>337</v>
      </c>
      <c r="C14" s="635">
        <v>459.64566929133861</v>
      </c>
      <c r="D14" s="375"/>
      <c r="E14" s="189">
        <v>29.7</v>
      </c>
      <c r="F14" s="189">
        <v>0</v>
      </c>
      <c r="G14" s="303">
        <v>1293.8399999999999</v>
      </c>
      <c r="H14" s="306">
        <v>125.94</v>
      </c>
      <c r="I14" s="238"/>
      <c r="J14" s="313">
        <v>0</v>
      </c>
      <c r="K14" s="315">
        <v>36.69</v>
      </c>
      <c r="L14" s="239"/>
      <c r="M14" s="522">
        <f xml:space="preserve"> E14+F14+G14+H14</f>
        <v>1449.48</v>
      </c>
      <c r="N14" s="522" t="e">
        <f>IF($B$2="mil",1,0.0254)*C14+ M14</f>
        <v>#REF!</v>
      </c>
      <c r="O14" s="239"/>
      <c r="P14" s="524" t="e">
        <f>MAX($P$5:$Q$5)+IF($B$2="mil",1,0.0254)*DDR2Specs!$B$9</f>
        <v>#REF!</v>
      </c>
      <c r="Q14" s="524" t="e">
        <f>MIN($P$5:$Q$5)+IF($B$2="mil",1,0.0254)*DDR2Specs!$C$9</f>
        <v>#REF!</v>
      </c>
      <c r="R14" s="525" t="e">
        <f>IF($N14&lt;$P14,$P14-$N14,"Pass")</f>
        <v>#REF!</v>
      </c>
      <c r="S14" s="526" t="e">
        <f>IF($N14&gt;$Q14,$N14-$Q14,"Pass")</f>
        <v>#REF!</v>
      </c>
      <c r="T14" s="527" t="e">
        <f>IF($E14&lt;=IF($B$2="mil",1,0.0254)*50,"Pass",IF($B$2="mil",1,0.0254)*50-$E14)</f>
        <v>#REF!</v>
      </c>
      <c r="U14" s="528" t="e">
        <f>IF($F14&lt;=IF($B$2="mil",1,0.0254)*500,"Pass",IF($B$2="mil",1,0.0254)*500-$F14)</f>
        <v>#REF!</v>
      </c>
      <c r="V14" s="528" t="e">
        <f>IF($H14&lt;=IF($B$2="mil",1,0.0254)*200,"Pass",IF($B$2="mil",1,0.0254)*200-$H14)</f>
        <v>#REF!</v>
      </c>
      <c r="W14" s="528" t="e">
        <f>IF(AND($M14&gt;=IF($B$2="mil",1,0.0254)*500, $M14&lt;=IF($B$2="mil",1,0.0254)*3500),"Pass",IF($B$2="mil",1,0.0254)*3500-$M14)</f>
        <v>#REF!</v>
      </c>
      <c r="X14" s="528" t="e">
        <f>IF(AND($N14&gt;=IF($B$2="mil",1,0.0254)*500, $N14&lt;=IF($B$2="mil",1,0.0254)*4000),"Pass",IF($B$2="mil",1,0.0254)*4000-$N14)</f>
        <v>#REF!</v>
      </c>
      <c r="Y14" s="528" t="e">
        <f>IF((J14&lt;=IF($B$2="mil",1,0.0254)*1300),"Pass",IF($B$2="mil",1,0.0254)*1300-J14)</f>
        <v>#REF!</v>
      </c>
      <c r="Z14" s="529" t="e">
        <f ca="1">CheckLength2(IF($B$2="mil",1,0.0254)*1500,J14,K14,0)</f>
        <v>#NAME?</v>
      </c>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162" t="e">
        <f ca="1">IF(AND(R14="Pass",S14="Pass",T14="Pass",U14="Pass",V14="Pass",W14="Pass",X14="Pass",Y14="Pass",Z14="Pass"),"Pass","Fail")</f>
        <v>#REF!</v>
      </c>
    </row>
    <row r="15" spans="1:52" s="3" customFormat="1">
      <c r="A15" s="574"/>
      <c r="B15" s="582"/>
      <c r="C15" s="644"/>
      <c r="D15" s="56"/>
      <c r="E15" s="56"/>
      <c r="F15" s="57"/>
      <c r="G15" s="56"/>
      <c r="H15" s="56"/>
      <c r="I15" s="56"/>
      <c r="J15" s="56"/>
      <c r="K15" s="56"/>
      <c r="L15" s="56"/>
      <c r="M15" s="56"/>
      <c r="N15" s="56"/>
      <c r="O15" s="120"/>
      <c r="P15" s="120"/>
      <c r="Q15" s="120"/>
      <c r="R15" s="120"/>
      <c r="S15" s="120"/>
      <c r="T15" s="120"/>
      <c r="U15" s="121"/>
      <c r="V15" s="121"/>
      <c r="W15" s="122"/>
      <c r="X15" s="123"/>
      <c r="Y15" s="123"/>
      <c r="Z15" s="317"/>
      <c r="AA15" s="476"/>
      <c r="AB15" s="476"/>
      <c r="AC15" s="476"/>
      <c r="AD15" s="476"/>
      <c r="AE15" s="476"/>
      <c r="AF15" s="476"/>
      <c r="AG15" s="476"/>
      <c r="AH15" s="476"/>
      <c r="AI15" s="476"/>
      <c r="AJ15" s="476"/>
      <c r="AK15" s="476"/>
      <c r="AL15" s="476"/>
      <c r="AM15" s="476"/>
      <c r="AN15" s="476"/>
      <c r="AO15" s="476"/>
      <c r="AP15" s="476"/>
      <c r="AQ15" s="476"/>
      <c r="AR15" s="476"/>
      <c r="AS15" s="476"/>
      <c r="AT15" s="476"/>
      <c r="AU15" s="476"/>
      <c r="AV15" s="476"/>
      <c r="AW15" s="476"/>
      <c r="AX15" s="476"/>
    </row>
    <row r="16" spans="1:52" s="154" customFormat="1" ht="22.5">
      <c r="A16" s="555" t="s">
        <v>457</v>
      </c>
      <c r="B16" s="550" t="s">
        <v>420</v>
      </c>
      <c r="C16" s="643" t="s">
        <v>22</v>
      </c>
      <c r="D16" s="151"/>
      <c r="E16" s="148" t="e">
        <f>"EscapeLength L0 ["&amp;$B$2&amp;"]"</f>
        <v>#REF!</v>
      </c>
      <c r="F16" s="148" t="e">
        <f>"BreakoutLength L1["&amp; $B$2&amp;"]"</f>
        <v>#REF!</v>
      </c>
      <c r="G16" s="148" t="e">
        <f>"MainLength L2[" &amp;$B$2&amp; " ]"</f>
        <v>#REF!</v>
      </c>
      <c r="H16" s="148"/>
      <c r="I16" s="150"/>
      <c r="J16" s="150" t="e">
        <f>"Via-to-via (SODIMM-to-Rt) L3 ["&amp;$B$2&amp;"]"</f>
        <v>#REF!</v>
      </c>
      <c r="K16" s="144" t="e">
        <f>"Via-to-RtL4 ["&amp;$B$2&amp;"]"</f>
        <v>#REF!</v>
      </c>
      <c r="L16" s="150"/>
      <c r="M16" s="144" t="e">
        <f>"Trace L5 ["&amp;$B$2&amp;"]"</f>
        <v>#REF!</v>
      </c>
      <c r="N16" s="144" t="e">
        <f>"Trace L6-1 ["&amp;$B$2&amp;"]"</f>
        <v>#REF!</v>
      </c>
      <c r="O16" s="151"/>
      <c r="P16" s="144" t="e">
        <f>"Trace L6-2 ["&amp;$B$2&amp;"]"</f>
        <v>#REF!</v>
      </c>
      <c r="Q16" s="144" t="e">
        <f>"Trace L7-1 ["&amp;$B$2&amp;"]"</f>
        <v>#REF!</v>
      </c>
      <c r="R16" s="144" t="e">
        <f>"Trace L8-1 to U1 ["&amp;$B$2&amp;"]"</f>
        <v>#REF!</v>
      </c>
      <c r="S16" s="144" t="e">
        <f>"Trace L8-2 to U5 ["&amp;$B$2&amp;"]"</f>
        <v>#REF!</v>
      </c>
      <c r="T16" s="144" t="e">
        <f>"Trace L9-1 to U1 ["&amp;$B$2&amp;"]"</f>
        <v>#REF!</v>
      </c>
      <c r="U16" s="144" t="e">
        <f>"Trace L9-2 to U5 ["&amp;$B$2&amp;"]"</f>
        <v>#REF!</v>
      </c>
      <c r="V16" s="144" t="e">
        <f>"Total MB Length to U1 (L0+L1+L2+L5+L6-1+L7-1+L8-1+L9-1) ["&amp;$B$2&amp;"]"</f>
        <v>#REF!</v>
      </c>
      <c r="W16" s="144" t="e">
        <f>"Total Pad to Pin U1 (P1+L0+L1+L2+L5+L6-1+L7-1+L8-1+L9-1) ["&amp;$B$2&amp;"]"</f>
        <v>#REF!</v>
      </c>
      <c r="X16" s="151" t="e">
        <f>"Target Min Length to U1["&amp;$B$2&amp;"]"</f>
        <v>#REF!</v>
      </c>
      <c r="Y16" s="150" t="e">
        <f>"Target Max Length  to U1 ["&amp;$B$2&amp;"]"</f>
        <v>#REF!</v>
      </c>
      <c r="Z16" s="152" t="e">
        <f>"Routed Too Short  to U1 [" &amp;$B$2&amp;"]"</f>
        <v>#REF!</v>
      </c>
      <c r="AA16" s="151" t="e">
        <f>"Routed Too Long  to U1 [" &amp;$B$2&amp;"]"</f>
        <v>#REF!</v>
      </c>
      <c r="AB16" s="144" t="e">
        <f>"Total MB Length to U5 (L0+L1+L2+L5+L6-1+L7-1+L8-2+L9-2) ["&amp;$B$2&amp;"]"</f>
        <v>#REF!</v>
      </c>
      <c r="AC16" s="144" t="e">
        <f>"Total Pad to Pin U5 (P1+L0+L1+L2+L5+L6-1+L7-1+L8-2+L9-2) ["&amp;$B$2&amp;"]"</f>
        <v>#REF!</v>
      </c>
      <c r="AD16" s="151" t="e">
        <f>"Target Min Length to U5["&amp;$B$2&amp;"]"</f>
        <v>#REF!</v>
      </c>
      <c r="AE16" s="150" t="e">
        <f>"Target Max Length  to U5 ["&amp;$B$2&amp;"]"</f>
        <v>#REF!</v>
      </c>
      <c r="AF16" s="152" t="e">
        <f>"Routed Too Short  to U5 [" &amp;$B$2&amp;"]"</f>
        <v>#REF!</v>
      </c>
      <c r="AG16" s="151" t="e">
        <f>"Routed Too Long  to U5 [" &amp;$B$2&amp;"]"</f>
        <v>#REF!</v>
      </c>
      <c r="AH16" s="153" t="e">
        <f>"L0 Length Test (&lt;=" &amp; IF($B$2="mil",1,0.0254)*50&amp;$B$2&amp;")"</f>
        <v>#REF!</v>
      </c>
      <c r="AI16" s="153" t="e">
        <f>"L1 Length Test (&lt;=" &amp; IF($B$2="mil",1,0.0254)*500&amp;$B$2&amp;")"</f>
        <v>#REF!</v>
      </c>
      <c r="AJ16" s="153" t="e">
        <f>"L3 Length Test (&lt;=" &amp; IF($B$2="mil",1,0.0254)*1000&amp;$B$2&amp;")"</f>
        <v>#REF!</v>
      </c>
      <c r="AK16" s="153" t="e">
        <f>"L4 Length Test (&lt;=" &amp; IF($B$2="mil",1,0.0254)*200&amp;$B$2&amp;") or (L3+L4&lt;= "&amp;IF($B$2="mil",1,0.0254)*1200&amp;$B$2&amp;")"</f>
        <v>#REF!</v>
      </c>
      <c r="AL16" s="153" t="e">
        <f>"L5 Length Test (&lt;=" &amp; IF($B$2="mil",1,0.0254)*1000&amp;$B$2&amp;")"</f>
        <v>#REF!</v>
      </c>
      <c r="AM16" s="153" t="e">
        <f>"L6-1 Length Test (&lt;=" &amp; IF($B$2="mil",1,0.0254)*1000&amp;$B$2&amp;")"</f>
        <v>#REF!</v>
      </c>
      <c r="AN16" s="153" t="s">
        <v>387</v>
      </c>
      <c r="AO16" s="153" t="e">
        <f>"L7-1 Length Test (&lt;=" &amp; IF($B$2="mil",1,0.0254)*1000&amp;$B$2&amp;")"</f>
        <v>#REF!</v>
      </c>
      <c r="AP16" s="153" t="e">
        <f>"Diff L7-1, L7-2, L7-3, L7-4 (&lt;="&amp;IF($B$2="mil",1,0.0254)*50&amp;$B$2&amp;")"</f>
        <v>#REF!</v>
      </c>
      <c r="AQ16" s="153" t="e">
        <f>"L8-1 Length Test (&lt;=" &amp; IF($B$2="mil",1,0.0254)*750&amp;$B$2&amp;")"</f>
        <v>#REF!</v>
      </c>
      <c r="AR16" s="153" t="e">
        <f>"L8-2 Length Test (&lt;=" &amp; IF($B$2="mil",1,0.0254)*750&amp;$B$2&amp;")"</f>
        <v>#REF!</v>
      </c>
      <c r="AS16" s="153" t="e">
        <f>"L9-1 Length Test (&lt;=" &amp; IF($B$2="mil",1,0.0254)*200&amp;$B$2&amp;") or (L8-1+L9-1&lt;= "&amp;IF($B$2="mil",1,0.0254)*950&amp;$B$2&amp;")"</f>
        <v>#REF!</v>
      </c>
      <c r="AT16" s="153" t="e">
        <f>"L9-2 Length Test (&lt;=" &amp; IF($B$2="mil",1,0.0254)*200&amp;$B$2&amp;") or (L8-2+L9-2&lt;= "&amp;IF($B$2="mil",1,0.0254)*950&amp;$B$2&amp;")"</f>
        <v>#REF!</v>
      </c>
      <c r="AU16" s="150" t="e">
        <f>"Total Length to U1 (L0+L1+L2+L5+L6-1+L7-1+L8-1+L9-1) Test ("&amp;IF($B$2="mil",1,0.0254)*500&amp;"-"&amp;IF($B$2="mil",1,0.0254)*6500&amp;IF($B$2="mil","mil","mm")&amp;")"</f>
        <v>#REF!</v>
      </c>
      <c r="AV16" s="150" t="e">
        <f>"Total Length to U1 (P1+L0+L1+L2+L5+L6-1+L7-1+L8-1+L9-1) Test (&lt;="&amp;IF($B$2="mil",1,25.4)*7000&amp;IF($B$2="mil","mil","mm")&amp;")"</f>
        <v>#REF!</v>
      </c>
      <c r="AW16" s="150" t="e">
        <f>"Total Length to U5 (L0+L1+L2+L5+L6-1+L7-1+L8-2+L9-2) Test ("&amp;IF($B$2="mil",1,0.0254)*500&amp;"-"&amp;IF($B$2="mil",1,0.0254)*6500&amp;IF($B$2="mil","mil","mm")&amp;")"</f>
        <v>#REF!</v>
      </c>
      <c r="AX16" s="150" t="e">
        <f>"Total Length to U5(P1+L0+L1+L2+L5+L6-1+L7-1+L8-2+L9-2) Test (&lt;="&amp;IF($B$2="mil",1,25.4)*7000&amp;IF($B$2="mil","mil","mm")&amp;")"</f>
        <v>#REF!</v>
      </c>
      <c r="AY16" s="162"/>
    </row>
    <row r="17" spans="1:52" s="162" customFormat="1" ht="11.25">
      <c r="A17" s="155" t="s">
        <v>210</v>
      </c>
      <c r="B17" s="155"/>
      <c r="C17" s="639"/>
      <c r="D17" s="156"/>
      <c r="E17" s="156"/>
      <c r="F17" s="220"/>
      <c r="G17" s="156"/>
      <c r="H17" s="156"/>
      <c r="I17" s="156"/>
      <c r="J17" s="156"/>
      <c r="K17" s="156"/>
      <c r="L17" s="156"/>
      <c r="M17" s="156"/>
      <c r="N17" s="156"/>
      <c r="O17" s="156"/>
      <c r="P17" s="156"/>
      <c r="Q17" s="156"/>
      <c r="R17" s="156"/>
      <c r="S17" s="156"/>
      <c r="T17" s="156"/>
      <c r="U17" s="156"/>
      <c r="V17" s="221"/>
      <c r="W17" s="221"/>
      <c r="X17" s="221"/>
      <c r="Y17" s="212"/>
      <c r="Z17" s="221"/>
      <c r="AA17" s="221"/>
      <c r="AB17" s="221"/>
      <c r="AC17" s="221"/>
      <c r="AD17" s="221"/>
      <c r="AE17" s="221"/>
      <c r="AF17" s="221"/>
      <c r="AG17" s="221"/>
      <c r="AH17" s="212"/>
      <c r="AI17" s="221"/>
      <c r="AJ17" s="221"/>
      <c r="AK17" s="221"/>
      <c r="AL17" s="221"/>
      <c r="AM17" s="221"/>
      <c r="AN17" s="221"/>
      <c r="AO17" s="221"/>
      <c r="AP17" s="221"/>
      <c r="AQ17" s="221"/>
      <c r="AR17" s="221"/>
      <c r="AS17" s="221"/>
      <c r="AT17" s="221"/>
      <c r="AU17" s="221"/>
      <c r="AV17" s="221"/>
      <c r="AW17" s="221"/>
      <c r="AX17" s="271"/>
    </row>
    <row r="18" spans="1:52" s="162" customFormat="1" ht="11.25">
      <c r="A18" s="163" t="s">
        <v>19</v>
      </c>
      <c r="B18" s="164"/>
      <c r="C18" s="641"/>
      <c r="D18" s="165"/>
      <c r="E18" s="166"/>
      <c r="F18" s="222"/>
      <c r="G18" s="166"/>
      <c r="H18" s="166"/>
      <c r="I18" s="167"/>
      <c r="J18" s="167"/>
      <c r="K18" s="166"/>
      <c r="L18" s="167"/>
      <c r="M18" s="166"/>
      <c r="N18" s="166"/>
      <c r="O18" s="170"/>
      <c r="P18" s="166"/>
      <c r="Q18" s="166"/>
      <c r="R18" s="166"/>
      <c r="S18" s="166"/>
      <c r="T18" s="166"/>
      <c r="U18" s="166"/>
      <c r="V18" s="166"/>
      <c r="W18" s="558" t="s">
        <v>224</v>
      </c>
      <c r="X18" s="542" t="e">
        <f>MIN('DDR2 Clocks - 4L'!$O$5:$O$6)</f>
        <v>#REF!</v>
      </c>
      <c r="Y18" s="539" t="e">
        <f>MAX('DDR2 Clocks - 4L'!$O$5:$O$6)</f>
        <v>#REF!</v>
      </c>
      <c r="Z18" s="542"/>
      <c r="AA18" s="168"/>
      <c r="AB18" s="543"/>
      <c r="AC18" s="558" t="s">
        <v>284</v>
      </c>
      <c r="AD18" s="542" t="e">
        <f>MIN('DDR2 Clocks - 4L'!$O$7:$O$8)</f>
        <v>#REF!</v>
      </c>
      <c r="AE18" s="541" t="e">
        <f>MAX('DDR2 Clocks - 4L'!$O$7:$O$8)</f>
        <v>#REF!</v>
      </c>
      <c r="AF18" s="543"/>
      <c r="AG18" s="543"/>
      <c r="AH18" s="543"/>
      <c r="AI18" s="543"/>
      <c r="AJ18" s="538"/>
      <c r="AK18" s="538"/>
      <c r="AL18" s="538"/>
      <c r="AM18" s="538"/>
      <c r="AN18" s="538"/>
      <c r="AO18" s="538"/>
      <c r="AP18" s="538"/>
      <c r="AQ18" s="538"/>
      <c r="AR18" s="538"/>
      <c r="AS18" s="538"/>
      <c r="AT18" s="538"/>
      <c r="AU18" s="538"/>
      <c r="AV18" s="538"/>
      <c r="AW18" s="538"/>
      <c r="AX18" s="539"/>
    </row>
    <row r="19" spans="1:52" s="162" customFormat="1" ht="11.25">
      <c r="A19" s="155" t="s">
        <v>377</v>
      </c>
      <c r="B19" s="155"/>
      <c r="C19" s="639"/>
      <c r="D19" s="179"/>
      <c r="E19" s="180"/>
      <c r="F19" s="224"/>
      <c r="G19" s="180"/>
      <c r="H19" s="180"/>
      <c r="I19" s="180"/>
      <c r="J19" s="181"/>
      <c r="K19" s="181"/>
      <c r="L19" s="180"/>
      <c r="M19" s="181"/>
      <c r="N19" s="181"/>
      <c r="O19" s="183"/>
      <c r="P19" s="181"/>
      <c r="Q19" s="181"/>
      <c r="R19" s="181"/>
      <c r="S19" s="181"/>
      <c r="T19" s="181"/>
      <c r="U19" s="181"/>
      <c r="V19" s="181"/>
      <c r="W19" s="273"/>
      <c r="X19" s="179"/>
      <c r="Y19" s="570"/>
      <c r="Z19" s="531"/>
      <c r="AA19" s="179"/>
      <c r="AB19" s="179"/>
      <c r="AC19" s="179"/>
      <c r="AD19" s="179"/>
      <c r="AE19" s="179"/>
      <c r="AF19" s="179"/>
      <c r="AG19" s="179"/>
      <c r="AH19" s="430"/>
      <c r="AI19" s="179"/>
      <c r="AJ19" s="179"/>
      <c r="AK19" s="179"/>
      <c r="AL19" s="179"/>
      <c r="AM19" s="179"/>
      <c r="AN19" s="179"/>
      <c r="AO19" s="179"/>
      <c r="AP19" s="179"/>
      <c r="AQ19" s="179"/>
      <c r="AR19" s="179"/>
      <c r="AS19" s="179"/>
      <c r="AT19" s="179"/>
      <c r="AU19" s="179"/>
      <c r="AV19" s="179"/>
      <c r="AW19" s="179"/>
      <c r="AX19" s="533"/>
    </row>
    <row r="20" spans="1:52" s="162" customFormat="1">
      <c r="A20" s="559" t="s">
        <v>25</v>
      </c>
      <c r="B20" s="647" t="s">
        <v>458</v>
      </c>
      <c r="C20" s="635">
        <v>466</v>
      </c>
      <c r="D20" s="188"/>
      <c r="E20" s="225">
        <v>29.7</v>
      </c>
      <c r="F20" s="325">
        <v>0</v>
      </c>
      <c r="G20" s="303">
        <v>2264.34</v>
      </c>
      <c r="H20" s="306">
        <v>107.82</v>
      </c>
      <c r="I20" s="335"/>
      <c r="J20" s="334">
        <v>0</v>
      </c>
      <c r="K20" s="303">
        <v>42.88</v>
      </c>
      <c r="L20" s="336"/>
      <c r="M20" s="337">
        <v>700</v>
      </c>
      <c r="N20" s="407">
        <v>400</v>
      </c>
      <c r="O20" s="195"/>
      <c r="P20" s="306">
        <v>400</v>
      </c>
      <c r="Q20" s="303">
        <v>565.69000000000005</v>
      </c>
      <c r="R20" s="303">
        <v>100.03</v>
      </c>
      <c r="S20" s="303">
        <v>100.03</v>
      </c>
      <c r="T20" s="409">
        <v>50</v>
      </c>
      <c r="U20" s="409">
        <v>50</v>
      </c>
      <c r="V20" s="545">
        <f>SUM($E20:$G20,$M20,$Q20:$R20,$N20,$T20)</f>
        <v>4109.76</v>
      </c>
      <c r="W20" s="524" t="e">
        <f>$V20+IF($B$2="mil",1,0.0254)*$C20</f>
        <v>#REF!</v>
      </c>
      <c r="X20" s="524" t="e">
        <f>$Y$18 + IF($B$2="mil",1,0.0254)*DDR2Specs!$E$9</f>
        <v>#REF!</v>
      </c>
      <c r="Y20" s="547" t="e">
        <f>$X$18 + IF($B$2="mil",1,0.0254)*DDR2Specs!$F$9</f>
        <v>#REF!</v>
      </c>
      <c r="Z20" s="546" t="e">
        <f>IF($W20&lt;$X20,$X20-$W20,"Pass")</f>
        <v>#REF!</v>
      </c>
      <c r="AA20" s="547" t="e">
        <f>IF($W20&gt;$Y20,$W20-$Y20,"Pass")</f>
        <v>#REF!</v>
      </c>
      <c r="AB20" s="545">
        <f>SUM($E20:$G20,$M20,$Q20,$N20,$S20,U20)</f>
        <v>4109.76</v>
      </c>
      <c r="AC20" s="524" t="e">
        <f>$AB20+IF($B$2="mil",1,0.0254)*$C20</f>
        <v>#REF!</v>
      </c>
      <c r="AD20" s="524" t="e">
        <f>$AE$18 + IF($B$2="mil",1,0.0254)*DDR2Specs!$E$9</f>
        <v>#REF!</v>
      </c>
      <c r="AE20" s="524" t="e">
        <f>$AD$18 + IF($B$2="mil",1,0.0254)*DDR2Specs!$F$9</f>
        <v>#REF!</v>
      </c>
      <c r="AF20" s="546" t="e">
        <f>IF($AC20&lt;$AD20,$AD20-$AC20,"Pass")</f>
        <v>#REF!</v>
      </c>
      <c r="AG20" s="547" t="e">
        <f>IF($AC20&gt;$AE20,$AC20-$AE20,"Pass")</f>
        <v>#REF!</v>
      </c>
      <c r="AH20" s="527" t="e">
        <f>IF($E20&lt;=IF($B$2="mil",1,0.0254)*50,"Pass",IF($B$2="mil",1,0.0254)*50-$E20)</f>
        <v>#REF!</v>
      </c>
      <c r="AI20" s="528" t="e">
        <f>IF($F20&lt;=IF($B$2="mil",1,0.0254)*500,"Pass",IF($B$2="mil",1,0.0254)*500-$F20)</f>
        <v>#REF!</v>
      </c>
      <c r="AJ20" s="528" t="e">
        <f>IF($J20&lt;=IF($B$2="mil",1,0.0254)*1000,"Pass",IF($B$2="mil",1,0.0254)*1000-$J20)</f>
        <v>#REF!</v>
      </c>
      <c r="AK20" s="528" t="e">
        <f ca="1">CheckLength2(IF($B$2="mil",1,0.0254)*1200,J20,K20,0)</f>
        <v>#NAME?</v>
      </c>
      <c r="AL20" s="528" t="e">
        <f t="shared" ref="AL20:AM22" si="0">IF(M20&lt;=IF($B$2="mil",1,0.0254)*1000,"Pass",IF($B$2="mil",1,0.0254)*1000-M20)</f>
        <v>#REF!</v>
      </c>
      <c r="AM20" s="528" t="e">
        <f t="shared" si="0"/>
        <v>#REF!</v>
      </c>
      <c r="AN20" s="528" t="e">
        <f>IF(MAX(N20,P20)-MIN(N20,P20)&lt;=IF($B$2="mil",1,0.0254)*50,"Pass",MAX(N20,P20)-MIN(N20,P20)-IF($B$2="mil",1,0.0254)*50)</f>
        <v>#REF!</v>
      </c>
      <c r="AO20" s="528" t="e">
        <f>IF($Q20&lt;=IF($B$2="mil",1,0.0254)*1000,"Pass",IF($B$2="mil",1,0.0254)*1000-$Q20)</f>
        <v>#REF!</v>
      </c>
      <c r="AP20" s="528" t="e">
        <f>IF(MAX(Q20,Q33,Q46,Q59)-MIN(Q20,Q33,Q46,Q59)&lt;=IF($B$2="mil",1,0.0254)*50,"Pass",MAX(Q20,Q33,Q46,Q59)-MIN(Q20,Q33,Q46,Q59)-IF($B$2="mil",1,0.0254)*50)</f>
        <v>#REF!</v>
      </c>
      <c r="AQ20" s="528" t="e">
        <f>IF($R20&lt;=IF($B$2="mil",1,0.0254)*750,"Pass",IF($B$2="mil",1,0.0254)*750-$R20)</f>
        <v>#REF!</v>
      </c>
      <c r="AR20" s="528" t="e">
        <f>IF($S20&lt;=IF($B$2="mil",1,0.0254)*750,"Pass",IF($B$2="mil",1,0.0254)*750-$S20)</f>
        <v>#REF!</v>
      </c>
      <c r="AS20" s="528" t="e">
        <f t="shared" ref="AS20:AT22" ca="1" si="1">CheckLength2(IF($B$2="mil",1,0.0254)*950,R20,T20,0)</f>
        <v>#NAME?</v>
      </c>
      <c r="AT20" s="528" t="e">
        <f t="shared" ca="1" si="1"/>
        <v>#NAME?</v>
      </c>
      <c r="AU20" s="528" t="e">
        <f>IF(AND($V20&gt;=IF($B$2="mil",1,0.0254)*500, $V20&lt;=IF($B$2="mil",1,0.0254)*6500),"Pass",IF($B$2="mil",1,0.0254)*6500-$V20)</f>
        <v>#REF!</v>
      </c>
      <c r="AV20" s="528" t="e">
        <f>IF(AND($W20&gt;=IF($B$2="mil",1,0.0254)*500, $W20&lt;=IF($B$2="mil",1,0.0254)*7000),"Pass",IF($B$2="mil",1,0.0254)*7000-$W20)</f>
        <v>#REF!</v>
      </c>
      <c r="AW20" s="528" t="e">
        <f>IF(AND($AB20&gt;=IF($B$2="mil",1,0.0254)*500, $AB20&lt;=IF($B$2="mil",1,0.0254)*6500),"Pass",IF($B$2="mil",1,0.0254)*6500-$AB20)</f>
        <v>#REF!</v>
      </c>
      <c r="AX20" s="529" t="e">
        <f>IF(AND($AC20&gt;=IF($B$2="mil",1,0.0254)*500, $AC20&lt;=IF($B$2="mil",1,0.0254)*7000),"Pass",IF($B$2="mil",1,0.0254)*7000-$AC20)</f>
        <v>#REF!</v>
      </c>
      <c r="AY20" s="162" t="e">
        <f ca="1">IF(AND(Z20="Pass",AA20="Pass",AF20="Pass",AG20="Pass",AH20="Pass",AI20="Pass",AJ20="Pass",AK20="Pass",AL20="Pass",AM20="Pass",AN20="Pass",AO20="Pass",AP20="Pass",AQ20="Pass",AR20="Pass",AS20="Pass",AT20="Pass",AU20="Pass",AV20="Pass",AW20="Pass",AX20="Pass"),"Pass","Fail")</f>
        <v>#REF!</v>
      </c>
      <c r="AZ20" s="162" t="e">
        <f ca="1">IF(AND(AY21="Pass",AY22="Pass",AY20="Pass"),"Pass","Fail")</f>
        <v>#REF!</v>
      </c>
    </row>
    <row r="21" spans="1:52" s="162" customFormat="1">
      <c r="A21" s="559" t="s">
        <v>27</v>
      </c>
      <c r="B21" s="646" t="s">
        <v>317</v>
      </c>
      <c r="C21" s="635">
        <v>380</v>
      </c>
      <c r="D21" s="188"/>
      <c r="E21" s="225">
        <v>29.7</v>
      </c>
      <c r="F21" s="325">
        <v>0</v>
      </c>
      <c r="G21" s="303">
        <v>2001.91</v>
      </c>
      <c r="H21" s="306">
        <v>125.94</v>
      </c>
      <c r="I21" s="335"/>
      <c r="J21" s="334">
        <v>0</v>
      </c>
      <c r="K21" s="303">
        <v>32.5</v>
      </c>
      <c r="L21" s="336"/>
      <c r="M21" s="337">
        <v>700</v>
      </c>
      <c r="N21" s="407">
        <v>500</v>
      </c>
      <c r="O21" s="204"/>
      <c r="P21" s="306">
        <v>500</v>
      </c>
      <c r="Q21" s="303">
        <v>587.88</v>
      </c>
      <c r="R21" s="303">
        <v>200</v>
      </c>
      <c r="S21" s="303">
        <v>200</v>
      </c>
      <c r="T21" s="409">
        <v>50</v>
      </c>
      <c r="U21" s="409">
        <v>50</v>
      </c>
      <c r="V21" s="545">
        <f>SUM($E21:$G21,$M21,$Q21:$R21,$N21,$T21)</f>
        <v>4069.4900000000002</v>
      </c>
      <c r="W21" s="524" t="e">
        <f>$V21+IF($B$2="mil",1,0.0254)*$C21</f>
        <v>#REF!</v>
      </c>
      <c r="X21" s="524" t="e">
        <f>$Y$18 + IF($B$2="mil",1,0.0254)*DDR2Specs!$E$9</f>
        <v>#REF!</v>
      </c>
      <c r="Y21" s="547" t="e">
        <f>$X$18 + IF($B$2="mil",1,0.0254)*DDR2Specs!$F$9</f>
        <v>#REF!</v>
      </c>
      <c r="Z21" s="546" t="e">
        <f>IF($W21&lt;$X21,$X21-$W21,"Pass")</f>
        <v>#REF!</v>
      </c>
      <c r="AA21" s="547" t="e">
        <f>IF($W21&gt;$Y21,$W21-$Y21,"Pass")</f>
        <v>#REF!</v>
      </c>
      <c r="AB21" s="545">
        <f>SUM($E21:$G21,$M21,$Q21,$N21,$S21,U21)</f>
        <v>4069.4900000000002</v>
      </c>
      <c r="AC21" s="524" t="e">
        <f>$AB21+IF($B$2="mil",1,0.0254)*$C21</f>
        <v>#REF!</v>
      </c>
      <c r="AD21" s="524" t="e">
        <f>$AE$18 + IF($B$2="mil",1,0.0254)*DDR2Specs!$E$9</f>
        <v>#REF!</v>
      </c>
      <c r="AE21" s="524" t="e">
        <f>$AD$18 + IF($B$2="mil",1,0.0254)*DDR2Specs!$F$9</f>
        <v>#REF!</v>
      </c>
      <c r="AF21" s="546" t="e">
        <f>IF($AC21&lt;$AD21,$AD21-$AC21,"Pass")</f>
        <v>#REF!</v>
      </c>
      <c r="AG21" s="547" t="e">
        <f>IF($AC21&gt;$AE21,$AC21-$AE21,"Pass")</f>
        <v>#REF!</v>
      </c>
      <c r="AH21" s="527" t="e">
        <f>IF($E21&lt;=IF($B$2="mil",1,0.0254)*50,"Pass",IF($B$2="mil",1,0.0254)*50-$E21)</f>
        <v>#REF!</v>
      </c>
      <c r="AI21" s="528" t="e">
        <f>IF($F21&lt;=IF($B$2="mil",1,0.0254)*500,"Pass",IF($B$2="mil",1,0.0254)*500-$F21)</f>
        <v>#REF!</v>
      </c>
      <c r="AJ21" s="528" t="e">
        <f>IF($J21&lt;=IF($B$2="mil",1,0.0254)*1000,"Pass",IF($B$2="mil",1,0.0254)*1000-$J21)</f>
        <v>#REF!</v>
      </c>
      <c r="AK21" s="528" t="e">
        <f ca="1">CheckLength2(IF($B$2="mil",1,0.0254)*1200,J21,K21,0)</f>
        <v>#NAME?</v>
      </c>
      <c r="AL21" s="528" t="e">
        <f t="shared" si="0"/>
        <v>#REF!</v>
      </c>
      <c r="AM21" s="528" t="e">
        <f t="shared" si="0"/>
        <v>#REF!</v>
      </c>
      <c r="AN21" s="528" t="e">
        <f>IF(MAX(N21,P21)-MIN(N21,P21)&lt;=IF($B$2="mil",1,0.0254)*50,"Pass",MAX(N21,P21)-MIN(N21,P21)-IF($B$2="mil",1,0.0254)*50)</f>
        <v>#REF!</v>
      </c>
      <c r="AO21" s="528" t="e">
        <f>IF($Q21&lt;=IF($B$2="mil",1,0.0254)*1000,"Pass",IF($B$2="mil",1,0.0254)*1000-$Q21)</f>
        <v>#REF!</v>
      </c>
      <c r="AP21" s="528" t="e">
        <f>IF(MAX(Q21,Q34,Q47,Q60)-MIN(Q21,Q34,Q47,Q60)&lt;=IF($B$2="mil",1,0.0254)*50,"Pass",MAX(Q21,Q34,Q47,Q60)-MIN(Q21,Q34,Q47,Q60)-IF($B$2="mil",1,0.0254)*50)</f>
        <v>#REF!</v>
      </c>
      <c r="AQ21" s="528" t="e">
        <f>IF($R21&lt;=IF($B$2="mil",1,0.0254)*750,"Pass",IF($B$2="mil",1,0.0254)*750-$R21)</f>
        <v>#REF!</v>
      </c>
      <c r="AR21" s="528" t="e">
        <f>IF($S21&lt;=IF($B$2="mil",1,0.0254)*750,"Pass",IF($B$2="mil",1,0.0254)*750-$S21)</f>
        <v>#REF!</v>
      </c>
      <c r="AS21" s="528" t="e">
        <f t="shared" ca="1" si="1"/>
        <v>#NAME?</v>
      </c>
      <c r="AT21" s="528" t="e">
        <f t="shared" ca="1" si="1"/>
        <v>#NAME?</v>
      </c>
      <c r="AU21" s="528" t="e">
        <f>IF(AND($V21&gt;=IF($B$2="mil",1,0.0254)*500, $V21&lt;=IF($B$2="mil",1,0.0254)*6500),"Pass",IF($B$2="mil",1,0.0254)*6500-$V21)</f>
        <v>#REF!</v>
      </c>
      <c r="AV21" s="528" t="e">
        <f>IF(AND($W21&gt;=IF($B$2="mil",1,0.0254)*500, $W21&lt;=IF($B$2="mil",1,0.0254)*7000),"Pass",IF($B$2="mil",1,0.0254)*7000-$W21)</f>
        <v>#REF!</v>
      </c>
      <c r="AW21" s="528" t="e">
        <f>IF(AND($AB21&gt;=IF($B$2="mil",1,0.0254)*500, $AB21&lt;=IF($B$2="mil",1,0.0254)*6500),"Pass",IF($B$2="mil",1,0.0254)*6500-$AB21)</f>
        <v>#REF!</v>
      </c>
      <c r="AX21" s="529" t="e">
        <f>IF(AND($AC21&gt;=IF($B$2="mil",1,0.0254)*500, $AC21&lt;=IF($B$2="mil",1,0.0254)*7000),"Pass",IF($B$2="mil",1,0.0254)*7000-$AC21)</f>
        <v>#REF!</v>
      </c>
      <c r="AY21" s="162" t="e">
        <f t="shared" ref="AY21:AY28" ca="1" si="2">IF(AND(Z21="Pass",AA21="Pass",AF21="Pass",AG21="Pass",AH21="Pass",AI21="Pass",AJ21="Pass",AK21="Pass",AL21="Pass",AM21="Pass",AN21="Pass",AO21="Pass",AP21="Pass",AQ21="Pass",AR21="Pass",AS21="Pass",AT21="Pass",AU21="Pass",AV21="Pass",AW21="Pass",AX21="Pass"),"Pass","Fail")</f>
        <v>#REF!</v>
      </c>
    </row>
    <row r="22" spans="1:52" s="162" customFormat="1">
      <c r="A22" s="559" t="s">
        <v>29</v>
      </c>
      <c r="B22" s="646" t="s">
        <v>301</v>
      </c>
      <c r="C22" s="635">
        <v>426</v>
      </c>
      <c r="D22" s="188"/>
      <c r="E22" s="225">
        <v>29.7</v>
      </c>
      <c r="F22" s="325">
        <v>0</v>
      </c>
      <c r="G22" s="303">
        <v>1907.19</v>
      </c>
      <c r="H22" s="306">
        <v>125.94</v>
      </c>
      <c r="I22" s="335"/>
      <c r="J22" s="334">
        <v>0</v>
      </c>
      <c r="K22" s="303">
        <v>41.64</v>
      </c>
      <c r="L22" s="336"/>
      <c r="M22" s="337">
        <v>700</v>
      </c>
      <c r="N22" s="407">
        <v>500</v>
      </c>
      <c r="O22" s="238"/>
      <c r="P22" s="306">
        <v>500</v>
      </c>
      <c r="Q22" s="303">
        <v>565.69000000000005</v>
      </c>
      <c r="R22" s="303">
        <v>220</v>
      </c>
      <c r="S22" s="303">
        <v>220</v>
      </c>
      <c r="T22" s="409">
        <v>50</v>
      </c>
      <c r="U22" s="409">
        <v>50</v>
      </c>
      <c r="V22" s="545">
        <f>SUM($E22:$G22,$M22,$Q22:$R22,$N22,$T22)</f>
        <v>3972.5800000000004</v>
      </c>
      <c r="W22" s="524" t="e">
        <f>$V22+IF($B$2="mil",1,0.0254)*$C22</f>
        <v>#REF!</v>
      </c>
      <c r="X22" s="524" t="e">
        <f>$Y$18 + IF($B$2="mil",1,0.0254)*DDR2Specs!$E$9</f>
        <v>#REF!</v>
      </c>
      <c r="Y22" s="547" t="e">
        <f>$X$18 + IF($B$2="mil",1,0.0254)*DDR2Specs!$F$9</f>
        <v>#REF!</v>
      </c>
      <c r="Z22" s="546" t="e">
        <f>IF($W22&lt;$X22,$X22-$W22,"Pass")</f>
        <v>#REF!</v>
      </c>
      <c r="AA22" s="547" t="e">
        <f>IF($W22&gt;$Y22,$W22-$Y22,"Pass")</f>
        <v>#REF!</v>
      </c>
      <c r="AB22" s="545">
        <f>SUM($E22:$G22,$M22,$Q22,$N22,$S22,U22)</f>
        <v>3972.5800000000004</v>
      </c>
      <c r="AC22" s="524" t="e">
        <f>$AB22+IF($B$2="mil",1,0.0254)*$C22</f>
        <v>#REF!</v>
      </c>
      <c r="AD22" s="524" t="e">
        <f>$AE$18 + IF($B$2="mil",1,0.0254)*DDR2Specs!$E$9</f>
        <v>#REF!</v>
      </c>
      <c r="AE22" s="524" t="e">
        <f>$AD$18 + IF($B$2="mil",1,0.0254)*DDR2Specs!$F$9</f>
        <v>#REF!</v>
      </c>
      <c r="AF22" s="546" t="e">
        <f>IF($AC22&lt;$AD22,$AD22-$AC22,"Pass")</f>
        <v>#REF!</v>
      </c>
      <c r="AG22" s="547" t="e">
        <f>IF($AC22&gt;$AE22,$AC22-$AE22,"Pass")</f>
        <v>#REF!</v>
      </c>
      <c r="AH22" s="527" t="e">
        <f>IF($E22&lt;=IF($B$2="mil",1,0.0254)*50,"Pass",IF($B$2="mil",1,0.0254)*50-$E22)</f>
        <v>#REF!</v>
      </c>
      <c r="AI22" s="528" t="e">
        <f>IF($F22&lt;=IF($B$2="mil",1,0.0254)*500,"Pass",IF($B$2="mil",1,0.0254)*500-$F22)</f>
        <v>#REF!</v>
      </c>
      <c r="AJ22" s="528" t="e">
        <f>IF($J22&lt;=IF($B$2="mil",1,0.0254)*1000,"Pass",IF($B$2="mil",1,0.0254)*1000-$J22)</f>
        <v>#REF!</v>
      </c>
      <c r="AK22" s="528" t="e">
        <f ca="1">CheckLength2(IF($B$2="mil",1,0.0254)*1200,J22,K22,0)</f>
        <v>#NAME?</v>
      </c>
      <c r="AL22" s="528" t="e">
        <f t="shared" si="0"/>
        <v>#REF!</v>
      </c>
      <c r="AM22" s="528" t="e">
        <f t="shared" si="0"/>
        <v>#REF!</v>
      </c>
      <c r="AN22" s="528" t="e">
        <f>IF(MAX(N22,P22)-MIN(N22,P22)&lt;=IF($B$2="mil",1,0.0254)*50,"Pass",MAX(N22,P22)-MIN(N22,P22)-IF($B$2="mil",1,0.0254)*50)</f>
        <v>#REF!</v>
      </c>
      <c r="AO22" s="528" t="e">
        <f>IF($Q22&lt;=IF($B$2="mil",1,0.0254)*1000,"Pass",IF($B$2="mil",1,0.0254)*1000-$Q22)</f>
        <v>#REF!</v>
      </c>
      <c r="AP22" s="528" t="e">
        <f>IF(MAX(Q22,Q35,Q48,Q61)-MIN(Q22,Q35,Q48,Q61)&lt;=IF($B$2="mil",1,0.0254)*50,"Pass",MAX(Q22,Q35,Q48,Q61)-MIN(Q22,Q35,Q48,Q61)-IF($B$2="mil",1,0.0254)*50)</f>
        <v>#REF!</v>
      </c>
      <c r="AQ22" s="528" t="e">
        <f>IF($R22&lt;=IF($B$2="mil",1,0.0254)*750,"Pass",IF($B$2="mil",1,0.0254)*750-$R22)</f>
        <v>#REF!</v>
      </c>
      <c r="AR22" s="528" t="e">
        <f>IF($S22&lt;=IF($B$2="mil",1,0.0254)*750,"Pass",IF($B$2="mil",1,0.0254)*750-$S22)</f>
        <v>#REF!</v>
      </c>
      <c r="AS22" s="528" t="e">
        <f t="shared" ca="1" si="1"/>
        <v>#NAME?</v>
      </c>
      <c r="AT22" s="528" t="e">
        <f t="shared" ca="1" si="1"/>
        <v>#NAME?</v>
      </c>
      <c r="AU22" s="528" t="e">
        <f>IF(AND($V22&gt;=IF($B$2="mil",1,0.0254)*500, $V22&lt;=IF($B$2="mil",1,0.0254)*6500),"Pass",IF($B$2="mil",1,0.0254)*6500-$V22)</f>
        <v>#REF!</v>
      </c>
      <c r="AV22" s="528" t="e">
        <f>IF(AND($W22&gt;=IF($B$2="mil",1,0.0254)*500, $W22&lt;=IF($B$2="mil",1,0.0254)*7000),"Pass",IF($B$2="mil",1,0.0254)*7000-$W22)</f>
        <v>#REF!</v>
      </c>
      <c r="AW22" s="528" t="e">
        <f>IF(AND($AB22&gt;=IF($B$2="mil",1,0.0254)*500, $AB22&lt;=IF($B$2="mil",1,0.0254)*6500),"Pass",IF($B$2="mil",1,0.0254)*6500-$AB22)</f>
        <v>#REF!</v>
      </c>
      <c r="AX22" s="529" t="e">
        <f>IF(AND($AC22&gt;=IF($B$2="mil",1,0.0254)*500, $AC22&lt;=IF($B$2="mil",1,0.0254)*7000),"Pass",IF($B$2="mil",1,0.0254)*7000-$AC22)</f>
        <v>#REF!</v>
      </c>
      <c r="AY22" s="162" t="e">
        <f t="shared" ca="1" si="2"/>
        <v>#REF!</v>
      </c>
    </row>
    <row r="23" spans="1:52" s="154" customFormat="1" ht="22.5">
      <c r="A23" s="550" t="s">
        <v>457</v>
      </c>
      <c r="B23" s="550" t="s">
        <v>420</v>
      </c>
      <c r="C23" s="645" t="s">
        <v>22</v>
      </c>
      <c r="D23" s="151"/>
      <c r="E23" s="148" t="e">
        <f>"EscapeLength L0 ["&amp;$B$2&amp;"]"</f>
        <v>#REF!</v>
      </c>
      <c r="F23" s="148" t="e">
        <f>"BreakoutLength L1["&amp; $B$2&amp;"]"</f>
        <v>#REF!</v>
      </c>
      <c r="G23" s="148" t="e">
        <f>"MainLength L2[" &amp;$B$2&amp; " ]"</f>
        <v>#REF!</v>
      </c>
      <c r="H23" s="148"/>
      <c r="I23" s="150"/>
      <c r="J23" s="150" t="e">
        <f>"Via-to-via (SODIMM-to-Rt) L3 ["&amp;$B$2&amp;"]"</f>
        <v>#REF!</v>
      </c>
      <c r="K23" s="144" t="e">
        <f>"Via-to-RtL4 ["&amp;$B$2&amp;"]"</f>
        <v>#REF!</v>
      </c>
      <c r="L23" s="150"/>
      <c r="M23" s="144" t="e">
        <f>"Trace L5 ["&amp;$B$2&amp;"]"</f>
        <v>#REF!</v>
      </c>
      <c r="N23" s="144" t="e">
        <f>"Trace L6-1 ["&amp;$B$2&amp;"]"</f>
        <v>#REF!</v>
      </c>
      <c r="O23" s="151"/>
      <c r="P23" s="144" t="e">
        <f>"Trace L6-2 ["&amp;$B$2&amp;"]"</f>
        <v>#REF!</v>
      </c>
      <c r="Q23" s="144" t="e">
        <f>"Trace L7-1 ["&amp;$B$2&amp;"]"</f>
        <v>#REF!</v>
      </c>
      <c r="R23" s="144" t="e">
        <f>"Trace L8-1 to U1 ["&amp;$B$2&amp;"]"</f>
        <v>#REF!</v>
      </c>
      <c r="S23" s="144" t="e">
        <f>"Trace L8-2 to U5 ["&amp;$B$2&amp;"]"</f>
        <v>#REF!</v>
      </c>
      <c r="T23" s="144" t="e">
        <f>"Trace L9-1 to U1 ["&amp;$B$2&amp;"]"</f>
        <v>#REF!</v>
      </c>
      <c r="U23" s="144" t="e">
        <f>"Trace L9-2 to U5 ["&amp;$B$2&amp;"]"</f>
        <v>#REF!</v>
      </c>
      <c r="V23" s="550" t="e">
        <f>"Total MB Length to U1 (L0+L1+L2+L5+L6-1+L7-1+L8-1+L9-1) ["&amp;$B$2&amp;"]"</f>
        <v>#REF!</v>
      </c>
      <c r="W23" s="555" t="e">
        <f>"Total Pad to Pin U1 (P1+L0+L1+L2+L5+L6-1+L7-1+L8-1+L9-1) ["&amp;$B$2&amp;"]"</f>
        <v>#REF!</v>
      </c>
      <c r="X23" s="551" t="e">
        <f>"Target Min Length to U1["&amp;$B$2&amp;"]"</f>
        <v>#REF!</v>
      </c>
      <c r="Y23" s="551" t="e">
        <f>"Target Max Length  to U1 ["&amp;$B$2&amp;"]"</f>
        <v>#REF!</v>
      </c>
      <c r="Z23" s="553" t="e">
        <f>"Routed Too Short  to U1 [" &amp;$B$2&amp;"]"</f>
        <v>#REF!</v>
      </c>
      <c r="AA23" s="551" t="e">
        <f>"Routed Too Long  to U1 [" &amp;$B$2&amp;"]"</f>
        <v>#REF!</v>
      </c>
      <c r="AB23" s="555" t="e">
        <f>"Total MB Length to U5 (L0+L1+L2+L5+L6-1+L7-1+L8-2+L9-2) ["&amp;$B$2&amp;"]"</f>
        <v>#REF!</v>
      </c>
      <c r="AC23" s="555" t="e">
        <f>"Total Pad to Pin U5 (P1+L0+L1+L2+L5+L6-1+L7-1+L8-2+L9-2) ["&amp;$B$2&amp;"]"</f>
        <v>#REF!</v>
      </c>
      <c r="AD23" s="551" t="e">
        <f>"Target Min Length to U5["&amp;$B$2&amp;"]"</f>
        <v>#REF!</v>
      </c>
      <c r="AE23" s="551" t="e">
        <f>"Target Max Length  to U5 ["&amp;$B$2&amp;"]"</f>
        <v>#REF!</v>
      </c>
      <c r="AF23" s="553" t="e">
        <f>"Routed Too Short  to U5 [" &amp;$B$2&amp;"]"</f>
        <v>#REF!</v>
      </c>
      <c r="AG23" s="551" t="e">
        <f>"Routed Too Long  to U5 [" &amp;$B$2&amp;"]"</f>
        <v>#REF!</v>
      </c>
      <c r="AH23" s="556" t="e">
        <f>"L0 Length Test (&lt;=" &amp; IF($B$2="mil",1,0.0254)*50&amp;$B$2&amp;")"</f>
        <v>#REF!</v>
      </c>
      <c r="AI23" s="556" t="e">
        <f>"L1 Length Test (&lt;=" &amp; IF($B$2="mil",1,0.0254)*500&amp;$B$2&amp;")"</f>
        <v>#REF!</v>
      </c>
      <c r="AJ23" s="556" t="e">
        <f>"L3 Length Test (&lt;=" &amp; IF($B$2="mil",1,0.0254)*1000&amp;$B$2&amp;")"</f>
        <v>#REF!</v>
      </c>
      <c r="AK23" s="556" t="e">
        <f>"L4 Length Test (&lt;=" &amp; IF($B$2="mil",1,0.0254)*200&amp;$B$2&amp;") or (L3+L4&lt;= "&amp;IF($B$2="mil",1,0.0254)*1200&amp;$B$2&amp;")"</f>
        <v>#REF!</v>
      </c>
      <c r="AL23" s="556" t="e">
        <f>"L5 Length Test (&lt;=" &amp; IF($B$2="mil",1,0.0254)*1000&amp;$B$2&amp;")"</f>
        <v>#REF!</v>
      </c>
      <c r="AM23" s="556" t="e">
        <f>"L6-1 Length Test (&lt;=" &amp; IF($B$2="mil",1,0.0254)*1000&amp;$B$2&amp;")"</f>
        <v>#REF!</v>
      </c>
      <c r="AN23" s="556" t="s">
        <v>387</v>
      </c>
      <c r="AO23" s="556" t="e">
        <f>"L7-1 Length Test (&lt;=" &amp; IF($B$2="mil",1,0.0254)*1000&amp;$B$2&amp;")"</f>
        <v>#REF!</v>
      </c>
      <c r="AP23" s="556" t="e">
        <f>"Diff L7-1, L7-2, L7-3, L7-4 (&lt;="&amp;IF($B$2="mil",1,0.0254)*50&amp;$B$2&amp;")"</f>
        <v>#REF!</v>
      </c>
      <c r="AQ23" s="556" t="e">
        <f>"L8-1 Length Test (&lt;=" &amp; IF($B$2="mil",1,0.0254)*750&amp;$B$2&amp;")"</f>
        <v>#REF!</v>
      </c>
      <c r="AR23" s="556" t="e">
        <f>"L8-2 Length Test (&lt;=" &amp; IF($B$2="mil",1,0.0254)*750&amp;$B$2&amp;")"</f>
        <v>#REF!</v>
      </c>
      <c r="AS23" s="556" t="e">
        <f>"L9-1 Length Test (&lt;=" &amp; IF($B$2="mil",1,0.0254)*200&amp;$B$2&amp;") or (L8-1+L9-1&lt;= "&amp;IF($B$2="mil",1,0.0254)*950&amp;$B$2&amp;")"</f>
        <v>#REF!</v>
      </c>
      <c r="AT23" s="556" t="e">
        <f>"L9-2 Length Test (&lt;=" &amp; IF($B$2="mil",1,0.0254)*200&amp;$B$2&amp;") or (L8-2+L9-2&lt;= "&amp;IF($B$2="mil",1,0.0254)*950&amp;$B$2&amp;")"</f>
        <v>#REF!</v>
      </c>
      <c r="AU23" s="552" t="e">
        <f>"Total Length to U1 (L0+L1+L2+L5+L6-1+L7-1+L8-1+L9-1) Test ("&amp;IF($B$2="mil",1,0.0254)*500&amp;"-"&amp;IF($B$2="mil",1,0.0254)*6500&amp;IF($B$2="mil","mil","mm")&amp;")"</f>
        <v>#REF!</v>
      </c>
      <c r="AV23" s="552" t="e">
        <f>"Total Length to U1 (P1+L0+L1+L2+L5+L6-1+L7-1+L8-1+L9-1) Test (&lt;="&amp;IF($B$2="mil",1,25.4)*7000&amp;IF($B$2="mil","mil","mm")&amp;")"</f>
        <v>#REF!</v>
      </c>
      <c r="AW23" s="552" t="e">
        <f>"Total Length to U5 (L0+L1+L2+L5+L6-1+L7-1+L8-2+L9-2) Test ("&amp;IF($B$2="mil",1,0.0254)*500&amp;"-"&amp;IF($B$2="mil",1,0.0254)*6500&amp;IF($B$2="mil","mil","mm")&amp;")"</f>
        <v>#REF!</v>
      </c>
      <c r="AX23" s="552" t="e">
        <f>"Total Length to U5(P1+L0+L1+L2+L5+L6-1+L7-1+L8-2+L9-2) Test (&lt;="&amp;IF($B$2="mil",1,25.4)*7000&amp;IF($B$2="mil","mil","mm")&amp;")"</f>
        <v>#REF!</v>
      </c>
    </row>
    <row r="24" spans="1:52" s="162" customFormat="1" ht="11.25">
      <c r="A24" s="163" t="s">
        <v>19</v>
      </c>
      <c r="B24" s="164"/>
      <c r="C24" s="641"/>
      <c r="D24" s="165"/>
      <c r="E24" s="166"/>
      <c r="F24" s="222"/>
      <c r="G24" s="166"/>
      <c r="H24" s="166"/>
      <c r="I24" s="167"/>
      <c r="J24" s="167"/>
      <c r="K24" s="166"/>
      <c r="L24" s="167"/>
      <c r="M24" s="166"/>
      <c r="N24" s="166"/>
      <c r="O24" s="166"/>
      <c r="P24" s="166"/>
      <c r="Q24" s="166"/>
      <c r="R24" s="166"/>
      <c r="S24" s="390"/>
      <c r="T24" s="236"/>
      <c r="U24" s="235"/>
      <c r="V24" s="541"/>
      <c r="W24" s="558" t="s">
        <v>224</v>
      </c>
      <c r="X24" s="592" t="e">
        <f>MIN('DDR2 Clocks - 4L'!$O$5:$O$6)</f>
        <v>#REF!</v>
      </c>
      <c r="Y24" s="539" t="e">
        <f>MAX('DDR2 Clocks - 4L'!$O$5:$O$6)</f>
        <v>#REF!</v>
      </c>
      <c r="Z24" s="592"/>
      <c r="AA24" s="541"/>
      <c r="AB24" s="538"/>
      <c r="AC24" s="558" t="s">
        <v>284</v>
      </c>
      <c r="AD24" s="592" t="e">
        <f>MIN('DDR2 Clocks - 4L'!$O$7:$O$8)</f>
        <v>#REF!</v>
      </c>
      <c r="AE24" s="541" t="e">
        <f>MAX('DDR2 Clocks - 4L'!$O$7:$O$8)</f>
        <v>#REF!</v>
      </c>
      <c r="AF24" s="538"/>
      <c r="AG24" s="539"/>
      <c r="AH24" s="538"/>
      <c r="AI24" s="538"/>
      <c r="AJ24" s="538"/>
      <c r="AK24" s="538"/>
      <c r="AL24" s="538"/>
      <c r="AM24" s="538"/>
      <c r="AN24" s="538"/>
      <c r="AO24" s="538"/>
      <c r="AP24" s="538"/>
      <c r="AQ24" s="538"/>
      <c r="AR24" s="538"/>
      <c r="AS24" s="538"/>
      <c r="AT24" s="538"/>
      <c r="AU24" s="538"/>
      <c r="AV24" s="538"/>
      <c r="AW24" s="538"/>
      <c r="AX24" s="539"/>
    </row>
    <row r="25" spans="1:52" s="213" customFormat="1" ht="11.25">
      <c r="A25" s="155" t="s">
        <v>378</v>
      </c>
      <c r="B25" s="155"/>
      <c r="C25" s="639"/>
      <c r="D25" s="179"/>
      <c r="E25" s="155"/>
      <c r="F25" s="206"/>
      <c r="G25" s="338"/>
      <c r="H25" s="338"/>
      <c r="I25" s="339"/>
      <c r="J25" s="338"/>
      <c r="K25" s="338"/>
      <c r="L25" s="338"/>
      <c r="M25" s="338"/>
      <c r="N25" s="338"/>
      <c r="O25" s="183"/>
      <c r="P25" s="183"/>
      <c r="Q25" s="338"/>
      <c r="R25" s="338"/>
      <c r="S25" s="338"/>
      <c r="T25" s="338"/>
      <c r="U25" s="433"/>
      <c r="V25" s="433"/>
      <c r="W25" s="273"/>
      <c r="X25" s="179"/>
      <c r="Y25" s="570"/>
      <c r="Z25" s="531"/>
      <c r="AA25" s="179"/>
      <c r="AB25" s="179"/>
      <c r="AC25" s="179"/>
      <c r="AD25" s="179"/>
      <c r="AE25" s="179"/>
      <c r="AF25" s="179"/>
      <c r="AG25" s="179"/>
      <c r="AH25" s="430"/>
      <c r="AI25" s="430"/>
      <c r="AJ25" s="548"/>
      <c r="AK25" s="179"/>
      <c r="AL25" s="179"/>
      <c r="AM25" s="179"/>
      <c r="AN25" s="179"/>
      <c r="AO25" s="179"/>
      <c r="AP25" s="179"/>
      <c r="AQ25" s="179"/>
      <c r="AR25" s="179"/>
      <c r="AS25" s="179"/>
      <c r="AT25" s="179"/>
      <c r="AU25" s="179"/>
      <c r="AV25" s="179"/>
      <c r="AW25" s="179"/>
      <c r="AX25" s="549"/>
      <c r="AY25" s="162"/>
    </row>
    <row r="26" spans="1:52" s="162" customFormat="1">
      <c r="A26" s="559" t="s">
        <v>26</v>
      </c>
      <c r="B26" s="647" t="s">
        <v>459</v>
      </c>
      <c r="C26" s="635">
        <v>526.57480314960628</v>
      </c>
      <c r="D26" s="188"/>
      <c r="E26" s="225">
        <v>29.7</v>
      </c>
      <c r="F26" s="225">
        <v>0</v>
      </c>
      <c r="G26" s="303">
        <v>2550.64</v>
      </c>
      <c r="H26" s="306">
        <v>107.82</v>
      </c>
      <c r="I26" s="335"/>
      <c r="J26" s="334">
        <v>0</v>
      </c>
      <c r="K26" s="337">
        <v>40</v>
      </c>
      <c r="L26" s="336"/>
      <c r="M26" s="337">
        <v>600</v>
      </c>
      <c r="N26" s="408">
        <v>40.28</v>
      </c>
      <c r="O26" s="238"/>
      <c r="P26" s="408">
        <v>40.28</v>
      </c>
      <c r="Q26" s="303">
        <v>565.69000000000005</v>
      </c>
      <c r="R26" s="303">
        <v>100.03</v>
      </c>
      <c r="S26" s="303">
        <v>100.03</v>
      </c>
      <c r="T26" s="409">
        <v>50</v>
      </c>
      <c r="U26" s="409">
        <v>50</v>
      </c>
      <c r="V26" s="545">
        <f>SUM($E26:$G26,$M26,$Q26:$R26,$N26,$T26)</f>
        <v>3936.34</v>
      </c>
      <c r="W26" s="524" t="e">
        <f>$V26+IF($B$2="mil",1,0.0254)*$C26</f>
        <v>#REF!</v>
      </c>
      <c r="X26" s="524" t="e">
        <f>$Y$18 + IF($B$2="mil",1,0.0254)*DDR2Specs!$E$9</f>
        <v>#REF!</v>
      </c>
      <c r="Y26" s="547" t="e">
        <f>$X$18 + IF($B$2="mil",1,0.0254)*DDR2Specs!$F$9</f>
        <v>#REF!</v>
      </c>
      <c r="Z26" s="546" t="e">
        <f>IF($W26&lt;$X26,$X26-$W26,"Pass")</f>
        <v>#REF!</v>
      </c>
      <c r="AA26" s="547" t="e">
        <f>IF($W26&gt;$Y26,$W26-$Y26,"Pass")</f>
        <v>#REF!</v>
      </c>
      <c r="AB26" s="545">
        <f>SUM($E26:$G26,$M26,$Q26,$N26,$S26,U26)</f>
        <v>3936.34</v>
      </c>
      <c r="AC26" s="524" t="e">
        <f>$AB26+IF($B$2="mil",1,0.0254)*$C26</f>
        <v>#REF!</v>
      </c>
      <c r="AD26" s="524" t="e">
        <f>$AE$18 + IF($B$2="mil",1,0.0254)*DDR2Specs!$E$9</f>
        <v>#REF!</v>
      </c>
      <c r="AE26" s="524" t="e">
        <f>$AD$18 + IF($B$2="mil",1,0.0254)*DDR2Specs!$F$9</f>
        <v>#REF!</v>
      </c>
      <c r="AF26" s="546" t="e">
        <f>IF($AC26&lt;$AD26,$AD26-$AC26,"Pass")</f>
        <v>#REF!</v>
      </c>
      <c r="AG26" s="547" t="e">
        <f>IF($AC26&gt;$AE26,$AC26-$AE26,"Pass")</f>
        <v>#REF!</v>
      </c>
      <c r="AH26" s="527" t="e">
        <f>IF($E26&lt;=IF($B$2="mil",1,0.0254)*50,"Pass",IF($B$2="mil",1,0.0254)*50-$E26)</f>
        <v>#REF!</v>
      </c>
      <c r="AI26" s="528" t="e">
        <f>IF($F26&lt;=IF($B$2="mil",1,0.0254)*500,"Pass",IF($B$2="mil",1,0.0254)*500-$F26)</f>
        <v>#REF!</v>
      </c>
      <c r="AJ26" s="528" t="e">
        <f>IF($J26&lt;=IF($B$2="mil",1,0.0254)*1000,"Pass",IF($B$2="mil",1,0.0254)*1000-$J26)</f>
        <v>#REF!</v>
      </c>
      <c r="AK26" s="528" t="e">
        <f ca="1">CheckLength2(IF($B$2="mil",1,0.0254)*1200,J26,K26,0)</f>
        <v>#NAME?</v>
      </c>
      <c r="AL26" s="528" t="e">
        <f t="shared" ref="AL26:AM28" si="3">IF(M26&lt;=IF($B$2="mil",1,0.0254)*1000,"Pass",IF($B$2="mil",1,0.0254)*1000-M26)</f>
        <v>#REF!</v>
      </c>
      <c r="AM26" s="528" t="e">
        <f t="shared" si="3"/>
        <v>#REF!</v>
      </c>
      <c r="AN26" s="528" t="e">
        <f>IF(MAX(N26,P26)-MIN(N26,P26)&lt;=IF($B$2="mil",1,0.0254)*50,"Pass",MAX(N26,P26)-MIN(N26,P26)-IF($B$2="mil",1,0.0254)*50)</f>
        <v>#REF!</v>
      </c>
      <c r="AO26" s="528" t="e">
        <f>IF($Q26&lt;=IF($B$2="mil",1,0.0254)*1000,"Pass",IF($B$2="mil",1,0.0254)*1000-$Q26)</f>
        <v>#REF!</v>
      </c>
      <c r="AP26" s="528" t="e">
        <f>IF(MAX(Q26,Q39,Q52,Q65)-MIN(Q26,Q39,Q52,Q65)&lt;=IF($B$2="mil",1,0.0254)*50,"Pass",MAX(Q26,Q39,Q52,Q65)-MIN(Q26,Q39,Q52,Q65)-IF($B$2="mil",1,0.0254)*50)</f>
        <v>#REF!</v>
      </c>
      <c r="AQ26" s="528" t="e">
        <f>IF($R26&lt;=IF($B$2="mil",1,0.0254)*750,"Pass",IF($B$2="mil",1,0.0254)*750-$R26)</f>
        <v>#REF!</v>
      </c>
      <c r="AR26" s="528" t="e">
        <f>IF($S26&lt;=IF($B$2="mil",1,0.0254)*750,"Pass",IF($B$2="mil",1,0.0254)*750-$S26)</f>
        <v>#REF!</v>
      </c>
      <c r="AS26" s="528" t="e">
        <f t="shared" ref="AS26:AT28" ca="1" si="4">CheckLength2(IF($B$2="mil",1,0.0254)*950,R26,T26,0)</f>
        <v>#NAME?</v>
      </c>
      <c r="AT26" s="528" t="e">
        <f t="shared" ca="1" si="4"/>
        <v>#NAME?</v>
      </c>
      <c r="AU26" s="528" t="e">
        <f>IF(AND($V26&gt;=IF($B$2="mil",1,0.0254)*500, $V26&lt;=IF($B$2="mil",1,0.0254)*6500),"Pass",IF($B$2="mil",1,0.0254)*6500-$V26)</f>
        <v>#REF!</v>
      </c>
      <c r="AV26" s="528" t="e">
        <f>IF(AND($W26&gt;=IF($B$2="mil",1,0.0254)*500, $W26&lt;=IF($B$2="mil",1,0.0254)*7000),"Pass",IF($B$2="mil",1,0.0254)*7000-$W26)</f>
        <v>#REF!</v>
      </c>
      <c r="AW26" s="528" t="e">
        <f>IF(AND($AB26&gt;=IF($B$2="mil",1,0.0254)*500, $AB26&lt;=IF($B$2="mil",1,0.0254)*6500),"Pass",IF($B$2="mil",1,0.0254)*6500-$AB26)</f>
        <v>#REF!</v>
      </c>
      <c r="AX26" s="529" t="e">
        <f>IF(AND($AC26&gt;=IF($B$2="mil",1,0.0254)*500, $AC26&lt;=IF($B$2="mil",1,0.0254)*7000),"Pass",IF($B$2="mil",1,0.0254)*7000-$AC26)</f>
        <v>#REF!</v>
      </c>
      <c r="AY26" s="162" t="e">
        <f t="shared" ca="1" si="2"/>
        <v>#REF!</v>
      </c>
      <c r="AZ26" s="162" t="e">
        <f ca="1">IF(AND(AY26="Pass",AY27="Pass",AY28="Pass"),"Pass","Fail")</f>
        <v>#REF!</v>
      </c>
    </row>
    <row r="27" spans="1:52" s="162" customFormat="1">
      <c r="A27" s="559" t="s">
        <v>28</v>
      </c>
      <c r="B27" s="646" t="s">
        <v>334</v>
      </c>
      <c r="C27" s="635">
        <v>400</v>
      </c>
      <c r="D27" s="264"/>
      <c r="E27" s="225">
        <v>29.7</v>
      </c>
      <c r="F27" s="326">
        <v>0</v>
      </c>
      <c r="G27" s="303">
        <v>2422.4699999999998</v>
      </c>
      <c r="H27" s="306">
        <v>125.94</v>
      </c>
      <c r="I27" s="335"/>
      <c r="J27" s="341">
        <v>0</v>
      </c>
      <c r="K27" s="337">
        <v>37.5</v>
      </c>
      <c r="L27" s="336"/>
      <c r="M27" s="337">
        <v>600</v>
      </c>
      <c r="N27" s="408">
        <v>313.86</v>
      </c>
      <c r="O27" s="238"/>
      <c r="P27" s="408">
        <v>313.86</v>
      </c>
      <c r="Q27" s="303">
        <v>587.88</v>
      </c>
      <c r="R27" s="303">
        <v>85.04</v>
      </c>
      <c r="S27" s="303">
        <v>85.04</v>
      </c>
      <c r="T27" s="409">
        <v>50</v>
      </c>
      <c r="U27" s="409">
        <v>50</v>
      </c>
      <c r="V27" s="545">
        <f>SUM($E27:$G27,$M27,$Q27:$R27,$N27,$T27)</f>
        <v>4088.95</v>
      </c>
      <c r="W27" s="524" t="e">
        <f>$V27+IF($B$2="mil",1,0.0254)*$C27</f>
        <v>#REF!</v>
      </c>
      <c r="X27" s="524" t="e">
        <f>$Y$18 + IF($B$2="mil",1,0.0254)*DDR2Specs!$E$9</f>
        <v>#REF!</v>
      </c>
      <c r="Y27" s="547" t="e">
        <f>$X$18 + IF($B$2="mil",1,0.0254)*DDR2Specs!$F$9</f>
        <v>#REF!</v>
      </c>
      <c r="Z27" s="546" t="e">
        <f>IF($W27&lt;$X27,$X27-$W27,"Pass")</f>
        <v>#REF!</v>
      </c>
      <c r="AA27" s="547" t="e">
        <f>IF($W27&gt;$Y27,$W27-$Y27,"Pass")</f>
        <v>#REF!</v>
      </c>
      <c r="AB27" s="545">
        <f>SUM($E27:$G27,$M27,$Q27,$N27,$S27,U27)</f>
        <v>4088.95</v>
      </c>
      <c r="AC27" s="524" t="e">
        <f>$AB27+IF($B$2="mil",1,0.0254)*$C27</f>
        <v>#REF!</v>
      </c>
      <c r="AD27" s="524" t="e">
        <f>$AE$18 + IF($B$2="mil",1,0.0254)*DDR2Specs!$E$9</f>
        <v>#REF!</v>
      </c>
      <c r="AE27" s="524" t="e">
        <f>$AD$18 + IF($B$2="mil",1,0.0254)*DDR2Specs!$F$9</f>
        <v>#REF!</v>
      </c>
      <c r="AF27" s="546" t="e">
        <f>IF($AC27&lt;$AD27,$AD27-$AC27,"Pass")</f>
        <v>#REF!</v>
      </c>
      <c r="AG27" s="547" t="e">
        <f>IF($AC27&gt;$AE27,$AC27-$AE27,"Pass")</f>
        <v>#REF!</v>
      </c>
      <c r="AH27" s="527" t="e">
        <f>IF($E27&lt;=IF($B$2="mil",1,0.0254)*50,"Pass",IF($B$2="mil",1,0.0254)*50-$E27)</f>
        <v>#REF!</v>
      </c>
      <c r="AI27" s="528" t="e">
        <f>IF($F27&lt;=IF($B$2="mil",1,0.0254)*500,"Pass",IF($B$2="mil",1,0.0254)*500-$F27)</f>
        <v>#REF!</v>
      </c>
      <c r="AJ27" s="528" t="e">
        <f>IF($J27&lt;=IF($B$2="mil",1,0.0254)*1000,"Pass",IF($B$2="mil",1,0.0254)*1000-$J27)</f>
        <v>#REF!</v>
      </c>
      <c r="AK27" s="528" t="e">
        <f ca="1">CheckLength2(IF($B$2="mil",1,0.0254)*1200,J27,K27,0)</f>
        <v>#NAME?</v>
      </c>
      <c r="AL27" s="528" t="e">
        <f t="shared" si="3"/>
        <v>#REF!</v>
      </c>
      <c r="AM27" s="528" t="e">
        <f t="shared" si="3"/>
        <v>#REF!</v>
      </c>
      <c r="AN27" s="528" t="e">
        <f>IF(MAX(N27,P27)-MIN(N27,P27)&lt;=IF($B$2="mil",1,0.0254)*50,"Pass",MAX(N27,P27)-MIN(N27,P27)-IF($B$2="mil",1,0.0254)*50)</f>
        <v>#REF!</v>
      </c>
      <c r="AO27" s="528" t="e">
        <f>IF($Q27&lt;=IF($B$2="mil",1,0.0254)*1000,"Pass",IF($B$2="mil",1,0.0254)*1000-$Q27)</f>
        <v>#REF!</v>
      </c>
      <c r="AP27" s="528" t="e">
        <f>IF(MAX(Q27,Q40,Q53,Q66)-MIN(Q27,Q40,Q53,Q66)&lt;=IF($B$2="mil",1,0.0254)*50,"Pass",MAX(Q27,Q40,Q53,Q66)-MIN(Q27,Q40,Q53,Q66)-IF($B$2="mil",1,0.0254)*50)</f>
        <v>#REF!</v>
      </c>
      <c r="AQ27" s="528" t="e">
        <f>IF($R27&lt;=IF($B$2="mil",1,0.0254)*750,"Pass",IF($B$2="mil",1,0.0254)*750-$R27)</f>
        <v>#REF!</v>
      </c>
      <c r="AR27" s="528" t="e">
        <f>IF($S27&lt;=IF($B$2="mil",1,0.0254)*750,"Pass",IF($B$2="mil",1,0.0254)*750-$S27)</f>
        <v>#REF!</v>
      </c>
      <c r="AS27" s="528" t="e">
        <f t="shared" ca="1" si="4"/>
        <v>#NAME?</v>
      </c>
      <c r="AT27" s="528" t="e">
        <f t="shared" ca="1" si="4"/>
        <v>#NAME?</v>
      </c>
      <c r="AU27" s="528" t="e">
        <f>IF(AND($V27&gt;=IF($B$2="mil",1,0.0254)*500, $V27&lt;=IF($B$2="mil",1,0.0254)*6500),"Pass",IF($B$2="mil",1,0.0254)*6500-$V27)</f>
        <v>#REF!</v>
      </c>
      <c r="AV27" s="528" t="e">
        <f>IF(AND($W27&gt;=IF($B$2="mil",1,0.0254)*500, $W27&lt;=IF($B$2="mil",1,0.0254)*7000),"Pass",IF($B$2="mil",1,0.0254)*7000-$W27)</f>
        <v>#REF!</v>
      </c>
      <c r="AW27" s="528" t="e">
        <f>IF(AND($AB27&gt;=IF($B$2="mil",1,0.0254)*500, $AB27&lt;=IF($B$2="mil",1,0.0254)*6500),"Pass",IF($B$2="mil",1,0.0254)*6500-$AB27)</f>
        <v>#REF!</v>
      </c>
      <c r="AX27" s="529" t="e">
        <f>IF(AND($AC27&gt;=IF($B$2="mil",1,0.0254)*500, $AC27&lt;=IF($B$2="mil",1,0.0254)*7000),"Pass",IF($B$2="mil",1,0.0254)*7000-$AC27)</f>
        <v>#REF!</v>
      </c>
      <c r="AY27" s="162" t="e">
        <f t="shared" ca="1" si="2"/>
        <v>#REF!</v>
      </c>
    </row>
    <row r="28" spans="1:52" s="162" customFormat="1">
      <c r="A28" s="559" t="s">
        <v>30</v>
      </c>
      <c r="B28" s="646" t="s">
        <v>321</v>
      </c>
      <c r="C28" s="635">
        <v>602.91338582677167</v>
      </c>
      <c r="D28" s="435"/>
      <c r="E28" s="225">
        <v>29.7</v>
      </c>
      <c r="F28" s="326">
        <v>0</v>
      </c>
      <c r="G28" s="303">
        <v>2101.89</v>
      </c>
      <c r="H28" s="306">
        <v>125.94</v>
      </c>
      <c r="I28" s="335"/>
      <c r="J28" s="341">
        <v>0</v>
      </c>
      <c r="K28" s="337">
        <v>40</v>
      </c>
      <c r="L28" s="336"/>
      <c r="M28" s="337">
        <v>600</v>
      </c>
      <c r="N28" s="408">
        <v>477.88</v>
      </c>
      <c r="O28" s="238"/>
      <c r="P28" s="408">
        <v>477.88</v>
      </c>
      <c r="Q28" s="303">
        <v>565.69000000000005</v>
      </c>
      <c r="R28" s="303">
        <v>99.56</v>
      </c>
      <c r="S28" s="303">
        <v>99.56</v>
      </c>
      <c r="T28" s="409">
        <v>50</v>
      </c>
      <c r="U28" s="409">
        <v>50</v>
      </c>
      <c r="V28" s="545">
        <f>SUM($E28:$G28,$M28,$Q28:$R28,$N28,$T28)</f>
        <v>3924.72</v>
      </c>
      <c r="W28" s="524" t="e">
        <f>$V28+IF($B$2="mil",1,0.0254)*$C28</f>
        <v>#REF!</v>
      </c>
      <c r="X28" s="524" t="e">
        <f>$Y$18 + IF($B$2="mil",1,0.0254)*DDR2Specs!$E$9</f>
        <v>#REF!</v>
      </c>
      <c r="Y28" s="547" t="e">
        <f>$X$18 + IF($B$2="mil",1,0.0254)*DDR2Specs!$F$9</f>
        <v>#REF!</v>
      </c>
      <c r="Z28" s="546" t="e">
        <f>IF($W28&lt;$X28,$X28-$W28,"Pass")</f>
        <v>#REF!</v>
      </c>
      <c r="AA28" s="547" t="e">
        <f>IF($W28&gt;$Y28,$W28-$Y28,"Pass")</f>
        <v>#REF!</v>
      </c>
      <c r="AB28" s="545">
        <f>SUM($E28:$G28,$M28,$Q28,$N28,$S28,U28)</f>
        <v>3924.72</v>
      </c>
      <c r="AC28" s="524" t="e">
        <f>$AB28+IF($B$2="mil",1,0.0254)*$C28</f>
        <v>#REF!</v>
      </c>
      <c r="AD28" s="524" t="e">
        <f>$AE$18 + IF($B$2="mil",1,0.0254)*DDR2Specs!$E$9</f>
        <v>#REF!</v>
      </c>
      <c r="AE28" s="524" t="e">
        <f>$AD$18 + IF($B$2="mil",1,0.0254)*DDR2Specs!$F$9</f>
        <v>#REF!</v>
      </c>
      <c r="AF28" s="546" t="e">
        <f>IF($AC28&lt;$AD28,$AD28-$AC28,"Pass")</f>
        <v>#REF!</v>
      </c>
      <c r="AG28" s="547" t="e">
        <f>IF($AC28&gt;$AE28,$AC28-$AE28,"Pass")</f>
        <v>#REF!</v>
      </c>
      <c r="AH28" s="527" t="e">
        <f>IF($E28&lt;=IF($B$2="mil",1,0.0254)*50,"Pass",IF($B$2="mil",1,0.0254)*50-$E28)</f>
        <v>#REF!</v>
      </c>
      <c r="AI28" s="528" t="e">
        <f>IF($F28&lt;=IF($B$2="mil",1,0.0254)*500,"Pass",IF($B$2="mil",1,0.0254)*500-$F28)</f>
        <v>#REF!</v>
      </c>
      <c r="AJ28" s="528" t="e">
        <f>IF($J28&lt;=IF($B$2="mil",1,0.0254)*1000,"Pass",IF($B$2="mil",1,0.0254)*1000-$J28)</f>
        <v>#REF!</v>
      </c>
      <c r="AK28" s="528" t="e">
        <f ca="1">CheckLength2(IF($B$2="mil",1,0.0254)*1200,J28,K28,0)</f>
        <v>#NAME?</v>
      </c>
      <c r="AL28" s="528" t="e">
        <f t="shared" si="3"/>
        <v>#REF!</v>
      </c>
      <c r="AM28" s="528" t="e">
        <f t="shared" si="3"/>
        <v>#REF!</v>
      </c>
      <c r="AN28" s="528" t="e">
        <f>IF(MAX(N28,P28)-MIN(N28,P28)&lt;=IF($B$2="mil",1,0.0254)*50,"Pass",MAX(N28,P28)-MIN(N28,P28)-IF($B$2="mil",1,0.0254)*50)</f>
        <v>#REF!</v>
      </c>
      <c r="AO28" s="528" t="e">
        <f>IF($Q28&lt;=IF($B$2="mil",1,0.0254)*1000,"Pass",IF($B$2="mil",1,0.0254)*1000-$Q28)</f>
        <v>#REF!</v>
      </c>
      <c r="AP28" s="528" t="e">
        <f>IF(MAX(Q28,Q41,Q54,Q67)-MIN(Q28,Q41,Q54,Q67)&lt;=IF($B$2="mil",1,0.0254)*50,"Pass",MAX(Q28,Q41,Q54,Q67)-MIN(Q28,Q41,Q54,Q67)-IF($B$2="mil",1,0.0254)*50)</f>
        <v>#REF!</v>
      </c>
      <c r="AQ28" s="528" t="e">
        <f>IF($R28&lt;=IF($B$2="mil",1,0.0254)*750,"Pass",IF($B$2="mil",1,0.0254)*750-$R28)</f>
        <v>#REF!</v>
      </c>
      <c r="AR28" s="528" t="e">
        <f>IF($S28&lt;=IF($B$2="mil",1,0.0254)*750,"Pass",IF($B$2="mil",1,0.0254)*750-$S28)</f>
        <v>#REF!</v>
      </c>
      <c r="AS28" s="528" t="e">
        <f t="shared" ca="1" si="4"/>
        <v>#NAME?</v>
      </c>
      <c r="AT28" s="528" t="e">
        <f t="shared" ca="1" si="4"/>
        <v>#NAME?</v>
      </c>
      <c r="AU28" s="528" t="e">
        <f>IF(AND($V28&gt;=IF($B$2="mil",1,0.0254)*500, $V28&lt;=IF($B$2="mil",1,0.0254)*6500),"Pass",IF($B$2="mil",1,0.0254)*6500-$V28)</f>
        <v>#REF!</v>
      </c>
      <c r="AV28" s="528" t="e">
        <f>IF(AND($W28&gt;=IF($B$2="mil",1,0.0254)*500, $W28&lt;=IF($B$2="mil",1,0.0254)*7000),"Pass",IF($B$2="mil",1,0.0254)*7000-$W28)</f>
        <v>#REF!</v>
      </c>
      <c r="AW28" s="528" t="e">
        <f>IF(AND($AB28&gt;=IF($B$2="mil",1,0.0254)*500, $AB28&lt;=IF($B$2="mil",1,0.0254)*6500),"Pass",IF($B$2="mil",1,0.0254)*6500-$AB28)</f>
        <v>#REF!</v>
      </c>
      <c r="AX28" s="529" t="e">
        <f>IF(AND($AC28&gt;=IF($B$2="mil",1,0.0254)*500, $AC28&lt;=IF($B$2="mil",1,0.0254)*7000),"Pass",IF($B$2="mil",1,0.0254)*7000-$AC28)</f>
        <v>#REF!</v>
      </c>
      <c r="AY28" s="162" t="e">
        <f t="shared" ca="1" si="2"/>
        <v>#REF!</v>
      </c>
    </row>
    <row r="29" spans="1:52" ht="22.5">
      <c r="O29" s="3"/>
      <c r="P29" s="218" t="s">
        <v>457</v>
      </c>
      <c r="Q29" s="144" t="e">
        <f>"Trace L7-2 ["&amp;$B$2&amp;"]"</f>
        <v>#REF!</v>
      </c>
      <c r="R29" s="330" t="s">
        <v>389</v>
      </c>
      <c r="S29" s="330" t="s">
        <v>390</v>
      </c>
      <c r="T29" s="330" t="s">
        <v>406</v>
      </c>
      <c r="U29" s="330" t="s">
        <v>407</v>
      </c>
      <c r="V29" s="550" t="e">
        <f>"Total MB Length to U2 (L0+L1+L2+L5+L6-1+L7-2+L8-3+L9-3) ["&amp;$B$2&amp;"]"</f>
        <v>#REF!</v>
      </c>
      <c r="W29" s="550" t="e">
        <f>"Total Pad to Pin U2 (P1+L0+L1+L2+L5+L6-1+L7-3+L8-3+L9-3) ["&amp;$B$2&amp;"]"</f>
        <v>#REF!</v>
      </c>
      <c r="X29" s="551" t="e">
        <f>"Target Min Length to U2["&amp;$B$2&amp;"]"</f>
        <v>#REF!</v>
      </c>
      <c r="Y29" s="552" t="e">
        <f>"Target Max Length to U2 ["&amp;$B$2&amp;"]"</f>
        <v>#REF!</v>
      </c>
      <c r="Z29" s="553" t="e">
        <f>"Routed Too Short to U2 [" &amp;$B$2&amp;"]"</f>
        <v>#REF!</v>
      </c>
      <c r="AA29" s="551" t="e">
        <f>"Routed Too Long to U2 [" &amp;$B$2&amp;"]"</f>
        <v>#REF!</v>
      </c>
      <c r="AB29" s="550" t="e">
        <f>"Total MB Length to U6 (L0+L1+L2+L5+L6-1+L7-2+L8-4+L9-4) ["&amp;$B$2&amp;"]"</f>
        <v>#REF!</v>
      </c>
      <c r="AC29" s="550" t="e">
        <f>"Total Pad to Pin U6 (P1+L0+L1+L2+L5+L6-1+L7-2+L8-4+L9-4) ["&amp;$B$2&amp;"]"</f>
        <v>#REF!</v>
      </c>
      <c r="AD29" s="551" t="e">
        <f>"Target Min Length to U6["&amp;$B$2&amp;"]"</f>
        <v>#REF!</v>
      </c>
      <c r="AE29" s="552" t="e">
        <f>"Target Max Length to U6 ["&amp;$B$2&amp;"]"</f>
        <v>#REF!</v>
      </c>
      <c r="AF29" s="553" t="e">
        <f>"Routed Too Short to U6 [" &amp;$B$2&amp;"]"</f>
        <v>#REF!</v>
      </c>
      <c r="AG29" s="551" t="e">
        <f>"Routed Too Long to U6 [" &amp;$B$2&amp;"]"</f>
        <v>#REF!</v>
      </c>
      <c r="AH29" s="554"/>
      <c r="AI29" s="554"/>
      <c r="AJ29" s="554"/>
      <c r="AK29" s="554"/>
      <c r="AL29" s="554"/>
      <c r="AM29" s="554"/>
      <c r="AN29" s="555" t="s">
        <v>457</v>
      </c>
      <c r="AO29" s="552" t="e">
        <f>"L7-2 Length Test (&lt;=" &amp; IF($B$2="mil",1,0.0254)*1000&amp;$B$2&amp;")"</f>
        <v>#REF!</v>
      </c>
      <c r="AP29" s="577"/>
      <c r="AQ29" s="556" t="e">
        <f>"L8-3 Length Test (&lt;=" &amp; IF($B$2="mil",1,0.0254)*750&amp;$B$2&amp;")"</f>
        <v>#REF!</v>
      </c>
      <c r="AR29" s="556" t="e">
        <f>"L8-4 Length Test (&lt;=" &amp; IF($B$2="mil",1,0.0254)*750&amp;$B$2&amp;")"</f>
        <v>#REF!</v>
      </c>
      <c r="AS29" s="556" t="e">
        <f>"L9-3 Length Test (&lt;=" &amp; IF($B$2="mil",1,0.0254)*200&amp;$B$2&amp;") or (L8-3+L9-3&lt;= "&amp;IF($B$2="mil",1,0.0254)*950&amp;$B$2&amp;")"</f>
        <v>#REF!</v>
      </c>
      <c r="AT29" s="556" t="e">
        <f>"L9-4 Length Test (&lt;=" &amp; IF($B$2="mil",1,0.0254)*200&amp;$B$2&amp;") or (L8-4+L9-4&lt;= "&amp;IF($B$2="mil",1,0.0254)*950&amp;$B$2&amp;")"</f>
        <v>#REF!</v>
      </c>
      <c r="AU29" s="552" t="e">
        <f>"Total Length to U2 (L0+L1+L2+L5+L6-1+L7-2+L8-3+L9-3)Test ("&amp;IF($B$2="mil",1,0.0254)*500&amp;"-"&amp;IF($B$2="mil",1,0.0254)*6500&amp;IF($B$2="mil","mil","mm")&amp;")"</f>
        <v>#REF!</v>
      </c>
      <c r="AV29" s="552" t="e">
        <f>"Total Length to U2 (P1+L0+L1+L2+L5+L6-1+L7-2+L8-3+L9-3) Test (&lt;="&amp;IF($B$2="mil",1,25.4)*7000&amp;IF($B$2="mil","mil","mm")&amp;")"</f>
        <v>#REF!</v>
      </c>
      <c r="AW29" s="552" t="e">
        <f>"Total Length to U6 (L0+L1+L2+L5+L6-1+L7-2+L8-4+L9-4)Test ("&amp;IF($B$2="mil",1,0.0254)*500&amp;"-"&amp;IF($B$2="mil",1,0.0254)*6500&amp;IF($B$2="mil","mil","mm")&amp;")"</f>
        <v>#REF!</v>
      </c>
      <c r="AX29" s="552" t="e">
        <f>"Total Length to U6 (P1+L0+L1+L2+L5+L6-1+L7-2+L8-4+L9-4) Test (&lt;="&amp;IF($B$2="mil",1,25.4)*7000&amp;IF($B$2="mil","mil","mm")&amp;")"</f>
        <v>#REF!</v>
      </c>
      <c r="AY29" s="3"/>
      <c r="AZ29" s="3"/>
    </row>
    <row r="30" spans="1:52">
      <c r="O30" s="3"/>
      <c r="P30" s="155" t="s">
        <v>210</v>
      </c>
      <c r="Q30" s="156"/>
      <c r="R30" s="156"/>
      <c r="S30" s="156"/>
      <c r="T30" s="156"/>
      <c r="U30" s="156"/>
      <c r="V30" s="156"/>
      <c r="W30" s="156"/>
      <c r="X30" s="156"/>
      <c r="Y30" s="430"/>
      <c r="Z30" s="156"/>
      <c r="AA30" s="156"/>
      <c r="AB30" s="156"/>
      <c r="AC30" s="156"/>
      <c r="AD30" s="156"/>
      <c r="AE30" s="156"/>
      <c r="AF30" s="156"/>
      <c r="AG30" s="557"/>
      <c r="AH30" s="554"/>
      <c r="AI30" s="554"/>
      <c r="AJ30" s="554"/>
      <c r="AK30" s="554"/>
      <c r="AL30" s="554"/>
      <c r="AM30" s="554"/>
      <c r="AN30" s="155" t="s">
        <v>210</v>
      </c>
      <c r="AO30" s="557"/>
      <c r="AP30" s="577"/>
      <c r="AQ30" s="477"/>
      <c r="AR30" s="156"/>
      <c r="AS30" s="156"/>
      <c r="AT30" s="156"/>
      <c r="AU30" s="156"/>
      <c r="AV30" s="156"/>
      <c r="AW30" s="156"/>
      <c r="AX30" s="557"/>
      <c r="AY30" s="3"/>
      <c r="AZ30" s="3"/>
    </row>
    <row r="31" spans="1:52">
      <c r="O31" s="3"/>
      <c r="P31" s="263" t="s">
        <v>214</v>
      </c>
      <c r="Q31" s="166"/>
      <c r="R31" s="166"/>
      <c r="S31" s="166"/>
      <c r="T31" s="166"/>
      <c r="U31" s="166"/>
      <c r="V31" s="166"/>
      <c r="W31" s="558" t="s">
        <v>227</v>
      </c>
      <c r="X31" s="542" t="e">
        <f>MIN('DDR2 Clocks - 4L'!$O$9:$O$10)</f>
        <v>#REF!</v>
      </c>
      <c r="Y31" s="539" t="e">
        <f>MAX('DDR2 Clocks - 4L'!$O$9:$O$10)</f>
        <v>#REF!</v>
      </c>
      <c r="Z31" s="542"/>
      <c r="AA31" s="168"/>
      <c r="AB31" s="166"/>
      <c r="AC31" s="558" t="s">
        <v>285</v>
      </c>
      <c r="AD31" s="542" t="e">
        <f>MIN('DDR2 Clocks - 4L'!$O$11:$O$12)</f>
        <v>#REF!</v>
      </c>
      <c r="AE31" s="541" t="e">
        <f>MAX('DDR2 Clocks - 4L'!$O$11:$O$12)</f>
        <v>#REF!</v>
      </c>
      <c r="AF31" s="542"/>
      <c r="AG31" s="168"/>
      <c r="AH31" s="554"/>
      <c r="AI31" s="554"/>
      <c r="AJ31" s="554"/>
      <c r="AK31" s="554"/>
      <c r="AL31" s="554"/>
      <c r="AM31" s="554"/>
      <c r="AN31" s="163" t="s">
        <v>214</v>
      </c>
      <c r="AO31" s="539"/>
      <c r="AP31" s="577"/>
      <c r="AQ31" s="538"/>
      <c r="AR31" s="538"/>
      <c r="AS31" s="538"/>
      <c r="AT31" s="538"/>
      <c r="AU31" s="538"/>
      <c r="AV31" s="538"/>
      <c r="AW31" s="538"/>
      <c r="AX31" s="539"/>
      <c r="AY31" s="3"/>
      <c r="AZ31" s="3"/>
    </row>
    <row r="32" spans="1:52">
      <c r="O32" s="3"/>
      <c r="P32" s="155" t="s">
        <v>377</v>
      </c>
      <c r="Q32" s="181"/>
      <c r="R32" s="181"/>
      <c r="S32" s="181"/>
      <c r="T32" s="181"/>
      <c r="U32" s="181"/>
      <c r="V32" s="181"/>
      <c r="W32" s="181"/>
      <c r="X32" s="179"/>
      <c r="Y32" s="570"/>
      <c r="Z32" s="531"/>
      <c r="AA32" s="179"/>
      <c r="AB32" s="181"/>
      <c r="AC32" s="181"/>
      <c r="AD32" s="179"/>
      <c r="AE32" s="531"/>
      <c r="AF32" s="531"/>
      <c r="AG32" s="533"/>
      <c r="AH32" s="554"/>
      <c r="AI32" s="554"/>
      <c r="AJ32" s="554"/>
      <c r="AK32" s="554"/>
      <c r="AL32" s="554"/>
      <c r="AM32" s="554"/>
      <c r="AN32" s="155" t="s">
        <v>377</v>
      </c>
      <c r="AO32" s="533"/>
      <c r="AP32" s="577"/>
      <c r="AQ32" s="544"/>
      <c r="AR32" s="179"/>
      <c r="AS32" s="179"/>
      <c r="AT32" s="179"/>
      <c r="AU32" s="179"/>
      <c r="AV32" s="179"/>
      <c r="AW32" s="179"/>
      <c r="AX32" s="533"/>
      <c r="AY32" s="3"/>
      <c r="AZ32" s="3"/>
    </row>
    <row r="33" spans="15:52">
      <c r="O33" s="3"/>
      <c r="P33" s="185" t="s">
        <v>25</v>
      </c>
      <c r="Q33" s="303">
        <v>565.69000000000005</v>
      </c>
      <c r="R33" s="303">
        <v>112.93</v>
      </c>
      <c r="S33" s="303">
        <v>112.93</v>
      </c>
      <c r="T33" s="409">
        <v>50</v>
      </c>
      <c r="U33" s="409">
        <v>50</v>
      </c>
      <c r="V33" s="545">
        <f>SUM($E20:$G20,$M20,$N20,$Q33:$R33,T33)</f>
        <v>4122.66</v>
      </c>
      <c r="W33" s="534" t="e">
        <f>$V33+IF($B$2="mil",1,0.0254)*$C20</f>
        <v>#REF!</v>
      </c>
      <c r="X33" s="524" t="e">
        <f>$Y$31 + IF($B$2="mil",1,0.0254)*DDR2Specs!$E$9</f>
        <v>#REF!</v>
      </c>
      <c r="Y33" s="547" t="e">
        <f>$X$31 + IF($B$2="mil",1,0.0254)*DDR2Specs!$F$9</f>
        <v>#REF!</v>
      </c>
      <c r="Z33" s="546" t="e">
        <f>IF($W33&lt;$X33,$X33-$W33,"Pass")</f>
        <v>#REF!</v>
      </c>
      <c r="AA33" s="547" t="e">
        <f>IF($W33&gt;$Y33,$W33-$Y33,"Pass")</f>
        <v>#REF!</v>
      </c>
      <c r="AB33" s="545">
        <f>SUM($E20:$G20,$M20,$N20,$Q33,$S33,$U33)</f>
        <v>4122.66</v>
      </c>
      <c r="AC33" s="534" t="e">
        <f>$AB33+IF($B$2="mil",1,0.0254)*$C20</f>
        <v>#REF!</v>
      </c>
      <c r="AD33" s="524" t="e">
        <f>$AE$31 + IF($B$2="mil",1,0.0254)*DDR2Specs!$E$9</f>
        <v>#REF!</v>
      </c>
      <c r="AE33" s="524" t="e">
        <f>$AD$31 + IF($B$2="mil",1,0.0254)*DDR2Specs!$F$9</f>
        <v>#REF!</v>
      </c>
      <c r="AF33" s="546" t="e">
        <f>IF($AC33&lt;$AD33,$AD33-$AC33,"Pass")</f>
        <v>#REF!</v>
      </c>
      <c r="AG33" s="547" t="e">
        <f>IF($AC33&gt;$AE33,$AC33-$AE33,"Pass")</f>
        <v>#REF!</v>
      </c>
      <c r="AH33" s="554"/>
      <c r="AI33" s="554"/>
      <c r="AJ33" s="554"/>
      <c r="AK33" s="554"/>
      <c r="AL33" s="554"/>
      <c r="AM33" s="554"/>
      <c r="AN33" s="559" t="s">
        <v>25</v>
      </c>
      <c r="AO33" s="529" t="e">
        <f>IF($Q33&lt;=IF($B$2="mil",1,0.0254)*1000,"Pass",IF($B$2="mil",1,0.0254)*1000-$Q33)</f>
        <v>#REF!</v>
      </c>
      <c r="AP33" s="577"/>
      <c r="AQ33" s="528" t="e">
        <f>IF($R33&lt;=IF($B$2="mil",1,0.0254)*750,"Pass",IF($B$2="mil",1,0.0254)*750-$R33)</f>
        <v>#REF!</v>
      </c>
      <c r="AR33" s="528" t="e">
        <f>IF($S33&lt;=IF($B$2="mil",1,0.0254)*750,"Pass",IF($B$2="mil",1,0.0254)*750-$S33)</f>
        <v>#REF!</v>
      </c>
      <c r="AS33" s="528" t="e">
        <f t="shared" ref="AS33:AT35" ca="1" si="5">CheckLength2(IF($B$2="mil",1,0.0254)*950,R33,T33,0)</f>
        <v>#NAME?</v>
      </c>
      <c r="AT33" s="528" t="e">
        <f t="shared" ca="1" si="5"/>
        <v>#NAME?</v>
      </c>
      <c r="AU33" s="528" t="e">
        <f>IF(AND(V33&gt;=IF($B$2="mil",1,0.0254)*500, $V33&lt;=IF($B$2="mil",1,0.0254)*6500),"Pass",IF($B$2="mil",1,0.0254)*6500-$V33)</f>
        <v>#REF!</v>
      </c>
      <c r="AV33" s="560" t="e">
        <f>IF(AND($W33&gt;=IF($B$2="mil",1,0.0254)*500, $W33&lt;=IF($B$2="mil",1,0.0254)*7000),"Pass",IF($B$2="mil",1,0.0254)*7000-$W33)</f>
        <v>#REF!</v>
      </c>
      <c r="AW33" s="528" t="e">
        <f>IF(AND($AB33&gt;=IF($B$2="mil",1,0.0254)*500, $AB33&lt;=IF($B$2="mil",1,0.0254)*6500),"Pass",IF($B$2="mil",1,0.0254)*6500-$AB33)</f>
        <v>#REF!</v>
      </c>
      <c r="AX33" s="529" t="e">
        <f>IF(AND($AC33&gt;=IF($B$2="mil",1,0.0254)*500, $AC33&lt;=IF($B$2="mil",1,0.0254)*7000),"Pass",IF($B$2="mil",1,0.0254)*7000-$AC33)</f>
        <v>#REF!</v>
      </c>
      <c r="AY33" s="162" t="e">
        <f ca="1">IF(AND(Z33="Pass",AA33="Pass",AF33="Pass",AG33="Pass",AO33="Pass",AQ33="Pass",AR33="Pass",AS33="Pass",AT33="Pass",AU33="Pass",AV33="Pass",AW33="Pass",AX33="Pass"),"Pass","Fail")</f>
        <v>#REF!</v>
      </c>
      <c r="AZ33" s="162" t="e">
        <f ca="1">IF(AND(AY33="Pass",AY34="Pass",AY35="Pass"),"Pass","Fail")</f>
        <v>#REF!</v>
      </c>
    </row>
    <row r="34" spans="15:52">
      <c r="O34" s="3"/>
      <c r="P34" s="185" t="s">
        <v>27</v>
      </c>
      <c r="Q34" s="303">
        <v>587.88</v>
      </c>
      <c r="R34" s="303">
        <v>93.83</v>
      </c>
      <c r="S34" s="303">
        <v>150</v>
      </c>
      <c r="T34" s="409">
        <v>50</v>
      </c>
      <c r="U34" s="409">
        <v>50</v>
      </c>
      <c r="V34" s="545">
        <f>SUM($E21:$G21,$M21,$N21,$Q34:$R34,T34)</f>
        <v>3963.32</v>
      </c>
      <c r="W34" s="534" t="e">
        <f>$V34+IF($B$2="mil",1,0.0254)*$C21</f>
        <v>#REF!</v>
      </c>
      <c r="X34" s="524" t="e">
        <f>$Y$31 + IF($B$2="mil",1,0.0254)*DDR2Specs!$E$9</f>
        <v>#REF!</v>
      </c>
      <c r="Y34" s="547" t="e">
        <f>$X$31 + IF($B$2="mil",1,0.0254)*DDR2Specs!$F$9</f>
        <v>#REF!</v>
      </c>
      <c r="Z34" s="546" t="e">
        <f>IF($W34&lt;$X34,$X34-$W34,"Pass")</f>
        <v>#REF!</v>
      </c>
      <c r="AA34" s="547" t="e">
        <f>IF($W34&gt;$Y34,$W34-$Y34,"Pass")</f>
        <v>#REF!</v>
      </c>
      <c r="AB34" s="545">
        <f>SUM($E21:$G21,$M21,$N21,$Q34,$S34,$U34)</f>
        <v>4019.4900000000002</v>
      </c>
      <c r="AC34" s="534" t="e">
        <f>$AB34+IF($B$2="mil",1,0.0254)*$C21</f>
        <v>#REF!</v>
      </c>
      <c r="AD34" s="524" t="e">
        <f>$AE$31 + IF($B$2="mil",1,0.0254)*DDR2Specs!$E$9</f>
        <v>#REF!</v>
      </c>
      <c r="AE34" s="524" t="e">
        <f>$AD$31 + IF($B$2="mil",1,0.0254)*DDR2Specs!$F$9</f>
        <v>#REF!</v>
      </c>
      <c r="AF34" s="546" t="e">
        <f>IF($AC34&lt;$AD34,$AD34-$AC34,"Pass")</f>
        <v>#REF!</v>
      </c>
      <c r="AG34" s="547" t="e">
        <f>IF($AC34&gt;$AE34,$AC34-$AE34,"Pass")</f>
        <v>#REF!</v>
      </c>
      <c r="AH34" s="554"/>
      <c r="AI34" s="554"/>
      <c r="AJ34" s="554"/>
      <c r="AK34" s="554"/>
      <c r="AL34" s="554"/>
      <c r="AM34" s="554"/>
      <c r="AN34" s="559" t="s">
        <v>27</v>
      </c>
      <c r="AO34" s="529" t="e">
        <f>IF($Q34&lt;=IF($B$2="mil",1,0.0254)*1000,"Pass",IF($B$2="mil",1,0.0254)*1000-$Q34)</f>
        <v>#REF!</v>
      </c>
      <c r="AP34" s="577"/>
      <c r="AQ34" s="528" t="e">
        <f>IF($R34&lt;=IF($B$2="mil",1,0.0254)*750,"Pass",IF($B$2="mil",1,0.0254)*750-$R34)</f>
        <v>#REF!</v>
      </c>
      <c r="AR34" s="528" t="e">
        <f>IF($S34&lt;=IF($B$2="mil",1,0.0254)*750,"Pass",IF($B$2="mil",1,0.0254)*750-$S34)</f>
        <v>#REF!</v>
      </c>
      <c r="AS34" s="528" t="e">
        <f t="shared" ca="1" si="5"/>
        <v>#NAME?</v>
      </c>
      <c r="AT34" s="528" t="e">
        <f t="shared" ca="1" si="5"/>
        <v>#NAME?</v>
      </c>
      <c r="AU34" s="528" t="e">
        <f>IF(AND(V34&gt;=IF($B$2="mil",1,0.0254)*500, $V34&lt;=IF($B$2="mil",1,0.0254)*6500),"Pass",IF($B$2="mil",1,0.0254)*6500-$V34)</f>
        <v>#REF!</v>
      </c>
      <c r="AV34" s="560" t="e">
        <f>IF(AND($W34&gt;=IF($B$2="mil",1,0.0254)*500, $W34&lt;=IF($B$2="mil",1,0.0254)*7000),"Pass",IF($B$2="mil",1,0.0254)*7000-$W34)</f>
        <v>#REF!</v>
      </c>
      <c r="AW34" s="528" t="e">
        <f>IF(AND($AB34&gt;=IF($B$2="mil",1,0.0254)*500, $AB34&lt;=IF($B$2="mil",1,0.0254)*6500),"Pass",IF($B$2="mil",1,0.0254)*6500-$AB34)</f>
        <v>#REF!</v>
      </c>
      <c r="AX34" s="529" t="e">
        <f>IF(AND($AC34&gt;=IF($B$2="mil",1,0.0254)*500, $AC34&lt;=IF($B$2="mil",1,0.0254)*7000),"Pass",IF($B$2="mil",1,0.0254)*7000-$AC34)</f>
        <v>#REF!</v>
      </c>
      <c r="AY34" s="162" t="e">
        <f t="shared" ref="AY34:AY41" ca="1" si="6">IF(AND(Z34="Pass",AA34="Pass",AF34="Pass",AG34="Pass",AO34="Pass",AQ34="Pass",AR34="Pass",AS34="Pass",AT34="Pass",AU34="Pass",AV34="Pass",AW34="Pass",AX34="Pass"),"Pass","Fail")</f>
        <v>#REF!</v>
      </c>
    </row>
    <row r="35" spans="15:52">
      <c r="O35" s="3"/>
      <c r="P35" s="185" t="s">
        <v>29</v>
      </c>
      <c r="Q35" s="303">
        <v>565.69000000000005</v>
      </c>
      <c r="R35" s="303">
        <v>200</v>
      </c>
      <c r="S35" s="303">
        <v>200</v>
      </c>
      <c r="T35" s="409">
        <v>50</v>
      </c>
      <c r="U35" s="409">
        <v>50</v>
      </c>
      <c r="V35" s="545">
        <f>SUM($E22:$G22,$M22,$N22,$Q35:$R35,T35)</f>
        <v>3952.5800000000004</v>
      </c>
      <c r="W35" s="534" t="e">
        <f>$V35+IF($B$2="mil",1,0.0254)*$C22</f>
        <v>#REF!</v>
      </c>
      <c r="X35" s="524" t="e">
        <f>$Y$31 + IF($B$2="mil",1,0.0254)*DDR2Specs!$E$9</f>
        <v>#REF!</v>
      </c>
      <c r="Y35" s="547" t="e">
        <f>$X$31 + IF($B$2="mil",1,0.0254)*DDR2Specs!$F$9</f>
        <v>#REF!</v>
      </c>
      <c r="Z35" s="546" t="e">
        <f>IF($W35&lt;$X35,$X35-$W35,"Pass")</f>
        <v>#REF!</v>
      </c>
      <c r="AA35" s="547" t="e">
        <f>IF($W35&gt;$Y35,$W35-$Y35,"Pass")</f>
        <v>#REF!</v>
      </c>
      <c r="AB35" s="545">
        <f>SUM($E22:$G22,$M22,$N22,$Q35,$S35,$U35)</f>
        <v>3952.5800000000004</v>
      </c>
      <c r="AC35" s="534" t="e">
        <f>$AB35+IF($B$2="mil",1,0.0254)*$C22</f>
        <v>#REF!</v>
      </c>
      <c r="AD35" s="524" t="e">
        <f>$AE$31 + IF($B$2="mil",1,0.0254)*DDR2Specs!$E$9</f>
        <v>#REF!</v>
      </c>
      <c r="AE35" s="524" t="e">
        <f>$AD$31 + IF($B$2="mil",1,0.0254)*DDR2Specs!$F$9</f>
        <v>#REF!</v>
      </c>
      <c r="AF35" s="546" t="e">
        <f>IF($AC35&lt;$AD35,$AD35-$AC35,"Pass")</f>
        <v>#REF!</v>
      </c>
      <c r="AG35" s="547" t="e">
        <f>IF($AC35&gt;$AE35,$AC35-$AE35,"Pass")</f>
        <v>#REF!</v>
      </c>
      <c r="AH35" s="554"/>
      <c r="AI35" s="554"/>
      <c r="AJ35" s="554"/>
      <c r="AK35" s="554"/>
      <c r="AL35" s="554"/>
      <c r="AM35" s="554"/>
      <c r="AN35" s="559" t="s">
        <v>29</v>
      </c>
      <c r="AO35" s="529" t="e">
        <f>IF($Q35&lt;=IF($B$2="mil",1,0.0254)*1000,"Pass",IF($B$2="mil",1,0.0254)*1000-$Q35)</f>
        <v>#REF!</v>
      </c>
      <c r="AP35" s="577"/>
      <c r="AQ35" s="528" t="e">
        <f>IF($R35&lt;=IF($B$2="mil",1,0.0254)*750,"Pass",IF($B$2="mil",1,0.0254)*750-$R35)</f>
        <v>#REF!</v>
      </c>
      <c r="AR35" s="528" t="e">
        <f>IF($S35&lt;=IF($B$2="mil",1,0.0254)*750,"Pass",IF($B$2="mil",1,0.0254)*750-$S35)</f>
        <v>#REF!</v>
      </c>
      <c r="AS35" s="528" t="e">
        <f t="shared" ca="1" si="5"/>
        <v>#NAME?</v>
      </c>
      <c r="AT35" s="528" t="e">
        <f t="shared" ca="1" si="5"/>
        <v>#NAME?</v>
      </c>
      <c r="AU35" s="528" t="e">
        <f>IF(AND(V35&gt;=IF($B$2="mil",1,0.0254)*500, $V35&lt;=IF($B$2="mil",1,0.0254)*6500),"Pass",IF($B$2="mil",1,0.0254)*6500-$V35)</f>
        <v>#REF!</v>
      </c>
      <c r="AV35" s="560" t="e">
        <f>IF(AND($W35&gt;=IF($B$2="mil",1,0.0254)*500, $W35&lt;=IF($B$2="mil",1,0.0254)*7000),"Pass",IF($B$2="mil",1,0.0254)*7000-$W35)</f>
        <v>#REF!</v>
      </c>
      <c r="AW35" s="528" t="e">
        <f>IF(AND($AB35&gt;=IF($B$2="mil",1,0.0254)*500, $AB35&lt;=IF($B$2="mil",1,0.0254)*6500),"Pass",IF($B$2="mil",1,0.0254)*6500-$AB35)</f>
        <v>#REF!</v>
      </c>
      <c r="AX35" s="529" t="e">
        <f>IF(AND($AC35&gt;=IF($B$2="mil",1,0.0254)*500, $AC35&lt;=IF($B$2="mil",1,0.0254)*7000),"Pass",IF($B$2="mil",1,0.0254)*7000-$AC35)</f>
        <v>#REF!</v>
      </c>
      <c r="AY35" s="162" t="e">
        <f t="shared" ca="1" si="6"/>
        <v>#REF!</v>
      </c>
      <c r="AZ35" s="3"/>
    </row>
    <row r="36" spans="15:52" ht="22.5">
      <c r="O36" s="3"/>
      <c r="P36" s="218" t="s">
        <v>457</v>
      </c>
      <c r="Q36" s="144" t="e">
        <f>"Trace L7-2 ["&amp;$B$2&amp;"]"</f>
        <v>#REF!</v>
      </c>
      <c r="R36" s="330" t="s">
        <v>389</v>
      </c>
      <c r="S36" s="330" t="s">
        <v>390</v>
      </c>
      <c r="T36" s="330" t="s">
        <v>406</v>
      </c>
      <c r="U36" s="330" t="s">
        <v>407</v>
      </c>
      <c r="V36" s="550" t="e">
        <f>"Total MB Length to U2 (L0+L1+L2+L5+L6-1+L7-2+L8-3+L9-3) ["&amp;$B$2&amp;"]"</f>
        <v>#REF!</v>
      </c>
      <c r="W36" s="550" t="e">
        <f>"Total Pad to Pin U2 (P1+L0+L1+L2+L5+L6-1+L7-3+L8-3+L9-3) ["&amp;$B$2&amp;"]"</f>
        <v>#REF!</v>
      </c>
      <c r="X36" s="551" t="e">
        <f>"Target Min Length to U2["&amp;$B$2&amp;"]"</f>
        <v>#REF!</v>
      </c>
      <c r="Y36" s="551" t="e">
        <f>"Target Max Length to U2 ["&amp;$B$2&amp;"]"</f>
        <v>#REF!</v>
      </c>
      <c r="Z36" s="553" t="e">
        <f>"Routed Too Short to U2 [" &amp;$B$2&amp;"]"</f>
        <v>#REF!</v>
      </c>
      <c r="AA36" s="551" t="e">
        <f>"Routed Too Long to U2 [" &amp;$B$2&amp;"]"</f>
        <v>#REF!</v>
      </c>
      <c r="AB36" s="550" t="e">
        <f>"Total MB Length to U6 (L0+L1+L2+L5+L6-1+L7-2+L8-4+L9-4) ["&amp;$B$2&amp;"]"</f>
        <v>#REF!</v>
      </c>
      <c r="AC36" s="555" t="e">
        <f>"Total Pad to Pin U6 (P1+L0+L1+L2+L5+L6-1+L7-2+L8-4+L9-4) ["&amp;$B$2&amp;"]"</f>
        <v>#REF!</v>
      </c>
      <c r="AD36" s="551" t="e">
        <f>"Target Min Length to U6["&amp;$B$2&amp;"]"</f>
        <v>#REF!</v>
      </c>
      <c r="AE36" s="551" t="e">
        <f>"Target Max Length to U6 ["&amp;$B$2&amp;"]"</f>
        <v>#REF!</v>
      </c>
      <c r="AF36" s="553" t="e">
        <f>"Routed Too Short to U6 [" &amp;$B$2&amp;"]"</f>
        <v>#REF!</v>
      </c>
      <c r="AG36" s="551" t="e">
        <f>"Routed Too Long to U6 [" &amp;$B$2&amp;"]"</f>
        <v>#REF!</v>
      </c>
      <c r="AH36" s="554"/>
      <c r="AI36" s="554"/>
      <c r="AJ36" s="554"/>
      <c r="AK36" s="554"/>
      <c r="AL36" s="554"/>
      <c r="AM36" s="554"/>
      <c r="AN36" s="550" t="s">
        <v>457</v>
      </c>
      <c r="AO36" s="552" t="e">
        <f>"L7-2 Length Test (&lt;=" &amp; IF($B$2="mil",1,0.0254)*1000&amp;$B$2&amp;")"</f>
        <v>#REF!</v>
      </c>
      <c r="AP36" s="577"/>
      <c r="AQ36" s="556" t="e">
        <f>"L8-3 Length Test (&lt;=" &amp; IF($B$2="mil",1,0.0254)*750&amp;$B$2&amp;")"</f>
        <v>#REF!</v>
      </c>
      <c r="AR36" s="556" t="e">
        <f>"L8-4 Length Test (&lt;=" &amp; IF($B$2="mil",1,0.0254)*750&amp;$B$2&amp;")"</f>
        <v>#REF!</v>
      </c>
      <c r="AS36" s="556" t="e">
        <f>"L9-3 Length Test (&lt;=" &amp; IF($B$2="mil",1,0.0254)*200&amp;$B$2&amp;") or (L8-3+L9-3&lt;= "&amp;IF($B$2="mil",1,0.0254)*950&amp;$B$2&amp;")"</f>
        <v>#REF!</v>
      </c>
      <c r="AT36" s="556" t="e">
        <f>"L9-4 Length Test (&lt;=" &amp; IF($B$2="mil",1,0.0254)*200&amp;$B$2&amp;") or (L8-4+L9-4&lt;= "&amp;IF($B$2="mil",1,0.0254)*950&amp;$B$2&amp;")"</f>
        <v>#REF!</v>
      </c>
      <c r="AU36" s="552" t="e">
        <f>"Total Length to U2 (L0+L1+L2+L5+L6-1+L7-2+L8-3+L9-3)Test ("&amp;IF($B$2="mil",1,0.0254)*500&amp;"-"&amp;IF($B$2="mil",1,0.0254)*6500&amp;IF($B$2="mil","mil","mm")&amp;")"</f>
        <v>#REF!</v>
      </c>
      <c r="AV36" s="552" t="e">
        <f>"Total Length to U2 (P1+L0+L1+L2+L5+L6-1+L7-2+L8-3+L9-3) Test (&lt;="&amp;IF($B$2="mil",1,25.4)*7000&amp;IF($B$2="mil","mil","mm")&amp;")"</f>
        <v>#REF!</v>
      </c>
      <c r="AW36" s="552" t="e">
        <f>"Total Length to U6 (L0+L1+L2+L5+L6-1+L7-2+L8-4+L9-4)Test ("&amp;IF($B$2="mil",1,0.0254)*500&amp;"-"&amp;IF($B$2="mil",1,0.0254)*6500&amp;IF($B$2="mil","mil","mm")&amp;")"</f>
        <v>#REF!</v>
      </c>
      <c r="AX36" s="552" t="e">
        <f>"Total Length to U6 (P1+L0+L1+L2+L5+L6-1+L7-2+L8-4+L9-4) Test (&lt;="&amp;IF($B$2="mil",1,25.4)*7000&amp;IF($B$2="mil","mil","mm")&amp;")"</f>
        <v>#REF!</v>
      </c>
      <c r="AY36" s="3"/>
      <c r="AZ36" s="3"/>
    </row>
    <row r="37" spans="15:52">
      <c r="O37" s="3"/>
      <c r="P37" s="169" t="s">
        <v>214</v>
      </c>
      <c r="Q37" s="166"/>
      <c r="R37" s="166"/>
      <c r="S37" s="166"/>
      <c r="T37" s="166"/>
      <c r="U37" s="166"/>
      <c r="V37" s="166"/>
      <c r="W37" s="558" t="s">
        <v>227</v>
      </c>
      <c r="X37" s="541" t="e">
        <f>MIN('DDR2 Clocks - 4L'!$O$9:$O$10)</f>
        <v>#REF!</v>
      </c>
      <c r="Y37" s="539" t="e">
        <f>MAX('DDR2 Clocks - 4L'!$O$9:$O$10)</f>
        <v>#REF!</v>
      </c>
      <c r="Z37" s="592"/>
      <c r="AA37" s="541"/>
      <c r="AB37" s="166"/>
      <c r="AC37" s="558" t="s">
        <v>285</v>
      </c>
      <c r="AD37" s="592" t="e">
        <f>MIN('DDR2 Clocks - 4L'!$O$11:$O$12)</f>
        <v>#REF!</v>
      </c>
      <c r="AE37" s="541" t="e">
        <f>MAX('DDR2 Clocks - 4L'!$O$11:$O$12)</f>
        <v>#REF!</v>
      </c>
      <c r="AF37" s="541"/>
      <c r="AG37" s="541"/>
      <c r="AH37" s="554"/>
      <c r="AI37" s="554"/>
      <c r="AJ37" s="554"/>
      <c r="AK37" s="554"/>
      <c r="AL37" s="554"/>
      <c r="AM37" s="554"/>
      <c r="AN37" s="166" t="s">
        <v>214</v>
      </c>
      <c r="AO37" s="539"/>
      <c r="AP37" s="577"/>
      <c r="AQ37" s="538"/>
      <c r="AR37" s="538"/>
      <c r="AS37" s="538"/>
      <c r="AT37" s="538"/>
      <c r="AU37" s="538"/>
      <c r="AV37" s="538"/>
      <c r="AW37" s="538"/>
      <c r="AX37" s="539"/>
      <c r="AY37" s="3"/>
      <c r="AZ37" s="3"/>
    </row>
    <row r="38" spans="15:52">
      <c r="O38" s="3"/>
      <c r="P38" s="155" t="s">
        <v>378</v>
      </c>
      <c r="Q38" s="338"/>
      <c r="R38" s="331"/>
      <c r="S38" s="331"/>
      <c r="T38" s="433"/>
      <c r="U38" s="433"/>
      <c r="V38" s="207"/>
      <c r="W38" s="207"/>
      <c r="X38" s="207"/>
      <c r="Y38" s="571"/>
      <c r="Z38" s="430"/>
      <c r="AA38" s="430"/>
      <c r="AB38" s="207"/>
      <c r="AC38" s="207"/>
      <c r="AD38" s="207"/>
      <c r="AE38" s="207"/>
      <c r="AF38" s="430"/>
      <c r="AG38" s="549"/>
      <c r="AH38" s="554"/>
      <c r="AI38" s="554"/>
      <c r="AJ38" s="554"/>
      <c r="AK38" s="554"/>
      <c r="AL38" s="554"/>
      <c r="AM38" s="554"/>
      <c r="AN38" s="155" t="s">
        <v>378</v>
      </c>
      <c r="AO38" s="533"/>
      <c r="AP38" s="577"/>
      <c r="AQ38" s="179"/>
      <c r="AR38" s="179"/>
      <c r="AS38" s="179"/>
      <c r="AT38" s="179"/>
      <c r="AU38" s="179"/>
      <c r="AV38" s="562"/>
      <c r="AW38" s="179"/>
      <c r="AX38" s="549"/>
      <c r="AY38" s="3"/>
      <c r="AZ38" s="3"/>
    </row>
    <row r="39" spans="15:52">
      <c r="O39" s="3"/>
      <c r="P39" s="185" t="s">
        <v>26</v>
      </c>
      <c r="Q39" s="303">
        <v>570.59</v>
      </c>
      <c r="R39" s="337">
        <v>75.430000000000007</v>
      </c>
      <c r="S39" s="337">
        <v>75.430000000000007</v>
      </c>
      <c r="T39" s="409">
        <v>50</v>
      </c>
      <c r="U39" s="409">
        <v>50</v>
      </c>
      <c r="V39" s="545">
        <f>SUM($E26:$G26,$M26,$N26,$Q39:$R39,T39)</f>
        <v>3916.64</v>
      </c>
      <c r="W39" s="524" t="e">
        <f>$V39+IF($B$2="mil",1,0.0254)*$C26</f>
        <v>#REF!</v>
      </c>
      <c r="X39" s="524" t="e">
        <f>$Y$31 + IF($B$2="mil",1,0.0254)*DDR2Specs!$E$9</f>
        <v>#REF!</v>
      </c>
      <c r="Y39" s="547" t="e">
        <f>$X$31 + IF($B$2="mil",1,0.0254)*DDR2Specs!$F$9</f>
        <v>#REF!</v>
      </c>
      <c r="Z39" s="546" t="e">
        <f>IF($W39&lt;$X39,$X39-$W39,"Pass")</f>
        <v>#REF!</v>
      </c>
      <c r="AA39" s="547" t="e">
        <f>IF($W39&gt;$Y39,$W39-$Y39,"Pass")</f>
        <v>#REF!</v>
      </c>
      <c r="AB39" s="545">
        <f>SUM($E26:$G26,$M26,$N26,$Q39,$S39,$U39)</f>
        <v>3916.64</v>
      </c>
      <c r="AC39" s="524" t="e">
        <f>$AB39+IF($B$2="mil",1,0.0254)*$C26</f>
        <v>#REF!</v>
      </c>
      <c r="AD39" s="524" t="e">
        <f>$AE$31 + IF($B$2="mil",1,0.0254)*DDR2Specs!$E$9</f>
        <v>#REF!</v>
      </c>
      <c r="AE39" s="524" t="e">
        <f>$AD$31 + IF($B$2="mil",1,0.0254)*DDR2Specs!$F$9</f>
        <v>#REF!</v>
      </c>
      <c r="AF39" s="546" t="e">
        <f>IF($AC39&lt;$AD39,$AD39-$AC39,"Pass")</f>
        <v>#REF!</v>
      </c>
      <c r="AG39" s="547" t="e">
        <f>IF($AC39&gt;$AE39,$AC39-$AE39,"Pass")</f>
        <v>#REF!</v>
      </c>
      <c r="AH39" s="554"/>
      <c r="AI39" s="554"/>
      <c r="AJ39" s="554"/>
      <c r="AK39" s="554"/>
      <c r="AL39" s="554"/>
      <c r="AM39" s="554"/>
      <c r="AN39" s="559" t="s">
        <v>26</v>
      </c>
      <c r="AO39" s="529" t="e">
        <f>IF($Q39&lt;=IF($B$2="mil",1,0.0254)*1000,"Pass",IF($B$2="mil",1,0.0254)*1000-$Q39)</f>
        <v>#REF!</v>
      </c>
      <c r="AP39" s="577"/>
      <c r="AQ39" s="528" t="e">
        <f>IF($R39&lt;=IF($B$2="mil",1,0.0254)*750,"Pass",IF($B$2="mil",1,0.0254)*750-$R39)</f>
        <v>#REF!</v>
      </c>
      <c r="AR39" s="528" t="e">
        <f>IF($S39&lt;=IF($B$2="mil",1,0.0254)*750,"Pass",IF($B$2="mil",1,0.0254)*750-$S39)</f>
        <v>#REF!</v>
      </c>
      <c r="AS39" s="528" t="e">
        <f t="shared" ref="AS39:AT41" ca="1" si="7">CheckLength2(IF($B$2="mil",1,0.0254)*950,R39,T39,0)</f>
        <v>#NAME?</v>
      </c>
      <c r="AT39" s="528" t="e">
        <f t="shared" ca="1" si="7"/>
        <v>#NAME?</v>
      </c>
      <c r="AU39" s="528" t="e">
        <f>IF(AND(V39&gt;=IF($B$2="mil",1,0.0254)*500, $V39&lt;=IF($B$2="mil",1,0.0254)*6500),"Pass",IF($B$2="mil",1,0.0254)*6500-$V39)</f>
        <v>#REF!</v>
      </c>
      <c r="AV39" s="560" t="e">
        <f>IF(AND($W39&gt;=IF($B$2="mil",1,0.0254)*500, $W39&lt;=IF($B$2="mil",1,0.0254)*7000),"Pass",IF($B$2="mil",1,0.0254)*7000-$W39)</f>
        <v>#REF!</v>
      </c>
      <c r="AW39" s="528" t="e">
        <f>IF(AND($AB39&gt;=IF($B$2="mil",1,0.0254)*500, $AB39&lt;=IF($B$2="mil",1,0.0254)*6500),"Pass",IF($B$2="mil",1,0.0254)*6500-$AB39)</f>
        <v>#REF!</v>
      </c>
      <c r="AX39" s="529" t="e">
        <f>IF(AND($AC39&gt;=IF($B$2="mil",1,0.0254)*500, $AC39&lt;=IF($B$2="mil",1,0.0254)*7000),"Pass",IF($B$2="mil",1,0.0254)*7000-$AC39)</f>
        <v>#REF!</v>
      </c>
      <c r="AY39" s="162" t="e">
        <f t="shared" ca="1" si="6"/>
        <v>#REF!</v>
      </c>
      <c r="AZ39" s="162" t="e">
        <f ca="1">IF(AND(AY39="Pass",AY40="Pass",AY41="Pass"),"Pass","Fail")</f>
        <v>#REF!</v>
      </c>
    </row>
    <row r="40" spans="15:52">
      <c r="O40" s="3"/>
      <c r="P40" s="185" t="s">
        <v>28</v>
      </c>
      <c r="Q40" s="303">
        <v>585.74</v>
      </c>
      <c r="R40" s="332">
        <v>58.08</v>
      </c>
      <c r="S40" s="332">
        <v>58.08</v>
      </c>
      <c r="T40" s="409">
        <v>50</v>
      </c>
      <c r="U40" s="409">
        <v>50</v>
      </c>
      <c r="V40" s="545">
        <f>SUM($E27:$G27,$M27,$N27,$Q40:$R40,T40)</f>
        <v>4059.8499999999995</v>
      </c>
      <c r="W40" s="524" t="e">
        <f>$V40+IF($B$2="mil",1,0.0254)*$C27</f>
        <v>#REF!</v>
      </c>
      <c r="X40" s="524" t="e">
        <f>$Y$31 + IF($B$2="mil",1,0.0254)*DDR2Specs!$E$9</f>
        <v>#REF!</v>
      </c>
      <c r="Y40" s="547" t="e">
        <f>$X$31 + IF($B$2="mil",1,0.0254)*DDR2Specs!$F$9</f>
        <v>#REF!</v>
      </c>
      <c r="Z40" s="546" t="e">
        <f>IF($W40&lt;$X40,$X40-$W40,"Pass")</f>
        <v>#REF!</v>
      </c>
      <c r="AA40" s="547" t="e">
        <f>IF($W40&gt;$Y40,$W40-$Y40,"Pass")</f>
        <v>#REF!</v>
      </c>
      <c r="AB40" s="545">
        <f>SUM($E27:$G27,$M27,$N27,$Q40,$S40,$U40)</f>
        <v>4059.8499999999995</v>
      </c>
      <c r="AC40" s="524" t="e">
        <f>$AB40+IF($B$2="mil",1,0.0254)*$C27</f>
        <v>#REF!</v>
      </c>
      <c r="AD40" s="524" t="e">
        <f>$AE$31 + IF($B$2="mil",1,0.0254)*DDR2Specs!$E$9</f>
        <v>#REF!</v>
      </c>
      <c r="AE40" s="524" t="e">
        <f>$AD$31 + IF($B$2="mil",1,0.0254)*DDR2Specs!$F$9</f>
        <v>#REF!</v>
      </c>
      <c r="AF40" s="546" t="e">
        <f>IF($AC40&lt;$AD40,$AD40-$AC40,"Pass")</f>
        <v>#REF!</v>
      </c>
      <c r="AG40" s="547" t="e">
        <f>IF($AC40&gt;$AE40,$AC40-$AE40,"Pass")</f>
        <v>#REF!</v>
      </c>
      <c r="AH40" s="554"/>
      <c r="AI40" s="554"/>
      <c r="AJ40" s="554"/>
      <c r="AK40" s="554"/>
      <c r="AL40" s="554"/>
      <c r="AM40" s="554"/>
      <c r="AN40" s="559" t="s">
        <v>28</v>
      </c>
      <c r="AO40" s="529" t="e">
        <f>IF($Q40&lt;=IF($B$2="mil",1,0.0254)*1000,"Pass",IF($B$2="mil",1,0.0254)*1000-$Q40)</f>
        <v>#REF!</v>
      </c>
      <c r="AP40" s="577"/>
      <c r="AQ40" s="528" t="e">
        <f>IF($R40&lt;=IF($B$2="mil",1,0.0254)*750,"Pass",IF($B$2="mil",1,0.0254)*750-$R40)</f>
        <v>#REF!</v>
      </c>
      <c r="AR40" s="528" t="e">
        <f>IF($S40&lt;=IF($B$2="mil",1,0.0254)*750,"Pass",IF($B$2="mil",1,0.0254)*750-$S40)</f>
        <v>#REF!</v>
      </c>
      <c r="AS40" s="528" t="e">
        <f t="shared" ca="1" si="7"/>
        <v>#NAME?</v>
      </c>
      <c r="AT40" s="528" t="e">
        <f t="shared" ca="1" si="7"/>
        <v>#NAME?</v>
      </c>
      <c r="AU40" s="528" t="e">
        <f>IF(AND(V40&gt;=IF($B$2="mil",1,0.0254)*500, $V40&lt;=IF($B$2="mil",1,0.0254)*6500),"Pass",IF($B$2="mil",1,0.0254)*6500-$V40)</f>
        <v>#REF!</v>
      </c>
      <c r="AV40" s="560" t="e">
        <f>IF(AND($W40&gt;=IF($B$2="mil",1,0.0254)*500, $W40&lt;=IF($B$2="mil",1,0.0254)*7000),"Pass",IF($B$2="mil",1,0.0254)*7000-$W40)</f>
        <v>#REF!</v>
      </c>
      <c r="AW40" s="528" t="e">
        <f>IF(AND($AB40&gt;=IF($B$2="mil",1,0.0254)*500, $AB40&lt;=IF($B$2="mil",1,0.0254)*6500),"Pass",IF($B$2="mil",1,0.0254)*6500-$AB40)</f>
        <v>#REF!</v>
      </c>
      <c r="AX40" s="529" t="e">
        <f>IF(AND($AC40&gt;=IF($B$2="mil",1,0.0254)*500, $AC40&lt;=IF($B$2="mil",1,0.0254)*7000),"Pass",IF($B$2="mil",1,0.0254)*7000-$AC40)</f>
        <v>#REF!</v>
      </c>
      <c r="AY40" s="162" t="e">
        <f t="shared" ca="1" si="6"/>
        <v>#REF!</v>
      </c>
      <c r="AZ40" s="3"/>
    </row>
    <row r="41" spans="15:52">
      <c r="O41" s="3"/>
      <c r="P41" s="185" t="s">
        <v>30</v>
      </c>
      <c r="Q41" s="303">
        <v>541.1</v>
      </c>
      <c r="R41" s="194">
        <v>78.75</v>
      </c>
      <c r="S41" s="194">
        <v>78.75</v>
      </c>
      <c r="T41" s="409">
        <v>50</v>
      </c>
      <c r="U41" s="409">
        <v>50</v>
      </c>
      <c r="V41" s="545">
        <f>SUM($E28:$G28,$M28,$N28,$Q41:$R41,T41)</f>
        <v>3879.3199999999997</v>
      </c>
      <c r="W41" s="524" t="e">
        <f>$V41+IF($B$2="mil",1,0.0254)*$C28</f>
        <v>#REF!</v>
      </c>
      <c r="X41" s="524" t="e">
        <f>$Y$31 + IF($B$2="mil",1,0.0254)*DDR2Specs!$E$9</f>
        <v>#REF!</v>
      </c>
      <c r="Y41" s="547" t="e">
        <f>$X$31 + IF($B$2="mil",1,0.0254)*DDR2Specs!$F$9</f>
        <v>#REF!</v>
      </c>
      <c r="Z41" s="546" t="e">
        <f>IF($W41&lt;$X41,$X41-$W41,"Pass")</f>
        <v>#REF!</v>
      </c>
      <c r="AA41" s="547" t="e">
        <f>IF($W41&gt;$Y41,$W41-$Y41,"Pass")</f>
        <v>#REF!</v>
      </c>
      <c r="AB41" s="545">
        <f>SUM($E28:$G28,$M28,$N28,$Q41,$S41,$U41)</f>
        <v>3879.3199999999997</v>
      </c>
      <c r="AC41" s="524" t="e">
        <f>$AB41+IF($B$2="mil",1,0.0254)*$C28</f>
        <v>#REF!</v>
      </c>
      <c r="AD41" s="524" t="e">
        <f>$AE$31 + IF($B$2="mil",1,0.0254)*DDR2Specs!$E$9</f>
        <v>#REF!</v>
      </c>
      <c r="AE41" s="524" t="e">
        <f>$AD$31 + IF($B$2="mil",1,0.0254)*DDR2Specs!$F$9</f>
        <v>#REF!</v>
      </c>
      <c r="AF41" s="546" t="e">
        <f>IF($AC41&lt;$AD41,$AD41-$AC41,"Pass")</f>
        <v>#REF!</v>
      </c>
      <c r="AG41" s="547" t="e">
        <f>IF($AC41&gt;$AE41,$AC41-$AE41,"Pass")</f>
        <v>#REF!</v>
      </c>
      <c r="AH41" s="554"/>
      <c r="AI41" s="554"/>
      <c r="AJ41" s="554"/>
      <c r="AK41" s="554"/>
      <c r="AL41" s="554"/>
      <c r="AM41" s="554"/>
      <c r="AN41" s="559" t="s">
        <v>30</v>
      </c>
      <c r="AO41" s="529" t="e">
        <f>IF($Q41&lt;=IF($B$2="mil",1,0.0254)*1000,"Pass",IF($B$2="mil",1,0.0254)*1000-$Q41)</f>
        <v>#REF!</v>
      </c>
      <c r="AP41" s="577"/>
      <c r="AQ41" s="528" t="e">
        <f>IF($R41&lt;=IF($B$2="mil",1,0.0254)*750,"Pass",IF($B$2="mil",1,0.0254)*750-$R41)</f>
        <v>#REF!</v>
      </c>
      <c r="AR41" s="528" t="e">
        <f>IF($S41&lt;=IF($B$2="mil",1,0.0254)*750,"Pass",IF($B$2="mil",1,0.0254)*750-$S41)</f>
        <v>#REF!</v>
      </c>
      <c r="AS41" s="528" t="e">
        <f t="shared" ca="1" si="7"/>
        <v>#NAME?</v>
      </c>
      <c r="AT41" s="528" t="e">
        <f t="shared" ca="1" si="7"/>
        <v>#NAME?</v>
      </c>
      <c r="AU41" s="528" t="e">
        <f>IF(AND(V41&gt;=IF($B$2="mil",1,0.0254)*500, $V41&lt;=IF($B$2="mil",1,0.0254)*6500),"Pass",IF($B$2="mil",1,0.0254)*6500-$V41)</f>
        <v>#REF!</v>
      </c>
      <c r="AV41" s="560" t="e">
        <f>IF(AND($W41&gt;=IF($B$2="mil",1,0.0254)*500, $W41&lt;=IF($B$2="mil",1,0.0254)*7000),"Pass",IF($B$2="mil",1,0.0254)*7000-$W41)</f>
        <v>#REF!</v>
      </c>
      <c r="AW41" s="528" t="e">
        <f>IF(AND($AB41&gt;=IF($B$2="mil",1,0.0254)*500, $AB41&lt;=IF($B$2="mil",1,0.0254)*6500),"Pass",IF($B$2="mil",1,0.0254)*6500-$AB41)</f>
        <v>#REF!</v>
      </c>
      <c r="AX41" s="529" t="e">
        <f>IF(AND($AC41&gt;=IF($B$2="mil",1,0.0254)*500, $AC41&lt;=IF($B$2="mil",1,0.0254)*7000),"Pass",IF($B$2="mil",1,0.0254)*7000-$AC41)</f>
        <v>#REF!</v>
      </c>
      <c r="AY41" s="162" t="e">
        <f t="shared" ca="1" si="6"/>
        <v>#REF!</v>
      </c>
      <c r="AZ41" s="3"/>
    </row>
    <row r="42" spans="15:52">
      <c r="O42" s="3"/>
      <c r="P42" s="218" t="s">
        <v>457</v>
      </c>
      <c r="Q42" s="144" t="e">
        <f>"Trace L7-3 ["&amp;$B$2&amp;"]"</f>
        <v>#REF!</v>
      </c>
      <c r="R42" s="144" t="e">
        <f>"Trace L8-5 to U3 ["&amp;$B$2&amp;"]"</f>
        <v>#REF!</v>
      </c>
      <c r="S42" s="144" t="e">
        <f>"Trace L8-6 to U7 ["&amp;$B$2&amp;"]"</f>
        <v>#REF!</v>
      </c>
      <c r="T42" s="144" t="e">
        <f>"Trace L9-5 to U3 ["&amp;$B$2&amp;"]"</f>
        <v>#REF!</v>
      </c>
      <c r="U42" s="144" t="e">
        <f>"Trace L9-6 to U7 ["&amp;$B$2&amp;"]"</f>
        <v>#REF!</v>
      </c>
      <c r="V42" s="550" t="e">
        <f>"Total MB Length to U3 (L0+L1+L2+L5+L6-2+L7-3+L8-5+L9-5) ["&amp;$B$2&amp;"]"</f>
        <v>#REF!</v>
      </c>
      <c r="W42" s="550" t="e">
        <f>"Total Pad to Pin U3 (P1+L0+L1+L2+L5+L6-2+L7-3+L8-5+L9-5) ["&amp;$B$2&amp;"]"</f>
        <v>#REF!</v>
      </c>
      <c r="X42" s="551" t="e">
        <f>"Target Min Length to U3["&amp;$B$2&amp;"]"</f>
        <v>#REF!</v>
      </c>
      <c r="Y42" s="552" t="e">
        <f>"Target Max Length to U3 ["&amp;$B$2&amp;"]"</f>
        <v>#REF!</v>
      </c>
      <c r="Z42" s="553" t="e">
        <f>"Routed Too Short to U3 [" &amp;$B$2&amp;"]"</f>
        <v>#REF!</v>
      </c>
      <c r="AA42" s="551" t="e">
        <f>"Routed Too Long to U3 [" &amp;$B$2&amp;"]"</f>
        <v>#REF!</v>
      </c>
      <c r="AB42" s="550" t="e">
        <f>"Total MB Length to U7 (L0+L1+L2+L5+L6-2+L7-3+L8-6+L9-6) ["&amp;$B$2&amp;"]"</f>
        <v>#REF!</v>
      </c>
      <c r="AC42" s="550" t="e">
        <f>"Total Pad to Pin U7 (P1+L0+L1+L2+L5+L6-2+L7-3+L8-6+L9-6) ["&amp;$B$2&amp;"]"</f>
        <v>#REF!</v>
      </c>
      <c r="AD42" s="551" t="e">
        <f>"Target Min Length to U7["&amp;$B$2&amp;"]"</f>
        <v>#REF!</v>
      </c>
      <c r="AE42" s="552" t="e">
        <f>"Target Max Length to U7 ["&amp;$B$2&amp;"]"</f>
        <v>#REF!</v>
      </c>
      <c r="AF42" s="553" t="e">
        <f>"Routed Too Short to U7 [" &amp;$B$2&amp;"]"</f>
        <v>#REF!</v>
      </c>
      <c r="AG42" s="551" t="e">
        <f>"Routed Too Long to U7 [" &amp;$B$2&amp;"]"</f>
        <v>#REF!</v>
      </c>
      <c r="AH42" s="554"/>
      <c r="AI42" s="554"/>
      <c r="AJ42" s="554"/>
      <c r="AK42" s="554"/>
      <c r="AL42" s="555" t="s">
        <v>457</v>
      </c>
      <c r="AM42" s="556" t="e">
        <f>"L6-2 Length Test (&lt;=" &amp; IF($B$2="mil",1,0.0254)*1000&amp;$B$2&amp;")"</f>
        <v>#REF!</v>
      </c>
      <c r="AN42" s="555" t="s">
        <v>457</v>
      </c>
      <c r="AO42" s="552" t="e">
        <f>"L7-3 Length Test (&lt;=" &amp; IF($B$2="mil",1,0.0254)*1000&amp;$B$2&amp;")"</f>
        <v>#REF!</v>
      </c>
      <c r="AP42" s="577"/>
      <c r="AQ42" s="556" t="e">
        <f>"L8-5 Length Test (&lt;=" &amp; IF($B$2="mil",1,0.0254)*750&amp;$B$2&amp;")"</f>
        <v>#REF!</v>
      </c>
      <c r="AR42" s="556" t="e">
        <f>"L8-6 Length Test (&lt;=" &amp; IF($B$2="mil",1,0.0254)*750&amp;$B$2&amp;")"</f>
        <v>#REF!</v>
      </c>
      <c r="AS42" s="556" t="e">
        <f>"L9-5 Length Test (&lt;=" &amp; IF($B$2="mil",1,0.0254)*200&amp;$B$2&amp;") or (L8-5+L9-5&lt;= "&amp;IF($B$2="mil",1,0.0254)*950&amp;$B$2&amp;")"</f>
        <v>#REF!</v>
      </c>
      <c r="AT42" s="556" t="e">
        <f>"L9-6 Length Test (&lt;=" &amp; IF($B$2="mil",1,0.0254)*200&amp;$B$2&amp;") or (L8-6+L9-6&lt;= "&amp;IF($B$2="mil",1,0.0254)*950&amp;$B$2&amp;")"</f>
        <v>#REF!</v>
      </c>
      <c r="AU42" s="552" t="e">
        <f>"Total Length to U3 (L0+L1+L2+L5+L6-2+L7-3+L8-5+L9-5) Test ("&amp;IF($B$2="mil",1,0.0254)*500&amp;"-"&amp;IF($B$2="mil",1,0.0254)*6500&amp;IF($B$2="mil","mil","mm")&amp;")"</f>
        <v>#REF!</v>
      </c>
      <c r="AV42" s="552" t="e">
        <f>"Total Length to U3 (P1+L0+L1+L2+L5+L6-2+L7-3+L8-5+L9-5) Test (&lt;="&amp;IF($B$2="mil",1,25.4)*7000&amp;IF($B$2="mil","mil","mm")&amp;")"</f>
        <v>#REF!</v>
      </c>
      <c r="AW42" s="552" t="e">
        <f>"Total Length to U7 (L0+L1+L2+L5+L6-2+L7-3+L8-6+L9-6) Test ("&amp;IF($B$2="mil",1,0.0254)*500&amp;"-"&amp;IF($B$2="mil",1,0.0254)*6500&amp;IF($B$2="mil","mil","mm")&amp;")"</f>
        <v>#REF!</v>
      </c>
      <c r="AX42" s="552" t="e">
        <f>"Total Length to U7 (P1+L0+L1+L2+L5+L6-2+L7-3+L8-6+L9-6) Test (&lt;="&amp;IF($B$2="mil",1,25.4)*7000&amp;IF($B$2="mil","mil","mm")&amp;")"</f>
        <v>#REF!</v>
      </c>
      <c r="AY42" s="3"/>
      <c r="AZ42" s="3"/>
    </row>
    <row r="43" spans="15:52">
      <c r="O43" s="3"/>
      <c r="P43" s="155" t="s">
        <v>210</v>
      </c>
      <c r="Q43" s="156"/>
      <c r="R43" s="156"/>
      <c r="S43" s="156"/>
      <c r="T43" s="156"/>
      <c r="U43" s="156"/>
      <c r="V43" s="156"/>
      <c r="W43" s="156"/>
      <c r="X43" s="156"/>
      <c r="Y43" s="430"/>
      <c r="Z43" s="156"/>
      <c r="AA43" s="156"/>
      <c r="AB43" s="156"/>
      <c r="AC43" s="156"/>
      <c r="AD43" s="156"/>
      <c r="AE43" s="156"/>
      <c r="AF43" s="156"/>
      <c r="AG43" s="557"/>
      <c r="AH43" s="554"/>
      <c r="AI43" s="554"/>
      <c r="AJ43" s="554"/>
      <c r="AK43" s="554"/>
      <c r="AL43" s="155" t="s">
        <v>210</v>
      </c>
      <c r="AM43" s="156"/>
      <c r="AN43" s="155" t="s">
        <v>210</v>
      </c>
      <c r="AO43" s="557"/>
      <c r="AP43" s="577"/>
      <c r="AQ43" s="156"/>
      <c r="AR43" s="156"/>
      <c r="AS43" s="156"/>
      <c r="AT43" s="156"/>
      <c r="AU43" s="156"/>
      <c r="AV43" s="158"/>
      <c r="AW43" s="156"/>
      <c r="AX43" s="158"/>
      <c r="AY43" s="3"/>
      <c r="AZ43" s="3"/>
    </row>
    <row r="44" spans="15:52">
      <c r="O44" s="3"/>
      <c r="P44" s="263" t="s">
        <v>214</v>
      </c>
      <c r="Q44" s="166"/>
      <c r="R44" s="166"/>
      <c r="S44" s="166"/>
      <c r="T44" s="166"/>
      <c r="U44" s="166"/>
      <c r="V44" s="166"/>
      <c r="W44" s="558" t="s">
        <v>226</v>
      </c>
      <c r="X44" s="542" t="e">
        <f>MIN('DDR2 Clocks - 4L'!$O$13:$O$14)</f>
        <v>#REF!</v>
      </c>
      <c r="Y44" s="539" t="e">
        <f>MAX('DDR2 Clocks - 4L'!$O$13:$O$14)</f>
        <v>#REF!</v>
      </c>
      <c r="Z44" s="542"/>
      <c r="AA44" s="168"/>
      <c r="AB44" s="166"/>
      <c r="AC44" s="558" t="s">
        <v>286</v>
      </c>
      <c r="AD44" s="542" t="e">
        <f>MIN('DDR2 Clocks - 4L'!$O$15:$O$16)</f>
        <v>#REF!</v>
      </c>
      <c r="AE44" s="541" t="e">
        <f>MAX('DDR2 Clocks - 4L'!$O$15:$O$16)</f>
        <v>#REF!</v>
      </c>
      <c r="AF44" s="542"/>
      <c r="AG44" s="168"/>
      <c r="AH44" s="554"/>
      <c r="AI44" s="554"/>
      <c r="AJ44" s="554"/>
      <c r="AK44" s="554"/>
      <c r="AL44" s="163" t="s">
        <v>214</v>
      </c>
      <c r="AM44" s="538"/>
      <c r="AN44" s="163" t="s">
        <v>214</v>
      </c>
      <c r="AO44" s="539"/>
      <c r="AP44" s="577"/>
      <c r="AQ44" s="538"/>
      <c r="AR44" s="538"/>
      <c r="AS44" s="538"/>
      <c r="AT44" s="538"/>
      <c r="AU44" s="538"/>
      <c r="AV44" s="539"/>
      <c r="AW44" s="538"/>
      <c r="AX44" s="539"/>
      <c r="AY44" s="3"/>
      <c r="AZ44" s="3"/>
    </row>
    <row r="45" spans="15:52">
      <c r="O45" s="3"/>
      <c r="P45" s="155" t="s">
        <v>377</v>
      </c>
      <c r="Q45" s="181"/>
      <c r="R45" s="181"/>
      <c r="S45" s="181"/>
      <c r="T45" s="181"/>
      <c r="U45" s="181"/>
      <c r="V45" s="181"/>
      <c r="W45" s="179"/>
      <c r="X45" s="179"/>
      <c r="Y45" s="570"/>
      <c r="Z45" s="531"/>
      <c r="AA45" s="179"/>
      <c r="AB45" s="181"/>
      <c r="AC45" s="179"/>
      <c r="AD45" s="179"/>
      <c r="AE45" s="531"/>
      <c r="AF45" s="531"/>
      <c r="AG45" s="533"/>
      <c r="AH45" s="554"/>
      <c r="AI45" s="554"/>
      <c r="AJ45" s="554"/>
      <c r="AK45" s="554"/>
      <c r="AL45" s="155" t="s">
        <v>377</v>
      </c>
      <c r="AM45" s="179"/>
      <c r="AN45" s="155" t="s">
        <v>377</v>
      </c>
      <c r="AO45" s="533"/>
      <c r="AP45" s="577"/>
      <c r="AQ45" s="179"/>
      <c r="AR45" s="179"/>
      <c r="AS45" s="179"/>
      <c r="AT45" s="179"/>
      <c r="AU45" s="179"/>
      <c r="AV45" s="273"/>
      <c r="AW45" s="179"/>
      <c r="AX45" s="273"/>
      <c r="AY45" s="3"/>
      <c r="AZ45" s="3"/>
    </row>
    <row r="46" spans="15:52">
      <c r="O46" s="3"/>
      <c r="P46" s="185" t="s">
        <v>25</v>
      </c>
      <c r="Q46" s="303">
        <v>565.69000000000005</v>
      </c>
      <c r="R46" s="409">
        <v>300</v>
      </c>
      <c r="S46" s="409">
        <v>300</v>
      </c>
      <c r="T46" s="409">
        <v>50</v>
      </c>
      <c r="U46" s="409">
        <v>50</v>
      </c>
      <c r="V46" s="545">
        <f>SUM($E20:$G20,$M20,$P20,$Q46:$R46,$T46)</f>
        <v>4309.7299999999996</v>
      </c>
      <c r="W46" s="534" t="e">
        <f>$V46+IF($B$2="mil",1,0.0254)*$C20</f>
        <v>#REF!</v>
      </c>
      <c r="X46" s="524" t="e">
        <f>$Y$44 + IF($B$2="mil",1,0.0254)*DDR2Specs!$E$9</f>
        <v>#REF!</v>
      </c>
      <c r="Y46" s="547" t="e">
        <f>$X$44 + IF($B$2="mil",1,0.0254)*DDR2Specs!$F$9</f>
        <v>#REF!</v>
      </c>
      <c r="Z46" s="546" t="e">
        <f>IF($W46&lt;$X46,$X46-$W46,"Pass")</f>
        <v>#REF!</v>
      </c>
      <c r="AA46" s="547" t="e">
        <f>IF($W46&gt;$Y46,$W46-$Y46,"Pass")</f>
        <v>#REF!</v>
      </c>
      <c r="AB46" s="545">
        <f>SUM($E20:$G20,$M20,$P20,$Q46,$S46,$U46)</f>
        <v>4309.7299999999996</v>
      </c>
      <c r="AC46" s="524" t="e">
        <f>$AB46+IF($B$2="mil",1,0.0254)*$C20</f>
        <v>#REF!</v>
      </c>
      <c r="AD46" s="524" t="e">
        <f>$AE$44 + IF($B$2="mil",1,0.0254)*DDR2Specs!$E$9</f>
        <v>#REF!</v>
      </c>
      <c r="AE46" s="524" t="e">
        <f>$AD$44 + IF($B$2="mil",1,0.0254)*DDR2Specs!$F$9</f>
        <v>#REF!</v>
      </c>
      <c r="AF46" s="546" t="e">
        <f>IF($AC46&lt;$AD46,$AD46-$AC46,"Pass")</f>
        <v>#REF!</v>
      </c>
      <c r="AG46" s="547" t="e">
        <f>IF($AC46&gt;$AE46,$AC46-$AE46,"Pass")</f>
        <v>#REF!</v>
      </c>
      <c r="AH46" s="554"/>
      <c r="AI46" s="554"/>
      <c r="AJ46" s="554"/>
      <c r="AK46" s="554"/>
      <c r="AL46" s="559" t="s">
        <v>25</v>
      </c>
      <c r="AM46" s="560" t="e">
        <f>IF(P20&lt;=IF($B$2="mil",1,0.0254)*1000,"Pass",IF($B$2="mil",1,0.0254)*1000-P20)</f>
        <v>#REF!</v>
      </c>
      <c r="AN46" s="559" t="s">
        <v>25</v>
      </c>
      <c r="AO46" s="529" t="e">
        <f>IF($Q46&lt;=IF($B$2="mil",1,0.0254)*1000,"Pass",IF($B$2="mil",1,0.0254)*1000-$Q46)</f>
        <v>#REF!</v>
      </c>
      <c r="AP46" s="577"/>
      <c r="AQ46" s="528" t="e">
        <f>IF($R46&lt;=IF($B$2="mil",1,0.0254)*750,"Pass",IF($B$2="mil",1,0.0254)*750-$R46)</f>
        <v>#REF!</v>
      </c>
      <c r="AR46" s="528" t="e">
        <f>IF($S46&lt;=IF($B$2="mil",1,0.0254)*750,"Pass",IF($B$2="mil",1,0.0254)*750-$S46)</f>
        <v>#REF!</v>
      </c>
      <c r="AS46" s="528" t="e">
        <f t="shared" ref="AS46:AT48" ca="1" si="8">CheckLength2(IF($B$2="mil",1,0.0254)*950,R46,T46,0)</f>
        <v>#NAME?</v>
      </c>
      <c r="AT46" s="528" t="e">
        <f t="shared" ca="1" si="8"/>
        <v>#NAME?</v>
      </c>
      <c r="AU46" s="528" t="e">
        <f>IF(AND(V46&gt;=IF($B$2="mil",1,0.0254)*500, $V46&lt;=IF($B$2="mil",1,0.0254)*6500),"Pass",IF($B$2="mil",1,0.0254)*6500-$V46)</f>
        <v>#REF!</v>
      </c>
      <c r="AV46" s="560" t="e">
        <f>IF(AND($W46&gt;=IF($B$2="mil",1,0.0254)*500, $W46&lt;=IF($B$2="mil",1,0.0254)*7000),"Pass",IF($B$2="mil",1,0.0254)*7000-$W46)</f>
        <v>#REF!</v>
      </c>
      <c r="AW46" s="528" t="e">
        <f>IF(AND($AB46&gt;=IF($B$2="mil",1,0.0254)*500, $AB46&lt;=IF($B$2="mil",1,0.0254)*6500),"Pass",IF($B$2="mil",1,0.0254)*6500-$AB46)</f>
        <v>#REF!</v>
      </c>
      <c r="AX46" s="529" t="e">
        <f>IF(AND($AC46&gt;=IF($B$2="mil",1,0.0254)*500, $AC46&lt;=IF($B$2="mil",1,0.0254)*7000),"Pass",IF($B$2="mil",1,0.0254)*7000-$AC46)</f>
        <v>#REF!</v>
      </c>
      <c r="AY46" s="162" t="e">
        <f ca="1">IF(AND(Z46="Pass",AA46="Pass",AF46="Pass",AG46="Pass",AM46="Pass",AO46="Pass",AQ46="Pass",AR46="Pass",AS46="Pass",AT46="Pass",AU46="Pass",AV46="Pass",AW46="Pass",AX46="Pass"),"Pass","Fail")</f>
        <v>#REF!</v>
      </c>
      <c r="AZ46" s="162" t="e">
        <f ca="1">IF(AND(AY46="Pass",AY47="Pass",AY48="Pass"),"Pass","Fail")</f>
        <v>#REF!</v>
      </c>
    </row>
    <row r="47" spans="15:52">
      <c r="O47" s="3"/>
      <c r="P47" s="185" t="s">
        <v>27</v>
      </c>
      <c r="Q47" s="303">
        <v>587.88</v>
      </c>
      <c r="R47" s="409">
        <v>460</v>
      </c>
      <c r="S47" s="409">
        <v>460</v>
      </c>
      <c r="T47" s="409">
        <v>50</v>
      </c>
      <c r="U47" s="409">
        <v>50</v>
      </c>
      <c r="V47" s="545">
        <f>SUM($E21:$G21,$M21,$P21,$Q47:$R47,$T47)</f>
        <v>4329.49</v>
      </c>
      <c r="W47" s="534" t="e">
        <f>$V47+IF($B$2="mil",1,0.0254)*$C21</f>
        <v>#REF!</v>
      </c>
      <c r="X47" s="524" t="e">
        <f>$Y$44 + IF($B$2="mil",1,0.0254)*DDR2Specs!$E$9</f>
        <v>#REF!</v>
      </c>
      <c r="Y47" s="547" t="e">
        <f>$X$44 + IF($B$2="mil",1,0.0254)*DDR2Specs!$F$9</f>
        <v>#REF!</v>
      </c>
      <c r="Z47" s="546" t="e">
        <f>IF($W47&lt;$X47,$X47-$W47,"Pass")</f>
        <v>#REF!</v>
      </c>
      <c r="AA47" s="547" t="e">
        <f>IF($W47&gt;$Y47,$W47-$Y47,"Pass")</f>
        <v>#REF!</v>
      </c>
      <c r="AB47" s="545">
        <f>SUM($E21:$G21,$M21,$P21,$Q47,$S47,$U47)</f>
        <v>4329.49</v>
      </c>
      <c r="AC47" s="524" t="e">
        <f>$AB47+IF($B$2="mil",1,0.0254)*$C21</f>
        <v>#REF!</v>
      </c>
      <c r="AD47" s="524" t="e">
        <f>$AE$44 + IF($B$2="mil",1,0.0254)*DDR2Specs!$E$9</f>
        <v>#REF!</v>
      </c>
      <c r="AE47" s="524" t="e">
        <f>$AD$44 + IF($B$2="mil",1,0.0254)*DDR2Specs!$F$9</f>
        <v>#REF!</v>
      </c>
      <c r="AF47" s="546" t="e">
        <f>IF($AC47&lt;$AD47,$AD47-$AC47,"Pass")</f>
        <v>#REF!</v>
      </c>
      <c r="AG47" s="547" t="e">
        <f>IF($AC47&gt;$AE47,$AC47-$AE47,"Pass")</f>
        <v>#REF!</v>
      </c>
      <c r="AH47" s="554"/>
      <c r="AI47" s="554"/>
      <c r="AJ47" s="554"/>
      <c r="AK47" s="554"/>
      <c r="AL47" s="559" t="s">
        <v>27</v>
      </c>
      <c r="AM47" s="560" t="e">
        <f>IF(P21&lt;=IF($B$2="mil",1,0.0254)*1000,"Pass",IF($B$2="mil",1,0.0254)*1000-P21)</f>
        <v>#REF!</v>
      </c>
      <c r="AN47" s="559" t="s">
        <v>27</v>
      </c>
      <c r="AO47" s="529" t="e">
        <f>IF($Q47&lt;=IF($B$2="mil",1,0.0254)*1000,"Pass",IF($B$2="mil",1,0.0254)*1000-$Q47)</f>
        <v>#REF!</v>
      </c>
      <c r="AP47" s="577"/>
      <c r="AQ47" s="528" t="e">
        <f>IF($R47&lt;=IF($B$2="mil",1,0.0254)*750,"Pass",IF($B$2="mil",1,0.0254)*750-$R47)</f>
        <v>#REF!</v>
      </c>
      <c r="AR47" s="528" t="e">
        <f>IF($S47&lt;=IF($B$2="mil",1,0.0254)*750,"Pass",IF($B$2="mil",1,0.0254)*750-$S47)</f>
        <v>#REF!</v>
      </c>
      <c r="AS47" s="528" t="e">
        <f t="shared" ca="1" si="8"/>
        <v>#NAME?</v>
      </c>
      <c r="AT47" s="528" t="e">
        <f t="shared" ca="1" si="8"/>
        <v>#NAME?</v>
      </c>
      <c r="AU47" s="528" t="e">
        <f>IF(AND(V47&gt;=IF($B$2="mil",1,0.0254)*500, $V47&lt;=IF($B$2="mil",1,0.0254)*6500),"Pass",IF($B$2="mil",1,0.0254)*6500-$V47)</f>
        <v>#REF!</v>
      </c>
      <c r="AV47" s="560" t="e">
        <f>IF(AND($W47&gt;=IF($B$2="mil",1,0.0254)*500, $W47&lt;=IF($B$2="mil",1,0.0254)*7000),"Pass",IF($B$2="mil",1,0.0254)*7000-$W47)</f>
        <v>#REF!</v>
      </c>
      <c r="AW47" s="528" t="e">
        <f>IF(AND($AB47&gt;=IF($B$2="mil",1,0.0254)*500, $AB47&lt;=IF($B$2="mil",1,0.0254)*6500),"Pass",IF($B$2="mil",1,0.0254)*6500-$AB47)</f>
        <v>#REF!</v>
      </c>
      <c r="AX47" s="529" t="e">
        <f>IF(AND($AC47&gt;=IF($B$2="mil",1,0.0254)*500, $AC47&lt;=IF($B$2="mil",1,0.0254)*7000),"Pass",IF($B$2="mil",1,0.0254)*7000-$AC47)</f>
        <v>#REF!</v>
      </c>
      <c r="AY47" s="162" t="e">
        <f t="shared" ref="AY47:AY54" ca="1" si="9">IF(AND(Z47="Pass",AA47="Pass",AF47="Pass",AG47="Pass",AM47="Pass",AO47="Pass",AQ47="Pass",AR47="Pass",AS47="Pass",AT47="Pass",AU47="Pass",AV47="Pass",AW47="Pass",AX47="Pass"),"Pass","Fail")</f>
        <v>#REF!</v>
      </c>
    </row>
    <row r="48" spans="15:52">
      <c r="O48" s="3"/>
      <c r="P48" s="185" t="s">
        <v>29</v>
      </c>
      <c r="Q48" s="303">
        <v>565.69000000000005</v>
      </c>
      <c r="R48" s="409">
        <v>520</v>
      </c>
      <c r="S48" s="409">
        <v>550</v>
      </c>
      <c r="T48" s="409">
        <v>50</v>
      </c>
      <c r="U48" s="409">
        <v>50</v>
      </c>
      <c r="V48" s="545">
        <f>SUM($E22:$G22,$M22,$P22,$Q48:$R48,$T48)</f>
        <v>4272.58</v>
      </c>
      <c r="W48" s="534" t="e">
        <f>$V48+IF($B$2="mil",1,0.0254)*$C22</f>
        <v>#REF!</v>
      </c>
      <c r="X48" s="524" t="e">
        <f>$Y$44 + IF($B$2="mil",1,0.0254)*DDR2Specs!$E$9</f>
        <v>#REF!</v>
      </c>
      <c r="Y48" s="547" t="e">
        <f>$X$44 + IF($B$2="mil",1,0.0254)*DDR2Specs!$F$9</f>
        <v>#REF!</v>
      </c>
      <c r="Z48" s="546" t="e">
        <f>IF($W48&lt;$X48,$X48-$W48,"Pass")</f>
        <v>#REF!</v>
      </c>
      <c r="AA48" s="547" t="e">
        <f>IF($W48&gt;$Y48,$W48-$Y48,"Pass")</f>
        <v>#REF!</v>
      </c>
      <c r="AB48" s="545">
        <f>SUM($E22:$G22,$M22,$P22,$Q48,$S48,$U48)</f>
        <v>4302.58</v>
      </c>
      <c r="AC48" s="524" t="e">
        <f>$AB48+IF($B$2="mil",1,0.0254)*$C22</f>
        <v>#REF!</v>
      </c>
      <c r="AD48" s="524" t="e">
        <f>$AE$44 + IF($B$2="mil",1,0.0254)*DDR2Specs!$E$9</f>
        <v>#REF!</v>
      </c>
      <c r="AE48" s="524" t="e">
        <f>$AD$44 + IF($B$2="mil",1,0.0254)*DDR2Specs!$F$9</f>
        <v>#REF!</v>
      </c>
      <c r="AF48" s="546" t="e">
        <f>IF($AC48&lt;$AD48,$AD48-$AC48,"Pass")</f>
        <v>#REF!</v>
      </c>
      <c r="AG48" s="547" t="e">
        <f>IF($AC48&gt;$AE48,$AC48-$AE48,"Pass")</f>
        <v>#REF!</v>
      </c>
      <c r="AH48" s="554"/>
      <c r="AI48" s="554"/>
      <c r="AJ48" s="554"/>
      <c r="AK48" s="554"/>
      <c r="AL48" s="559" t="s">
        <v>29</v>
      </c>
      <c r="AM48" s="560" t="e">
        <f>IF(P22&lt;=IF($B$2="mil",1,0.0254)*1000,"Pass",IF($B$2="mil",1,0.0254)*1000-P22)</f>
        <v>#REF!</v>
      </c>
      <c r="AN48" s="559" t="s">
        <v>29</v>
      </c>
      <c r="AO48" s="529" t="e">
        <f>IF($Q48&lt;=IF($B$2="mil",1,0.0254)*1000,"Pass",IF($B$2="mil",1,0.0254)*1000-$Q48)</f>
        <v>#REF!</v>
      </c>
      <c r="AP48" s="577"/>
      <c r="AQ48" s="528" t="e">
        <f>IF($R48&lt;=IF($B$2="mil",1,0.0254)*750,"Pass",IF($B$2="mil",1,0.0254)*750-$R48)</f>
        <v>#REF!</v>
      </c>
      <c r="AR48" s="528" t="e">
        <f>IF($S48&lt;=IF($B$2="mil",1,0.0254)*750,"Pass",IF($B$2="mil",1,0.0254)*750-$S48)</f>
        <v>#REF!</v>
      </c>
      <c r="AS48" s="528" t="e">
        <f t="shared" ca="1" si="8"/>
        <v>#NAME?</v>
      </c>
      <c r="AT48" s="528" t="e">
        <f t="shared" ca="1" si="8"/>
        <v>#NAME?</v>
      </c>
      <c r="AU48" s="528" t="e">
        <f>IF(AND(V48&gt;=IF($B$2="mil",1,0.0254)*500, $V48&lt;=IF($B$2="mil",1,0.0254)*6500),"Pass",IF($B$2="mil",1,0.0254)*6500-$V48)</f>
        <v>#REF!</v>
      </c>
      <c r="AV48" s="560" t="e">
        <f>IF(AND($W48&gt;=IF($B$2="mil",1,0.0254)*500, $W48&lt;=IF($B$2="mil",1,0.0254)*7000),"Pass",IF($B$2="mil",1,0.0254)*7000-$W48)</f>
        <v>#REF!</v>
      </c>
      <c r="AW48" s="528" t="e">
        <f>IF(AND($AB48&gt;=IF($B$2="mil",1,0.0254)*500, $AB48&lt;=IF($B$2="mil",1,0.0254)*6500),"Pass",IF($B$2="mil",1,0.0254)*6500-$AB48)</f>
        <v>#REF!</v>
      </c>
      <c r="AX48" s="529" t="e">
        <f>IF(AND($AC48&gt;=IF($B$2="mil",1,0.0254)*500, $AC48&lt;=IF($B$2="mil",1,0.0254)*7000),"Pass",IF($B$2="mil",1,0.0254)*7000-$AC48)</f>
        <v>#REF!</v>
      </c>
      <c r="AY48" s="162" t="e">
        <f t="shared" ca="1" si="9"/>
        <v>#REF!</v>
      </c>
      <c r="AZ48" s="3"/>
    </row>
    <row r="49" spans="5:52">
      <c r="O49" s="3"/>
      <c r="P49" s="218" t="s">
        <v>457</v>
      </c>
      <c r="Q49" s="144" t="e">
        <f>"Trace L7-3 ["&amp;$B$2&amp;"]"</f>
        <v>#REF!</v>
      </c>
      <c r="R49" s="144" t="e">
        <f>"Trace L8-5 to U3 ["&amp;$B$2&amp;"]"</f>
        <v>#REF!</v>
      </c>
      <c r="S49" s="144" t="e">
        <f>"Trace L8-6 to U7 ["&amp;$B$2&amp;"]"</f>
        <v>#REF!</v>
      </c>
      <c r="T49" s="144" t="e">
        <f>"Trace L9-5 to U3 ["&amp;$B$2&amp;"]"</f>
        <v>#REF!</v>
      </c>
      <c r="U49" s="144" t="e">
        <f>"Trace L9-6 to U7 ["&amp;$B$2&amp;"]"</f>
        <v>#REF!</v>
      </c>
      <c r="V49" s="550" t="e">
        <f>"Total MB Length to U3 (L0+L1+L2+L5+L6-2+L7-3+L8-5+L9-5) ["&amp;$B$2&amp;"]"</f>
        <v>#REF!</v>
      </c>
      <c r="W49" s="550" t="e">
        <f>"Total Pad to Pin U3 (P1+L0+L1+L2+L5+L6-2+L7-3+L8-5+L9-5) ["&amp;$B$2&amp;"]"</f>
        <v>#REF!</v>
      </c>
      <c r="X49" s="551" t="e">
        <f>"Target Min Length to U3["&amp;$B$2&amp;"]"</f>
        <v>#REF!</v>
      </c>
      <c r="Y49" s="552" t="e">
        <f>"Target Max Length to U3 ["&amp;$B$2&amp;"]"</f>
        <v>#REF!</v>
      </c>
      <c r="Z49" s="553" t="e">
        <f>"Routed Too Short to U3 [" &amp;$B$2&amp;"]"</f>
        <v>#REF!</v>
      </c>
      <c r="AA49" s="551" t="e">
        <f>"Routed Too Long to U3 [" &amp;$B$2&amp;"]"</f>
        <v>#REF!</v>
      </c>
      <c r="AB49" s="550" t="e">
        <f>"Total MB Length to U7 (L0+L1+L2+L5+L6-2+L7-3+L8-6+L9-6) ["&amp;$B$2&amp;"]"</f>
        <v>#REF!</v>
      </c>
      <c r="AC49" s="550" t="e">
        <f>"Total Pad to Pin U7 (P1+L0+L1+L2+L5+L6-2+L7-3+L8-6+L9-6) ["&amp;$B$2&amp;"]"</f>
        <v>#REF!</v>
      </c>
      <c r="AD49" s="551" t="e">
        <f>"Target Min Length to U7["&amp;$B$2&amp;"]"</f>
        <v>#REF!</v>
      </c>
      <c r="AE49" s="552" t="e">
        <f>"Target Max Length to U7 ["&amp;$B$2&amp;"]"</f>
        <v>#REF!</v>
      </c>
      <c r="AF49" s="553" t="e">
        <f>"Routed Too Short to U7 [" &amp;$B$2&amp;"]"</f>
        <v>#REF!</v>
      </c>
      <c r="AG49" s="551" t="e">
        <f>"Routed Too Long to U7 [" &amp;$B$2&amp;"]"</f>
        <v>#REF!</v>
      </c>
      <c r="AH49" s="554"/>
      <c r="AI49" s="554"/>
      <c r="AJ49" s="554"/>
      <c r="AK49" s="554"/>
      <c r="AL49" s="555" t="s">
        <v>457</v>
      </c>
      <c r="AM49" s="556" t="e">
        <f>"L6-2 Length Test (&lt;=" &amp; IF($B$2="mil",1,0.0254)*1000&amp;$B$2&amp;")"</f>
        <v>#REF!</v>
      </c>
      <c r="AN49" s="555" t="s">
        <v>457</v>
      </c>
      <c r="AO49" s="552" t="e">
        <f>"L7-2 Length Test (&lt;=" &amp; IF($B$2="mil",1,0.0254)*1000&amp;$B$2&amp;")"</f>
        <v>#REF!</v>
      </c>
      <c r="AP49" s="577"/>
      <c r="AQ49" s="556" t="e">
        <f>"L8-3 Length Test (&lt;=" &amp; IF($B$2="mil",1,0.0254)*750&amp;$B$2&amp;")"</f>
        <v>#REF!</v>
      </c>
      <c r="AR49" s="556" t="e">
        <f>"L8-4 Length Test (&lt;=" &amp; IF($B$2="mil",1,0.0254)*750&amp;$B$2&amp;")"</f>
        <v>#REF!</v>
      </c>
      <c r="AS49" s="556" t="e">
        <f>"L9-3 Length Test (&lt;=" &amp; IF($B$2="mil",1,0.0254)*200&amp;$B$2&amp;") or (L8-3+L9-3&lt;= "&amp;IF($B$2="mil",1,0.0254)*950&amp;$B$2&amp;")"</f>
        <v>#REF!</v>
      </c>
      <c r="AT49" s="556" t="e">
        <f>"L9-4 Length Test (&lt;=" &amp; IF($B$2="mil",1,0.0254)*200&amp;$B$2&amp;") or (L8-4+L9-4&lt;= "&amp;IF($B$2="mil",1,0.0254)*950&amp;$B$2&amp;")"</f>
        <v>#REF!</v>
      </c>
      <c r="AU49" s="552" t="e">
        <f>"Total Length to U2 (L0+L1+L2+L5+L6-1+L7-2+L8-3+L9-3)Test ("&amp;IF($B$2="mil",1,0.0254)*500&amp;"-"&amp;IF($B$2="mil",1,0.0254)*6500&amp;IF($B$2="mil","mil","mm")&amp;")"</f>
        <v>#REF!</v>
      </c>
      <c r="AV49" s="552" t="e">
        <f>"Total Length to U2 (P1+L0+L1+L2+L5+L6-1+L7-2+L8-3+L9-3) Test (&lt;="&amp;IF($B$2="mil",1,25.4)*7000&amp;IF($B$2="mil","mil","mm")&amp;")"</f>
        <v>#REF!</v>
      </c>
      <c r="AW49" s="552" t="e">
        <f>"Total Length to U6 (L0+L1+L2+L5+L6-1+L7-2+L8-4+L9-4)Test ("&amp;IF($B$2="mil",1,0.0254)*500&amp;"-"&amp;IF($B$2="mil",1,0.0254)*6500&amp;IF($B$2="mil","mil","mm")&amp;")"</f>
        <v>#REF!</v>
      </c>
      <c r="AX49" s="552" t="e">
        <f>"Total Length to U6 (P1+L0+L1+L2+L5+L6-1+L7-2+L8-4+L9-4) Test (&lt;="&amp;IF($B$2="mil",1,25.4)*7000&amp;IF($B$2="mil","mil","mm")&amp;")"</f>
        <v>#REF!</v>
      </c>
      <c r="AY49" s="3"/>
      <c r="AZ49" s="3"/>
    </row>
    <row r="50" spans="5:52">
      <c r="O50" s="3"/>
      <c r="P50" s="169" t="s">
        <v>214</v>
      </c>
      <c r="Q50" s="166"/>
      <c r="R50" s="166"/>
      <c r="S50" s="166"/>
      <c r="T50" s="166"/>
      <c r="U50" s="166"/>
      <c r="V50" s="166"/>
      <c r="W50" s="558" t="s">
        <v>226</v>
      </c>
      <c r="X50" s="592" t="e">
        <f>MIN('DDR2 Clocks - 4L'!$O$13:$O$14)</f>
        <v>#REF!</v>
      </c>
      <c r="Y50" s="539" t="e">
        <f>MAX('DDR2 Clocks - 4L'!$O$13:$O$14)</f>
        <v>#REF!</v>
      </c>
      <c r="Z50" s="541"/>
      <c r="AA50" s="541"/>
      <c r="AB50" s="166"/>
      <c r="AC50" s="558" t="s">
        <v>286</v>
      </c>
      <c r="AD50" s="592" t="e">
        <f>MIN('DDR2 Clocks - 4L'!$O$15:$O$16)</f>
        <v>#REF!</v>
      </c>
      <c r="AE50" s="541" t="e">
        <f>MAX('DDR2 Clocks - 4L'!$O$15:$O$16)</f>
        <v>#REF!</v>
      </c>
      <c r="AF50" s="541"/>
      <c r="AG50" s="541"/>
      <c r="AH50" s="554"/>
      <c r="AI50" s="554"/>
      <c r="AJ50" s="554"/>
      <c r="AK50" s="554"/>
      <c r="AL50" s="166" t="s">
        <v>214</v>
      </c>
      <c r="AM50" s="538"/>
      <c r="AN50" s="166" t="s">
        <v>214</v>
      </c>
      <c r="AO50" s="539"/>
      <c r="AP50" s="577"/>
      <c r="AQ50" s="538"/>
      <c r="AR50" s="538"/>
      <c r="AS50" s="538"/>
      <c r="AT50" s="538"/>
      <c r="AU50" s="538"/>
      <c r="AV50" s="538"/>
      <c r="AW50" s="538"/>
      <c r="AX50" s="539"/>
      <c r="AY50" s="3"/>
      <c r="AZ50" s="3"/>
    </row>
    <row r="51" spans="5:52">
      <c r="F51" s="377" t="s">
        <v>248</v>
      </c>
      <c r="G51" s="377" t="s">
        <v>253</v>
      </c>
      <c r="P51" s="155" t="s">
        <v>378</v>
      </c>
      <c r="Q51" s="338"/>
      <c r="R51" s="207"/>
      <c r="S51" s="207"/>
      <c r="T51" s="433"/>
      <c r="U51" s="433"/>
      <c r="V51" s="207"/>
      <c r="W51" s="207"/>
      <c r="X51" s="207"/>
      <c r="Y51" s="571"/>
      <c r="Z51" s="430"/>
      <c r="AA51" s="430"/>
      <c r="AB51" s="207"/>
      <c r="AC51" s="207"/>
      <c r="AD51" s="207"/>
      <c r="AE51" s="207"/>
      <c r="AF51" s="430"/>
      <c r="AG51" s="549"/>
      <c r="AH51" s="554"/>
      <c r="AI51" s="554"/>
      <c r="AJ51" s="554"/>
      <c r="AK51" s="554"/>
      <c r="AL51" s="155" t="s">
        <v>378</v>
      </c>
      <c r="AM51" s="562"/>
      <c r="AN51" s="155" t="s">
        <v>378</v>
      </c>
      <c r="AO51" s="549"/>
      <c r="AP51" s="577"/>
      <c r="AQ51" s="430"/>
      <c r="AR51" s="430"/>
      <c r="AS51" s="430"/>
      <c r="AT51" s="430"/>
      <c r="AU51" s="430"/>
      <c r="AV51" s="562"/>
      <c r="AW51" s="430"/>
      <c r="AX51" s="549"/>
      <c r="AY51" s="3"/>
      <c r="AZ51" s="3"/>
    </row>
    <row r="52" spans="5:52">
      <c r="F52" s="377" t="s">
        <v>247</v>
      </c>
      <c r="G52" s="377" t="s">
        <v>254</v>
      </c>
      <c r="P52" s="185" t="s">
        <v>26</v>
      </c>
      <c r="Q52" s="303">
        <v>564.66</v>
      </c>
      <c r="R52" s="344">
        <v>500</v>
      </c>
      <c r="S52" s="344">
        <v>500</v>
      </c>
      <c r="T52" s="409">
        <v>50</v>
      </c>
      <c r="U52" s="409">
        <v>50</v>
      </c>
      <c r="V52" s="545">
        <f>SUM($E26:$G26,$M26,$P26,$Q52:$R52,$T52)</f>
        <v>4335.28</v>
      </c>
      <c r="W52" s="524" t="e">
        <f>$V52+IF($B$2="mil",1,0.0254)*$C26</f>
        <v>#REF!</v>
      </c>
      <c r="X52" s="524" t="e">
        <f>$Y$44 + IF($B$2="mil",1,0.0254)*DDR2Specs!$E$9</f>
        <v>#REF!</v>
      </c>
      <c r="Y52" s="547" t="e">
        <f>$X$44 + IF($B$2="mil",1,0.0254)*DDR2Specs!$F$9</f>
        <v>#REF!</v>
      </c>
      <c r="Z52" s="546" t="e">
        <f>IF($W52&lt;$X52,$X52-$W52,"Pass")</f>
        <v>#REF!</v>
      </c>
      <c r="AA52" s="547" t="e">
        <f>IF($W52&gt;$Y52,$W52-$Y52,"Pass")</f>
        <v>#REF!</v>
      </c>
      <c r="AB52" s="545">
        <f>SUM($E26:$G26,$M26,$P26,$Q52,$S52,$U52)</f>
        <v>4335.28</v>
      </c>
      <c r="AC52" s="524" t="e">
        <f>$AB52+IF($B$2="mil",1,0.0254)*$C26</f>
        <v>#REF!</v>
      </c>
      <c r="AD52" s="524" t="e">
        <f>$AE$44 + IF($B$2="mil",1,0.0254)*DDR2Specs!$E$9</f>
        <v>#REF!</v>
      </c>
      <c r="AE52" s="524" t="e">
        <f>$AD$44 + IF($B$2="mil",1,0.0254)*DDR2Specs!$F$9</f>
        <v>#REF!</v>
      </c>
      <c r="AF52" s="546" t="e">
        <f>IF($AC52&lt;$AD52,$AD52-$AC52,"Pass")</f>
        <v>#REF!</v>
      </c>
      <c r="AG52" s="547" t="e">
        <f>IF($AC52&gt;$AE52,$AC52-$AE52,"Pass")</f>
        <v>#REF!</v>
      </c>
      <c r="AH52" s="554"/>
      <c r="AI52" s="554"/>
      <c r="AJ52" s="554"/>
      <c r="AK52" s="554"/>
      <c r="AL52" s="559" t="s">
        <v>26</v>
      </c>
      <c r="AM52" s="560" t="e">
        <f>IF(P26&lt;=IF($B$2="mil",1,0.0254)*1000,"Pass",IF($B$2="mil",1,0.0254)*1000-P26)</f>
        <v>#REF!</v>
      </c>
      <c r="AN52" s="559" t="s">
        <v>26</v>
      </c>
      <c r="AO52" s="529" t="e">
        <f>IF($Q52&lt;=IF($B$2="mil",1,0.0254)*1000,"Pass",IF($B$2="mil",1,0.0254)*1000-$Q52)</f>
        <v>#REF!</v>
      </c>
      <c r="AP52" s="577"/>
      <c r="AQ52" s="528" t="e">
        <f>IF($R52&lt;=IF($B$2="mil",1,0.0254)*750,"Pass",IF($B$2="mil",1,0.0254)*750-$R52)</f>
        <v>#REF!</v>
      </c>
      <c r="AR52" s="528" t="e">
        <f>IF($S52&lt;=IF($B$2="mil",1,0.0254)*750,"Pass",IF($B$2="mil",1,0.0254)*750-$S52)</f>
        <v>#REF!</v>
      </c>
      <c r="AS52" s="528" t="e">
        <f t="shared" ref="AS52:AT54" ca="1" si="10">CheckLength2(IF($B$2="mil",1,0.0254)*950,R52,T52,0)</f>
        <v>#NAME?</v>
      </c>
      <c r="AT52" s="528" t="e">
        <f t="shared" ca="1" si="10"/>
        <v>#NAME?</v>
      </c>
      <c r="AU52" s="528" t="e">
        <f>IF(AND(V52&gt;=IF($B$2="mil",1,0.0254)*500, $V52&lt;=IF($B$2="mil",1,0.0254)*6500),"Pass",IF($B$2="mil",1,0.0254)*6500-$V52)</f>
        <v>#REF!</v>
      </c>
      <c r="AV52" s="560" t="e">
        <f>IF(AND($W52&gt;=IF($B$2="mil",1,0.0254)*500, $W52&lt;=IF($B$2="mil",1,0.0254)*7000),"Pass",IF($B$2="mil",1,0.0254)*7000-$W52)</f>
        <v>#REF!</v>
      </c>
      <c r="AW52" s="528" t="e">
        <f>IF(AND($AB52&gt;=IF($B$2="mil",1,0.0254)*500, $AB52&lt;=IF($B$2="mil",1,0.0254)*6500),"Pass",IF($B$2="mil",1,0.0254)*6500-$AB52)</f>
        <v>#REF!</v>
      </c>
      <c r="AX52" s="529" t="e">
        <f>IF(AND($AC52&gt;=IF($B$2="mil",1,0.0254)*500, $AC52&lt;=IF($B$2="mil",1,0.0254)*7000),"Pass",IF($B$2="mil",1,0.0254)*7000-$AC52)</f>
        <v>#REF!</v>
      </c>
      <c r="AY52" s="162" t="e">
        <f t="shared" ca="1" si="9"/>
        <v>#REF!</v>
      </c>
      <c r="AZ52" s="162" t="e">
        <f ca="1">IF(AND(AY52="Pass",AY53="Pass",AY54="Pass"),"Pass","Fail")</f>
        <v>#REF!</v>
      </c>
    </row>
    <row r="53" spans="5:52">
      <c r="P53" s="185" t="s">
        <v>28</v>
      </c>
      <c r="Q53" s="303">
        <v>578.77</v>
      </c>
      <c r="R53" s="344">
        <v>500</v>
      </c>
      <c r="S53" s="344">
        <v>500</v>
      </c>
      <c r="T53" s="409">
        <v>50</v>
      </c>
      <c r="U53" s="409">
        <v>50</v>
      </c>
      <c r="V53" s="545">
        <f>SUM($E27:$G27,$M27,$P27,$Q53:$R53,$T53)</f>
        <v>4494.7999999999993</v>
      </c>
      <c r="W53" s="524" t="e">
        <f>$V53+IF($B$2="mil",1,0.0254)*$C27</f>
        <v>#REF!</v>
      </c>
      <c r="X53" s="524" t="e">
        <f>$Y$44 + IF($B$2="mil",1,0.0254)*DDR2Specs!$E$9</f>
        <v>#REF!</v>
      </c>
      <c r="Y53" s="547" t="e">
        <f>$X$44 + IF($B$2="mil",1,0.0254)*DDR2Specs!$F$9</f>
        <v>#REF!</v>
      </c>
      <c r="Z53" s="546" t="e">
        <f>IF($W53&lt;$X53,$X53-$W53,"Pass")</f>
        <v>#REF!</v>
      </c>
      <c r="AA53" s="547" t="e">
        <f>IF($W53&gt;$Y53,$W53-$Y53,"Pass")</f>
        <v>#REF!</v>
      </c>
      <c r="AB53" s="545">
        <f>SUM($E27:$G27,$M27,$P27,$Q53,$S53,$U53)</f>
        <v>4494.7999999999993</v>
      </c>
      <c r="AC53" s="524" t="e">
        <f>$AB53+IF($B$2="mil",1,0.0254)*$C27</f>
        <v>#REF!</v>
      </c>
      <c r="AD53" s="524" t="e">
        <f>$AE$44 + IF($B$2="mil",1,0.0254)*DDR2Specs!$E$9</f>
        <v>#REF!</v>
      </c>
      <c r="AE53" s="524" t="e">
        <f>$AD$44 + IF($B$2="mil",1,0.0254)*DDR2Specs!$F$9</f>
        <v>#REF!</v>
      </c>
      <c r="AF53" s="546" t="e">
        <f>IF($AC53&lt;$AD53,$AD53-$AC53,"Pass")</f>
        <v>#REF!</v>
      </c>
      <c r="AG53" s="547" t="e">
        <f>IF($AC53&gt;$AE53,$AC53-$AE53,"Pass")</f>
        <v>#REF!</v>
      </c>
      <c r="AH53" s="554"/>
      <c r="AI53" s="554"/>
      <c r="AJ53" s="554"/>
      <c r="AK53" s="554"/>
      <c r="AL53" s="559" t="s">
        <v>28</v>
      </c>
      <c r="AM53" s="560" t="e">
        <f>IF(P27&lt;=IF($B$2="mil",1,0.0254)*1000,"Pass",IF($B$2="mil",1,0.0254)*1000-P27)</f>
        <v>#REF!</v>
      </c>
      <c r="AN53" s="559" t="s">
        <v>28</v>
      </c>
      <c r="AO53" s="529" t="e">
        <f>IF($Q53&lt;=IF($B$2="mil",1,0.0254)*1000,"Pass",IF($B$2="mil",1,0.0254)*1000-$Q53)</f>
        <v>#REF!</v>
      </c>
      <c r="AP53" s="577"/>
      <c r="AQ53" s="528" t="e">
        <f>IF($R53&lt;=IF($B$2="mil",1,0.0254)*750,"Pass",IF($B$2="mil",1,0.0254)*750-$R53)</f>
        <v>#REF!</v>
      </c>
      <c r="AR53" s="528" t="e">
        <f>IF($S53&lt;=IF($B$2="mil",1,0.0254)*750,"Pass",IF($B$2="mil",1,0.0254)*750-$S53)</f>
        <v>#REF!</v>
      </c>
      <c r="AS53" s="528" t="e">
        <f t="shared" ca="1" si="10"/>
        <v>#NAME?</v>
      </c>
      <c r="AT53" s="528" t="e">
        <f t="shared" ca="1" si="10"/>
        <v>#NAME?</v>
      </c>
      <c r="AU53" s="528" t="e">
        <f>IF(AND(V53&gt;=IF($B$2="mil",1,0.0254)*500, $V53&lt;=IF($B$2="mil",1,0.0254)*6500),"Pass",IF($B$2="mil",1,0.0254)*6500-$V53)</f>
        <v>#REF!</v>
      </c>
      <c r="AV53" s="560" t="e">
        <f>IF(AND($W53&gt;=IF($B$2="mil",1,0.0254)*500, $W53&lt;=IF($B$2="mil",1,0.0254)*7000),"Pass",IF($B$2="mil",1,0.0254)*7000-$W53)</f>
        <v>#REF!</v>
      </c>
      <c r="AW53" s="528" t="e">
        <f>IF(AND($AB53&gt;=IF($B$2="mil",1,0.0254)*500, $AB53&lt;=IF($B$2="mil",1,0.0254)*6500),"Pass",IF($B$2="mil",1,0.0254)*6500-$AB53)</f>
        <v>#REF!</v>
      </c>
      <c r="AX53" s="529" t="e">
        <f>IF(AND($AC53&gt;=IF($B$2="mil",1,0.0254)*500, $AC53&lt;=IF($B$2="mil",1,0.0254)*7000),"Pass",IF($B$2="mil",1,0.0254)*7000-$AC53)</f>
        <v>#REF!</v>
      </c>
      <c r="AY53" s="162" t="e">
        <f t="shared" ca="1" si="9"/>
        <v>#REF!</v>
      </c>
      <c r="AZ53" s="3"/>
    </row>
    <row r="54" spans="5:52">
      <c r="P54" s="185" t="s">
        <v>30</v>
      </c>
      <c r="Q54" s="303">
        <v>574.72</v>
      </c>
      <c r="R54" s="344">
        <v>500</v>
      </c>
      <c r="S54" s="344">
        <v>500</v>
      </c>
      <c r="T54" s="409">
        <v>50</v>
      </c>
      <c r="U54" s="409">
        <v>50</v>
      </c>
      <c r="V54" s="545">
        <f>SUM($E28:$G28,$M28,$P28,$Q54:$R54,$T54)</f>
        <v>4334.1899999999996</v>
      </c>
      <c r="W54" s="524" t="e">
        <f>$V54+IF($B$2="mil",1,0.0254)*$C28</f>
        <v>#REF!</v>
      </c>
      <c r="X54" s="524" t="e">
        <f>$Y$44 + IF($B$2="mil",1,0.0254)*DDR2Specs!$E$9</f>
        <v>#REF!</v>
      </c>
      <c r="Y54" s="547" t="e">
        <f>$X$44 + IF($B$2="mil",1,0.0254)*DDR2Specs!$F$9</f>
        <v>#REF!</v>
      </c>
      <c r="Z54" s="546" t="e">
        <f>IF($W54&lt;$X54,$X54-$W54,"Pass")</f>
        <v>#REF!</v>
      </c>
      <c r="AA54" s="547" t="e">
        <f>IF($W54&gt;$Y54,$W54-$Y54,"Pass")</f>
        <v>#REF!</v>
      </c>
      <c r="AB54" s="545">
        <f>SUM($E28:$G28,$M28,$P28,$Q54,$S54,$U54)</f>
        <v>4334.1899999999996</v>
      </c>
      <c r="AC54" s="524" t="e">
        <f>$AB54+IF($B$2="mil",1,0.0254)*$C28</f>
        <v>#REF!</v>
      </c>
      <c r="AD54" s="524" t="e">
        <f>$AE$44 + IF($B$2="mil",1,0.0254)*DDR2Specs!$E$9</f>
        <v>#REF!</v>
      </c>
      <c r="AE54" s="524" t="e">
        <f>$AD$44 + IF($B$2="mil",1,0.0254)*DDR2Specs!$F$9</f>
        <v>#REF!</v>
      </c>
      <c r="AF54" s="546" t="e">
        <f>IF($AC54&lt;$AD54,$AD54-$AC54,"Pass")</f>
        <v>#REF!</v>
      </c>
      <c r="AG54" s="547" t="e">
        <f>IF($AC54&gt;$AE54,$AC54-$AE54,"Pass")</f>
        <v>#REF!</v>
      </c>
      <c r="AH54" s="554"/>
      <c r="AI54" s="554"/>
      <c r="AJ54" s="554"/>
      <c r="AK54" s="554"/>
      <c r="AL54" s="559" t="s">
        <v>30</v>
      </c>
      <c r="AM54" s="560" t="e">
        <f>IF(P28&lt;=IF($B$2="mil",1,0.0254)*1000,"Pass",IF($B$2="mil",1,0.0254)*1000-P28)</f>
        <v>#REF!</v>
      </c>
      <c r="AN54" s="559" t="s">
        <v>30</v>
      </c>
      <c r="AO54" s="529" t="e">
        <f>IF($Q54&lt;=IF($B$2="mil",1,0.0254)*1000,"Pass",IF($B$2="mil",1,0.0254)*1000-$Q54)</f>
        <v>#REF!</v>
      </c>
      <c r="AP54" s="577"/>
      <c r="AQ54" s="528" t="e">
        <f>IF($R54&lt;=IF($B$2="mil",1,0.0254)*750,"Pass",IF($B$2="mil",1,0.0254)*750-$R54)</f>
        <v>#REF!</v>
      </c>
      <c r="AR54" s="528" t="e">
        <f>IF($S54&lt;=IF($B$2="mil",1,0.0254)*750,"Pass",IF($B$2="mil",1,0.0254)*750-$S54)</f>
        <v>#REF!</v>
      </c>
      <c r="AS54" s="528" t="e">
        <f t="shared" ca="1" si="10"/>
        <v>#NAME?</v>
      </c>
      <c r="AT54" s="528" t="e">
        <f t="shared" ca="1" si="10"/>
        <v>#NAME?</v>
      </c>
      <c r="AU54" s="528" t="e">
        <f>IF(AND(V54&gt;=IF($B$2="mil",1,0.0254)*500, $V54&lt;=IF($B$2="mil",1,0.0254)*6500),"Pass",IF($B$2="mil",1,0.0254)*6500-$V54)</f>
        <v>#REF!</v>
      </c>
      <c r="AV54" s="560" t="e">
        <f>IF(AND($W54&gt;=IF($B$2="mil",1,0.0254)*500, $W54&lt;=IF($B$2="mil",1,0.0254)*7000),"Pass",IF($B$2="mil",1,0.0254)*7000-$W54)</f>
        <v>#REF!</v>
      </c>
      <c r="AW54" s="528" t="e">
        <f>IF(AND($AB54&gt;=IF($B$2="mil",1,0.0254)*500, $AB54&lt;=IF($B$2="mil",1,0.0254)*6500),"Pass",IF($B$2="mil",1,0.0254)*6500-$AB54)</f>
        <v>#REF!</v>
      </c>
      <c r="AX54" s="529" t="e">
        <f>IF(AND($AC54&gt;=IF($B$2="mil",1,0.0254)*500, $AC54&lt;=IF($B$2="mil",1,0.0254)*7000),"Pass",IF($B$2="mil",1,0.0254)*7000-$AC54)</f>
        <v>#REF!</v>
      </c>
      <c r="AY54" s="162" t="e">
        <f t="shared" ca="1" si="9"/>
        <v>#REF!</v>
      </c>
      <c r="AZ54" s="3"/>
    </row>
    <row r="55" spans="5:52">
      <c r="P55" s="218" t="s">
        <v>457</v>
      </c>
      <c r="Q55" s="144" t="e">
        <f>"Trace L7-4 ["&amp;$B$2&amp;"]"</f>
        <v>#REF!</v>
      </c>
      <c r="R55" s="144" t="e">
        <f>"Trace L8-7 to U4 ["&amp;$B$2&amp;"]"</f>
        <v>#REF!</v>
      </c>
      <c r="S55" s="144" t="e">
        <f>"Trace L8-8 to U8 ["&amp;$B$2&amp;"]"</f>
        <v>#REF!</v>
      </c>
      <c r="T55" s="144" t="e">
        <f>"Trace L9-7 to U4 ["&amp;$B$2&amp;"]"</f>
        <v>#REF!</v>
      </c>
      <c r="U55" s="144" t="e">
        <f>"Trace L9-8 to U8 ["&amp;$B$2&amp;"]"</f>
        <v>#REF!</v>
      </c>
      <c r="V55" s="550" t="e">
        <f>"Total MB Length to U4 (L0+L1+L2+L5+L6-2+L7-4+L8-7+L9-7) ["&amp;$B$2&amp;"]"</f>
        <v>#REF!</v>
      </c>
      <c r="W55" s="550" t="e">
        <f>"Total Pad to Pin U4 (P1+LL0+L1+L2+L5+L6-2+L7-4+L8-7+L9-7) ["&amp;$B$2&amp;"]"</f>
        <v>#REF!</v>
      </c>
      <c r="X55" s="551" t="e">
        <f>"Target Min Length  to U4["&amp;$B$2&amp;"]"</f>
        <v>#REF!</v>
      </c>
      <c r="Y55" s="552" t="e">
        <f>"Target Max Length  to U4 ["&amp;$B$2&amp;"]"</f>
        <v>#REF!</v>
      </c>
      <c r="Z55" s="553" t="e">
        <f>"Routed Too Short to U4 [" &amp;$B$2&amp;"]"</f>
        <v>#REF!</v>
      </c>
      <c r="AA55" s="551" t="e">
        <f>"Routed Too Long to U4 [" &amp;$B$2&amp;"]"</f>
        <v>#REF!</v>
      </c>
      <c r="AB55" s="550" t="e">
        <f>"Total MB Length to U8 (L0+L1+L2+L5+L6-2+L7-4+L8-8+L9-8) ["&amp;$B$2&amp;"]"</f>
        <v>#REF!</v>
      </c>
      <c r="AC55" s="550" t="e">
        <f>"Total Pad to Pin U8 (P1+L0+L1+L2+L5+L6-2+L7-4+L8-8+L9-8) ["&amp;$B$2&amp;"]"</f>
        <v>#REF!</v>
      </c>
      <c r="AD55" s="551" t="e">
        <f>"Target Min Length  to U8["&amp;$B$2&amp;"]"</f>
        <v>#REF!</v>
      </c>
      <c r="AE55" s="552" t="e">
        <f>"Target Max Length  to U8 ["&amp;$B$2&amp;"]"</f>
        <v>#REF!</v>
      </c>
      <c r="AF55" s="553" t="e">
        <f>"Routed Too Short to U8 [" &amp;$B$2&amp;"]"</f>
        <v>#REF!</v>
      </c>
      <c r="AG55" s="551" t="e">
        <f>"Routed Too Long to U8 [" &amp;$B$2&amp;"]"</f>
        <v>#REF!</v>
      </c>
      <c r="AH55" s="554"/>
      <c r="AI55" s="554"/>
      <c r="AJ55" s="554"/>
      <c r="AK55" s="554"/>
      <c r="AL55" s="554"/>
      <c r="AM55" s="554"/>
      <c r="AN55" s="555" t="s">
        <v>457</v>
      </c>
      <c r="AO55" s="552" t="e">
        <f>"L7-4 Length Test (&lt;=" &amp; IF($B$2="mil",1,0.0254)*1000&amp;$B$2&amp;")"</f>
        <v>#REF!</v>
      </c>
      <c r="AP55" s="554"/>
      <c r="AQ55" s="556" t="e">
        <f>"L8-7 Length Test (&lt;=" &amp; IF($B$2="mil",1,0.0254)*750&amp;$B$2&amp;")"</f>
        <v>#REF!</v>
      </c>
      <c r="AR55" s="556" t="e">
        <f>"L8-8 Length Test (&lt;=" &amp; IF($B$2="mil",1,0.0254)*750&amp;$B$2&amp;")"</f>
        <v>#REF!</v>
      </c>
      <c r="AS55" s="556" t="e">
        <f>"L9-7 Length Test (&lt;=" &amp; IF($B$2="mil",1,0.0254)*200&amp;$B$2&amp;") or (L8-7+L9-7&lt;= "&amp;IF($B$2="mil",1,0.0254)*950&amp;$B$2&amp;")"</f>
        <v>#REF!</v>
      </c>
      <c r="AT55" s="556" t="e">
        <f>"L9-8 Length Test (&lt;=" &amp; IF($B$2="mil",1,0.0254)*200&amp;$B$2&amp;") or (L8-8+L9-8&lt;= "&amp;IF($B$2="mil",1,0.0254)*950&amp;$B$2&amp;")"</f>
        <v>#REF!</v>
      </c>
      <c r="AU55" s="552" t="e">
        <f>"Total Length to U4 (L0+L1+L2+L5+L6-2+L7-4+L8-7+L9-7) Test ("&amp;IF($B$2="mil",1,0.0254)*500&amp;"-"&amp;IF($B$2="mil",1,0.0254)*6500&amp;IF($B$2="mil","mil","mm")&amp;")"</f>
        <v>#REF!</v>
      </c>
      <c r="AV55" s="552" t="e">
        <f>"Total Length to U4 (P1+L0+L1+L2+L5+L6-2+L7-4+L8-7+L9-7) Test (&lt;="&amp;IF($B$2="mil",1,25.4)*7000&amp;IF($B$2="mil","mil","mm")&amp;")"</f>
        <v>#REF!</v>
      </c>
      <c r="AW55" s="552" t="e">
        <f>"Total Length to U8 (L0+L1+L2+L5+L6-2+L7-4+L8-8+L9-8) Test ("&amp;IF($B$2="mil",1,0.0254)*500&amp;"-"&amp;IF($B$2="mil",1,0.0254)*6500&amp;IF($B$2="mil","mil","mm")&amp;")"</f>
        <v>#REF!</v>
      </c>
      <c r="AX55" s="552" t="e">
        <f>"Total Length to U8 (P1+L0+L1+L2+L5+L6-2+L7-4+L8-8+L9-8) Test (&lt;="&amp;IF($B$2="mil",1,25.4)*7000&amp;IF($B$2="mil","mil","mm")&amp;")"</f>
        <v>#REF!</v>
      </c>
      <c r="AY55" s="3"/>
      <c r="AZ55" s="3"/>
    </row>
    <row r="56" spans="5:52">
      <c r="P56" s="155" t="s">
        <v>210</v>
      </c>
      <c r="Q56" s="156"/>
      <c r="R56" s="156"/>
      <c r="S56" s="156"/>
      <c r="T56" s="156"/>
      <c r="U56" s="156"/>
      <c r="V56" s="156"/>
      <c r="W56" s="156"/>
      <c r="X56" s="156"/>
      <c r="Y56" s="430"/>
      <c r="Z56" s="156"/>
      <c r="AA56" s="156"/>
      <c r="AB56" s="156"/>
      <c r="AC56" s="156"/>
      <c r="AD56" s="156"/>
      <c r="AE56" s="156"/>
      <c r="AF56" s="156"/>
      <c r="AG56" s="557"/>
      <c r="AH56" s="554"/>
      <c r="AI56" s="554"/>
      <c r="AJ56" s="554"/>
      <c r="AK56" s="554"/>
      <c r="AL56" s="554"/>
      <c r="AM56" s="554"/>
      <c r="AN56" s="155" t="s">
        <v>210</v>
      </c>
      <c r="AO56" s="158"/>
      <c r="AP56" s="554"/>
      <c r="AQ56" s="156"/>
      <c r="AR56" s="156"/>
      <c r="AS56" s="156"/>
      <c r="AT56" s="156"/>
      <c r="AU56" s="156"/>
      <c r="AV56" s="158"/>
      <c r="AW56" s="156"/>
      <c r="AX56" s="158"/>
      <c r="AY56" s="3"/>
      <c r="AZ56" s="3"/>
    </row>
    <row r="57" spans="5:52" ht="15.75">
      <c r="E57" s="417"/>
      <c r="P57" s="263" t="s">
        <v>214</v>
      </c>
      <c r="Q57" s="166"/>
      <c r="R57" s="166"/>
      <c r="S57" s="166"/>
      <c r="T57" s="166"/>
      <c r="U57" s="166"/>
      <c r="V57" s="166"/>
      <c r="W57" s="558" t="s">
        <v>225</v>
      </c>
      <c r="X57" s="542" t="e">
        <f>MIN('DDR2 Clocks - 4L'!$O$17:$O$18)</f>
        <v>#REF!</v>
      </c>
      <c r="Y57" s="539" t="e">
        <f>MAX('DDR2 Clocks - 4L'!$O$17:$O$18)</f>
        <v>#REF!</v>
      </c>
      <c r="Z57" s="542"/>
      <c r="AA57" s="168"/>
      <c r="AB57" s="166"/>
      <c r="AC57" s="558" t="s">
        <v>287</v>
      </c>
      <c r="AD57" s="542" t="e">
        <f>MIN('DDR2 Clocks - 4L'!$O$19:$O$20)</f>
        <v>#REF!</v>
      </c>
      <c r="AE57" s="541" t="e">
        <f>MAX('DDR2 Clocks - 4L'!$O$19:$O$20)</f>
        <v>#REF!</v>
      </c>
      <c r="AF57" s="542"/>
      <c r="AG57" s="168"/>
      <c r="AH57" s="554"/>
      <c r="AI57" s="554"/>
      <c r="AJ57" s="554"/>
      <c r="AK57" s="554"/>
      <c r="AL57" s="554"/>
      <c r="AM57" s="554"/>
      <c r="AN57" s="163" t="s">
        <v>214</v>
      </c>
      <c r="AO57" s="539"/>
      <c r="AP57" s="554"/>
      <c r="AQ57" s="538"/>
      <c r="AR57" s="538"/>
      <c r="AS57" s="538"/>
      <c r="AT57" s="538"/>
      <c r="AU57" s="538"/>
      <c r="AV57" s="539"/>
      <c r="AW57" s="538"/>
      <c r="AX57" s="539"/>
      <c r="AY57" s="3"/>
      <c r="AZ57" s="3"/>
    </row>
    <row r="58" spans="5:52">
      <c r="P58" s="155" t="s">
        <v>377</v>
      </c>
      <c r="Q58" s="181"/>
      <c r="R58" s="181"/>
      <c r="S58" s="181"/>
      <c r="T58" s="181"/>
      <c r="U58" s="181"/>
      <c r="V58" s="181"/>
      <c r="W58" s="181"/>
      <c r="X58" s="179"/>
      <c r="Y58" s="570"/>
      <c r="Z58" s="531"/>
      <c r="AA58" s="179"/>
      <c r="AB58" s="181"/>
      <c r="AC58" s="179"/>
      <c r="AD58" s="179"/>
      <c r="AE58" s="531"/>
      <c r="AF58" s="531"/>
      <c r="AG58" s="533"/>
      <c r="AH58" s="554"/>
      <c r="AI58" s="554"/>
      <c r="AJ58" s="554"/>
      <c r="AK58" s="554"/>
      <c r="AL58" s="554"/>
      <c r="AM58" s="554"/>
      <c r="AN58" s="155" t="s">
        <v>377</v>
      </c>
      <c r="AO58" s="273"/>
      <c r="AP58" s="554"/>
      <c r="AQ58" s="179"/>
      <c r="AR58" s="179"/>
      <c r="AS58" s="179"/>
      <c r="AT58" s="179"/>
      <c r="AU58" s="179"/>
      <c r="AV58" s="273"/>
      <c r="AW58" s="179"/>
      <c r="AX58" s="273"/>
      <c r="AY58" s="3"/>
      <c r="AZ58" s="3"/>
    </row>
    <row r="59" spans="5:52">
      <c r="P59" s="185" t="s">
        <v>25</v>
      </c>
      <c r="Q59" s="303">
        <v>565.69000000000005</v>
      </c>
      <c r="R59" s="303">
        <v>500</v>
      </c>
      <c r="S59" s="303">
        <v>500</v>
      </c>
      <c r="T59" s="409">
        <v>50</v>
      </c>
      <c r="U59" s="409">
        <v>50</v>
      </c>
      <c r="V59" s="545">
        <f>SUM($E20:$G20,$M20,$P20,$Q59:$R59,$T59)</f>
        <v>4509.7299999999996</v>
      </c>
      <c r="W59" s="534" t="e">
        <f>$V59+IF($B$2="mil",1,0.0254)*$C20</f>
        <v>#REF!</v>
      </c>
      <c r="X59" s="524" t="e">
        <f>$Y$57 + IF($B$2="mil",1,0.0254)*DDR2Specs!$E$9</f>
        <v>#REF!</v>
      </c>
      <c r="Y59" s="547" t="e">
        <f>$X$57 + IF($B$2="mil",1,0.0254)*DDR2Specs!$F$9</f>
        <v>#REF!</v>
      </c>
      <c r="Z59" s="546" t="e">
        <f>IF($W59&lt;$X59,$X59-$W59,"Pass")</f>
        <v>#REF!</v>
      </c>
      <c r="AA59" s="547" t="e">
        <f>IF($W59&gt;$Y59,$W59-$Y59,"Pass")</f>
        <v>#REF!</v>
      </c>
      <c r="AB59" s="545">
        <f>SUM($E20:$G20,$M20,$Q59,$P20,$S59,$U59)</f>
        <v>4509.7299999999996</v>
      </c>
      <c r="AC59" s="524" t="e">
        <f>$AB59+IF($B$2="mil",1,0.0254)*$C20</f>
        <v>#REF!</v>
      </c>
      <c r="AD59" s="524" t="e">
        <f>$AE$57 + IF($B$2="mil",1,0.0254)*DDR2Specs!$E$9</f>
        <v>#REF!</v>
      </c>
      <c r="AE59" s="524" t="e">
        <f>$AD$57 + IF($B$2="mil",1,0.0254)*DDR2Specs!$F$9</f>
        <v>#REF!</v>
      </c>
      <c r="AF59" s="546" t="e">
        <f>IF($AC59&lt;$AD59,$AD59-$AC59,"Pass")</f>
        <v>#REF!</v>
      </c>
      <c r="AG59" s="547" t="e">
        <f>IF($AC59&gt;$AE59,$AC59-$AE59,"Pass")</f>
        <v>#REF!</v>
      </c>
      <c r="AH59" s="554"/>
      <c r="AI59" s="554"/>
      <c r="AJ59" s="554"/>
      <c r="AK59" s="554"/>
      <c r="AL59" s="554"/>
      <c r="AM59" s="554"/>
      <c r="AN59" s="559" t="s">
        <v>25</v>
      </c>
      <c r="AO59" s="560" t="e">
        <f>IF(Q59&lt;=IF($B$2="mil",1,0.0254)*1000,"Pass",IF($B$2="mil",1,0.0254)*1000-Q59)</f>
        <v>#REF!</v>
      </c>
      <c r="AP59" s="554"/>
      <c r="AQ59" s="528" t="e">
        <f>IF($R59&lt;=IF($B$2="mil",1,0.0254)*750,"Pass",IF($B$2="mil",1,0.0254)*750-$R59)</f>
        <v>#REF!</v>
      </c>
      <c r="AR59" s="528" t="e">
        <f>IF($S59&lt;=IF($B$2="mil",1,0.0254)*750,"Pass",IF($B$2="mil",1,0.0254)*750-$S59)</f>
        <v>#REF!</v>
      </c>
      <c r="AS59" s="528" t="e">
        <f t="shared" ref="AS59:AT61" ca="1" si="11">CheckLength2(IF($B$2="mil",1,0.0254)*950,R59,T59,0)</f>
        <v>#NAME?</v>
      </c>
      <c r="AT59" s="528" t="e">
        <f t="shared" ca="1" si="11"/>
        <v>#NAME?</v>
      </c>
      <c r="AU59" s="528" t="e">
        <f>IF(AND(V59&gt;=IF($B$2="mil",1,0.0254)*500, $V59&lt;=IF($B$2="mil",1,0.0254)*6500),"Pass",IF($B$2="mil",1,0.0254)*6500-$V59)</f>
        <v>#REF!</v>
      </c>
      <c r="AV59" s="560" t="e">
        <f>IF(AND($W59&gt;=IF($B$2="mil",1,0.0254)*500, $W59&lt;=IF($B$2="mil",1,0.0254)*7000),"Pass",IF($B$2="mil",1,0.0254)*7000-$W59)</f>
        <v>#REF!</v>
      </c>
      <c r="AW59" s="528" t="e">
        <f>IF(AND($AB59&gt;=IF($B$2="mil",1,0.0254)*500, $AB59&lt;=IF($B$2="mil",1,0.0254)*6500),"Pass",IF($B$2="mil",1,0.0254)*6500-$AB59)</f>
        <v>#REF!</v>
      </c>
      <c r="AX59" s="529" t="e">
        <f>IF(AND($AC59&gt;=IF($B$2="mil",1,0.0254)*500, $AC59&lt;=IF($B$2="mil",1,0.0254)*7000),"Pass",IF($B$2="mil",1,0.0254)*7000-$AC59)</f>
        <v>#REF!</v>
      </c>
      <c r="AY59" s="162" t="e">
        <f ca="1">IF(AND(Z59="Pass",AA59="Pass",AF59="Pass",AG59="Pass",AO59="Pass",AQ59="Pass",AR59="Pass",AS59="Pass",AT59="Pass",AU59="Pass",AV59="Pass",AW59="Pass",AX59="Pass"),"Pass","Fail")</f>
        <v>#REF!</v>
      </c>
      <c r="AZ59" s="162" t="e">
        <f ca="1">IF(AND(AY59="Pass",AY60="Pass",AY61="Pass"),"Pass","Fail")</f>
        <v>#REF!</v>
      </c>
    </row>
    <row r="60" spans="5:52">
      <c r="P60" s="185" t="s">
        <v>27</v>
      </c>
      <c r="Q60" s="303">
        <v>587.88</v>
      </c>
      <c r="R60" s="303">
        <v>600</v>
      </c>
      <c r="S60" s="303">
        <v>600</v>
      </c>
      <c r="T60" s="409">
        <v>50</v>
      </c>
      <c r="U60" s="409">
        <v>50</v>
      </c>
      <c r="V60" s="545">
        <f>SUM($E21:$G21,$M21,$P21,$Q60:$R60,$T60)</f>
        <v>4469.49</v>
      </c>
      <c r="W60" s="534" t="e">
        <f>$V60+IF($B$2="mil",1,0.0254)*$C21</f>
        <v>#REF!</v>
      </c>
      <c r="X60" s="524" t="e">
        <f>$Y$57 + IF($B$2="mil",1,0.0254)*DDR2Specs!$E$9</f>
        <v>#REF!</v>
      </c>
      <c r="Y60" s="547" t="e">
        <f>$X$57 + IF($B$2="mil",1,0.0254)*DDR2Specs!$F$9</f>
        <v>#REF!</v>
      </c>
      <c r="Z60" s="546" t="e">
        <f>IF($W60&lt;$X60,$X60-$W60,"Pass")</f>
        <v>#REF!</v>
      </c>
      <c r="AA60" s="547" t="e">
        <f>IF($W60&gt;$Y60,$W60-$Y60,"Pass")</f>
        <v>#REF!</v>
      </c>
      <c r="AB60" s="545">
        <f>SUM($E21:$G21,$M21,$Q60,$P21,$S60,$U60)</f>
        <v>4469.49</v>
      </c>
      <c r="AC60" s="524" t="e">
        <f>$AB60+IF($B$2="mil",1,0.0254)*$C21</f>
        <v>#REF!</v>
      </c>
      <c r="AD60" s="524" t="e">
        <f>$AE$57 + IF($B$2="mil",1,0.0254)*DDR2Specs!$E$9</f>
        <v>#REF!</v>
      </c>
      <c r="AE60" s="524" t="e">
        <f>$AD$57 + IF($B$2="mil",1,0.0254)*DDR2Specs!$F$9</f>
        <v>#REF!</v>
      </c>
      <c r="AF60" s="546" t="e">
        <f>IF($AC60&lt;$AD60,$AD60-$AC60,"Pass")</f>
        <v>#REF!</v>
      </c>
      <c r="AG60" s="547" t="e">
        <f>IF($AC60&gt;$AE60,$AC60-$AE60,"Pass")</f>
        <v>#REF!</v>
      </c>
      <c r="AH60" s="554"/>
      <c r="AI60" s="554"/>
      <c r="AJ60" s="554"/>
      <c r="AK60" s="554"/>
      <c r="AL60" s="554"/>
      <c r="AM60" s="554"/>
      <c r="AN60" s="559" t="s">
        <v>27</v>
      </c>
      <c r="AO60" s="560" t="e">
        <f>IF(Q60&lt;=IF($B$2="mil",1,0.0254)*1000,"Pass",IF($B$2="mil",1,0.0254)*1000-Q60)</f>
        <v>#REF!</v>
      </c>
      <c r="AP60" s="554"/>
      <c r="AQ60" s="528" t="e">
        <f>IF($R60&lt;=IF($B$2="mil",1,0.0254)*750,"Pass",IF($B$2="mil",1,0.0254)*750-$R60)</f>
        <v>#REF!</v>
      </c>
      <c r="AR60" s="528" t="e">
        <f>IF($S60&lt;=IF($B$2="mil",1,0.0254)*750,"Pass",IF($B$2="mil",1,0.0254)*750-$S60)</f>
        <v>#REF!</v>
      </c>
      <c r="AS60" s="528" t="e">
        <f t="shared" ca="1" si="11"/>
        <v>#NAME?</v>
      </c>
      <c r="AT60" s="528" t="e">
        <f t="shared" ca="1" si="11"/>
        <v>#NAME?</v>
      </c>
      <c r="AU60" s="528" t="e">
        <f>IF(AND(V60&gt;=IF($B$2="mil",1,0.0254)*500, $V60&lt;=IF($B$2="mil",1,0.0254)*6500),"Pass",IF($B$2="mil",1,0.0254)*6500-$V60)</f>
        <v>#REF!</v>
      </c>
      <c r="AV60" s="560" t="e">
        <f>IF(AND($W60&gt;=IF($B$2="mil",1,0.0254)*500, $W60&lt;=IF($B$2="mil",1,0.0254)*7000),"Pass",IF($B$2="mil",1,0.0254)*7000-$W60)</f>
        <v>#REF!</v>
      </c>
      <c r="AW60" s="528" t="e">
        <f>IF(AND($AB60&gt;=IF($B$2="mil",1,0.0254)*500, $AB60&lt;=IF($B$2="mil",1,0.0254)*6500),"Pass",IF($B$2="mil",1,0.0254)*6500-$AB60)</f>
        <v>#REF!</v>
      </c>
      <c r="AX60" s="529" t="e">
        <f>IF(AND($AC60&gt;=IF($B$2="mil",1,0.0254)*500, $AC60&lt;=IF($B$2="mil",1,0.0254)*7000),"Pass",IF($B$2="mil",1,0.0254)*7000-$AC60)</f>
        <v>#REF!</v>
      </c>
      <c r="AY60" s="162" t="e">
        <f t="shared" ref="AY60:AY67" ca="1" si="12">IF(AND(Z60="Pass",AA60="Pass",AF60="Pass",AG60="Pass",AO60="Pass",AQ60="Pass",AR60="Pass",AS60="Pass",AT60="Pass",AU60="Pass",AV60="Pass",AW60="Pass",AX60="Pass"),"Pass","Fail")</f>
        <v>#REF!</v>
      </c>
    </row>
    <row r="61" spans="5:52">
      <c r="P61" s="185" t="s">
        <v>29</v>
      </c>
      <c r="Q61" s="303">
        <v>565.69000000000005</v>
      </c>
      <c r="R61" s="303">
        <v>700</v>
      </c>
      <c r="S61" s="303">
        <v>700</v>
      </c>
      <c r="T61" s="409">
        <v>50</v>
      </c>
      <c r="U61" s="409">
        <v>50</v>
      </c>
      <c r="V61" s="545">
        <f>SUM($E22:$G22,$M22,$P22,$Q61:$R61,$T61)</f>
        <v>4452.58</v>
      </c>
      <c r="W61" s="534" t="e">
        <f>$V61+IF($B$2="mil",1,0.0254)*$C22</f>
        <v>#REF!</v>
      </c>
      <c r="X61" s="524" t="e">
        <f>$Y$57 + IF($B$2="mil",1,0.0254)*DDR2Specs!$E$9</f>
        <v>#REF!</v>
      </c>
      <c r="Y61" s="547" t="e">
        <f>$X$57 + IF($B$2="mil",1,0.0254)*DDR2Specs!$F$9</f>
        <v>#REF!</v>
      </c>
      <c r="Z61" s="546" t="e">
        <f>IF($W61&lt;$X61,$X61-$W61,"Pass")</f>
        <v>#REF!</v>
      </c>
      <c r="AA61" s="547" t="e">
        <f>IF($W61&gt;$Y61,$W61-$Y61,"Pass")</f>
        <v>#REF!</v>
      </c>
      <c r="AB61" s="545">
        <f>SUM($E22:$G22,$M22,$Q61,$P22,$S61,$U61)</f>
        <v>4452.58</v>
      </c>
      <c r="AC61" s="524" t="e">
        <f>$AB61+IF($B$2="mil",1,0.0254)*$C22</f>
        <v>#REF!</v>
      </c>
      <c r="AD61" s="524" t="e">
        <f>$AE$57 + IF($B$2="mil",1,0.0254)*DDR2Specs!$E$9</f>
        <v>#REF!</v>
      </c>
      <c r="AE61" s="524" t="e">
        <f>$AD$57 + IF($B$2="mil",1,0.0254)*DDR2Specs!$F$9</f>
        <v>#REF!</v>
      </c>
      <c r="AF61" s="546" t="e">
        <f>IF($AC61&lt;$AD61,$AD61-$AC61,"Pass")</f>
        <v>#REF!</v>
      </c>
      <c r="AG61" s="547" t="e">
        <f>IF($AC61&gt;$AE61,$AC61-$AE61,"Pass")</f>
        <v>#REF!</v>
      </c>
      <c r="AH61" s="554"/>
      <c r="AI61" s="554"/>
      <c r="AJ61" s="554"/>
      <c r="AK61" s="554"/>
      <c r="AL61" s="554"/>
      <c r="AM61" s="554"/>
      <c r="AN61" s="559" t="s">
        <v>29</v>
      </c>
      <c r="AO61" s="560" t="e">
        <f>IF(Q61&lt;=IF($B$2="mil",1,0.0254)*1000,"Pass",IF($B$2="mil",1,0.0254)*1000-Q61)</f>
        <v>#REF!</v>
      </c>
      <c r="AP61" s="554"/>
      <c r="AQ61" s="528" t="e">
        <f>IF($R61&lt;=IF($B$2="mil",1,0.0254)*750,"Pass",IF($B$2="mil",1,0.0254)*750-$R61)</f>
        <v>#REF!</v>
      </c>
      <c r="AR61" s="528" t="e">
        <f>IF($S61&lt;=IF($B$2="mil",1,0.0254)*750,"Pass",IF($B$2="mil",1,0.0254)*750-$S61)</f>
        <v>#REF!</v>
      </c>
      <c r="AS61" s="528" t="e">
        <f t="shared" ca="1" si="11"/>
        <v>#NAME?</v>
      </c>
      <c r="AT61" s="528" t="e">
        <f t="shared" ca="1" si="11"/>
        <v>#NAME?</v>
      </c>
      <c r="AU61" s="528" t="e">
        <f>IF(AND(V61&gt;=IF($B$2="mil",1,0.0254)*500, $V61&lt;=IF($B$2="mil",1,0.0254)*6500),"Pass",IF($B$2="mil",1,0.0254)*6500-$V61)</f>
        <v>#REF!</v>
      </c>
      <c r="AV61" s="560" t="e">
        <f>IF(AND($W61&gt;=IF($B$2="mil",1,0.0254)*500, $W61&lt;=IF($B$2="mil",1,0.0254)*7000),"Pass",IF($B$2="mil",1,0.0254)*7000-$W61)</f>
        <v>#REF!</v>
      </c>
      <c r="AW61" s="528" t="e">
        <f>IF(AND($AB61&gt;=IF($B$2="mil",1,0.0254)*500, $AB61&lt;=IF($B$2="mil",1,0.0254)*6500),"Pass",IF($B$2="mil",1,0.0254)*6500-$AB61)</f>
        <v>#REF!</v>
      </c>
      <c r="AX61" s="529" t="e">
        <f>IF(AND($AC61&gt;=IF($B$2="mil",1,0.0254)*500, $AC61&lt;=IF($B$2="mil",1,0.0254)*7000),"Pass",IF($B$2="mil",1,0.0254)*7000-$AC61)</f>
        <v>#REF!</v>
      </c>
      <c r="AY61" s="162" t="e">
        <f t="shared" ca="1" si="12"/>
        <v>#REF!</v>
      </c>
      <c r="AZ61" s="3"/>
    </row>
    <row r="62" spans="5:52">
      <c r="O62" s="3"/>
      <c r="P62" s="218" t="s">
        <v>457</v>
      </c>
      <c r="Q62" s="144" t="e">
        <f>"Trace L7-4 ["&amp;$B$2&amp;"]"</f>
        <v>#REF!</v>
      </c>
      <c r="R62" s="144" t="e">
        <f>"Trace L8-7 to U4 ["&amp;$B$2&amp;"]"</f>
        <v>#REF!</v>
      </c>
      <c r="S62" s="144" t="e">
        <f>"Trace L8-8 to U8 ["&amp;$B$2&amp;"]"</f>
        <v>#REF!</v>
      </c>
      <c r="T62" s="144" t="e">
        <f>"Trace L9-7 to U4 ["&amp;$B$2&amp;"]"</f>
        <v>#REF!</v>
      </c>
      <c r="U62" s="144" t="e">
        <f>"Trace L9-8 to U8 ["&amp;$B$2&amp;"]"</f>
        <v>#REF!</v>
      </c>
      <c r="V62" s="550" t="e">
        <f>"Total MB Length to U4 (L0+L1+L2+L5+L6-2+L7-4+L8-7+L9-7) ["&amp;$B$2&amp;"]"</f>
        <v>#REF!</v>
      </c>
      <c r="W62" s="550" t="e">
        <f>"Total Pad to Pin U4 (P1+LL0+L1+L2+L5+L6-2+L7-4+L8-7+L9-7) ["&amp;$B$2&amp;"]"</f>
        <v>#REF!</v>
      </c>
      <c r="X62" s="551" t="e">
        <f>"Target Min Length  to U4["&amp;$B$2&amp;"]"</f>
        <v>#REF!</v>
      </c>
      <c r="Y62" s="552" t="e">
        <f>"Target Max Length  to U4 ["&amp;$B$2&amp;"]"</f>
        <v>#REF!</v>
      </c>
      <c r="Z62" s="553" t="e">
        <f>"Routed Too Short to U4 [" &amp;$B$2&amp;"]"</f>
        <v>#REF!</v>
      </c>
      <c r="AA62" s="551" t="e">
        <f>"Routed Too Long to U4 [" &amp;$B$2&amp;"]"</f>
        <v>#REF!</v>
      </c>
      <c r="AB62" s="550" t="e">
        <f>"Total MB Length to U8 (L0+L1+L2+L5+L6-2+L7-4+L8-8+L9-8) ["&amp;$B$2&amp;"]"</f>
        <v>#REF!</v>
      </c>
      <c r="AC62" s="550" t="e">
        <f>"Total Pad to Pin U8 (P1+L0+L1+L2+L5+L6-2+L7-4+L8-8+L9-8) ["&amp;$B$2&amp;"]"</f>
        <v>#REF!</v>
      </c>
      <c r="AD62" s="551" t="e">
        <f>"Target Min Length  to U8["&amp;$B$2&amp;"]"</f>
        <v>#REF!</v>
      </c>
      <c r="AE62" s="552" t="e">
        <f>"Target Max Length  to U8 ["&amp;$B$2&amp;"]"</f>
        <v>#REF!</v>
      </c>
      <c r="AF62" s="553" t="e">
        <f>"Routed Too Short to U8 [" &amp;$B$2&amp;"]"</f>
        <v>#REF!</v>
      </c>
      <c r="AG62" s="551" t="e">
        <f>"Routed Too Long to U8 [" &amp;$B$2&amp;"]"</f>
        <v>#REF!</v>
      </c>
      <c r="AH62" s="554"/>
      <c r="AI62" s="554"/>
      <c r="AJ62" s="554"/>
      <c r="AK62" s="554"/>
      <c r="AL62" s="554"/>
      <c r="AM62" s="554"/>
      <c r="AN62" s="555" t="s">
        <v>457</v>
      </c>
      <c r="AO62" s="552" t="e">
        <f>"L7-2 Length Test (&lt;=" &amp; IF($B$2="mil",1,0.0254)*1000&amp;$B$2&amp;")"</f>
        <v>#REF!</v>
      </c>
      <c r="AP62" s="577"/>
      <c r="AQ62" s="556" t="e">
        <f>"L8-3 Length Test (&lt;=" &amp; IF($B$2="mil",1,0.0254)*750&amp;$B$2&amp;")"</f>
        <v>#REF!</v>
      </c>
      <c r="AR62" s="556" t="e">
        <f>"L8-4 Length Test (&lt;=" &amp; IF($B$2="mil",1,0.0254)*750&amp;$B$2&amp;")"</f>
        <v>#REF!</v>
      </c>
      <c r="AS62" s="556" t="e">
        <f>"L9-3 Length Test (&lt;=" &amp; IF($B$2="mil",1,0.0254)*200&amp;$B$2&amp;") or (L8-3+L9-3&lt;= "&amp;IF($B$2="mil",1,0.0254)*950&amp;$B$2&amp;")"</f>
        <v>#REF!</v>
      </c>
      <c r="AT62" s="556" t="e">
        <f>"L9-4 Length Test (&lt;=" &amp; IF($B$2="mil",1,0.0254)*200&amp;$B$2&amp;") or (L8-4+L9-4&lt;= "&amp;IF($B$2="mil",1,0.0254)*950&amp;$B$2&amp;")"</f>
        <v>#REF!</v>
      </c>
      <c r="AU62" s="552" t="e">
        <f>"Total Length to U2 (L0+L1+L2+L5+L6-1+L7-2+L8-3+L9-3)Test ("&amp;IF($B$2="mil",1,0.0254)*500&amp;"-"&amp;IF($B$2="mil",1,0.0254)*6500&amp;IF($B$2="mil","mil","mm")&amp;")"</f>
        <v>#REF!</v>
      </c>
      <c r="AV62" s="552" t="e">
        <f>"Total Length to U2 (P1+L0+L1+L2+L5+L6-1+L7-2+L8-3+L9-3) Test (&lt;="&amp;IF($B$2="mil",1,25.4)*7000&amp;IF($B$2="mil","mil","mm")&amp;")"</f>
        <v>#REF!</v>
      </c>
      <c r="AW62" s="552" t="e">
        <f>"Total Length to U6 (L0+L1+L2+L5+L6-1+L7-2+L8-4+L9-4)Test ("&amp;IF($B$2="mil",1,0.0254)*500&amp;"-"&amp;IF($B$2="mil",1,0.0254)*6500&amp;IF($B$2="mil","mil","mm")&amp;")"</f>
        <v>#REF!</v>
      </c>
      <c r="AX62" s="552" t="e">
        <f>"Total Length to U6 (P1+L0+L1+L2+L5+L6-1+L7-2+L8-4+L9-4) Test (&lt;="&amp;IF($B$2="mil",1,25.4)*7000&amp;IF($B$2="mil","mil","mm")&amp;")"</f>
        <v>#REF!</v>
      </c>
      <c r="AY62" s="3"/>
      <c r="AZ62" s="3"/>
    </row>
    <row r="63" spans="5:52">
      <c r="O63" s="3"/>
      <c r="P63" s="169" t="s">
        <v>214</v>
      </c>
      <c r="Q63" s="166"/>
      <c r="R63" s="166"/>
      <c r="S63" s="166"/>
      <c r="T63" s="166"/>
      <c r="U63" s="166"/>
      <c r="V63" s="166"/>
      <c r="W63" s="558" t="s">
        <v>225</v>
      </c>
      <c r="X63" s="541" t="e">
        <f>MIN('DDR2 Clocks - 4L'!$O$17:$O$18)</f>
        <v>#REF!</v>
      </c>
      <c r="Y63" s="539" t="e">
        <f>MAX('DDR2 Clocks - 4L'!$O$17:$O$18)</f>
        <v>#REF!</v>
      </c>
      <c r="Z63" s="541"/>
      <c r="AA63" s="541"/>
      <c r="AB63" s="166"/>
      <c r="AC63" s="558" t="s">
        <v>287</v>
      </c>
      <c r="AD63" s="592" t="e">
        <f>MIN('DDR2 Clocks - 4L'!$O$19:$O$20)</f>
        <v>#REF!</v>
      </c>
      <c r="AE63" s="541" t="e">
        <f>MAX('DDR2 Clocks - 4L'!$O$19:$O$20)</f>
        <v>#REF!</v>
      </c>
      <c r="AF63" s="541"/>
      <c r="AG63" s="541"/>
      <c r="AH63" s="554"/>
      <c r="AI63" s="554"/>
      <c r="AJ63" s="554"/>
      <c r="AK63" s="554"/>
      <c r="AL63" s="554"/>
      <c r="AM63" s="554"/>
      <c r="AN63" s="166" t="s">
        <v>214</v>
      </c>
      <c r="AO63" s="539"/>
      <c r="AP63" s="577"/>
      <c r="AQ63" s="538"/>
      <c r="AR63" s="538"/>
      <c r="AS63" s="538"/>
      <c r="AT63" s="538"/>
      <c r="AU63" s="538"/>
      <c r="AV63" s="538"/>
      <c r="AW63" s="538"/>
      <c r="AX63" s="539"/>
      <c r="AY63" s="3"/>
      <c r="AZ63" s="3"/>
    </row>
    <row r="64" spans="5:52">
      <c r="P64" s="155" t="s">
        <v>378</v>
      </c>
      <c r="Q64" s="338"/>
      <c r="R64" s="338"/>
      <c r="S64" s="338"/>
      <c r="T64" s="433"/>
      <c r="U64" s="433"/>
      <c r="V64" s="207"/>
      <c r="W64" s="207"/>
      <c r="X64" s="207"/>
      <c r="Y64" s="571"/>
      <c r="Z64" s="430"/>
      <c r="AA64" s="430"/>
      <c r="AB64" s="207"/>
      <c r="AC64" s="207"/>
      <c r="AD64" s="207"/>
      <c r="AE64" s="207"/>
      <c r="AF64" s="430"/>
      <c r="AG64" s="549"/>
      <c r="AH64" s="554"/>
      <c r="AI64" s="554"/>
      <c r="AJ64" s="554"/>
      <c r="AK64" s="554"/>
      <c r="AL64" s="554"/>
      <c r="AM64" s="554"/>
      <c r="AN64" s="155" t="s">
        <v>378</v>
      </c>
      <c r="AO64" s="562"/>
      <c r="AP64" s="554"/>
      <c r="AQ64" s="430"/>
      <c r="AR64" s="430"/>
      <c r="AS64" s="430"/>
      <c r="AT64" s="430"/>
      <c r="AU64" s="430"/>
      <c r="AV64" s="562"/>
      <c r="AW64" s="430"/>
      <c r="AX64" s="549"/>
      <c r="AY64" s="3"/>
      <c r="AZ64" s="3"/>
    </row>
    <row r="65" spans="16:52">
      <c r="P65" s="185" t="s">
        <v>26</v>
      </c>
      <c r="Q65" s="303">
        <v>564.66</v>
      </c>
      <c r="R65" s="337">
        <v>600</v>
      </c>
      <c r="S65" s="337">
        <v>500</v>
      </c>
      <c r="T65" s="409">
        <v>50</v>
      </c>
      <c r="U65" s="409">
        <v>50</v>
      </c>
      <c r="V65" s="545">
        <f>SUM($E26:$G26,$M26,$P26,$Q65:$R65,$T65)</f>
        <v>4435.28</v>
      </c>
      <c r="W65" s="524" t="e">
        <f>$V65+IF($B$2="mil",1,0.0254)*$C26</f>
        <v>#REF!</v>
      </c>
      <c r="X65" s="524" t="e">
        <f>$Y$57 + IF($B$2="mil",1,0.0254)*DDR2Specs!$E$9</f>
        <v>#REF!</v>
      </c>
      <c r="Y65" s="547" t="e">
        <f>$X$57 + IF($B$2="mil",1,0.0254)*DDR2Specs!$F$9</f>
        <v>#REF!</v>
      </c>
      <c r="Z65" s="546" t="e">
        <f>IF($W65&lt;$X65,$X65-$W65,"Pass")</f>
        <v>#REF!</v>
      </c>
      <c r="AA65" s="547" t="e">
        <f>IF($W65&gt;$Y65,$W65-$Y65,"Pass")</f>
        <v>#REF!</v>
      </c>
      <c r="AB65" s="545">
        <f>SUM($E26:$G26,$M26,$Q65,$P26,$S65,$U65)</f>
        <v>4335.28</v>
      </c>
      <c r="AC65" s="524" t="e">
        <f>$AB65+IF($B$2="mil",1,0.0254)*$C26</f>
        <v>#REF!</v>
      </c>
      <c r="AD65" s="524" t="e">
        <f>$AE$57 + IF($B$2="mil",1,0.0254)*DDR2Specs!$E$9</f>
        <v>#REF!</v>
      </c>
      <c r="AE65" s="524" t="e">
        <f>$AD$57 + IF($B$2="mil",1,0.0254)*DDR2Specs!$F$9</f>
        <v>#REF!</v>
      </c>
      <c r="AF65" s="546" t="e">
        <f>IF($AC65&lt;$AD65,$AD65-$AC65,"Pass")</f>
        <v>#REF!</v>
      </c>
      <c r="AG65" s="547" t="e">
        <f>IF($AC65&gt;$AE65,$AC65-$AE65,"Pass")</f>
        <v>#REF!</v>
      </c>
      <c r="AH65" s="554"/>
      <c r="AI65" s="554"/>
      <c r="AJ65" s="554"/>
      <c r="AK65" s="554"/>
      <c r="AL65" s="554"/>
      <c r="AM65" s="554"/>
      <c r="AN65" s="559" t="s">
        <v>26</v>
      </c>
      <c r="AO65" s="560" t="e">
        <f>IF(Q65&lt;=IF($B$2="mil",1,0.0254)*1000,"Pass",IF($B$2="mil",1,0.0254)*1000-Q65)</f>
        <v>#REF!</v>
      </c>
      <c r="AP65" s="554"/>
      <c r="AQ65" s="528" t="e">
        <f>IF($R65&lt;=IF($B$2="mil",1,0.0254)*750,"Pass",IF($B$2="mil",1,0.0254)*750-$R65)</f>
        <v>#REF!</v>
      </c>
      <c r="AR65" s="528" t="e">
        <f>IF($S65&lt;=IF($B$2="mil",1,0.0254)*750,"Pass",IF($B$2="mil",1,0.0254)*750-$S65)</f>
        <v>#REF!</v>
      </c>
      <c r="AS65" s="528" t="e">
        <f t="shared" ref="AS65:AT67" ca="1" si="13">CheckLength2(IF($B$2="mil",1,0.0254)*950,R65,T65,0)</f>
        <v>#NAME?</v>
      </c>
      <c r="AT65" s="528" t="e">
        <f t="shared" ca="1" si="13"/>
        <v>#NAME?</v>
      </c>
      <c r="AU65" s="528" t="e">
        <f>IF(AND(V65&gt;=IF($B$2="mil",1,0.0254)*500, $V65&lt;=IF($B$2="mil",1,0.0254)*6500),"Pass",IF($B$2="mil",1,0.0254)*6500-$V65)</f>
        <v>#REF!</v>
      </c>
      <c r="AV65" s="560" t="e">
        <f>IF(AND($W65&gt;=IF($B$2="mil",1,0.0254)*500, $W65&lt;=IF($B$2="mil",1,0.0254)*7000),"Pass",IF($B$2="mil",1,0.0254)*7000-$W65)</f>
        <v>#REF!</v>
      </c>
      <c r="AW65" s="528" t="e">
        <f>IF(AND($AB65&gt;=IF($B$2="mil",1,0.0254)*500, $AB65&lt;=IF($B$2="mil",1,0.0254)*6500),"Pass",IF($B$2="mil",1,0.0254)*6500-$AB65)</f>
        <v>#REF!</v>
      </c>
      <c r="AX65" s="529" t="e">
        <f>IF(AND($AC65&gt;=IF($B$2="mil",1,0.0254)*500, $AC65&lt;=IF($B$2="mil",1,0.0254)*7000),"Pass",IF($B$2="mil",1,0.0254)*7000-$AC65)</f>
        <v>#REF!</v>
      </c>
      <c r="AY65" s="162" t="e">
        <f t="shared" ca="1" si="12"/>
        <v>#REF!</v>
      </c>
      <c r="AZ65" s="162" t="e">
        <f ca="1">IF(AND(AY65="Pass",AY66="Pass",AY67="Pass"),"Pass","Fail")</f>
        <v>#REF!</v>
      </c>
    </row>
    <row r="66" spans="16:52">
      <c r="P66" s="185" t="s">
        <v>28</v>
      </c>
      <c r="Q66" s="303">
        <v>578.77</v>
      </c>
      <c r="R66" s="337">
        <v>600</v>
      </c>
      <c r="S66" s="337">
        <v>500</v>
      </c>
      <c r="T66" s="409">
        <v>50</v>
      </c>
      <c r="U66" s="409">
        <v>50</v>
      </c>
      <c r="V66" s="545">
        <f>SUM($E27:$G27,$M27,$P27,$Q66:$R66,$T66)</f>
        <v>4594.7999999999993</v>
      </c>
      <c r="W66" s="524" t="e">
        <f>$V66+IF($B$2="mil",1,0.0254)*$C27</f>
        <v>#REF!</v>
      </c>
      <c r="X66" s="524" t="e">
        <f>$Y$57 + IF($B$2="mil",1,0.0254)*DDR2Specs!$E$9</f>
        <v>#REF!</v>
      </c>
      <c r="Y66" s="547" t="e">
        <f>$X$57 + IF($B$2="mil",1,0.0254)*DDR2Specs!$F$9</f>
        <v>#REF!</v>
      </c>
      <c r="Z66" s="546" t="e">
        <f>IF($W66&lt;$X66,$X66-$W66,"Pass")</f>
        <v>#REF!</v>
      </c>
      <c r="AA66" s="547" t="e">
        <f>IF($W66&gt;$Y66,$W66-$Y66,"Pass")</f>
        <v>#REF!</v>
      </c>
      <c r="AB66" s="545">
        <f>SUM($E27:$G27,$M27,$Q66,$P27,$S66,$U66)</f>
        <v>4494.7999999999993</v>
      </c>
      <c r="AC66" s="524" t="e">
        <f>$AB66+IF($B$2="mil",1,0.0254)*$C27</f>
        <v>#REF!</v>
      </c>
      <c r="AD66" s="524" t="e">
        <f>$AE$57 + IF($B$2="mil",1,0.0254)*DDR2Specs!$E$9</f>
        <v>#REF!</v>
      </c>
      <c r="AE66" s="524" t="e">
        <f>$AD$57 + IF($B$2="mil",1,0.0254)*DDR2Specs!$F$9</f>
        <v>#REF!</v>
      </c>
      <c r="AF66" s="546" t="e">
        <f>IF($AC66&lt;$AD66,$AD66-$AC66,"Pass")</f>
        <v>#REF!</v>
      </c>
      <c r="AG66" s="547" t="e">
        <f>IF($AC66&gt;$AE66,$AC66-$AE66,"Pass")</f>
        <v>#REF!</v>
      </c>
      <c r="AH66" s="554"/>
      <c r="AI66" s="554"/>
      <c r="AJ66" s="554"/>
      <c r="AK66" s="554"/>
      <c r="AL66" s="554"/>
      <c r="AM66" s="554"/>
      <c r="AN66" s="559" t="s">
        <v>28</v>
      </c>
      <c r="AO66" s="560" t="e">
        <f>IF(Q66&lt;=IF($B$2="mil",1,0.0254)*1000,"Pass",IF($B$2="mil",1,0.0254)*1000-Q66)</f>
        <v>#REF!</v>
      </c>
      <c r="AP66" s="554"/>
      <c r="AQ66" s="528" t="e">
        <f>IF($R66&lt;=IF($B$2="mil",1,0.0254)*750,"Pass",IF($B$2="mil",1,0.0254)*750-$R66)</f>
        <v>#REF!</v>
      </c>
      <c r="AR66" s="528" t="e">
        <f>IF($S66&lt;=IF($B$2="mil",1,0.0254)*750,"Pass",IF($B$2="mil",1,0.0254)*750-$S66)</f>
        <v>#REF!</v>
      </c>
      <c r="AS66" s="528" t="e">
        <f t="shared" ca="1" si="13"/>
        <v>#NAME?</v>
      </c>
      <c r="AT66" s="528" t="e">
        <f t="shared" ca="1" si="13"/>
        <v>#NAME?</v>
      </c>
      <c r="AU66" s="528" t="e">
        <f>IF(AND(V66&gt;=IF($B$2="mil",1,0.0254)*500, $V66&lt;=IF($B$2="mil",1,0.0254)*6500),"Pass",IF($B$2="mil",1,0.0254)*6500-$V66)</f>
        <v>#REF!</v>
      </c>
      <c r="AV66" s="560" t="e">
        <f>IF(AND($W66&gt;=IF($B$2="mil",1,0.0254)*500, $W66&lt;=IF($B$2="mil",1,0.0254)*7000),"Pass",IF($B$2="mil",1,0.0254)*7000-$W66)</f>
        <v>#REF!</v>
      </c>
      <c r="AW66" s="528" t="e">
        <f>IF(AND($AB66&gt;=IF($B$2="mil",1,0.0254)*500, $AB66&lt;=IF($B$2="mil",1,0.0254)*6500),"Pass",IF($B$2="mil",1,0.0254)*6500-$AB66)</f>
        <v>#REF!</v>
      </c>
      <c r="AX66" s="529" t="e">
        <f>IF(AND($AC66&gt;=IF($B$2="mil",1,0.0254)*500, $AC66&lt;=IF($B$2="mil",1,0.0254)*7000),"Pass",IF($B$2="mil",1,0.0254)*7000-$AC66)</f>
        <v>#REF!</v>
      </c>
      <c r="AY66" s="162" t="e">
        <f t="shared" ca="1" si="12"/>
        <v>#REF!</v>
      </c>
      <c r="AZ66" s="3"/>
    </row>
    <row r="67" spans="16:52">
      <c r="P67" s="185" t="s">
        <v>30</v>
      </c>
      <c r="Q67" s="303">
        <v>574.72</v>
      </c>
      <c r="R67" s="337">
        <v>600</v>
      </c>
      <c r="S67" s="337">
        <v>500</v>
      </c>
      <c r="T67" s="409">
        <v>50</v>
      </c>
      <c r="U67" s="409">
        <v>50</v>
      </c>
      <c r="V67" s="545">
        <f>SUM($E28:$G28,$M28,$P28,$Q67:$R67,$T67)</f>
        <v>4434.1899999999996</v>
      </c>
      <c r="W67" s="524" t="e">
        <f>$V67+IF($B$2="mil",1,0.0254)*$C28</f>
        <v>#REF!</v>
      </c>
      <c r="X67" s="524" t="e">
        <f>$Y$57 + IF($B$2="mil",1,0.0254)*DDR2Specs!$E$9</f>
        <v>#REF!</v>
      </c>
      <c r="Y67" s="547" t="e">
        <f>$X$57 + IF($B$2="mil",1,0.0254)*DDR2Specs!$F$9</f>
        <v>#REF!</v>
      </c>
      <c r="Z67" s="546" t="e">
        <f>IF($W67&lt;$X67,$X67-$W67,"Pass")</f>
        <v>#REF!</v>
      </c>
      <c r="AA67" s="547" t="e">
        <f>IF($W67&gt;$Y67,$W67-$Y67,"Pass")</f>
        <v>#REF!</v>
      </c>
      <c r="AB67" s="545">
        <f>SUM($E28:$G28,$M28,$Q67,$P28,$S67,$U67)</f>
        <v>4334.1899999999996</v>
      </c>
      <c r="AC67" s="524" t="e">
        <f>$AB67+IF($B$2="mil",1,0.0254)*$C28</f>
        <v>#REF!</v>
      </c>
      <c r="AD67" s="524" t="e">
        <f>$AE$57 + IF($B$2="mil",1,0.0254)*DDR2Specs!$E$9</f>
        <v>#REF!</v>
      </c>
      <c r="AE67" s="524" t="e">
        <f>$AD$57 + IF($B$2="mil",1,0.0254)*DDR2Specs!$F$9</f>
        <v>#REF!</v>
      </c>
      <c r="AF67" s="546" t="e">
        <f>IF($AC67&lt;$AD67,$AD67-$AC67,"Pass")</f>
        <v>#REF!</v>
      </c>
      <c r="AG67" s="547" t="e">
        <f>IF($AC67&gt;$AE67,$AC67-$AE67,"Pass")</f>
        <v>#REF!</v>
      </c>
      <c r="AH67" s="554"/>
      <c r="AI67" s="554"/>
      <c r="AJ67" s="554"/>
      <c r="AK67" s="554"/>
      <c r="AL67" s="554"/>
      <c r="AM67" s="554"/>
      <c r="AN67" s="559" t="s">
        <v>30</v>
      </c>
      <c r="AO67" s="560" t="e">
        <f>IF(Q67&lt;=IF($B$2="mil",1,0.0254)*1000,"Pass",IF($B$2="mil",1,0.0254)*1000-Q67)</f>
        <v>#REF!</v>
      </c>
      <c r="AP67" s="554"/>
      <c r="AQ67" s="528" t="e">
        <f>IF($R67&lt;=IF($B$2="mil",1,0.0254)*750,"Pass",IF($B$2="mil",1,0.0254)*750-$R67)</f>
        <v>#REF!</v>
      </c>
      <c r="AR67" s="528" t="e">
        <f>IF($S67&lt;=IF($B$2="mil",1,0.0254)*750,"Pass",IF($B$2="mil",1,0.0254)*750-$S67)</f>
        <v>#REF!</v>
      </c>
      <c r="AS67" s="528" t="e">
        <f t="shared" ca="1" si="13"/>
        <v>#NAME?</v>
      </c>
      <c r="AT67" s="528" t="e">
        <f t="shared" ca="1" si="13"/>
        <v>#NAME?</v>
      </c>
      <c r="AU67" s="528" t="e">
        <f>IF(AND(V67&gt;=IF($B$2="mil",1,0.0254)*500, $V67&lt;=IF($B$2="mil",1,0.0254)*6500),"Pass",IF($B$2="mil",1,0.0254)*6500-$V67)</f>
        <v>#REF!</v>
      </c>
      <c r="AV67" s="560" t="e">
        <f>IF(AND($W67&gt;=IF($B$2="mil",1,0.0254)*500, $W67&lt;=IF($B$2="mil",1,0.0254)*7000),"Pass",IF($B$2="mil",1,0.0254)*7000-$W67)</f>
        <v>#REF!</v>
      </c>
      <c r="AW67" s="528" t="e">
        <f>IF(AND($AB67&gt;=IF($B$2="mil",1,0.0254)*500, $AB67&lt;=IF($B$2="mil",1,0.0254)*6500),"Pass",IF($B$2="mil",1,0.0254)*6500-$AB67)</f>
        <v>#REF!</v>
      </c>
      <c r="AX67" s="529" t="e">
        <f>IF(AND($AC67&gt;=IF($B$2="mil",1,0.0254)*500, $AC67&lt;=IF($B$2="mil",1,0.0254)*7000),"Pass",IF($B$2="mil",1,0.0254)*7000-$AC67)</f>
        <v>#REF!</v>
      </c>
      <c r="AY67" s="162" t="e">
        <f t="shared" ca="1" si="12"/>
        <v>#REF!</v>
      </c>
      <c r="AZ67" s="3"/>
    </row>
    <row r="68" spans="16:52">
      <c r="V68" s="578"/>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577"/>
      <c r="AU68" s="577"/>
      <c r="AV68" s="577"/>
      <c r="AW68" s="577"/>
      <c r="AX68" s="577"/>
    </row>
    <row r="73" spans="16:52">
      <c r="U73" s="1"/>
      <c r="V73"/>
    </row>
    <row r="74" spans="16:52">
      <c r="U74" s="1"/>
      <c r="V74"/>
    </row>
    <row r="75" spans="16:52">
      <c r="U75" s="1"/>
      <c r="V75"/>
    </row>
    <row r="76" spans="16:52">
      <c r="U76" s="1"/>
      <c r="V76"/>
    </row>
    <row r="77" spans="16:52">
      <c r="U77" s="1"/>
      <c r="V77"/>
    </row>
    <row r="78" spans="16:52">
      <c r="U78" s="1"/>
      <c r="V78"/>
    </row>
    <row r="79" spans="16:52">
      <c r="S79" s="1"/>
      <c r="V79"/>
    </row>
    <row r="80" spans="16:52">
      <c r="S80" s="1"/>
      <c r="V80"/>
    </row>
    <row r="81" spans="19:22">
      <c r="S81" s="1"/>
      <c r="V81"/>
    </row>
    <row r="82" spans="19:22">
      <c r="S82" s="1"/>
      <c r="V82"/>
    </row>
    <row r="83" spans="19:22">
      <c r="S83" s="1"/>
      <c r="V83"/>
    </row>
    <row r="84" spans="19:22">
      <c r="S84" s="1"/>
      <c r="V84"/>
    </row>
    <row r="85" spans="19:22">
      <c r="S85" s="1"/>
      <c r="V85"/>
    </row>
    <row r="86" spans="19:22">
      <c r="S86" s="1"/>
      <c r="V86"/>
    </row>
    <row r="87" spans="19:22">
      <c r="S87" s="1"/>
      <c r="V87"/>
    </row>
    <row r="88" spans="19:22">
      <c r="S88" s="1"/>
      <c r="V88"/>
    </row>
    <row r="89" spans="19:22">
      <c r="S89" s="1"/>
      <c r="V89"/>
    </row>
    <row r="90" spans="19:22">
      <c r="S90" s="1"/>
      <c r="V90"/>
    </row>
    <row r="91" spans="19:22">
      <c r="S91" s="1"/>
      <c r="V91"/>
    </row>
    <row r="92" spans="19:22">
      <c r="S92" s="1"/>
      <c r="V92"/>
    </row>
    <row r="93" spans="19:22">
      <c r="S93" s="1"/>
      <c r="V93"/>
    </row>
    <row r="94" spans="19:22">
      <c r="S94" s="1"/>
      <c r="V94"/>
    </row>
    <row r="95" spans="19:22">
      <c r="S95" s="1"/>
      <c r="V95"/>
    </row>
    <row r="96" spans="19:22">
      <c r="S96" s="1"/>
      <c r="V96"/>
    </row>
    <row r="97" spans="19:22">
      <c r="S97" s="1"/>
      <c r="V97"/>
    </row>
    <row r="98" spans="19:22">
      <c r="S98" s="1"/>
      <c r="V98"/>
    </row>
    <row r="99" spans="19:22">
      <c r="T99" s="1"/>
      <c r="V99"/>
    </row>
    <row r="100" spans="19:22">
      <c r="T100" s="1"/>
      <c r="V100"/>
    </row>
    <row r="101" spans="19:22">
      <c r="T101" s="1"/>
      <c r="V101"/>
    </row>
    <row r="102" spans="19:22">
      <c r="T102" s="1"/>
      <c r="V102"/>
    </row>
    <row r="103" spans="19:22">
      <c r="T103" s="1"/>
      <c r="V103"/>
    </row>
    <row r="104" spans="19:22">
      <c r="T104" s="1"/>
      <c r="V104"/>
    </row>
  </sheetData>
  <protectedRanges>
    <protectedRange sqref="J7:K8 J10:K11 J13:K14 E10:H11 E7:H8 J20:K22 P20:P22 E20:G22 E26:G28 J26:K28 R39:S41 R52:S54 R46:S48 R33:S35 Q65:S67 E13:H14 Q59:S61" name="DDR2_COMMAND_8LTB"/>
    <protectedRange sqref="H20:H22 H26:H28" name="DDR2_COMMAND_8LTB_1"/>
  </protectedRanges>
  <mergeCells count="2">
    <mergeCell ref="A1:E1"/>
    <mergeCell ref="F1:G1"/>
  </mergeCells>
  <phoneticPr fontId="25" type="noConversion"/>
  <conditionalFormatting sqref="AO59:AO61 Z26:AA28 AF26:AG28 AQ33:AX35 AO65:AO67 AF52:AG54 Z65:AA67 Z59:AA61 AQ46:AX48 AF59:AG61 AM52:AM54 Z52:AA54 AQ39:AX41 AO52:AO54 AF65:AG67 AM46:AM48 Z46:AA48 AF46:AG48 AI20:AX22 AO46:AO48 Z33:AA35 Z39:AA41 AF39:AG41 AQ65:AX67 AO39:AO41 AF33:AG35 U13:AX14 AO33:AO35 AF20:AG22 Z20:AA22 U7:AX8 R13:S14 R10:S11 R7:S8 AQ52:AX54 U10:AX11 AQ59:AX61 AI26:AX28">
    <cfRule type="cellIs" priority="1" stopIfTrue="1" operator="equal">
      <formula>"Pass"</formula>
    </cfRule>
    <cfRule type="cellIs" dxfId="54" priority="2" stopIfTrue="1" operator="notEqual">
      <formula>"Pass"</formula>
    </cfRule>
  </conditionalFormatting>
  <conditionalFormatting sqref="AH20:AH22 T13:T14 T10:T11 T7:T8 AH26:AH28">
    <cfRule type="cellIs" dxfId="53" priority="3" stopIfTrue="1" operator="equal">
      <formula>"Pass"</formula>
    </cfRule>
    <cfRule type="cellIs" dxfId="52" priority="4" stopIfTrue="1" operator="notEqual">
      <formula>"Pass"</formula>
    </cfRule>
  </conditionalFormatting>
  <conditionalFormatting sqref="A1 F1:Z1">
    <cfRule type="expression" dxfId="51" priority="5" stopIfTrue="1">
      <formula>$F$1 = "Fail"</formula>
    </cfRule>
    <cfRule type="expression" dxfId="50" priority="6" stopIfTrue="1">
      <formula>$F$1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27653" r:id="rId4">
          <objectPr defaultSize="0" autoPict="0" r:id="rId5">
            <anchor moveWithCells="1">
              <from>
                <xdr:col>0</xdr:col>
                <xdr:colOff>257175</xdr:colOff>
                <xdr:row>28</xdr:row>
                <xdr:rowOff>152400</xdr:rowOff>
              </from>
              <to>
                <xdr:col>9</xdr:col>
                <xdr:colOff>285750</xdr:colOff>
                <xdr:row>35</xdr:row>
                <xdr:rowOff>276225</xdr:rowOff>
              </to>
            </anchor>
          </objectPr>
        </oleObject>
      </mc:Choice>
      <mc:Fallback>
        <oleObject progId="Visio.Drawing.11" shapeId="27653" r:id="rId4"/>
      </mc:Fallback>
    </mc:AlternateContent>
    <mc:AlternateContent xmlns:mc="http://schemas.openxmlformats.org/markup-compatibility/2006">
      <mc:Choice Requires="x14">
        <oleObject progId="Visio.Drawing.11" shapeId="27654" r:id="rId6">
          <objectPr defaultSize="0" autoPict="0" r:id="rId7">
            <anchor moveWithCells="1">
              <from>
                <xdr:col>0</xdr:col>
                <xdr:colOff>228600</xdr:colOff>
                <xdr:row>37</xdr:row>
                <xdr:rowOff>38100</xdr:rowOff>
              </from>
              <to>
                <xdr:col>10</xdr:col>
                <xdr:colOff>161925</xdr:colOff>
                <xdr:row>57</xdr:row>
                <xdr:rowOff>76200</xdr:rowOff>
              </to>
            </anchor>
          </objectPr>
        </oleObject>
      </mc:Choice>
      <mc:Fallback>
        <oleObject progId="Visio.Drawing.11" shapeId="27654" r:id="rId6"/>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BF58"/>
  <sheetViews>
    <sheetView topLeftCell="W1" zoomScale="75" workbookViewId="0">
      <selection activeCell="AS27" sqref="AS27"/>
    </sheetView>
  </sheetViews>
  <sheetFormatPr defaultColWidth="34.140625" defaultRowHeight="12.75"/>
  <cols>
    <col min="1" max="1" width="15.140625" style="6" customWidth="1"/>
    <col min="2" max="2" width="8.85546875" style="75" customWidth="1"/>
    <col min="3" max="3" width="13.85546875" style="5" customWidth="1"/>
    <col min="4" max="4" width="2.140625" style="5" customWidth="1"/>
    <col min="5" max="5" width="12.85546875" style="6" bestFit="1" customWidth="1"/>
    <col min="6" max="6" width="10.140625" style="6" customWidth="1"/>
    <col min="7" max="7" width="10.28515625" style="5" customWidth="1"/>
    <col min="8" max="14" width="14.5703125" style="6" customWidth="1"/>
    <col min="15" max="15" width="2" style="6" customWidth="1"/>
    <col min="16" max="17" width="14.28515625" style="6" customWidth="1"/>
    <col min="18" max="18" width="3" style="6" customWidth="1"/>
    <col min="19" max="20" width="18.28515625" style="6" customWidth="1"/>
    <col min="21" max="21" width="2.85546875" style="6" customWidth="1"/>
    <col min="22" max="22" width="13.28515625" style="6" customWidth="1"/>
    <col min="23" max="23" width="14.85546875" style="6" customWidth="1"/>
    <col min="24" max="24" width="2.5703125" style="6" customWidth="1"/>
    <col min="25" max="26" width="14.85546875" style="6" customWidth="1"/>
    <col min="27" max="27" width="2.140625" style="6" customWidth="1"/>
    <col min="28" max="28" width="14.140625" style="5" customWidth="1"/>
    <col min="29" max="29" width="14.28515625" style="5" customWidth="1"/>
    <col min="30" max="30" width="2.140625" style="6" customWidth="1"/>
    <col min="31" max="32" width="14.28515625" style="5" customWidth="1"/>
    <col min="33" max="35" width="13.140625" style="5" customWidth="1"/>
    <col min="36" max="36" width="12.7109375" style="5" customWidth="1"/>
    <col min="37" max="40" width="17.85546875" style="5" customWidth="1"/>
    <col min="41" max="41" width="21.7109375" style="5" customWidth="1"/>
    <col min="42" max="46" width="17.85546875" style="5" customWidth="1"/>
    <col min="47" max="47" width="2" style="6" customWidth="1"/>
    <col min="48" max="48" width="17.5703125" style="6" customWidth="1"/>
    <col min="49" max="49" width="21.42578125" style="6" customWidth="1"/>
    <col min="50" max="50" width="2.140625" style="3" customWidth="1"/>
    <col min="51" max="51" width="11.42578125" style="3" customWidth="1"/>
    <col min="52" max="52" width="11.28515625" style="3" customWidth="1"/>
    <col min="53" max="53" width="16.28515625" style="3" customWidth="1"/>
    <col min="54" max="55" width="11.28515625" style="3" customWidth="1"/>
    <col min="56" max="56" width="16.28515625" style="3" customWidth="1"/>
    <col min="57" max="57" width="2.140625" style="3" customWidth="1"/>
    <col min="58" max="58" width="11.42578125" style="3" customWidth="1"/>
    <col min="59" max="59" width="11.28515625" style="3" customWidth="1"/>
    <col min="60" max="60" width="16.42578125" style="3" customWidth="1"/>
    <col min="61" max="61" width="2.140625" style="3" customWidth="1"/>
    <col min="62" max="62" width="11.42578125" style="3" customWidth="1"/>
    <col min="63" max="63" width="11.28515625" style="3" customWidth="1"/>
    <col min="64" max="64" width="16.42578125" style="3" customWidth="1"/>
    <col min="65" max="16384" width="34.140625" style="3"/>
  </cols>
  <sheetData>
    <row r="1" spans="1:50" ht="26.25">
      <c r="A1" s="1322" t="s">
        <v>89</v>
      </c>
      <c r="B1" s="1324"/>
      <c r="C1" s="1324"/>
      <c r="D1" s="1324"/>
      <c r="E1" s="116" t="e">
        <f ca="1">IF(AND(AW7="Pass"),"Pass","Fail")</f>
        <v>#REF!</v>
      </c>
      <c r="F1" s="49"/>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61"/>
      <c r="AV1" s="3"/>
      <c r="AW1" s="3"/>
    </row>
    <row r="2" spans="1:50" customFormat="1" ht="18">
      <c r="A2" s="96" t="s">
        <v>10</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row>
    <row r="3" spans="1:50" s="50" customFormat="1" ht="87.75" customHeight="1">
      <c r="A3" s="361" t="s">
        <v>457</v>
      </c>
      <c r="B3" s="101" t="s">
        <v>474</v>
      </c>
      <c r="C3" s="364" t="s">
        <v>475</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SODIMM["&amp;$B$2&amp;"]"</f>
        <v>#REF!</v>
      </c>
      <c r="W3" s="7" t="e">
        <f>"Target Max Length to SODIMM ["&amp;$B$2&amp;"]"</f>
        <v>#REF!</v>
      </c>
      <c r="X3" s="7"/>
      <c r="Y3" s="7" t="e">
        <f>"Length to SODIMM Routed Too Short  ["&amp;$B$2&amp;"]"</f>
        <v>#REF!</v>
      </c>
      <c r="Z3" s="7" t="e">
        <f>"Length to SODIMM Routed Too Long  ["&amp;$B$2&amp;"]"</f>
        <v>#REF!</v>
      </c>
      <c r="AA3" s="7"/>
      <c r="AB3" s="7" t="e">
        <f>"Target Min Length to SDRAM["&amp;$B$2&amp;"]"</f>
        <v>#REF!</v>
      </c>
      <c r="AC3" s="7" t="e">
        <f>"Target Max Length to SDRAM ["&amp;$B$2&amp;"]"</f>
        <v>#REF!</v>
      </c>
      <c r="AD3" s="7"/>
      <c r="AE3" s="7" t="e">
        <f>"Length to SDRAM Routed Too Short  ["&amp;$B$2&amp;"]"</f>
        <v>#REF!</v>
      </c>
      <c r="AF3" s="7" t="e">
        <f>"Length to SDRAM Routed Too Long  ["&amp;$B$2&amp;"]"</f>
        <v>#REF!</v>
      </c>
      <c r="AG3" s="7" t="e">
        <f>"DQS-DQS# SODIMM Length Test(&lt;="&amp;IF($B$2="mil",1,0.0254)*5&amp;$B$2&amp;")"</f>
        <v>#REF!</v>
      </c>
      <c r="AH3" s="7" t="e">
        <f>"DQS-DQS# SDRAM Length Test(&lt;="&amp;IF($B$2="mil",1,0.0254)*5&amp;$B$2&amp;")"</f>
        <v>#REF!</v>
      </c>
      <c r="AI3" s="7" t="e">
        <f>"L0 Length Test (&lt;="&amp;IF($B$2="mil",1,0.0254)*50&amp;$B$2&amp;")"</f>
        <v>#REF!</v>
      </c>
      <c r="AJ3" s="7" t="e">
        <f>"L1 Length Test (&lt;="&amp;IF($B$2="mil",1,0.0254)*500&amp;$B$2&amp;")"</f>
        <v>#REF!</v>
      </c>
      <c r="AK3" s="7" t="e">
        <f>"S1 Length test (&lt;="&amp;IF($B$2="mil",1,0.0254)*250&amp;$B$2&amp;")"</f>
        <v>#REF!</v>
      </c>
      <c r="AL3" s="7" t="e">
        <f>"L3 Length Test (&lt;="&amp;IF($B$2="mil",1,0.0254)*1000&amp;$B$2&amp;" or L3 + L4 &lt;= "&amp;IF($B$2="mil",1,0.0254)*1125&amp;$B$2&amp;")"</f>
        <v>#REF!</v>
      </c>
      <c r="AM3" s="7" t="e">
        <f>"L4 Length Test (&lt;="&amp;IF($B$2="mil",1,0.0254)*125&amp;$B$2&amp;")"</f>
        <v>#REF!</v>
      </c>
      <c r="AN3" s="7" t="e">
        <f>"L5 Length Test (&lt;="&amp;IF($B$2="mil",1,0.0254)*125&amp;$B$2&amp;")"</f>
        <v>#REF!</v>
      </c>
      <c r="AO3" s="7" t="e">
        <f>"L6 Length Test (&lt;="&amp;IF($B$2="mil",1,0.0254)*1250&amp;$B$2&amp;" or L5+L6+L7 &lt;="&amp;IF($B$2="mil",1,0.0254)*1525&amp;$B$2&amp;")"</f>
        <v>#REF!</v>
      </c>
      <c r="AP3" s="7" t="e">
        <f>"L7 Length Test (&lt;="&amp;IF($B$2="mil",1,0.0254)*150&amp;$B$2&amp;") or (L6+L7 &lt;= "&amp;IF($B$2="mil",1,0.0254)*1400&amp;$B$2&amp;")"</f>
        <v>#REF!</v>
      </c>
      <c r="AQ3" s="7" t="e">
        <f>"Total MB Length to SODIMM (L0+L1+L2+S1) Test "&amp;IF($B$2="mil","(500-4000mil)","(12.7-114.3mm)")</f>
        <v>#REF!</v>
      </c>
      <c r="AR3" s="7" t="e">
        <f>"Total Length to SODIMM (P0+L0+L1+L2+S1) Test (&lt;="&amp; IF($B$2="mil","4500mil","127mm")&amp;")"</f>
        <v>#REF!</v>
      </c>
      <c r="AS3" s="7" t="e">
        <f>"Total MB Length to SDRAM (L0+L1+L2+L3+L4+Rs+L5+L6+L7) Test "&amp;IF($B$2="mil","(500-5500mil)","(12.7-114.3mm)")</f>
        <v>#REF!</v>
      </c>
      <c r="AT3" s="7" t="e">
        <f>"Total Length to SDRAM (P0+L0+L1+L2+L3+L4+Rs+L5+L6+L7) Test (&lt;="&amp; IF($B$2="mil","6000mil","127mm")&amp;")"</f>
        <v>#REF!</v>
      </c>
      <c r="AU3" s="7"/>
      <c r="AV3" s="596"/>
      <c r="AW3" s="596"/>
      <c r="AX3" s="596"/>
    </row>
    <row r="4" spans="1:50">
      <c r="A4" s="109" t="s">
        <v>249</v>
      </c>
      <c r="B4" s="366"/>
      <c r="C4" s="105"/>
      <c r="D4" s="10"/>
      <c r="E4" s="10"/>
      <c r="F4" s="10"/>
      <c r="G4" s="10"/>
      <c r="H4" s="10"/>
      <c r="I4" s="10"/>
      <c r="J4" s="10"/>
      <c r="K4" s="10"/>
      <c r="L4" s="10"/>
      <c r="M4" s="10"/>
      <c r="N4" s="10"/>
      <c r="O4" s="10"/>
      <c r="P4" s="9"/>
      <c r="Q4" s="9"/>
      <c r="R4" s="10"/>
      <c r="S4" s="51"/>
      <c r="T4" s="51"/>
      <c r="U4" s="10"/>
      <c r="V4" s="10"/>
      <c r="W4" s="10"/>
      <c r="X4" s="10"/>
      <c r="Y4" s="10"/>
      <c r="Z4" s="10"/>
      <c r="AA4" s="10"/>
      <c r="AB4" s="10"/>
      <c r="AC4" s="15"/>
      <c r="AD4" s="10"/>
      <c r="AE4" s="15"/>
      <c r="AF4" s="15"/>
      <c r="AG4" s="15"/>
      <c r="AH4" s="15"/>
      <c r="AI4" s="15"/>
      <c r="AJ4" s="15"/>
      <c r="AK4" s="15"/>
      <c r="AL4" s="10"/>
      <c r="AM4" s="10"/>
      <c r="AN4" s="10"/>
      <c r="AO4" s="10"/>
      <c r="AP4" s="10"/>
      <c r="AQ4" s="10"/>
      <c r="AR4" s="10"/>
      <c r="AS4" s="10"/>
      <c r="AT4" s="10"/>
      <c r="AU4" s="12"/>
      <c r="AV4" s="554"/>
      <c r="AW4" s="554"/>
      <c r="AX4" s="554"/>
    </row>
    <row r="5" spans="1:50">
      <c r="A5" s="362" t="s">
        <v>24</v>
      </c>
      <c r="B5" s="125"/>
      <c r="C5" s="365"/>
      <c r="D5" s="53"/>
      <c r="E5" s="52"/>
      <c r="F5" s="52"/>
      <c r="G5" s="52"/>
      <c r="H5" s="52"/>
      <c r="I5" s="52"/>
      <c r="J5" s="52"/>
      <c r="K5" s="52"/>
      <c r="L5" s="52"/>
      <c r="M5" s="52"/>
      <c r="N5" s="52"/>
      <c r="O5" s="52"/>
      <c r="P5" s="81"/>
      <c r="Q5" s="81"/>
      <c r="R5" s="53"/>
      <c r="S5" s="65"/>
      <c r="T5" s="65"/>
      <c r="U5" s="540" t="s">
        <v>234</v>
      </c>
      <c r="V5" s="168" t="e">
        <f>MIN('DDR2 Clocks - 2L'!$R$10:$R$13)</f>
        <v>#REF!</v>
      </c>
      <c r="W5" s="541" t="e">
        <f>MAX('DDR2 Clocks - 2L'!$R$10:$R$13)</f>
        <v>#REF!</v>
      </c>
      <c r="X5" s="53"/>
      <c r="Y5" s="65"/>
      <c r="Z5" s="65"/>
      <c r="AA5" s="540" t="s">
        <v>224</v>
      </c>
      <c r="AB5" s="168" t="e">
        <f>MIN('DDR2 Clocks - 2L'!$R$5:$R$6)</f>
        <v>#REF!</v>
      </c>
      <c r="AC5" s="541" t="e">
        <f>MAX('DDR2 Clocks - 2L'!$R$5:$R$6)</f>
        <v>#REF!</v>
      </c>
      <c r="AD5" s="65"/>
      <c r="AE5" s="65"/>
      <c r="AF5" s="65"/>
      <c r="AG5" s="65"/>
      <c r="AH5" s="65"/>
      <c r="AI5" s="65"/>
      <c r="AJ5" s="52"/>
      <c r="AK5" s="52"/>
      <c r="AL5" s="52"/>
      <c r="AM5" s="52"/>
      <c r="AN5" s="52"/>
      <c r="AO5" s="52"/>
      <c r="AP5" s="52"/>
      <c r="AQ5" s="52"/>
      <c r="AR5" s="52"/>
      <c r="AS5" s="52"/>
      <c r="AT5" s="52"/>
      <c r="AU5" s="58"/>
      <c r="AV5" s="554"/>
      <c r="AW5" s="554"/>
      <c r="AX5" s="554"/>
    </row>
    <row r="6" spans="1:50">
      <c r="A6" s="109" t="s">
        <v>250</v>
      </c>
      <c r="B6" s="367"/>
      <c r="C6" s="119"/>
      <c r="D6" s="62"/>
      <c r="E6" s="54"/>
      <c r="F6" s="54"/>
      <c r="G6" s="54"/>
      <c r="H6" s="54"/>
      <c r="I6" s="54"/>
      <c r="J6" s="54"/>
      <c r="K6" s="54"/>
      <c r="L6" s="54"/>
      <c r="M6" s="54"/>
      <c r="N6" s="54"/>
      <c r="O6" s="54"/>
      <c r="P6" s="54"/>
      <c r="Q6" s="54"/>
      <c r="R6" s="54"/>
      <c r="S6" s="54"/>
      <c r="T6" s="54"/>
      <c r="U6" s="54"/>
      <c r="V6" s="54"/>
      <c r="W6" s="66"/>
      <c r="X6" s="54"/>
      <c r="Y6" s="66"/>
      <c r="Z6" s="66"/>
      <c r="AA6" s="66"/>
      <c r="AB6" s="66"/>
      <c r="AC6" s="67"/>
      <c r="AD6" s="66"/>
      <c r="AE6" s="54"/>
      <c r="AF6" s="54"/>
      <c r="AG6" s="54"/>
      <c r="AH6" s="54"/>
      <c r="AI6" s="54"/>
      <c r="AJ6" s="66"/>
      <c r="AK6" s="66"/>
      <c r="AL6" s="66"/>
      <c r="AM6" s="66"/>
      <c r="AN6" s="66"/>
      <c r="AO6" s="66"/>
      <c r="AP6" s="66"/>
      <c r="AQ6" s="66"/>
      <c r="AR6" s="66"/>
      <c r="AS6" s="66"/>
      <c r="AT6" s="66"/>
      <c r="AU6" s="68"/>
      <c r="AV6" s="554"/>
      <c r="AW6" s="554"/>
      <c r="AX6" s="554"/>
    </row>
    <row r="7" spans="1:50">
      <c r="A7" s="363" t="s">
        <v>90</v>
      </c>
      <c r="B7" s="480" t="s">
        <v>460</v>
      </c>
      <c r="C7" s="635">
        <v>373.89763779527561</v>
      </c>
      <c r="D7" s="18"/>
      <c r="E7" s="277">
        <v>29.7</v>
      </c>
      <c r="F7" s="277">
        <v>0</v>
      </c>
      <c r="G7" s="305">
        <v>2106.1799999999998</v>
      </c>
      <c r="H7" s="305">
        <v>87</v>
      </c>
      <c r="I7" s="277">
        <v>0</v>
      </c>
      <c r="J7" s="305">
        <v>78.709999999999994</v>
      </c>
      <c r="K7" s="277">
        <v>40</v>
      </c>
      <c r="L7" s="305">
        <v>115</v>
      </c>
      <c r="M7" s="305">
        <v>991.24</v>
      </c>
      <c r="N7" s="305">
        <v>141.94999999999999</v>
      </c>
      <c r="O7" s="69"/>
      <c r="P7" s="489">
        <f xml:space="preserve"> E7+F7+G7+H7</f>
        <v>2222.8799999999997</v>
      </c>
      <c r="Q7" s="489">
        <f>SUM(E7:G7,I7:N7)</f>
        <v>3502.7799999999997</v>
      </c>
      <c r="R7" s="597"/>
      <c r="S7" s="489" t="e">
        <f>P7+IF($B$2="mil",1,0.0254)*C7</f>
        <v>#REF!</v>
      </c>
      <c r="T7" s="489" t="e">
        <f>Q7+IF($B$2="mil",1,0.0254)*C7</f>
        <v>#REF!</v>
      </c>
      <c r="U7" s="597"/>
      <c r="V7" s="489" t="e">
        <f>MAX(V$5:W$5)+IF($B$2="mil",1,0.0254)*DDR2Specs!$B$2</f>
        <v>#REF!</v>
      </c>
      <c r="W7" s="489" t="e">
        <f>MIN(V$5:W$5)+IF($B$2="mil",1,0.0254)*DDR2Specs!$C$2</f>
        <v>#REF!</v>
      </c>
      <c r="X7" s="597"/>
      <c r="Y7" s="598" t="e">
        <f t="shared" ref="Y7:Y31" si="0">IF($S7&lt;$V7,$V7-$S7,"Pass")</f>
        <v>#REF!</v>
      </c>
      <c r="Z7" s="495" t="e">
        <f>IF($S7&gt;$W7,$S7-$W7,"Pass")</f>
        <v>#REF!</v>
      </c>
      <c r="AA7" s="21"/>
      <c r="AB7" s="489" t="e">
        <f>MAX(AB$5:AC$5)+IF($B$2="mil",1,0.0254)*DDR2Specs!$E$2</f>
        <v>#REF!</v>
      </c>
      <c r="AC7" s="489" t="e">
        <f>MIN(AB$5:AC$5)+IF($B$2="mil",1,0.0254)*DDR2Specs!$F$2</f>
        <v>#REF!</v>
      </c>
      <c r="AD7" s="21"/>
      <c r="AE7" s="598" t="e">
        <f>IF($T7&lt;$AB7,$AB7-$T7,"Pass")</f>
        <v>#REF!</v>
      </c>
      <c r="AF7" s="495" t="e">
        <f>IF($T7&gt;$AC7,$T7-$AC7,"Pass")</f>
        <v>#REF!</v>
      </c>
      <c r="AG7" s="495" t="e">
        <f>IF((ABS($S7-$S8)&lt;=IF($B$2="mil",1,0.0254)*5),"Pass",ABS($S7-$S8))</f>
        <v>#REF!</v>
      </c>
      <c r="AH7" s="495" t="e">
        <f>IF((ABS($T7-$T8)&lt;=IF($B$2="mil",1,0.0254)*5),"Pass",ABS($T7-$T8))</f>
        <v>#REF!</v>
      </c>
      <c r="AI7" s="495" t="e">
        <f>IF($E7&lt;=IF($B$2="mil",1,0.0254)*50,"Pass",IF($B$2="mil",1,0.0254)*50-$E7)</f>
        <v>#REF!</v>
      </c>
      <c r="AJ7" s="495" t="e">
        <f>IF($F7&lt;=IF($B$2="mil",1,0.0254)*500,"Pass",IF($B$2="mil",1,0.0254)*500-$F7)</f>
        <v>#REF!</v>
      </c>
      <c r="AK7" s="495" t="e">
        <f>IF($H7&lt;=IF($B$2="mil",1,0.0254)*250,"Pass",IF($B$2="mil",1,0.0254)*250-$H7)</f>
        <v>#REF!</v>
      </c>
      <c r="AL7" s="495" t="e">
        <f ca="1">CheckLength(IF($B$2="mil",1,0.0254)*1125, IF($B$2="mil",1,0.0254)*125-J7, 0, I7,J7,0)</f>
        <v>#NAME?</v>
      </c>
      <c r="AM7" s="495" t="e">
        <f>IF($J7&lt;=IF($B$2="mil",1,0.0254)*125,"Pass",IF($B$2="mil",1,0.0254)*125-$J7)</f>
        <v>#REF!</v>
      </c>
      <c r="AN7" s="495" t="e">
        <f>IF($L7&lt;=IF($B$2="mil",1,0.0254)*125,"Pass",IF($B$2="mil",1,0.0254)*125-$L7)</f>
        <v>#REF!</v>
      </c>
      <c r="AO7" s="495" t="e">
        <f ca="1">CheckLength(IF($B$2="mil",1,0.0254)*1525, 125-L7, IF($B$2="mil",1,0.0254)*150-N7, M7,L7,N7)</f>
        <v>#NAME?</v>
      </c>
      <c r="AP7" s="495" t="e">
        <f ca="1">CheckLength2(IF($B$2="mil",1,0.0254)*1400,M7,N7,0)</f>
        <v>#NAME?</v>
      </c>
      <c r="AQ7" s="495" t="e">
        <f>IF(AND($P7&gt;=IF($B$2="mil",1,0.0254)*500, $P7&lt;=IF($B$2="mil",1,0.0254)*4000),"Pass",IF($B$2="mil",1,0.0254)*4000-$P7)</f>
        <v>#REF!</v>
      </c>
      <c r="AR7" s="495" t="e">
        <f>IF(AND($S7&gt;=IF($B$2="mil",1,0.0254)*500, $S7&lt;=IF($B$2="mil",1,0.0254)*4500),"Pass",IF($B$2="mil",1,0.0254)*4500-$S7)</f>
        <v>#REF!</v>
      </c>
      <c r="AS7" s="495" t="e">
        <f>IF(AND($Q7&gt;=IF($B$2="mil",1,0.0254)*500, $Q7&lt;=IF($B$2="mil",1,0.0254)*5500),"Pass",IF($B$2="mil",1,0.0254)*5500-$Q7)</f>
        <v>#REF!</v>
      </c>
      <c r="AT7" s="495" t="e">
        <f>IF(AND($T7&gt;=IF($B$2="mil",1,0.0254)*500, $T7&lt;=IF($B$2="mil",1,0.0254)*6000),"Pass",IF($B$2="mil",1,0.0254)*6000-$T7)</f>
        <v>#REF!</v>
      </c>
      <c r="AU7" s="21"/>
      <c r="AV7" s="554" t="e">
        <f ca="1">IF(AND(AI7="Pass",AR7="Pass",AK7="Pass",AJ7="Pass",AQ7="Pass",Y7="Pass",Z7="Pass",AP7="Pass",AO7="Pass",AN7="Pass",AM7="Pass",AL7="Pass",AG7="Pass",AH7="Pass",AS7="Pass",AT7="Pass",AE7="Pass",AF7="Pass"),"Pass","Fail")</f>
        <v>#REF!</v>
      </c>
      <c r="AW7" s="554" t="e">
        <f ca="1">IF(AND(AV7="Pass",AV8="Pass",AV9="Pass",AV10="Pass",AV14="Pass",AV15="Pass",AV16="Pass",AV17="Pass",AV21="Pass",AV22="Pass",AV23="Pass",AV24="Pass",AV28="Pass",AV29="Pass",AV30="Pass",AV31="Pass"),"Pass","Fail")</f>
        <v>#REF!</v>
      </c>
      <c r="AX7" s="554"/>
    </row>
    <row r="8" spans="1:50">
      <c r="A8" s="363" t="s">
        <v>91</v>
      </c>
      <c r="B8" s="480" t="s">
        <v>467</v>
      </c>
      <c r="C8" s="635">
        <v>373.93700787401571</v>
      </c>
      <c r="D8" s="18"/>
      <c r="E8" s="277">
        <v>29.7</v>
      </c>
      <c r="F8" s="277">
        <v>0</v>
      </c>
      <c r="G8" s="305">
        <v>2113.23</v>
      </c>
      <c r="H8" s="305">
        <v>80.430000000000007</v>
      </c>
      <c r="I8" s="277">
        <v>0</v>
      </c>
      <c r="J8" s="305">
        <v>65.78</v>
      </c>
      <c r="K8" s="277">
        <v>40</v>
      </c>
      <c r="L8" s="305">
        <v>120</v>
      </c>
      <c r="M8" s="305">
        <v>988.24</v>
      </c>
      <c r="N8" s="305">
        <v>145.30000000000001</v>
      </c>
      <c r="O8" s="69"/>
      <c r="P8" s="489">
        <f t="shared" ref="P8:P31" si="1" xml:space="preserve"> E8+F8+G8+H8</f>
        <v>2223.3599999999997</v>
      </c>
      <c r="Q8" s="489">
        <f t="shared" ref="Q8:Q31" si="2">SUM(E8:G8,I8:N8)</f>
        <v>3502.25</v>
      </c>
      <c r="R8" s="597"/>
      <c r="S8" s="489" t="e">
        <f>P8+IF($B$2="mil",1,0.0254)*C8</f>
        <v>#REF!</v>
      </c>
      <c r="T8" s="489" t="e">
        <f>Q8+IF($B$2="mil",1,0.0254)*C8</f>
        <v>#REF!</v>
      </c>
      <c r="U8" s="597"/>
      <c r="V8" s="489" t="e">
        <f>MAX(V$5:W$5)+IF($B$2="mil",1,0.0254)*DDR2Specs!$B$2</f>
        <v>#REF!</v>
      </c>
      <c r="W8" s="489" t="e">
        <f>MIN(V$5:W$5)+IF($B$2="mil",1,0.0254)*DDR2Specs!$C$2</f>
        <v>#REF!</v>
      </c>
      <c r="X8" s="597"/>
      <c r="Y8" s="598" t="e">
        <f t="shared" si="0"/>
        <v>#REF!</v>
      </c>
      <c r="Z8" s="495" t="e">
        <f t="shared" ref="Z8:Z31" si="3">IF($S8&gt;$W8,$S8-$W8,"Pass")</f>
        <v>#REF!</v>
      </c>
      <c r="AA8" s="21"/>
      <c r="AB8" s="489" t="e">
        <f>MAX(AB$5:AC$5)+IF($B$2="mil",1,0.0254)*DDR2Specs!$E$2</f>
        <v>#REF!</v>
      </c>
      <c r="AC8" s="489" t="e">
        <f>MIN(AB$5:AC$5)+IF($B$2="mil",1,0.0254)*DDR2Specs!$F$2</f>
        <v>#REF!</v>
      </c>
      <c r="AD8" s="21"/>
      <c r="AE8" s="598" t="e">
        <f t="shared" ref="AE8:AE31" si="4">IF($T8&lt;$AB8,$AB8-$T8,"Pass")</f>
        <v>#REF!</v>
      </c>
      <c r="AF8" s="495" t="e">
        <f t="shared" ref="AF8:AF31" si="5">IF($T8&gt;$AC8,$T8-$AC8,"Pass")</f>
        <v>#REF!</v>
      </c>
      <c r="AG8" s="495" t="e">
        <f>IF((ABS($S8-$S7)&lt;=IF($B$2="mil",1,0.0254)*5),"Pass",ABS($S8-$S7))</f>
        <v>#REF!</v>
      </c>
      <c r="AH8" s="495" t="e">
        <f>IF((ABS($T8-$T7)&lt;=IF($B$2="mil",1,0.0254)*5),"Pass",ABS($T8-$T7))</f>
        <v>#REF!</v>
      </c>
      <c r="AI8" s="495" t="e">
        <f>IF($E8&lt;=IF($B$2="mil",1,0.0254)*50,"Pass",IF($B$2="mil",1,0.0254)*50-$E8)</f>
        <v>#REF!</v>
      </c>
      <c r="AJ8" s="495" t="e">
        <f t="shared" ref="AJ8:AJ31" si="6">IF($F8&lt;=IF($B$2="mil",1,0.0254)*500,"Pass",IF($B$2="mil",1,0.0254)*500-$F8)</f>
        <v>#REF!</v>
      </c>
      <c r="AK8" s="495" t="e">
        <f>IF($H8&lt;=IF($B$2="mil",1,0.0254)*250,"Pass",IF($B$2="mil",1,0.0254)*250-$H8)</f>
        <v>#REF!</v>
      </c>
      <c r="AL8" s="495" t="e">
        <f ca="1">CheckLength(IF($B$2="mil",1,0.0254)*1125, IF($B$2="mil",1,0.0254)*125-J8, 0, I8,J8,0)</f>
        <v>#NAME?</v>
      </c>
      <c r="AM8" s="495" t="e">
        <f t="shared" ref="AM8:AM31" si="7">IF($J8&lt;=IF($B$2="mil",1,0.0254)*125,"Pass",IF($B$2="mil",1,0.0254)*125-$J8)</f>
        <v>#REF!</v>
      </c>
      <c r="AN8" s="495" t="e">
        <f t="shared" ref="AN8:AN31" si="8">IF($L8&lt;=IF($B$2="mil",1,0.0254)*125,"Pass",IF($B$2="mil",1,0.0254)*125-$L8)</f>
        <v>#REF!</v>
      </c>
      <c r="AO8" s="495" t="e">
        <f ca="1">CheckLength(IF($B$2="mil",1,0.0254)*1525, 125-L8, IF($B$2="mil",1,0.0254)*150-N8, M8,L8,N8)</f>
        <v>#NAME?</v>
      </c>
      <c r="AP8" s="495" t="e">
        <f ca="1">CheckLength2(IF($B$2="mil",1,0.0254)*1400,M8,N8,0)</f>
        <v>#NAME?</v>
      </c>
      <c r="AQ8" s="495" t="e">
        <f>IF(AND($P8&gt;=IF($B$2="mil",1,0.0254)*500, $P8&lt;=IF($B$2="mil",1,0.0254)*4000),"Pass",IF($B$2="mil",1,0.0254)*4000-$P8)</f>
        <v>#REF!</v>
      </c>
      <c r="AR8" s="495" t="e">
        <f>IF(AND($S8&gt;=IF($B$2="mil",1,0.0254)*500, $S8&lt;=IF($B$2="mil",1,0.0254)*4500),"Pass",IF($B$2="mil",1,0.0254)*4500-$S8)</f>
        <v>#REF!</v>
      </c>
      <c r="AS8" s="495" t="e">
        <f>IF(AND($Q8&gt;=IF($B$2="mil",1,0.0254)*500, $Q8&lt;=IF($B$2="mil",1,0.0254)*5500),"Pass",IF($B$2="mil",1,0.0254)*5500-$Q8)</f>
        <v>#REF!</v>
      </c>
      <c r="AT8" s="495" t="e">
        <f>IF(AND($T8&gt;=IF($B$2="mil",1,0.0254)*500, $T8&lt;=IF($B$2="mil",1,0.0254)*6000),"Pass",IF($B$2="mil",1,0.0254)*6000-$T8)</f>
        <v>#REF!</v>
      </c>
      <c r="AU8" s="21"/>
      <c r="AV8" s="554" t="e">
        <f t="shared" ref="AV8:AV31" ca="1" si="9">IF(AND(AI8="Pass",AR8="Pass",AK8="Pass",AJ8="Pass",AQ8="Pass",Y8="Pass",Z8="Pass",AP8="Pass",AO8="Pass",AN8="Pass",AM8="Pass",AL8="Pass",AG8="Pass",AH8="Pass",AS8="Pass",AT8="Pass",AE8="Pass",AF8="Pass"),"Pass","Fail")</f>
        <v>#REF!</v>
      </c>
      <c r="AW8" s="554"/>
      <c r="AX8" s="554"/>
    </row>
    <row r="9" spans="1:50">
      <c r="A9" s="363" t="s">
        <v>92</v>
      </c>
      <c r="B9" s="480" t="s">
        <v>461</v>
      </c>
      <c r="C9" s="635">
        <v>768.42519685039372</v>
      </c>
      <c r="D9" s="18"/>
      <c r="E9" s="277">
        <v>29.7</v>
      </c>
      <c r="F9" s="277">
        <v>0</v>
      </c>
      <c r="G9" s="305">
        <v>1822.95</v>
      </c>
      <c r="H9" s="305">
        <v>79.39</v>
      </c>
      <c r="I9" s="277">
        <v>0</v>
      </c>
      <c r="J9" s="305">
        <v>57.5</v>
      </c>
      <c r="K9" s="277">
        <v>40</v>
      </c>
      <c r="L9" s="305">
        <v>120</v>
      </c>
      <c r="M9" s="305">
        <v>1058.08</v>
      </c>
      <c r="N9" s="305">
        <v>76.05</v>
      </c>
      <c r="O9" s="69"/>
      <c r="P9" s="489">
        <f t="shared" si="1"/>
        <v>1932.0400000000002</v>
      </c>
      <c r="Q9" s="489">
        <f t="shared" si="2"/>
        <v>3204.28</v>
      </c>
      <c r="R9" s="597"/>
      <c r="S9" s="489" t="e">
        <f>P9+IF($B$2="mil",1,0.0254)*C9</f>
        <v>#REF!</v>
      </c>
      <c r="T9" s="489" t="e">
        <f>Q9+IF($B$2="mil",1,0.0254)*C9</f>
        <v>#REF!</v>
      </c>
      <c r="U9" s="597"/>
      <c r="V9" s="489" t="e">
        <f>MAX(V$5:W$5)+IF($B$2="mil",1,0.0254)*DDR2Specs!$B$2</f>
        <v>#REF!</v>
      </c>
      <c r="W9" s="489" t="e">
        <f>MIN(V$5:W$5)+IF($B$2="mil",1,0.0254)*DDR2Specs!$C$2</f>
        <v>#REF!</v>
      </c>
      <c r="X9" s="597"/>
      <c r="Y9" s="598" t="e">
        <f t="shared" si="0"/>
        <v>#REF!</v>
      </c>
      <c r="Z9" s="495" t="e">
        <f t="shared" si="3"/>
        <v>#REF!</v>
      </c>
      <c r="AA9" s="21"/>
      <c r="AB9" s="489" t="e">
        <f>MAX(AB$5:AC$5)+IF($B$2="mil",1,0.0254)*DDR2Specs!$E$2</f>
        <v>#REF!</v>
      </c>
      <c r="AC9" s="489" t="e">
        <f>MIN(AB$5:AC$5)+IF($B$2="mil",1,0.0254)*DDR2Specs!$F$2</f>
        <v>#REF!</v>
      </c>
      <c r="AD9" s="21"/>
      <c r="AE9" s="598" t="e">
        <f t="shared" si="4"/>
        <v>#REF!</v>
      </c>
      <c r="AF9" s="495" t="e">
        <f t="shared" si="5"/>
        <v>#REF!</v>
      </c>
      <c r="AG9" s="495" t="e">
        <f>IF((ABS($S9-$S10)&lt;=IF($B$2="mil",1,0.0254)*5),"Pass",ABS($S9-$S10))</f>
        <v>#REF!</v>
      </c>
      <c r="AH9" s="495" t="e">
        <f>IF((ABS($T9-$T10)&lt;=IF($B$2="mil",1,0.0254)*5),"Pass",ABS($T9-$T10))</f>
        <v>#REF!</v>
      </c>
      <c r="AI9" s="495" t="e">
        <f>IF($E9&lt;=IF($B$2="mil",1,0.0254)*50,"Pass",IF($B$2="mil",1,0.0254)*50-$E9)</f>
        <v>#REF!</v>
      </c>
      <c r="AJ9" s="495" t="e">
        <f t="shared" si="6"/>
        <v>#REF!</v>
      </c>
      <c r="AK9" s="495" t="e">
        <f>IF($H9&lt;=IF($B$2="mil",1,0.0254)*250,"Pass",IF($B$2="mil",1,0.0254)*250-$H9)</f>
        <v>#REF!</v>
      </c>
      <c r="AL9" s="495" t="e">
        <f ca="1">CheckLength(IF($B$2="mil",1,0.0254)*1125, IF($B$2="mil",1,0.0254)*125-J9, 0, I9,J9,0)</f>
        <v>#NAME?</v>
      </c>
      <c r="AM9" s="495" t="e">
        <f t="shared" si="7"/>
        <v>#REF!</v>
      </c>
      <c r="AN9" s="495" t="e">
        <f t="shared" si="8"/>
        <v>#REF!</v>
      </c>
      <c r="AO9" s="495" t="e">
        <f ca="1">CheckLength(IF($B$2="mil",1,0.0254)*1525, 125-L9, IF($B$2="mil",1,0.0254)*150-N9, M9,L9,N9)</f>
        <v>#NAME?</v>
      </c>
      <c r="AP9" s="495" t="e">
        <f ca="1">CheckLength2(IF($B$2="mil",1,0.0254)*1400,M9,N9,0)</f>
        <v>#NAME?</v>
      </c>
      <c r="AQ9" s="495" t="e">
        <f>IF(AND($P9&gt;=IF($B$2="mil",1,0.0254)*500, $P9&lt;=IF($B$2="mil",1,0.0254)*4000),"Pass",IF($B$2="mil",1,0.0254)*4000-$P9)</f>
        <v>#REF!</v>
      </c>
      <c r="AR9" s="495" t="e">
        <f>IF(AND($S9&gt;=IF($B$2="mil",1,0.0254)*500, $S9&lt;=IF($B$2="mil",1,0.0254)*4500),"Pass",IF($B$2="mil",1,0.0254)*4500-$S9)</f>
        <v>#REF!</v>
      </c>
      <c r="AS9" s="495" t="e">
        <f>IF(AND($Q9&gt;=IF($B$2="mil",1,0.0254)*500, $Q9&lt;=IF($B$2="mil",1,0.0254)*5500),"Pass",IF($B$2="mil",1,0.0254)*5500-$Q9)</f>
        <v>#REF!</v>
      </c>
      <c r="AT9" s="495" t="e">
        <f>IF(AND($T9&gt;=IF($B$2="mil",1,0.0254)*500, $T9&lt;=IF($B$2="mil",1,0.0254)*6000),"Pass",IF($B$2="mil",1,0.0254)*6000-$T9)</f>
        <v>#REF!</v>
      </c>
      <c r="AU9" s="21"/>
      <c r="AV9" s="554" t="e">
        <f t="shared" ca="1" si="9"/>
        <v>#REF!</v>
      </c>
      <c r="AW9" s="554"/>
      <c r="AX9" s="554"/>
    </row>
    <row r="10" spans="1:50">
      <c r="A10" s="363" t="s">
        <v>93</v>
      </c>
      <c r="B10" s="480" t="s">
        <v>311</v>
      </c>
      <c r="C10" s="635">
        <v>768.46456692913387</v>
      </c>
      <c r="D10" s="18"/>
      <c r="E10" s="277">
        <v>29.7</v>
      </c>
      <c r="F10" s="277">
        <v>0</v>
      </c>
      <c r="G10" s="305">
        <v>1820.82</v>
      </c>
      <c r="H10" s="305">
        <v>81.5</v>
      </c>
      <c r="I10" s="277">
        <v>0</v>
      </c>
      <c r="J10" s="305">
        <v>61.64</v>
      </c>
      <c r="K10" s="277">
        <v>40</v>
      </c>
      <c r="L10" s="305">
        <v>120</v>
      </c>
      <c r="M10" s="305">
        <v>1057.48</v>
      </c>
      <c r="N10" s="305">
        <v>79.16</v>
      </c>
      <c r="O10" s="69"/>
      <c r="P10" s="489">
        <f t="shared" si="1"/>
        <v>1932.02</v>
      </c>
      <c r="Q10" s="489">
        <f>SUM(E10:G10,I10:N10)</f>
        <v>3208.7999999999997</v>
      </c>
      <c r="R10" s="597"/>
      <c r="S10" s="489" t="e">
        <f>P10+IF($B$2="mil",1,0.0254)*C10</f>
        <v>#REF!</v>
      </c>
      <c r="T10" s="489" t="e">
        <f>Q10+IF($B$2="mil",1,0.0254)*C10</f>
        <v>#REF!</v>
      </c>
      <c r="U10" s="597"/>
      <c r="V10" s="489" t="e">
        <f>MAX(V$5:W$5)+IF($B$2="mil",1,0.0254)*DDR2Specs!$B$2</f>
        <v>#REF!</v>
      </c>
      <c r="W10" s="489" t="e">
        <f>MIN(V$5:W$5)+IF($B$2="mil",1,0.0254)*DDR2Specs!$C$2</f>
        <v>#REF!</v>
      </c>
      <c r="X10" s="597"/>
      <c r="Y10" s="598" t="e">
        <f t="shared" si="0"/>
        <v>#REF!</v>
      </c>
      <c r="Z10" s="495" t="e">
        <f t="shared" si="3"/>
        <v>#REF!</v>
      </c>
      <c r="AA10" s="21"/>
      <c r="AB10" s="489" t="e">
        <f>MAX(AB$5:AC$5)+IF($B$2="mil",1,0.0254)*DDR2Specs!$E$2</f>
        <v>#REF!</v>
      </c>
      <c r="AC10" s="489" t="e">
        <f>MIN(AB$5:AC$5)+IF($B$2="mil",1,0.0254)*DDR2Specs!$F$2</f>
        <v>#REF!</v>
      </c>
      <c r="AD10" s="21"/>
      <c r="AE10" s="598" t="e">
        <f t="shared" si="4"/>
        <v>#REF!</v>
      </c>
      <c r="AF10" s="495" t="e">
        <f t="shared" si="5"/>
        <v>#REF!</v>
      </c>
      <c r="AG10" s="495" t="e">
        <f>IF((ABS($S10-$S9)&lt;=IF($B$2="mil",1,0.0254)*5),"Pass",ABS($S10-$S9))</f>
        <v>#REF!</v>
      </c>
      <c r="AH10" s="495" t="e">
        <f>IF((ABS($T10-$T9)&lt;=IF($B$2="mil",1,0.0254)*5),"Pass",ABS($T10-$T9))</f>
        <v>#REF!</v>
      </c>
      <c r="AI10" s="495" t="e">
        <f>IF($E10&lt;=IF($B$2="mil",1,0.0254)*50,"Pass",IF($B$2="mil",1,0.0254)*50-$E10)</f>
        <v>#REF!</v>
      </c>
      <c r="AJ10" s="495" t="e">
        <f t="shared" si="6"/>
        <v>#REF!</v>
      </c>
      <c r="AK10" s="495" t="e">
        <f>IF($H10&lt;=IF($B$2="mil",1,0.0254)*250,"Pass",IF($B$2="mil",1,0.0254)*250-$H10)</f>
        <v>#REF!</v>
      </c>
      <c r="AL10" s="495" t="e">
        <f ca="1">CheckLength(IF($B$2="mil",1,0.0254)*1125, IF($B$2="mil",1,0.0254)*125-J10, 0, I10,J10,0)</f>
        <v>#NAME?</v>
      </c>
      <c r="AM10" s="495" t="e">
        <f t="shared" si="7"/>
        <v>#REF!</v>
      </c>
      <c r="AN10" s="495" t="e">
        <f t="shared" si="8"/>
        <v>#REF!</v>
      </c>
      <c r="AO10" s="495" t="e">
        <f ca="1">CheckLength(IF($B$2="mil",1,0.0254)*1525, 125-L10, IF($B$2="mil",1,0.0254)*150-N10, M10,L10,N10)</f>
        <v>#NAME?</v>
      </c>
      <c r="AP10" s="495" t="e">
        <f ca="1">CheckLength2(IF($B$2="mil",1,0.0254)*1400,M10,N10,0)</f>
        <v>#NAME?</v>
      </c>
      <c r="AQ10" s="495" t="e">
        <f>IF(AND($P10&gt;=IF($B$2="mil",1,0.0254)*500, $P10&lt;=IF($B$2="mil",1,0.0254)*4000),"Pass",IF($B$2="mil",1,0.0254)*4000-$P10)</f>
        <v>#REF!</v>
      </c>
      <c r="AR10" s="495" t="e">
        <f>IF(AND($S10&gt;=IF($B$2="mil",1,0.0254)*500, $S10&lt;=IF($B$2="mil",1,0.0254)*4500),"Pass",IF($B$2="mil",1,0.0254)*4500-$S10)</f>
        <v>#REF!</v>
      </c>
      <c r="AS10" s="495" t="e">
        <f>IF(AND($Q10&gt;=IF($B$2="mil",1,0.0254)*500, $Q10&lt;=IF($B$2="mil",1,0.0254)*5500),"Pass",IF($B$2="mil",1,0.0254)*5500-$Q10)</f>
        <v>#REF!</v>
      </c>
      <c r="AT10" s="495" t="e">
        <f>IF(AND($T10&gt;=IF($B$2="mil",1,0.0254)*500, $T10&lt;=IF($B$2="mil",1,0.0254)*6000),"Pass",IF($B$2="mil",1,0.0254)*6000-$T10)</f>
        <v>#REF!</v>
      </c>
      <c r="AU10" s="21"/>
      <c r="AV10" s="554" t="e">
        <f t="shared" ca="1" si="9"/>
        <v>#REF!</v>
      </c>
      <c r="AW10" s="554"/>
      <c r="AX10" s="554"/>
    </row>
    <row r="11" spans="1:50">
      <c r="A11" s="109" t="s">
        <v>249</v>
      </c>
      <c r="B11" s="110"/>
      <c r="C11" s="638"/>
      <c r="D11" s="10"/>
      <c r="E11" s="288"/>
      <c r="F11" s="288"/>
      <c r="G11" s="288"/>
      <c r="H11" s="288"/>
      <c r="I11" s="288"/>
      <c r="J11" s="292"/>
      <c r="K11" s="10"/>
      <c r="L11" s="292"/>
      <c r="M11" s="292"/>
      <c r="N11" s="292"/>
      <c r="O11" s="10"/>
      <c r="P11" s="9"/>
      <c r="Q11" s="9"/>
      <c r="R11" s="10"/>
      <c r="S11" s="51"/>
      <c r="T11" s="51"/>
      <c r="U11" s="10"/>
      <c r="V11" s="10"/>
      <c r="W11" s="10"/>
      <c r="X11" s="10"/>
      <c r="Y11" s="10"/>
      <c r="Z11" s="10"/>
      <c r="AA11" s="10"/>
      <c r="AB11" s="10"/>
      <c r="AC11" s="15"/>
      <c r="AD11" s="10"/>
      <c r="AE11" s="15"/>
      <c r="AF11" s="15"/>
      <c r="AG11" s="15"/>
      <c r="AH11" s="15"/>
      <c r="AI11" s="15"/>
      <c r="AJ11" s="15"/>
      <c r="AK11" s="15"/>
      <c r="AL11" s="10"/>
      <c r="AM11" s="10"/>
      <c r="AN11" s="10"/>
      <c r="AO11" s="10"/>
      <c r="AP11" s="10"/>
      <c r="AQ11" s="10"/>
      <c r="AR11" s="10"/>
      <c r="AS11" s="10"/>
      <c r="AT11" s="10"/>
      <c r="AU11" s="12"/>
      <c r="AV11" s="554"/>
      <c r="AW11" s="554"/>
      <c r="AX11" s="554"/>
    </row>
    <row r="12" spans="1:50">
      <c r="A12" s="362" t="s">
        <v>24</v>
      </c>
      <c r="B12" s="125"/>
      <c r="C12" s="650"/>
      <c r="D12" s="53"/>
      <c r="E12" s="289"/>
      <c r="F12" s="289"/>
      <c r="G12" s="289"/>
      <c r="H12" s="289"/>
      <c r="I12" s="289"/>
      <c r="J12" s="293"/>
      <c r="K12" s="52"/>
      <c r="L12" s="293"/>
      <c r="M12" s="293"/>
      <c r="N12" s="293"/>
      <c r="O12" s="52"/>
      <c r="P12" s="81"/>
      <c r="Q12" s="81"/>
      <c r="R12" s="53"/>
      <c r="S12" s="65"/>
      <c r="T12" s="65"/>
      <c r="U12" s="540"/>
      <c r="V12" s="168"/>
      <c r="W12" s="541"/>
      <c r="X12" s="53"/>
      <c r="Y12" s="65"/>
      <c r="Z12" s="65"/>
      <c r="AA12" s="540" t="s">
        <v>227</v>
      </c>
      <c r="AB12" s="168" t="e">
        <f>MIN('DDR2 Clocks - 2L'!$R$5:$R$6)</f>
        <v>#REF!</v>
      </c>
      <c r="AC12" s="541" t="e">
        <f>MAX('DDR2 Clocks - 2L'!$R$5:$R$6)</f>
        <v>#REF!</v>
      </c>
      <c r="AD12" s="65"/>
      <c r="AE12" s="65"/>
      <c r="AF12" s="65"/>
      <c r="AG12" s="65"/>
      <c r="AH12" s="65"/>
      <c r="AI12" s="65"/>
      <c r="AJ12" s="52"/>
      <c r="AK12" s="52"/>
      <c r="AL12" s="52"/>
      <c r="AM12" s="52"/>
      <c r="AN12" s="52"/>
      <c r="AO12" s="52"/>
      <c r="AP12" s="52"/>
      <c r="AQ12" s="52"/>
      <c r="AR12" s="52"/>
      <c r="AS12" s="52"/>
      <c r="AT12" s="52"/>
      <c r="AU12" s="58"/>
      <c r="AV12" s="554"/>
      <c r="AW12" s="554"/>
      <c r="AX12" s="554"/>
    </row>
    <row r="13" spans="1:50">
      <c r="A13" s="109" t="s">
        <v>250</v>
      </c>
      <c r="B13" s="367"/>
      <c r="C13" s="651"/>
      <c r="D13" s="62"/>
      <c r="E13" s="290"/>
      <c r="F13" s="290"/>
      <c r="G13" s="290"/>
      <c r="H13" s="290"/>
      <c r="I13" s="290"/>
      <c r="J13" s="294"/>
      <c r="K13" s="54"/>
      <c r="L13" s="294"/>
      <c r="M13" s="294"/>
      <c r="N13" s="294"/>
      <c r="O13" s="54"/>
      <c r="P13" s="54"/>
      <c r="Q13" s="54"/>
      <c r="R13" s="54"/>
      <c r="S13" s="54"/>
      <c r="T13" s="54"/>
      <c r="U13" s="54"/>
      <c r="V13" s="54"/>
      <c r="W13" s="66"/>
      <c r="X13" s="54"/>
      <c r="Y13" s="66"/>
      <c r="Z13" s="66"/>
      <c r="AA13" s="66"/>
      <c r="AB13" s="66"/>
      <c r="AC13" s="67"/>
      <c r="AD13" s="66"/>
      <c r="AE13" s="54"/>
      <c r="AF13" s="54"/>
      <c r="AG13" s="54"/>
      <c r="AH13" s="54"/>
      <c r="AI13" s="54"/>
      <c r="AJ13" s="66"/>
      <c r="AK13" s="66"/>
      <c r="AL13" s="66"/>
      <c r="AM13" s="66"/>
      <c r="AN13" s="66"/>
      <c r="AO13" s="66"/>
      <c r="AP13" s="66"/>
      <c r="AQ13" s="66"/>
      <c r="AR13" s="66"/>
      <c r="AS13" s="66"/>
      <c r="AT13" s="66"/>
      <c r="AU13" s="68"/>
      <c r="AV13" s="554"/>
      <c r="AW13" s="554"/>
      <c r="AX13" s="554"/>
    </row>
    <row r="14" spans="1:50">
      <c r="A14" s="363" t="s">
        <v>94</v>
      </c>
      <c r="B14" s="482" t="s">
        <v>314</v>
      </c>
      <c r="C14" s="635">
        <v>606.61417322834643</v>
      </c>
      <c r="D14" s="18"/>
      <c r="E14" s="277">
        <v>29.7</v>
      </c>
      <c r="F14" s="277">
        <v>0</v>
      </c>
      <c r="G14" s="305">
        <v>2176.9299999999998</v>
      </c>
      <c r="H14" s="305">
        <v>78</v>
      </c>
      <c r="I14" s="277">
        <v>0</v>
      </c>
      <c r="J14" s="305">
        <v>54.57</v>
      </c>
      <c r="K14" s="277">
        <v>40</v>
      </c>
      <c r="L14" s="305">
        <v>77.83</v>
      </c>
      <c r="M14" s="305">
        <v>964.76</v>
      </c>
      <c r="N14" s="305">
        <v>139.79</v>
      </c>
      <c r="O14" s="69"/>
      <c r="P14" s="489">
        <f t="shared" si="1"/>
        <v>2284.6299999999997</v>
      </c>
      <c r="Q14" s="489">
        <f t="shared" si="2"/>
        <v>3483.58</v>
      </c>
      <c r="R14" s="597"/>
      <c r="S14" s="489" t="e">
        <f>P14+IF($B$2="mil",1,0.0254)*C14</f>
        <v>#REF!</v>
      </c>
      <c r="T14" s="489" t="e">
        <f>Q14+IF($B$2="mil",1,0.0254)*C14</f>
        <v>#REF!</v>
      </c>
      <c r="U14" s="597"/>
      <c r="V14" s="489" t="e">
        <f>MAX(V$5:W$5)+IF($B$2="mil",1,0.0254)*DDR2Specs!$B$2</f>
        <v>#REF!</v>
      </c>
      <c r="W14" s="489" t="e">
        <f>MIN(V$5:W$5)+IF($B$2="mil",1,0.0254)*DDR2Specs!$C$2</f>
        <v>#REF!</v>
      </c>
      <c r="X14" s="597"/>
      <c r="Y14" s="598" t="e">
        <f t="shared" si="0"/>
        <v>#REF!</v>
      </c>
      <c r="Z14" s="495" t="e">
        <f t="shared" si="3"/>
        <v>#REF!</v>
      </c>
      <c r="AA14" s="21"/>
      <c r="AB14" s="489" t="e">
        <f>MAX(AB$12:AC$12)+IF($B$2="mil",1,0.0254)*DDR2Specs!$E$2</f>
        <v>#REF!</v>
      </c>
      <c r="AC14" s="489" t="e">
        <f>MIN(AB$12:AC$12)+IF($B$2="mil",1,0.0254)*DDR2Specs!$F$2</f>
        <v>#REF!</v>
      </c>
      <c r="AD14" s="21"/>
      <c r="AE14" s="598" t="e">
        <f>IF($T14&lt;$AB14,$AB14-$T14,"Pass")</f>
        <v>#REF!</v>
      </c>
      <c r="AF14" s="495" t="e">
        <f t="shared" si="5"/>
        <v>#REF!</v>
      </c>
      <c r="AG14" s="495" t="e">
        <f>IF((ABS($S14-$S15)&lt;=IF($B$2="mil",1,0.0254)*5),"Pass",ABS($S14-$S15))</f>
        <v>#REF!</v>
      </c>
      <c r="AH14" s="495" t="e">
        <f>IF((ABS($T14-$T15)&lt;=IF($B$2="mil",1,0.0254)*5),"Pass",ABS($T14-$T15))</f>
        <v>#REF!</v>
      </c>
      <c r="AI14" s="495" t="e">
        <f>IF($E14&lt;=IF($B$2="mil",1,0.0254)*50,"Pass",IF($B$2="mil",1,0.0254)*50-$E14)</f>
        <v>#REF!</v>
      </c>
      <c r="AJ14" s="495" t="e">
        <f t="shared" si="6"/>
        <v>#REF!</v>
      </c>
      <c r="AK14" s="495" t="e">
        <f>IF($H14&lt;=IF($B$2="mil",1,0.0254)*250,"Pass",IF($B$2="mil",1,0.0254)*250-$H14)</f>
        <v>#REF!</v>
      </c>
      <c r="AL14" s="495" t="e">
        <f ca="1">CheckLength(IF($B$2="mil",1,0.0254)*1125, IF($B$2="mil",1,0.0254)*125-J14, 0, I14,J14,0)</f>
        <v>#NAME?</v>
      </c>
      <c r="AM14" s="495" t="e">
        <f t="shared" si="7"/>
        <v>#REF!</v>
      </c>
      <c r="AN14" s="495" t="e">
        <f t="shared" si="8"/>
        <v>#REF!</v>
      </c>
      <c r="AO14" s="495" t="e">
        <f ca="1">CheckLength(IF($B$2="mil",1,0.0254)*1525, 125-L14, IF($B$2="mil",1,0.0254)*150-N14, M14,L14,N14)</f>
        <v>#NAME?</v>
      </c>
      <c r="AP14" s="495" t="e">
        <f ca="1">CheckLength2(IF($B$2="mil",1,0.0254)*1400,M14,N14,0)</f>
        <v>#NAME?</v>
      </c>
      <c r="AQ14" s="495" t="e">
        <f>IF(AND($P14&gt;=IF($B$2="mil",1,0.0254)*500, $P14&lt;=IF($B$2="mil",1,0.0254)*4000),"Pass",IF($B$2="mil",1,0.0254)*4000-$P14)</f>
        <v>#REF!</v>
      </c>
      <c r="AR14" s="495" t="e">
        <f>IF(AND($S14&gt;=IF($B$2="mil",1,0.0254)*500, $S14&lt;=IF($B$2="mil",1,0.0254)*4500),"Pass",IF($B$2="mil",1,0.0254)*4500-$S14)</f>
        <v>#REF!</v>
      </c>
      <c r="AS14" s="495" t="e">
        <f>IF(AND($Q14&gt;=IF($B$2="mil",1,0.0254)*500, $Q14&lt;=IF($B$2="mil",1,0.0254)*5500),"Pass",IF($B$2="mil",1,0.0254)*5500-$Q14)</f>
        <v>#REF!</v>
      </c>
      <c r="AT14" s="495" t="e">
        <f>IF(AND($T14&gt;=IF($B$2="mil",1,0.0254)*500, $T14&lt;=IF($B$2="mil",1,0.0254)*6000),"Pass",IF($B$2="mil",1,0.0254)*6000-$T14)</f>
        <v>#REF!</v>
      </c>
      <c r="AU14" s="21"/>
      <c r="AV14" s="554" t="e">
        <f t="shared" ca="1" si="9"/>
        <v>#REF!</v>
      </c>
      <c r="AW14" s="554"/>
      <c r="AX14" s="554"/>
    </row>
    <row r="15" spans="1:50">
      <c r="A15" s="363" t="s">
        <v>95</v>
      </c>
      <c r="B15" s="480" t="s">
        <v>468</v>
      </c>
      <c r="C15" s="635">
        <v>606.61417322834643</v>
      </c>
      <c r="D15" s="18"/>
      <c r="E15" s="277">
        <v>29.7</v>
      </c>
      <c r="F15" s="277">
        <v>0</v>
      </c>
      <c r="G15" s="305">
        <v>2183.96</v>
      </c>
      <c r="H15" s="305">
        <v>71.53</v>
      </c>
      <c r="I15" s="277">
        <v>0</v>
      </c>
      <c r="J15" s="305">
        <v>52.5</v>
      </c>
      <c r="K15" s="277">
        <v>40</v>
      </c>
      <c r="L15" s="305">
        <v>74.17</v>
      </c>
      <c r="M15" s="305">
        <v>962.27</v>
      </c>
      <c r="N15" s="305">
        <v>136.16</v>
      </c>
      <c r="O15" s="69"/>
      <c r="P15" s="489">
        <f t="shared" si="1"/>
        <v>2285.19</v>
      </c>
      <c r="Q15" s="489">
        <f t="shared" si="2"/>
        <v>3478.7599999999998</v>
      </c>
      <c r="R15" s="597"/>
      <c r="S15" s="489" t="e">
        <f>P15+IF($B$2="mil",1,0.0254)*C15</f>
        <v>#REF!</v>
      </c>
      <c r="T15" s="489" t="e">
        <f>Q15+IF($B$2="mil",1,0.0254)*C15</f>
        <v>#REF!</v>
      </c>
      <c r="U15" s="597"/>
      <c r="V15" s="489" t="e">
        <f>MAX(V$5:W$5)+IF($B$2="mil",1,0.0254)*DDR2Specs!$B$2</f>
        <v>#REF!</v>
      </c>
      <c r="W15" s="489" t="e">
        <f>MIN(V$5:W$5)+IF($B$2="mil",1,0.0254)*DDR2Specs!$C$2</f>
        <v>#REF!</v>
      </c>
      <c r="X15" s="597"/>
      <c r="Y15" s="598" t="e">
        <f t="shared" si="0"/>
        <v>#REF!</v>
      </c>
      <c r="Z15" s="495" t="e">
        <f t="shared" si="3"/>
        <v>#REF!</v>
      </c>
      <c r="AA15" s="21"/>
      <c r="AB15" s="489" t="e">
        <f>MAX(AB$12:AC$12)+IF($B$2="mil",1,0.0254)*DDR2Specs!$E$2</f>
        <v>#REF!</v>
      </c>
      <c r="AC15" s="489" t="e">
        <f>MIN(AB$12:AC$12)+IF($B$2="mil",1,0.0254)*DDR2Specs!$F$2</f>
        <v>#REF!</v>
      </c>
      <c r="AD15" s="21"/>
      <c r="AE15" s="598" t="e">
        <f t="shared" si="4"/>
        <v>#REF!</v>
      </c>
      <c r="AF15" s="495" t="e">
        <f t="shared" si="5"/>
        <v>#REF!</v>
      </c>
      <c r="AG15" s="495" t="e">
        <f>IF((ABS($S15-$S14)&lt;=IF($B$2="mil",1,0.0254)*5),"Pass",ABS($S15-$S14))</f>
        <v>#REF!</v>
      </c>
      <c r="AH15" s="495" t="e">
        <f>IF((ABS($T15-$T14)&lt;=IF($B$2="mil",1,0.0254)*5),"Pass",ABS($T15-$T14))</f>
        <v>#REF!</v>
      </c>
      <c r="AI15" s="495" t="e">
        <f>IF($E15&lt;=IF($B$2="mil",1,0.0254)*50,"Pass",IF($B$2="mil",1,0.0254)*50-$E15)</f>
        <v>#REF!</v>
      </c>
      <c r="AJ15" s="495" t="e">
        <f t="shared" si="6"/>
        <v>#REF!</v>
      </c>
      <c r="AK15" s="495" t="e">
        <f>IF($H15&lt;=IF($B$2="mil",1,0.0254)*250,"Pass",IF($B$2="mil",1,0.0254)*250-$H15)</f>
        <v>#REF!</v>
      </c>
      <c r="AL15" s="495" t="e">
        <f ca="1">CheckLength(IF($B$2="mil",1,0.0254)*1125, IF($B$2="mil",1,0.0254)*125-J15, 0, I15,J15,0)</f>
        <v>#NAME?</v>
      </c>
      <c r="AM15" s="495" t="e">
        <f t="shared" si="7"/>
        <v>#REF!</v>
      </c>
      <c r="AN15" s="495" t="e">
        <f t="shared" si="8"/>
        <v>#REF!</v>
      </c>
      <c r="AO15" s="495" t="e">
        <f ca="1">CheckLength(IF($B$2="mil",1,0.0254)*1525, 125-L15, IF($B$2="mil",1,0.0254)*150-N15, M15,L15,N15)</f>
        <v>#NAME?</v>
      </c>
      <c r="AP15" s="495" t="e">
        <f ca="1">CheckLength2(IF($B$2="mil",1,0.0254)*1400,M15,N15,0)</f>
        <v>#NAME?</v>
      </c>
      <c r="AQ15" s="495" t="e">
        <f>IF(AND($P15&gt;=IF($B$2="mil",1,0.0254)*500, $P15&lt;=IF($B$2="mil",1,0.0254)*4000),"Pass",IF($B$2="mil",1,0.0254)*4000-$P15)</f>
        <v>#REF!</v>
      </c>
      <c r="AR15" s="495" t="e">
        <f>IF(AND($S15&gt;=IF($B$2="mil",1,0.0254)*500, $S15&lt;=IF($B$2="mil",1,0.0254)*4500),"Pass",IF($B$2="mil",1,0.0254)*4500-$S15)</f>
        <v>#REF!</v>
      </c>
      <c r="AS15" s="495" t="e">
        <f>IF(AND($Q15&gt;=IF($B$2="mil",1,0.0254)*500, $Q15&lt;=IF($B$2="mil",1,0.0254)*5500),"Pass",IF($B$2="mil",1,0.0254)*5500-$Q15)</f>
        <v>#REF!</v>
      </c>
      <c r="AT15" s="495" t="e">
        <f>IF(AND($T15&gt;=IF($B$2="mil",1,0.0254)*500, $T15&lt;=IF($B$2="mil",1,0.0254)*6000),"Pass",IF($B$2="mil",1,0.0254)*6000-$T15)</f>
        <v>#REF!</v>
      </c>
      <c r="AU15" s="21"/>
      <c r="AV15" s="554" t="e">
        <f t="shared" ca="1" si="9"/>
        <v>#REF!</v>
      </c>
      <c r="AW15" s="554"/>
      <c r="AX15" s="554"/>
    </row>
    <row r="16" spans="1:50">
      <c r="A16" s="363" t="s">
        <v>96</v>
      </c>
      <c r="B16" s="482" t="s">
        <v>462</v>
      </c>
      <c r="C16" s="635">
        <v>765.98425196850394</v>
      </c>
      <c r="D16" s="18"/>
      <c r="E16" s="277">
        <v>29.7</v>
      </c>
      <c r="F16" s="277">
        <v>0</v>
      </c>
      <c r="G16" s="305">
        <v>2207.41</v>
      </c>
      <c r="H16" s="305">
        <v>110</v>
      </c>
      <c r="I16" s="277">
        <v>0</v>
      </c>
      <c r="J16" s="305">
        <v>83.71</v>
      </c>
      <c r="K16" s="277">
        <v>40</v>
      </c>
      <c r="L16" s="305">
        <v>63</v>
      </c>
      <c r="M16" s="305">
        <v>961.57</v>
      </c>
      <c r="N16" s="305">
        <v>71.099999999999994</v>
      </c>
      <c r="O16" s="69"/>
      <c r="P16" s="489">
        <f t="shared" si="1"/>
        <v>2347.1099999999997</v>
      </c>
      <c r="Q16" s="489">
        <f t="shared" si="2"/>
        <v>3456.49</v>
      </c>
      <c r="R16" s="597"/>
      <c r="S16" s="489" t="e">
        <f>P16+IF($B$2="mil",1,0.0254)*C16</f>
        <v>#REF!</v>
      </c>
      <c r="T16" s="489" t="e">
        <f>Q16+IF($B$2="mil",1,0.0254)*C16</f>
        <v>#REF!</v>
      </c>
      <c r="U16" s="597"/>
      <c r="V16" s="489" t="e">
        <f>MAX(V$5:W$5)+IF($B$2="mil",1,0.0254)*DDR2Specs!$B$2</f>
        <v>#REF!</v>
      </c>
      <c r="W16" s="489" t="e">
        <f>MIN(V$5:W$5)+IF($B$2="mil",1,0.0254)*DDR2Specs!$C$2</f>
        <v>#REF!</v>
      </c>
      <c r="X16" s="597"/>
      <c r="Y16" s="598" t="e">
        <f t="shared" si="0"/>
        <v>#REF!</v>
      </c>
      <c r="Z16" s="495" t="e">
        <f t="shared" si="3"/>
        <v>#REF!</v>
      </c>
      <c r="AA16" s="21"/>
      <c r="AB16" s="489" t="e">
        <f>MAX(AB$12:AC$12)+IF($B$2="mil",1,0.0254)*DDR2Specs!$E$2</f>
        <v>#REF!</v>
      </c>
      <c r="AC16" s="489" t="e">
        <f>MIN(AB$12:AC$12)+IF($B$2="mil",1,0.0254)*DDR2Specs!$F$2</f>
        <v>#REF!</v>
      </c>
      <c r="AD16" s="21"/>
      <c r="AE16" s="598" t="e">
        <f t="shared" si="4"/>
        <v>#REF!</v>
      </c>
      <c r="AF16" s="495" t="e">
        <f t="shared" si="5"/>
        <v>#REF!</v>
      </c>
      <c r="AG16" s="495" t="e">
        <f>IF((ABS($S16-$S17)&lt;=IF($B$2="mil",1,0.0254)*5),"Pass",ABS($S16-$S17))</f>
        <v>#REF!</v>
      </c>
      <c r="AH16" s="495" t="e">
        <f>IF((ABS($T16-$T17)&lt;=IF($B$2="mil",1,0.0254)*5),"Pass",ABS($T16-$T17))</f>
        <v>#REF!</v>
      </c>
      <c r="AI16" s="495" t="e">
        <f>IF($E16&lt;=IF($B$2="mil",1,0.0254)*50,"Pass",IF($B$2="mil",1,0.0254)*50-$E16)</f>
        <v>#REF!</v>
      </c>
      <c r="AJ16" s="495" t="e">
        <f t="shared" si="6"/>
        <v>#REF!</v>
      </c>
      <c r="AK16" s="495" t="e">
        <f>IF($H16&lt;=IF($B$2="mil",1,0.0254)*250,"Pass",IF($B$2="mil",1,0.0254)*250-$H16)</f>
        <v>#REF!</v>
      </c>
      <c r="AL16" s="495" t="e">
        <f ca="1">CheckLength(IF($B$2="mil",1,0.0254)*1125, IF($B$2="mil",1,0.0254)*125-J16, 0, I16,J16,0)</f>
        <v>#NAME?</v>
      </c>
      <c r="AM16" s="495" t="e">
        <f t="shared" si="7"/>
        <v>#REF!</v>
      </c>
      <c r="AN16" s="495" t="e">
        <f t="shared" si="8"/>
        <v>#REF!</v>
      </c>
      <c r="AO16" s="495" t="e">
        <f ca="1">CheckLength(IF($B$2="mil",1,0.0254)*1525, 125-L16, IF($B$2="mil",1,0.0254)*150-N16, M16,L16,N16)</f>
        <v>#NAME?</v>
      </c>
      <c r="AP16" s="495" t="e">
        <f ca="1">CheckLength2(IF($B$2="mil",1,0.0254)*1400,M16,N16,0)</f>
        <v>#NAME?</v>
      </c>
      <c r="AQ16" s="495" t="e">
        <f>IF(AND($P16&gt;=IF($B$2="mil",1,0.0254)*500, $P16&lt;=IF($B$2="mil",1,0.0254)*4000),"Pass",IF($B$2="mil",1,0.0254)*4000-$P16)</f>
        <v>#REF!</v>
      </c>
      <c r="AR16" s="495" t="e">
        <f>IF(AND($S16&gt;=IF($B$2="mil",1,0.0254)*500, $S16&lt;=IF($B$2="mil",1,0.0254)*4500),"Pass",IF($B$2="mil",1,0.0254)*4500-$S16)</f>
        <v>#REF!</v>
      </c>
      <c r="AS16" s="495" t="e">
        <f>IF(AND($Q16&gt;=IF($B$2="mil",1,0.0254)*500, $Q16&lt;=IF($B$2="mil",1,0.0254)*5500),"Pass",IF($B$2="mil",1,0.0254)*5500-$Q16)</f>
        <v>#REF!</v>
      </c>
      <c r="AT16" s="495" t="e">
        <f>IF(AND($T16&gt;=IF($B$2="mil",1,0.0254)*500, $T16&lt;=IF($B$2="mil",1,0.0254)*6000),"Pass",IF($B$2="mil",1,0.0254)*6000-$T16)</f>
        <v>#REF!</v>
      </c>
      <c r="AU16" s="21"/>
      <c r="AV16" s="554" t="e">
        <f t="shared" ca="1" si="9"/>
        <v>#REF!</v>
      </c>
      <c r="AW16" s="554"/>
      <c r="AX16" s="554"/>
    </row>
    <row r="17" spans="1:50">
      <c r="A17" s="363" t="s">
        <v>97</v>
      </c>
      <c r="B17" s="480" t="s">
        <v>469</v>
      </c>
      <c r="C17" s="635">
        <v>765.98425196850394</v>
      </c>
      <c r="D17" s="18"/>
      <c r="E17" s="277">
        <v>29.7</v>
      </c>
      <c r="F17" s="277">
        <v>0</v>
      </c>
      <c r="G17" s="305">
        <v>2211.3000000000002</v>
      </c>
      <c r="H17" s="305">
        <v>102.64</v>
      </c>
      <c r="I17" s="277">
        <v>0</v>
      </c>
      <c r="J17" s="305">
        <v>80.64</v>
      </c>
      <c r="K17" s="277">
        <v>40</v>
      </c>
      <c r="L17" s="305">
        <v>110</v>
      </c>
      <c r="M17" s="305">
        <v>950.9</v>
      </c>
      <c r="N17" s="305">
        <v>33.590000000000003</v>
      </c>
      <c r="O17" s="69"/>
      <c r="P17" s="489">
        <f t="shared" si="1"/>
        <v>2343.64</v>
      </c>
      <c r="Q17" s="489">
        <f t="shared" si="2"/>
        <v>3456.13</v>
      </c>
      <c r="R17" s="597"/>
      <c r="S17" s="489" t="e">
        <f>P17+IF($B$2="mil",1,0.0254)*C17</f>
        <v>#REF!</v>
      </c>
      <c r="T17" s="489" t="e">
        <f>Q17+IF($B$2="mil",1,0.0254)*C17</f>
        <v>#REF!</v>
      </c>
      <c r="U17" s="597"/>
      <c r="V17" s="489" t="e">
        <f>MAX(V$5:W$5)+IF($B$2="mil",1,0.0254)*DDR2Specs!$B$2</f>
        <v>#REF!</v>
      </c>
      <c r="W17" s="489" t="e">
        <f>MIN(V$5:W$5)+IF($B$2="mil",1,0.0254)*DDR2Specs!$C$2</f>
        <v>#REF!</v>
      </c>
      <c r="X17" s="597"/>
      <c r="Y17" s="598" t="e">
        <f t="shared" si="0"/>
        <v>#REF!</v>
      </c>
      <c r="Z17" s="495" t="e">
        <f t="shared" si="3"/>
        <v>#REF!</v>
      </c>
      <c r="AA17" s="21"/>
      <c r="AB17" s="489" t="e">
        <f>MAX(AB$12:AC$12)+IF($B$2="mil",1,0.0254)*DDR2Specs!$E$2</f>
        <v>#REF!</v>
      </c>
      <c r="AC17" s="489" t="e">
        <f>MIN(AB$12:AC$12)+IF($B$2="mil",1,0.0254)*DDR2Specs!$F$2</f>
        <v>#REF!</v>
      </c>
      <c r="AD17" s="21"/>
      <c r="AE17" s="598" t="e">
        <f t="shared" si="4"/>
        <v>#REF!</v>
      </c>
      <c r="AF17" s="495" t="e">
        <f t="shared" si="5"/>
        <v>#REF!</v>
      </c>
      <c r="AG17" s="495" t="e">
        <f>IF((ABS($S17-$S16)&lt;=IF($B$2="mil",1,0.0254)*5),"Pass",ABS($S17-$S16))</f>
        <v>#REF!</v>
      </c>
      <c r="AH17" s="495" t="e">
        <f>IF((ABS($T17-$T16)&lt;=IF($B$2="mil",1,0.0254)*5),"Pass",ABS($T17-$T16))</f>
        <v>#REF!</v>
      </c>
      <c r="AI17" s="495" t="e">
        <f>IF($E17&lt;=IF($B$2="mil",1,0.0254)*50,"Pass",IF($B$2="mil",1,0.0254)*50-$E17)</f>
        <v>#REF!</v>
      </c>
      <c r="AJ17" s="495" t="e">
        <f t="shared" si="6"/>
        <v>#REF!</v>
      </c>
      <c r="AK17" s="495" t="e">
        <f>IF($H17&lt;=IF($B$2="mil",1,0.0254)*250,"Pass",IF($B$2="mil",1,0.0254)*250-$H17)</f>
        <v>#REF!</v>
      </c>
      <c r="AL17" s="495" t="e">
        <f ca="1">CheckLength(IF($B$2="mil",1,0.0254)*1125, IF($B$2="mil",1,0.0254)*125-J17, 0, I17,J17,0)</f>
        <v>#NAME?</v>
      </c>
      <c r="AM17" s="495" t="e">
        <f t="shared" si="7"/>
        <v>#REF!</v>
      </c>
      <c r="AN17" s="495" t="e">
        <f t="shared" si="8"/>
        <v>#REF!</v>
      </c>
      <c r="AO17" s="495" t="e">
        <f ca="1">CheckLength(IF($B$2="mil",1,0.0254)*1525, 125-L17, IF($B$2="mil",1,0.0254)*150-N17, M17,L17,N17)</f>
        <v>#NAME?</v>
      </c>
      <c r="AP17" s="495" t="e">
        <f ca="1">CheckLength2(IF($B$2="mil",1,0.0254)*1400,M17,N17,0)</f>
        <v>#NAME?</v>
      </c>
      <c r="AQ17" s="495" t="e">
        <f>IF(AND($P17&gt;=IF($B$2="mil",1,0.0254)*500, $P17&lt;=IF($B$2="mil",1,0.0254)*4000),"Pass",IF($B$2="mil",1,0.0254)*4000-$P17)</f>
        <v>#REF!</v>
      </c>
      <c r="AR17" s="495" t="e">
        <f>IF(AND($S17&gt;=IF($B$2="mil",1,0.0254)*500, $S17&lt;=IF($B$2="mil",1,0.0254)*4500),"Pass",IF($B$2="mil",1,0.0254)*4500-$S17)</f>
        <v>#REF!</v>
      </c>
      <c r="AS17" s="495" t="e">
        <f>IF(AND($Q17&gt;=IF($B$2="mil",1,0.0254)*500, $Q17&lt;=IF($B$2="mil",1,0.0254)*5500),"Pass",IF($B$2="mil",1,0.0254)*5500-$Q17)</f>
        <v>#REF!</v>
      </c>
      <c r="AT17" s="495" t="e">
        <f>IF(AND($T17&gt;=IF($B$2="mil",1,0.0254)*500, $T17&lt;=IF($B$2="mil",1,0.0254)*6000),"Pass",IF($B$2="mil",1,0.0254)*6000-$T17)</f>
        <v>#REF!</v>
      </c>
      <c r="AU17" s="21"/>
      <c r="AV17" s="554" t="e">
        <f t="shared" ca="1" si="9"/>
        <v>#REF!</v>
      </c>
      <c r="AW17" s="554"/>
      <c r="AX17" s="554"/>
    </row>
    <row r="18" spans="1:50">
      <c r="A18" s="109" t="s">
        <v>249</v>
      </c>
      <c r="B18" s="110"/>
      <c r="C18" s="638"/>
      <c r="D18" s="10"/>
      <c r="E18" s="288"/>
      <c r="F18" s="288"/>
      <c r="G18" s="288"/>
      <c r="H18" s="288"/>
      <c r="I18" s="288"/>
      <c r="J18" s="292"/>
      <c r="K18" s="10"/>
      <c r="L18" s="292"/>
      <c r="M18" s="292"/>
      <c r="N18" s="292"/>
      <c r="O18" s="10"/>
      <c r="P18" s="9"/>
      <c r="Q18" s="9"/>
      <c r="R18" s="10"/>
      <c r="S18" s="51"/>
      <c r="T18" s="51"/>
      <c r="U18" s="10"/>
      <c r="V18" s="10"/>
      <c r="W18" s="10"/>
      <c r="X18" s="10"/>
      <c r="Y18" s="10"/>
      <c r="Z18" s="10"/>
      <c r="AA18" s="10"/>
      <c r="AB18" s="10"/>
      <c r="AC18" s="15"/>
      <c r="AD18" s="10"/>
      <c r="AE18" s="15"/>
      <c r="AF18" s="15"/>
      <c r="AG18" s="15"/>
      <c r="AH18" s="15"/>
      <c r="AI18" s="15"/>
      <c r="AJ18" s="15"/>
      <c r="AK18" s="15"/>
      <c r="AL18" s="10"/>
      <c r="AM18" s="10"/>
      <c r="AN18" s="10"/>
      <c r="AO18" s="10"/>
      <c r="AP18" s="10"/>
      <c r="AQ18" s="10"/>
      <c r="AR18" s="10"/>
      <c r="AS18" s="10"/>
      <c r="AT18" s="10"/>
      <c r="AU18" s="12"/>
      <c r="AV18" s="554"/>
      <c r="AW18" s="554"/>
      <c r="AX18" s="554"/>
    </row>
    <row r="19" spans="1:50">
      <c r="A19" s="362" t="s">
        <v>24</v>
      </c>
      <c r="B19" s="125"/>
      <c r="C19" s="650"/>
      <c r="D19" s="53"/>
      <c r="E19" s="289"/>
      <c r="F19" s="289"/>
      <c r="G19" s="289"/>
      <c r="H19" s="289"/>
      <c r="I19" s="289"/>
      <c r="J19" s="293"/>
      <c r="K19" s="52"/>
      <c r="L19" s="293"/>
      <c r="M19" s="293"/>
      <c r="N19" s="293"/>
      <c r="O19" s="52"/>
      <c r="P19" s="81"/>
      <c r="Q19" s="81"/>
      <c r="R19" s="53"/>
      <c r="S19" s="65"/>
      <c r="T19" s="65"/>
      <c r="U19" s="540"/>
      <c r="V19" s="168"/>
      <c r="W19" s="541"/>
      <c r="X19" s="53"/>
      <c r="Y19" s="65"/>
      <c r="Z19" s="65"/>
      <c r="AA19" s="540" t="s">
        <v>226</v>
      </c>
      <c r="AB19" s="168" t="e">
        <f>MIN('DDR2 Clocks - 2L'!$R$7:$R$8)</f>
        <v>#REF!</v>
      </c>
      <c r="AC19" s="541" t="e">
        <f>MAX('DDR2 Clocks - 2L'!$R$7:$R$8)</f>
        <v>#REF!</v>
      </c>
      <c r="AD19" s="65"/>
      <c r="AE19" s="65"/>
      <c r="AF19" s="65"/>
      <c r="AG19" s="65"/>
      <c r="AH19" s="65"/>
      <c r="AI19" s="65"/>
      <c r="AJ19" s="52"/>
      <c r="AK19" s="52"/>
      <c r="AL19" s="52"/>
      <c r="AM19" s="52"/>
      <c r="AN19" s="52"/>
      <c r="AO19" s="52"/>
      <c r="AP19" s="52"/>
      <c r="AQ19" s="52"/>
      <c r="AR19" s="52"/>
      <c r="AS19" s="52"/>
      <c r="AT19" s="52"/>
      <c r="AU19" s="58"/>
      <c r="AV19" s="554"/>
      <c r="AW19" s="554"/>
      <c r="AX19" s="554"/>
    </row>
    <row r="20" spans="1:50">
      <c r="A20" s="109" t="s">
        <v>250</v>
      </c>
      <c r="B20" s="367"/>
      <c r="C20" s="651"/>
      <c r="D20" s="62"/>
      <c r="E20" s="290"/>
      <c r="F20" s="290"/>
      <c r="G20" s="290"/>
      <c r="H20" s="290"/>
      <c r="I20" s="290"/>
      <c r="J20" s="294"/>
      <c r="K20" s="54"/>
      <c r="L20" s="294"/>
      <c r="M20" s="294"/>
      <c r="N20" s="294"/>
      <c r="O20" s="54"/>
      <c r="P20" s="54"/>
      <c r="Q20" s="54"/>
      <c r="R20" s="54"/>
      <c r="S20" s="54"/>
      <c r="T20" s="54"/>
      <c r="U20" s="54"/>
      <c r="V20" s="54"/>
      <c r="W20" s="66"/>
      <c r="X20" s="54"/>
      <c r="Y20" s="66"/>
      <c r="Z20" s="66"/>
      <c r="AA20" s="66"/>
      <c r="AB20" s="66"/>
      <c r="AC20" s="67"/>
      <c r="AD20" s="66"/>
      <c r="AE20" s="54"/>
      <c r="AF20" s="54"/>
      <c r="AG20" s="54"/>
      <c r="AH20" s="54"/>
      <c r="AI20" s="54"/>
      <c r="AJ20" s="66"/>
      <c r="AK20" s="66"/>
      <c r="AL20" s="66"/>
      <c r="AM20" s="66"/>
      <c r="AN20" s="66"/>
      <c r="AO20" s="66"/>
      <c r="AP20" s="66"/>
      <c r="AQ20" s="66"/>
      <c r="AR20" s="66"/>
      <c r="AS20" s="66"/>
      <c r="AT20" s="66"/>
      <c r="AU20" s="68"/>
      <c r="AV20" s="554"/>
      <c r="AW20" s="554"/>
      <c r="AX20" s="554"/>
    </row>
    <row r="21" spans="1:50">
      <c r="A21" s="363" t="s">
        <v>98</v>
      </c>
      <c r="B21" s="480" t="s">
        <v>463</v>
      </c>
      <c r="C21" s="635">
        <v>838.58267716535443</v>
      </c>
      <c r="D21" s="18"/>
      <c r="E21" s="277">
        <v>29.7</v>
      </c>
      <c r="F21" s="277">
        <v>0</v>
      </c>
      <c r="G21" s="305">
        <v>2077.58</v>
      </c>
      <c r="H21" s="305">
        <v>77</v>
      </c>
      <c r="I21" s="277">
        <v>0</v>
      </c>
      <c r="J21" s="305">
        <v>55.54</v>
      </c>
      <c r="K21" s="277">
        <v>40</v>
      </c>
      <c r="L21" s="305">
        <v>60</v>
      </c>
      <c r="M21" s="305">
        <v>1067.33</v>
      </c>
      <c r="N21" s="305">
        <v>145.44999999999999</v>
      </c>
      <c r="O21" s="69"/>
      <c r="P21" s="489">
        <f t="shared" si="1"/>
        <v>2184.2799999999997</v>
      </c>
      <c r="Q21" s="489">
        <f t="shared" si="2"/>
        <v>3475.5999999999995</v>
      </c>
      <c r="R21" s="597"/>
      <c r="S21" s="489" t="e">
        <f>P21+IF($B$2="mil",1,0.0254)*C21</f>
        <v>#REF!</v>
      </c>
      <c r="T21" s="489" t="e">
        <f>Q21+IF($B$2="mil",1,0.0254)*C21</f>
        <v>#REF!</v>
      </c>
      <c r="U21" s="597"/>
      <c r="V21" s="489" t="e">
        <f>MAX(V$5:W$5)+IF($B$2="mil",1,0.0254)*DDR2Specs!$B$2</f>
        <v>#REF!</v>
      </c>
      <c r="W21" s="489" t="e">
        <f>MIN(V$5:W$5)+IF($B$2="mil",1,0.0254)*DDR2Specs!$C$2</f>
        <v>#REF!</v>
      </c>
      <c r="X21" s="597"/>
      <c r="Y21" s="598" t="e">
        <f t="shared" si="0"/>
        <v>#REF!</v>
      </c>
      <c r="Z21" s="495" t="e">
        <f t="shared" si="3"/>
        <v>#REF!</v>
      </c>
      <c r="AA21" s="21"/>
      <c r="AB21" s="489" t="e">
        <f>MAX(AB$19:AC$19)+IF($B$2="mil",1,0.0254)*DDR2Specs!$E$2</f>
        <v>#REF!</v>
      </c>
      <c r="AC21" s="489" t="e">
        <f>MIN(AB$19:AC$19)+IF($B$2="mil",1,0.0254)*DDR2Specs!$F$2</f>
        <v>#REF!</v>
      </c>
      <c r="AD21" s="21"/>
      <c r="AE21" s="598" t="e">
        <f t="shared" si="4"/>
        <v>#REF!</v>
      </c>
      <c r="AF21" s="495" t="e">
        <f t="shared" si="5"/>
        <v>#REF!</v>
      </c>
      <c r="AG21" s="495" t="e">
        <f>IF((ABS($S21-$S22)&lt;=IF($B$2="mil",1,0.0254)*5),"Pass",ABS($S21-$S22))</f>
        <v>#REF!</v>
      </c>
      <c r="AH21" s="495" t="e">
        <f>IF((ABS($T21-$T22)&lt;=IF($B$2="mil",1,0.0254)*5),"Pass",ABS($T21-$T22))</f>
        <v>#REF!</v>
      </c>
      <c r="AI21" s="495" t="e">
        <f>IF($E21&lt;=IF($B$2="mil",1,0.0254)*50,"Pass",IF($B$2="mil",1,0.0254)*50-$E21)</f>
        <v>#REF!</v>
      </c>
      <c r="AJ21" s="495" t="e">
        <f t="shared" si="6"/>
        <v>#REF!</v>
      </c>
      <c r="AK21" s="495" t="e">
        <f>IF($H21&lt;=IF($B$2="mil",1,0.0254)*250,"Pass",IF($B$2="mil",1,0.0254)*250-$H21)</f>
        <v>#REF!</v>
      </c>
      <c r="AL21" s="495" t="e">
        <f ca="1">CheckLength(IF($B$2="mil",1,0.0254)*1125, IF($B$2="mil",1,0.0254)*125-J21, 0, I21,J21,0)</f>
        <v>#NAME?</v>
      </c>
      <c r="AM21" s="495" t="e">
        <f t="shared" si="7"/>
        <v>#REF!</v>
      </c>
      <c r="AN21" s="495" t="e">
        <f t="shared" si="8"/>
        <v>#REF!</v>
      </c>
      <c r="AO21" s="495" t="e">
        <f ca="1">CheckLength(IF($B$2="mil",1,0.0254)*1525, 125-L21, IF($B$2="mil",1,0.0254)*150-N21, M21,L21,N21)</f>
        <v>#NAME?</v>
      </c>
      <c r="AP21" s="495" t="e">
        <f ca="1">CheckLength2(IF($B$2="mil",1,0.0254)*1400,M21,N21,0)</f>
        <v>#NAME?</v>
      </c>
      <c r="AQ21" s="495" t="e">
        <f>IF(AND($P21&gt;=IF($B$2="mil",1,0.0254)*500, $P21&lt;=IF($B$2="mil",1,0.0254)*4000),"Pass",IF($B$2="mil",1,0.0254)*4000-$P21)</f>
        <v>#REF!</v>
      </c>
      <c r="AR21" s="495" t="e">
        <f>IF(AND($S21&gt;=IF($B$2="mil",1,0.0254)*500, $S21&lt;=IF($B$2="mil",1,0.0254)*4500),"Pass",IF($B$2="mil",1,0.0254)*4500-$S21)</f>
        <v>#REF!</v>
      </c>
      <c r="AS21" s="495" t="e">
        <f>IF(AND($Q21&gt;=IF($B$2="mil",1,0.0254)*500, $Q21&lt;=IF($B$2="mil",1,0.0254)*5500),"Pass",IF($B$2="mil",1,0.0254)*5500-$Q21)</f>
        <v>#REF!</v>
      </c>
      <c r="AT21" s="495" t="e">
        <f>IF(AND($T21&gt;=IF($B$2="mil",1,0.0254)*500, $T21&lt;=IF($B$2="mil",1,0.0254)*6000),"Pass",IF($B$2="mil",1,0.0254)*6000-$T21)</f>
        <v>#REF!</v>
      </c>
      <c r="AU21" s="21"/>
      <c r="AV21" s="554" t="e">
        <f t="shared" ca="1" si="9"/>
        <v>#REF!</v>
      </c>
      <c r="AW21" s="554"/>
      <c r="AX21" s="554"/>
    </row>
    <row r="22" spans="1:50">
      <c r="A22" s="363" t="s">
        <v>99</v>
      </c>
      <c r="B22" s="480" t="s">
        <v>470</v>
      </c>
      <c r="C22" s="635">
        <v>838.58267716535443</v>
      </c>
      <c r="D22" s="18"/>
      <c r="E22" s="277">
        <v>29.7</v>
      </c>
      <c r="F22" s="277">
        <v>0</v>
      </c>
      <c r="G22" s="305">
        <v>2084.7399999999998</v>
      </c>
      <c r="H22" s="305">
        <v>68.650000000000006</v>
      </c>
      <c r="I22" s="277">
        <v>0</v>
      </c>
      <c r="J22" s="305">
        <v>58.86</v>
      </c>
      <c r="K22" s="277">
        <v>40</v>
      </c>
      <c r="L22" s="305">
        <v>95.15</v>
      </c>
      <c r="M22" s="305">
        <v>1044.5</v>
      </c>
      <c r="N22" s="305">
        <v>122.46</v>
      </c>
      <c r="O22" s="69"/>
      <c r="P22" s="489">
        <f xml:space="preserve"> E22+F22+G22+H22</f>
        <v>2183.0899999999997</v>
      </c>
      <c r="Q22" s="489">
        <f>SUM(E22:G22,I22:N22)</f>
        <v>3475.41</v>
      </c>
      <c r="R22" s="597"/>
      <c r="S22" s="489" t="e">
        <f>P22+IF($B$2="mil",1,0.0254)*C22</f>
        <v>#REF!</v>
      </c>
      <c r="T22" s="489" t="e">
        <f>Q22+IF($B$2="mil",1,0.0254)*C22</f>
        <v>#REF!</v>
      </c>
      <c r="U22" s="597"/>
      <c r="V22" s="489" t="e">
        <f>MAX(V$5:W$5)+IF($B$2="mil",1,0.0254)*DDR2Specs!$B$2</f>
        <v>#REF!</v>
      </c>
      <c r="W22" s="489" t="e">
        <f>MIN(V$5:W$5)+IF($B$2="mil",1,0.0254)*DDR2Specs!$C$2</f>
        <v>#REF!</v>
      </c>
      <c r="X22" s="597"/>
      <c r="Y22" s="598" t="e">
        <f t="shared" si="0"/>
        <v>#REF!</v>
      </c>
      <c r="Z22" s="495" t="e">
        <f t="shared" si="3"/>
        <v>#REF!</v>
      </c>
      <c r="AA22" s="21"/>
      <c r="AB22" s="489" t="e">
        <f>MAX(AB$19:AC$19)+IF($B$2="mil",1,0.0254)*DDR2Specs!$E$2</f>
        <v>#REF!</v>
      </c>
      <c r="AC22" s="489" t="e">
        <f>MIN(AB$19:AC$19)+IF($B$2="mil",1,0.0254)*DDR2Specs!$F$2</f>
        <v>#REF!</v>
      </c>
      <c r="AD22" s="21"/>
      <c r="AE22" s="598" t="e">
        <f t="shared" si="4"/>
        <v>#REF!</v>
      </c>
      <c r="AF22" s="495" t="e">
        <f t="shared" si="5"/>
        <v>#REF!</v>
      </c>
      <c r="AG22" s="495" t="e">
        <f>IF((ABS($S22-$S21)&lt;=IF($B$2="mil",1,0.0254)*5),"Pass",ABS($S22-$S21))</f>
        <v>#REF!</v>
      </c>
      <c r="AH22" s="495" t="e">
        <f>IF((ABS($T22-$T21)&lt;=IF($B$2="mil",1,0.0254)*5),"Pass",ABS($T22-$T21))</f>
        <v>#REF!</v>
      </c>
      <c r="AI22" s="495" t="e">
        <f>IF($E22&lt;=IF($B$2="mil",1,0.0254)*50,"Pass",IF($B$2="mil",1,0.0254)*50-$E22)</f>
        <v>#REF!</v>
      </c>
      <c r="AJ22" s="495" t="e">
        <f t="shared" si="6"/>
        <v>#REF!</v>
      </c>
      <c r="AK22" s="495" t="e">
        <f>IF($H22&lt;=IF($B$2="mil",1,0.0254)*250,"Pass",IF($B$2="mil",1,0.0254)*250-$H22)</f>
        <v>#REF!</v>
      </c>
      <c r="AL22" s="495" t="e">
        <f ca="1">CheckLength(IF($B$2="mil",1,0.0254)*1125, IF($B$2="mil",1,0.0254)*125-J22, 0, I22,J22,0)</f>
        <v>#NAME?</v>
      </c>
      <c r="AM22" s="495" t="e">
        <f t="shared" si="7"/>
        <v>#REF!</v>
      </c>
      <c r="AN22" s="495" t="e">
        <f t="shared" si="8"/>
        <v>#REF!</v>
      </c>
      <c r="AO22" s="495" t="e">
        <f ca="1">CheckLength(IF($B$2="mil",1,0.0254)*1525, 125-L22, IF($B$2="mil",1,0.0254)*150-N22, M22,L22,N22)</f>
        <v>#NAME?</v>
      </c>
      <c r="AP22" s="495" t="e">
        <f ca="1">CheckLength2(IF($B$2="mil",1,0.0254)*1400,M22,N22,0)</f>
        <v>#NAME?</v>
      </c>
      <c r="AQ22" s="495" t="e">
        <f>IF(AND($P22&gt;=IF($B$2="mil",1,0.0254)*500, $P22&lt;=IF($B$2="mil",1,0.0254)*4000),"Pass",IF($B$2="mil",1,0.0254)*4000-$P22)</f>
        <v>#REF!</v>
      </c>
      <c r="AR22" s="495" t="e">
        <f>IF(AND($S22&gt;=IF($B$2="mil",1,0.0254)*500, $S22&lt;=IF($B$2="mil",1,0.0254)*4500),"Pass",IF($B$2="mil",1,0.0254)*4500-$S22)</f>
        <v>#REF!</v>
      </c>
      <c r="AS22" s="495" t="e">
        <f>IF(AND($Q22&gt;=IF($B$2="mil",1,0.0254)*500, $Q22&lt;=IF($B$2="mil",1,0.0254)*5500),"Pass",IF($B$2="mil",1,0.0254)*5500-$Q22)</f>
        <v>#REF!</v>
      </c>
      <c r="AT22" s="495" t="e">
        <f>IF(AND($T22&gt;=IF($B$2="mil",1,0.0254)*500, $T22&lt;=IF($B$2="mil",1,0.0254)*6000),"Pass",IF($B$2="mil",1,0.0254)*6000-$T22)</f>
        <v>#REF!</v>
      </c>
      <c r="AU22" s="21"/>
      <c r="AV22" s="554" t="e">
        <f t="shared" ca="1" si="9"/>
        <v>#REF!</v>
      </c>
      <c r="AW22" s="554"/>
      <c r="AX22" s="554"/>
    </row>
    <row r="23" spans="1:50">
      <c r="A23" s="363" t="s">
        <v>100</v>
      </c>
      <c r="B23" s="480" t="s">
        <v>464</v>
      </c>
      <c r="C23" s="635">
        <v>583.81889763779532</v>
      </c>
      <c r="D23" s="18"/>
      <c r="E23" s="277">
        <v>29.7</v>
      </c>
      <c r="F23" s="277">
        <v>0</v>
      </c>
      <c r="G23" s="305">
        <v>2201.17</v>
      </c>
      <c r="H23" s="305">
        <v>88.11</v>
      </c>
      <c r="I23" s="277">
        <v>0</v>
      </c>
      <c r="J23" s="305">
        <v>67.680000000000007</v>
      </c>
      <c r="K23" s="277">
        <v>40</v>
      </c>
      <c r="L23" s="305">
        <v>92.75</v>
      </c>
      <c r="M23" s="305">
        <v>1068.3</v>
      </c>
      <c r="N23" s="305">
        <v>72.650000000000006</v>
      </c>
      <c r="O23" s="69"/>
      <c r="P23" s="489">
        <f t="shared" si="1"/>
        <v>2318.98</v>
      </c>
      <c r="Q23" s="489">
        <f t="shared" si="2"/>
        <v>3572.2499999999995</v>
      </c>
      <c r="R23" s="597"/>
      <c r="S23" s="489" t="e">
        <f>P23+IF($B$2="mil",1,0.0254)*C23</f>
        <v>#REF!</v>
      </c>
      <c r="T23" s="489" t="e">
        <f>Q23+IF($B$2="mil",1,0.0254)*C23</f>
        <v>#REF!</v>
      </c>
      <c r="U23" s="597"/>
      <c r="V23" s="489" t="e">
        <f>MAX(V$5:W$5)+IF($B$2="mil",1,0.0254)*DDR2Specs!$B$2</f>
        <v>#REF!</v>
      </c>
      <c r="W23" s="489" t="e">
        <f>MIN(V$5:W$5)+IF($B$2="mil",1,0.0254)*DDR2Specs!$C$2</f>
        <v>#REF!</v>
      </c>
      <c r="X23" s="597"/>
      <c r="Y23" s="598" t="e">
        <f t="shared" si="0"/>
        <v>#REF!</v>
      </c>
      <c r="Z23" s="495" t="e">
        <f t="shared" si="3"/>
        <v>#REF!</v>
      </c>
      <c r="AA23" s="21"/>
      <c r="AB23" s="489" t="e">
        <f>MAX(AB$19:AC$19)+IF($B$2="mil",1,0.0254)*DDR2Specs!$E$2</f>
        <v>#REF!</v>
      </c>
      <c r="AC23" s="489" t="e">
        <f>MIN(AB$19:AC$19)+IF($B$2="mil",1,0.0254)*DDR2Specs!$F$2</f>
        <v>#REF!</v>
      </c>
      <c r="AD23" s="21"/>
      <c r="AE23" s="598" t="e">
        <f t="shared" si="4"/>
        <v>#REF!</v>
      </c>
      <c r="AF23" s="495" t="e">
        <f t="shared" si="5"/>
        <v>#REF!</v>
      </c>
      <c r="AG23" s="495" t="e">
        <f>IF((ABS($S23-$S24)&lt;=IF($B$2="mil",1,0.0254)*5),"Pass",ABS($S23-$S24))</f>
        <v>#REF!</v>
      </c>
      <c r="AH23" s="495" t="e">
        <f>IF((ABS($T23-$T24)&lt;=IF($B$2="mil",1,0.0254)*5),"Pass",ABS($T23-$T24))</f>
        <v>#REF!</v>
      </c>
      <c r="AI23" s="495" t="e">
        <f>IF($E23&lt;=IF($B$2="mil",1,0.0254)*50,"Pass",IF($B$2="mil",1,0.0254)*50-$E23)</f>
        <v>#REF!</v>
      </c>
      <c r="AJ23" s="495" t="e">
        <f t="shared" si="6"/>
        <v>#REF!</v>
      </c>
      <c r="AK23" s="495" t="e">
        <f>IF($H23&lt;=IF($B$2="mil",1,0.0254)*250,"Pass",IF($B$2="mil",1,0.0254)*250-$H23)</f>
        <v>#REF!</v>
      </c>
      <c r="AL23" s="495" t="e">
        <f ca="1">CheckLength(IF($B$2="mil",1,0.0254)*1125, IF($B$2="mil",1,0.0254)*125-J23, 0, I23,J23,0)</f>
        <v>#NAME?</v>
      </c>
      <c r="AM23" s="495" t="e">
        <f t="shared" si="7"/>
        <v>#REF!</v>
      </c>
      <c r="AN23" s="495" t="e">
        <f t="shared" si="8"/>
        <v>#REF!</v>
      </c>
      <c r="AO23" s="495" t="e">
        <f ca="1">CheckLength(IF($B$2="mil",1,0.0254)*1525, 125-L23, IF($B$2="mil",1,0.0254)*150-N23, M23,L23,N23)</f>
        <v>#NAME?</v>
      </c>
      <c r="AP23" s="495" t="e">
        <f ca="1">CheckLength2(IF($B$2="mil",1,0.0254)*1400,M23,N23,0)</f>
        <v>#NAME?</v>
      </c>
      <c r="AQ23" s="495" t="e">
        <f>IF(AND($P23&gt;=IF($B$2="mil",1,0.0254)*500, $P23&lt;=IF($B$2="mil",1,0.0254)*4000),"Pass",IF($B$2="mil",1,0.0254)*4000-$P23)</f>
        <v>#REF!</v>
      </c>
      <c r="AR23" s="495" t="e">
        <f>IF(AND($S23&gt;=IF($B$2="mil",1,0.0254)*500, $S23&lt;=IF($B$2="mil",1,0.0254)*4500),"Pass",IF($B$2="mil",1,0.0254)*4500-$S23)</f>
        <v>#REF!</v>
      </c>
      <c r="AS23" s="495" t="e">
        <f>IF(AND($Q23&gt;=IF($B$2="mil",1,0.0254)*500, $Q23&lt;=IF($B$2="mil",1,0.0254)*5500),"Pass",IF($B$2="mil",1,0.0254)*5500-$Q23)</f>
        <v>#REF!</v>
      </c>
      <c r="AT23" s="495" t="e">
        <f>IF(AND($T23&gt;=IF($B$2="mil",1,0.0254)*500, $T23&lt;=IF($B$2="mil",1,0.0254)*6000),"Pass",IF($B$2="mil",1,0.0254)*6000-$T23)</f>
        <v>#REF!</v>
      </c>
      <c r="AU23" s="21"/>
      <c r="AV23" s="554" t="e">
        <f t="shared" ca="1" si="9"/>
        <v>#REF!</v>
      </c>
      <c r="AW23" s="554"/>
      <c r="AX23" s="554"/>
    </row>
    <row r="24" spans="1:50">
      <c r="A24" s="363" t="s">
        <v>101</v>
      </c>
      <c r="B24" s="480" t="s">
        <v>471</v>
      </c>
      <c r="C24" s="635">
        <v>583.81889763779532</v>
      </c>
      <c r="D24" s="18"/>
      <c r="E24" s="277">
        <v>29.7</v>
      </c>
      <c r="F24" s="277">
        <v>0</v>
      </c>
      <c r="G24" s="305">
        <v>2204.71</v>
      </c>
      <c r="H24" s="305">
        <v>85.59</v>
      </c>
      <c r="I24" s="277">
        <v>0</v>
      </c>
      <c r="J24" s="305">
        <v>66.03</v>
      </c>
      <c r="K24" s="277">
        <v>40</v>
      </c>
      <c r="L24" s="305">
        <v>125</v>
      </c>
      <c r="M24" s="305">
        <v>1070</v>
      </c>
      <c r="N24" s="305">
        <v>36.799999999999997</v>
      </c>
      <c r="O24" s="69"/>
      <c r="P24" s="489">
        <f t="shared" si="1"/>
        <v>2320</v>
      </c>
      <c r="Q24" s="489">
        <f t="shared" si="2"/>
        <v>3572.2400000000002</v>
      </c>
      <c r="R24" s="597"/>
      <c r="S24" s="489" t="e">
        <f>P24+IF($B$2="mil",1,0.0254)*C24</f>
        <v>#REF!</v>
      </c>
      <c r="T24" s="489" t="e">
        <f>Q24+IF($B$2="mil",1,0.0254)*C24</f>
        <v>#REF!</v>
      </c>
      <c r="U24" s="597"/>
      <c r="V24" s="489" t="e">
        <f>MAX(V$5:W$5)+IF($B$2="mil",1,0.0254)*DDR2Specs!$B$2</f>
        <v>#REF!</v>
      </c>
      <c r="W24" s="489" t="e">
        <f>MIN(V$5:W$5)+IF($B$2="mil",1,0.0254)*DDR2Specs!$C$2</f>
        <v>#REF!</v>
      </c>
      <c r="X24" s="597"/>
      <c r="Y24" s="598" t="e">
        <f t="shared" si="0"/>
        <v>#REF!</v>
      </c>
      <c r="Z24" s="495" t="e">
        <f t="shared" si="3"/>
        <v>#REF!</v>
      </c>
      <c r="AA24" s="21"/>
      <c r="AB24" s="489" t="e">
        <f>MAX(AB$19:AC$19)+IF($B$2="mil",1,0.0254)*DDR2Specs!$E$2</f>
        <v>#REF!</v>
      </c>
      <c r="AC24" s="489" t="e">
        <f>MIN(AB$19:AC$19)+IF($B$2="mil",1,0.0254)*DDR2Specs!$F$2</f>
        <v>#REF!</v>
      </c>
      <c r="AD24" s="21"/>
      <c r="AE24" s="598" t="e">
        <f t="shared" si="4"/>
        <v>#REF!</v>
      </c>
      <c r="AF24" s="495" t="e">
        <f t="shared" si="5"/>
        <v>#REF!</v>
      </c>
      <c r="AG24" s="495" t="e">
        <f>IF((ABS($S24-$S23)&lt;=IF($B$2="mil",1,0.0254)*5),"Pass",ABS($S24-$S23))</f>
        <v>#REF!</v>
      </c>
      <c r="AH24" s="495" t="e">
        <f>IF((ABS($T24-$T23)&lt;=IF($B$2="mil",1,0.0254)*5),"Pass",ABS($T24-$T23))</f>
        <v>#REF!</v>
      </c>
      <c r="AI24" s="495" t="e">
        <f>IF($E24&lt;=IF($B$2="mil",1,0.0254)*50,"Pass",IF($B$2="mil",1,0.0254)*50-$E24)</f>
        <v>#REF!</v>
      </c>
      <c r="AJ24" s="495" t="e">
        <f t="shared" si="6"/>
        <v>#REF!</v>
      </c>
      <c r="AK24" s="495" t="e">
        <f>IF($H24&lt;=IF($B$2="mil",1,0.0254)*250,"Pass",IF($B$2="mil",1,0.0254)*250-$H24)</f>
        <v>#REF!</v>
      </c>
      <c r="AL24" s="495" t="e">
        <f ca="1">CheckLength(IF($B$2="mil",1,0.0254)*1125, IF($B$2="mil",1,0.0254)*125-J24, 0, I24,J24,0)</f>
        <v>#NAME?</v>
      </c>
      <c r="AM24" s="495" t="e">
        <f t="shared" si="7"/>
        <v>#REF!</v>
      </c>
      <c r="AN24" s="495" t="e">
        <f t="shared" si="8"/>
        <v>#REF!</v>
      </c>
      <c r="AO24" s="495" t="e">
        <f ca="1">CheckLength(IF($B$2="mil",1,0.0254)*1525, 125-L24, IF($B$2="mil",1,0.0254)*150-N24, M24,L24,N24)</f>
        <v>#NAME?</v>
      </c>
      <c r="AP24" s="495" t="e">
        <f ca="1">CheckLength2(IF($B$2="mil",1,0.0254)*1400,M24,N24,0)</f>
        <v>#NAME?</v>
      </c>
      <c r="AQ24" s="495" t="e">
        <f>IF(AND($P24&gt;=IF($B$2="mil",1,0.0254)*500, $P24&lt;=IF($B$2="mil",1,0.0254)*4000),"Pass",IF($B$2="mil",1,0.0254)*4000-$P24)</f>
        <v>#REF!</v>
      </c>
      <c r="AR24" s="495" t="e">
        <f>IF(AND($S24&gt;=IF($B$2="mil",1,0.0254)*500, $S24&lt;=IF($B$2="mil",1,0.0254)*4500),"Pass",IF($B$2="mil",1,0.0254)*4500-$S24)</f>
        <v>#REF!</v>
      </c>
      <c r="AS24" s="495" t="e">
        <f>IF(AND($Q24&gt;=IF($B$2="mil",1,0.0254)*500, $Q24&lt;=IF($B$2="mil",1,0.0254)*5500),"Pass",IF($B$2="mil",1,0.0254)*5500-$Q24)</f>
        <v>#REF!</v>
      </c>
      <c r="AT24" s="495" t="e">
        <f>IF(AND($T24&gt;=IF($B$2="mil",1,0.0254)*500, $T24&lt;=IF($B$2="mil",1,0.0254)*6000),"Pass",IF($B$2="mil",1,0.0254)*6000-$T24)</f>
        <v>#REF!</v>
      </c>
      <c r="AU24" s="21"/>
      <c r="AV24" s="554" t="e">
        <f t="shared" ca="1" si="9"/>
        <v>#REF!</v>
      </c>
      <c r="AW24" s="554"/>
      <c r="AX24" s="554"/>
    </row>
    <row r="25" spans="1:50">
      <c r="A25" s="109" t="s">
        <v>249</v>
      </c>
      <c r="B25" s="105"/>
      <c r="C25" s="638"/>
      <c r="D25" s="10"/>
      <c r="E25" s="288"/>
      <c r="F25" s="288"/>
      <c r="G25" s="288"/>
      <c r="H25" s="288"/>
      <c r="I25" s="288"/>
      <c r="J25" s="292"/>
      <c r="K25" s="10"/>
      <c r="L25" s="292"/>
      <c r="M25" s="292"/>
      <c r="N25" s="292"/>
      <c r="O25" s="10"/>
      <c r="P25" s="9"/>
      <c r="Q25" s="9"/>
      <c r="R25" s="10"/>
      <c r="S25" s="51"/>
      <c r="T25" s="51"/>
      <c r="U25" s="10"/>
      <c r="V25" s="10"/>
      <c r="W25" s="10"/>
      <c r="X25" s="10"/>
      <c r="Y25" s="10"/>
      <c r="Z25" s="10"/>
      <c r="AA25" s="10"/>
      <c r="AB25" s="10"/>
      <c r="AC25" s="15"/>
      <c r="AD25" s="10"/>
      <c r="AE25" s="15"/>
      <c r="AF25" s="15"/>
      <c r="AG25" s="15"/>
      <c r="AH25" s="15"/>
      <c r="AI25" s="15"/>
      <c r="AJ25" s="15"/>
      <c r="AK25" s="15"/>
      <c r="AL25" s="10"/>
      <c r="AM25" s="10"/>
      <c r="AN25" s="10"/>
      <c r="AO25" s="10"/>
      <c r="AP25" s="10"/>
      <c r="AQ25" s="10"/>
      <c r="AR25" s="10"/>
      <c r="AS25" s="10"/>
      <c r="AT25" s="10"/>
      <c r="AU25" s="12"/>
      <c r="AV25" s="554"/>
      <c r="AW25" s="554"/>
      <c r="AX25" s="554"/>
    </row>
    <row r="26" spans="1:50">
      <c r="A26" s="362" t="s">
        <v>24</v>
      </c>
      <c r="B26" s="125"/>
      <c r="C26" s="650"/>
      <c r="D26" s="53"/>
      <c r="E26" s="289"/>
      <c r="F26" s="289"/>
      <c r="G26" s="289"/>
      <c r="H26" s="289"/>
      <c r="I26" s="289"/>
      <c r="J26" s="293"/>
      <c r="K26" s="52"/>
      <c r="L26" s="293"/>
      <c r="M26" s="293"/>
      <c r="N26" s="293"/>
      <c r="O26" s="52"/>
      <c r="P26" s="81"/>
      <c r="Q26" s="81"/>
      <c r="R26" s="53"/>
      <c r="S26" s="65"/>
      <c r="T26" s="65"/>
      <c r="U26" s="540"/>
      <c r="V26" s="168"/>
      <c r="W26" s="541"/>
      <c r="X26" s="53"/>
      <c r="Y26" s="65"/>
      <c r="Z26" s="65"/>
      <c r="AA26" s="540" t="s">
        <v>225</v>
      </c>
      <c r="AB26" s="168" t="e">
        <f>MIN('DDR2 Clocks - 2L'!$R$7:$R$8)</f>
        <v>#REF!</v>
      </c>
      <c r="AC26" s="541" t="e">
        <f>MAX('DDR2 Clocks - 2L'!$R$7:$R$8)</f>
        <v>#REF!</v>
      </c>
      <c r="AD26" s="65"/>
      <c r="AE26" s="65"/>
      <c r="AF26" s="65"/>
      <c r="AG26" s="65"/>
      <c r="AH26" s="65"/>
      <c r="AI26" s="65"/>
      <c r="AJ26" s="52"/>
      <c r="AK26" s="52"/>
      <c r="AL26" s="52"/>
      <c r="AM26" s="52"/>
      <c r="AN26" s="52"/>
      <c r="AO26" s="52"/>
      <c r="AP26" s="52"/>
      <c r="AQ26" s="52"/>
      <c r="AR26" s="52"/>
      <c r="AS26" s="52"/>
      <c r="AT26" s="52"/>
      <c r="AU26" s="58"/>
      <c r="AV26" s="554"/>
      <c r="AW26" s="554"/>
      <c r="AX26" s="554"/>
    </row>
    <row r="27" spans="1:50">
      <c r="A27" s="109" t="s">
        <v>250</v>
      </c>
      <c r="B27" s="117"/>
      <c r="C27" s="651"/>
      <c r="D27" s="62"/>
      <c r="E27" s="290"/>
      <c r="F27" s="290"/>
      <c r="G27" s="290"/>
      <c r="H27" s="290"/>
      <c r="I27" s="290"/>
      <c r="J27" s="294"/>
      <c r="K27" s="54"/>
      <c r="L27" s="294"/>
      <c r="M27" s="294"/>
      <c r="N27" s="294"/>
      <c r="O27" s="54"/>
      <c r="P27" s="54"/>
      <c r="Q27" s="54"/>
      <c r="R27" s="54"/>
      <c r="S27" s="54"/>
      <c r="T27" s="54"/>
      <c r="U27" s="54"/>
      <c r="V27" s="54"/>
      <c r="W27" s="66"/>
      <c r="X27" s="54"/>
      <c r="Y27" s="66"/>
      <c r="Z27" s="66"/>
      <c r="AA27" s="66"/>
      <c r="AB27" s="66"/>
      <c r="AC27" s="67"/>
      <c r="AD27" s="66"/>
      <c r="AE27" s="54"/>
      <c r="AF27" s="54"/>
      <c r="AG27" s="54"/>
      <c r="AH27" s="54"/>
      <c r="AI27" s="54"/>
      <c r="AJ27" s="66"/>
      <c r="AK27" s="66"/>
      <c r="AL27" s="66"/>
      <c r="AM27" s="66"/>
      <c r="AN27" s="66"/>
      <c r="AO27" s="66"/>
      <c r="AP27" s="66"/>
      <c r="AQ27" s="66"/>
      <c r="AR27" s="66"/>
      <c r="AS27" s="66"/>
      <c r="AT27" s="66"/>
      <c r="AU27" s="68"/>
      <c r="AV27" s="554"/>
      <c r="AW27" s="554"/>
      <c r="AX27" s="554"/>
    </row>
    <row r="28" spans="1:50">
      <c r="A28" s="363" t="s">
        <v>102</v>
      </c>
      <c r="B28" s="480" t="s">
        <v>465</v>
      </c>
      <c r="C28" s="635">
        <v>762.24409448818903</v>
      </c>
      <c r="D28" s="18"/>
      <c r="E28" s="277">
        <v>29.7</v>
      </c>
      <c r="F28" s="277">
        <v>0</v>
      </c>
      <c r="G28" s="305">
        <v>1963.14</v>
      </c>
      <c r="H28" s="305">
        <v>94.87</v>
      </c>
      <c r="I28" s="277">
        <v>0</v>
      </c>
      <c r="J28" s="305">
        <v>47.5</v>
      </c>
      <c r="K28" s="277">
        <v>40</v>
      </c>
      <c r="L28" s="305">
        <v>82.71</v>
      </c>
      <c r="M28" s="305">
        <v>1064.27</v>
      </c>
      <c r="N28" s="305">
        <v>140.94999999999999</v>
      </c>
      <c r="O28" s="69"/>
      <c r="P28" s="489">
        <f t="shared" si="1"/>
        <v>2087.71</v>
      </c>
      <c r="Q28" s="489">
        <f t="shared" si="2"/>
        <v>3368.27</v>
      </c>
      <c r="R28" s="597"/>
      <c r="S28" s="489" t="e">
        <f>P28+IF($B$2="mil",1,0.0254)*C28</f>
        <v>#REF!</v>
      </c>
      <c r="T28" s="489" t="e">
        <f>Q28+IF($B$2="mil",1,0.0254)*C28</f>
        <v>#REF!</v>
      </c>
      <c r="U28" s="597"/>
      <c r="V28" s="489" t="e">
        <f>MAX(V$5:W$5)+IF($B$2="mil",1,0.0254)*DDR2Specs!$B$2</f>
        <v>#REF!</v>
      </c>
      <c r="W28" s="489" t="e">
        <f>MIN(V$5:W$5)+IF($B$2="mil",1,0.0254)*DDR2Specs!$C$2</f>
        <v>#REF!</v>
      </c>
      <c r="X28" s="597"/>
      <c r="Y28" s="598" t="e">
        <f t="shared" si="0"/>
        <v>#REF!</v>
      </c>
      <c r="Z28" s="495" t="e">
        <f t="shared" si="3"/>
        <v>#REF!</v>
      </c>
      <c r="AA28" s="21"/>
      <c r="AB28" s="489" t="e">
        <f>MAX(AB$26:AC$26)+IF($B$2="mil",1,0.0254)*DDR2Specs!$E$2</f>
        <v>#REF!</v>
      </c>
      <c r="AC28" s="489" t="e">
        <f>MIN(AB$26:AC$26)+IF($B$2="mil",1,0.0254)*DDR2Specs!$F$2</f>
        <v>#REF!</v>
      </c>
      <c r="AD28" s="21"/>
      <c r="AE28" s="598" t="e">
        <f t="shared" si="4"/>
        <v>#REF!</v>
      </c>
      <c r="AF28" s="495" t="e">
        <f t="shared" si="5"/>
        <v>#REF!</v>
      </c>
      <c r="AG28" s="495" t="e">
        <f>IF((ABS($S28-$S29)&lt;=IF($B$2="mil",1,0.0254)*5),"Pass",ABS($S28-$S29))</f>
        <v>#REF!</v>
      </c>
      <c r="AH28" s="495" t="e">
        <f>IF((ABS($T28-$T29)&lt;=IF($B$2="mil",1,0.0254)*5),"Pass",ABS($T28-$T29))</f>
        <v>#REF!</v>
      </c>
      <c r="AI28" s="495" t="e">
        <f>IF($E28&lt;=IF($B$2="mil",1,0.0254)*50,"Pass",IF($B$2="mil",1,0.0254)*50-$E28)</f>
        <v>#REF!</v>
      </c>
      <c r="AJ28" s="495" t="e">
        <f t="shared" si="6"/>
        <v>#REF!</v>
      </c>
      <c r="AK28" s="495" t="e">
        <f>IF($H28&lt;=IF($B$2="mil",1,0.0254)*250,"Pass",IF($B$2="mil",1,0.0254)*250-$H28)</f>
        <v>#REF!</v>
      </c>
      <c r="AL28" s="495" t="e">
        <f ca="1">CheckLength(IF($B$2="mil",1,0.0254)*1125, IF($B$2="mil",1,0.0254)*125-J28, 0, I28,J28,0)</f>
        <v>#NAME?</v>
      </c>
      <c r="AM28" s="495" t="e">
        <f t="shared" si="7"/>
        <v>#REF!</v>
      </c>
      <c r="AN28" s="495" t="e">
        <f t="shared" si="8"/>
        <v>#REF!</v>
      </c>
      <c r="AO28" s="495" t="e">
        <f ca="1">CheckLength(IF($B$2="mil",1,0.0254)*1525, 125-L28, IF($B$2="mil",1,0.0254)*150-N28, M28,L28,N28)</f>
        <v>#NAME?</v>
      </c>
      <c r="AP28" s="495" t="e">
        <f ca="1">CheckLength2(IF($B$2="mil",1,0.0254)*1400,M28,N28,0)</f>
        <v>#NAME?</v>
      </c>
      <c r="AQ28" s="495" t="e">
        <f>IF(AND($P28&gt;=IF($B$2="mil",1,0.0254)*500, $P28&lt;=IF($B$2="mil",1,0.0254)*4000),"Pass",IF($B$2="mil",1,0.0254)*4000-$P28)</f>
        <v>#REF!</v>
      </c>
      <c r="AR28" s="495" t="e">
        <f>IF(AND($S28&gt;=IF($B$2="mil",1,0.0254)*500, $S28&lt;=IF($B$2="mil",1,0.0254)*4500),"Pass",IF($B$2="mil",1,0.0254)*4500-$S28)</f>
        <v>#REF!</v>
      </c>
      <c r="AS28" s="495" t="e">
        <f>IF(AND($Q28&gt;=IF($B$2="mil",1,0.0254)*500, $Q28&lt;=IF($B$2="mil",1,0.0254)*5500),"Pass",IF($B$2="mil",1,0.0254)*5500-$Q28)</f>
        <v>#REF!</v>
      </c>
      <c r="AT28" s="495" t="e">
        <f>IF(AND($T28&gt;=IF($B$2="mil",1,0.0254)*500, $T28&lt;=IF($B$2="mil",1,0.0254)*6000),"Pass",IF($B$2="mil",1,0.0254)*6000-$T28)</f>
        <v>#REF!</v>
      </c>
      <c r="AU28" s="21"/>
      <c r="AV28" s="554" t="e">
        <f t="shared" ca="1" si="9"/>
        <v>#REF!</v>
      </c>
      <c r="AW28" s="554"/>
      <c r="AX28" s="554"/>
    </row>
    <row r="29" spans="1:50">
      <c r="A29" s="363" t="s">
        <v>103</v>
      </c>
      <c r="B29" s="480" t="s">
        <v>472</v>
      </c>
      <c r="C29" s="635">
        <v>762.24409448818903</v>
      </c>
      <c r="D29" s="18"/>
      <c r="E29" s="277">
        <v>29.7</v>
      </c>
      <c r="F29" s="277">
        <v>0</v>
      </c>
      <c r="G29" s="305">
        <v>1945.14</v>
      </c>
      <c r="H29" s="305">
        <v>111.35</v>
      </c>
      <c r="I29" s="277">
        <v>0</v>
      </c>
      <c r="J29" s="305">
        <v>99.07</v>
      </c>
      <c r="K29" s="277">
        <v>40</v>
      </c>
      <c r="L29" s="305">
        <v>90</v>
      </c>
      <c r="M29" s="305">
        <v>1047.45</v>
      </c>
      <c r="N29" s="305">
        <v>116.28</v>
      </c>
      <c r="O29" s="69"/>
      <c r="P29" s="489">
        <f t="shared" si="1"/>
        <v>2086.19</v>
      </c>
      <c r="Q29" s="489">
        <f t="shared" si="2"/>
        <v>3367.6400000000008</v>
      </c>
      <c r="R29" s="597"/>
      <c r="S29" s="489" t="e">
        <f>P29+IF($B$2="mil",1,0.0254)*C29</f>
        <v>#REF!</v>
      </c>
      <c r="T29" s="489" t="e">
        <f>Q29+IF($B$2="mil",1,0.0254)*C29</f>
        <v>#REF!</v>
      </c>
      <c r="U29" s="597"/>
      <c r="V29" s="489" t="e">
        <f>MAX(V$5:W$5)+IF($B$2="mil",1,0.0254)*DDR2Specs!$B$2</f>
        <v>#REF!</v>
      </c>
      <c r="W29" s="489" t="e">
        <f>MIN(V$5:W$5)+IF($B$2="mil",1,0.0254)*DDR2Specs!$C$2</f>
        <v>#REF!</v>
      </c>
      <c r="X29" s="597"/>
      <c r="Y29" s="598" t="e">
        <f t="shared" si="0"/>
        <v>#REF!</v>
      </c>
      <c r="Z29" s="495" t="e">
        <f t="shared" si="3"/>
        <v>#REF!</v>
      </c>
      <c r="AA29" s="21"/>
      <c r="AB29" s="489" t="e">
        <f>MAX(AB$26:AC$26)+IF($B$2="mil",1,0.0254)*DDR2Specs!$E$2</f>
        <v>#REF!</v>
      </c>
      <c r="AC29" s="489" t="e">
        <f>MIN(AB$26:AC$26)+IF($B$2="mil",1,0.0254)*DDR2Specs!$F$2</f>
        <v>#REF!</v>
      </c>
      <c r="AD29" s="21"/>
      <c r="AE29" s="598" t="e">
        <f t="shared" si="4"/>
        <v>#REF!</v>
      </c>
      <c r="AF29" s="495" t="e">
        <f t="shared" si="5"/>
        <v>#REF!</v>
      </c>
      <c r="AG29" s="495" t="e">
        <f>IF((ABS($S29-$S28)&lt;=IF($B$2="mil",1,0.0254)*5),"Pass",ABS($S29-$S28))</f>
        <v>#REF!</v>
      </c>
      <c r="AH29" s="495" t="e">
        <f>IF((ABS($T29-$T28)&lt;=IF($B$2="mil",1,0.0254)*5),"Pass",ABS($T29-$T28))</f>
        <v>#REF!</v>
      </c>
      <c r="AI29" s="495" t="e">
        <f>IF($E29&lt;=IF($B$2="mil",1,0.0254)*50,"Pass",IF($B$2="mil",1,0.0254)*50-$E29)</f>
        <v>#REF!</v>
      </c>
      <c r="AJ29" s="495" t="e">
        <f t="shared" si="6"/>
        <v>#REF!</v>
      </c>
      <c r="AK29" s="495" t="e">
        <f>IF($H29&lt;=IF($B$2="mil",1,0.0254)*250,"Pass",IF($B$2="mil",1,0.0254)*250-$H29)</f>
        <v>#REF!</v>
      </c>
      <c r="AL29" s="495" t="e">
        <f ca="1">CheckLength(IF($B$2="mil",1,0.0254)*1125, IF($B$2="mil",1,0.0254)*125-J29, 0, I29,J29,0)</f>
        <v>#NAME?</v>
      </c>
      <c r="AM29" s="495" t="e">
        <f t="shared" si="7"/>
        <v>#REF!</v>
      </c>
      <c r="AN29" s="495" t="e">
        <f t="shared" si="8"/>
        <v>#REF!</v>
      </c>
      <c r="AO29" s="495" t="e">
        <f ca="1">CheckLength(IF($B$2="mil",1,0.0254)*1525, 125-L29, IF($B$2="mil",1,0.0254)*150-N29, M29,L29,N29)</f>
        <v>#NAME?</v>
      </c>
      <c r="AP29" s="495" t="e">
        <f ca="1">CheckLength2(IF($B$2="mil",1,0.0254)*1400,M29,N29,0)</f>
        <v>#NAME?</v>
      </c>
      <c r="AQ29" s="495" t="e">
        <f>IF(AND($P29&gt;=IF($B$2="mil",1,0.0254)*500, $P29&lt;=IF($B$2="mil",1,0.0254)*4000),"Pass",IF($B$2="mil",1,0.0254)*4000-$P29)</f>
        <v>#REF!</v>
      </c>
      <c r="AR29" s="495" t="e">
        <f>IF(AND($S29&gt;=IF($B$2="mil",1,0.0254)*500, $S29&lt;=IF($B$2="mil",1,0.0254)*4500),"Pass",IF($B$2="mil",1,0.0254)*4500-$S29)</f>
        <v>#REF!</v>
      </c>
      <c r="AS29" s="495" t="e">
        <f>IF(AND($Q29&gt;=IF($B$2="mil",1,0.0254)*500, $Q29&lt;=IF($B$2="mil",1,0.0254)*5500),"Pass",IF($B$2="mil",1,0.0254)*5500-$Q29)</f>
        <v>#REF!</v>
      </c>
      <c r="AT29" s="495" t="e">
        <f>IF(AND($T29&gt;=IF($B$2="mil",1,0.0254)*500, $T29&lt;=IF($B$2="mil",1,0.0254)*6000),"Pass",IF($B$2="mil",1,0.0254)*6000-$T29)</f>
        <v>#REF!</v>
      </c>
      <c r="AU29" s="21"/>
      <c r="AV29" s="554" t="e">
        <f t="shared" ca="1" si="9"/>
        <v>#REF!</v>
      </c>
      <c r="AW29" s="554"/>
      <c r="AX29" s="554"/>
    </row>
    <row r="30" spans="1:50">
      <c r="A30" s="363" t="s">
        <v>105</v>
      </c>
      <c r="B30" s="480" t="s">
        <v>466</v>
      </c>
      <c r="C30" s="635">
        <v>624.48818897637796</v>
      </c>
      <c r="D30" s="18"/>
      <c r="E30" s="277">
        <v>29.7</v>
      </c>
      <c r="F30" s="277">
        <v>0</v>
      </c>
      <c r="G30" s="305">
        <v>2099.61</v>
      </c>
      <c r="H30" s="305">
        <v>68.91</v>
      </c>
      <c r="I30" s="277">
        <v>0</v>
      </c>
      <c r="J30" s="305">
        <v>56.64</v>
      </c>
      <c r="K30" s="277">
        <v>40</v>
      </c>
      <c r="L30" s="305">
        <v>48.71</v>
      </c>
      <c r="M30" s="305">
        <v>991.29</v>
      </c>
      <c r="N30" s="305">
        <v>71.099999999999994</v>
      </c>
      <c r="O30" s="69"/>
      <c r="P30" s="489">
        <f t="shared" si="1"/>
        <v>2198.2199999999998</v>
      </c>
      <c r="Q30" s="489">
        <f t="shared" si="2"/>
        <v>3337.0499999999997</v>
      </c>
      <c r="R30" s="597"/>
      <c r="S30" s="489" t="e">
        <f>P30+IF($B$2="mil",1,0.0254)*C30</f>
        <v>#REF!</v>
      </c>
      <c r="T30" s="489" t="e">
        <f>Q30+IF($B$2="mil",1,0.0254)*C30</f>
        <v>#REF!</v>
      </c>
      <c r="U30" s="597"/>
      <c r="V30" s="489" t="e">
        <f>MAX(V$5:W$5)+IF($B$2="mil",1,0.0254)*DDR2Specs!$B$2</f>
        <v>#REF!</v>
      </c>
      <c r="W30" s="489" t="e">
        <f>MIN(V$5:W$5)+IF($B$2="mil",1,0.0254)*DDR2Specs!$C$2</f>
        <v>#REF!</v>
      </c>
      <c r="X30" s="597"/>
      <c r="Y30" s="598" t="e">
        <f t="shared" si="0"/>
        <v>#REF!</v>
      </c>
      <c r="Z30" s="495" t="e">
        <f t="shared" si="3"/>
        <v>#REF!</v>
      </c>
      <c r="AA30" s="21"/>
      <c r="AB30" s="489" t="e">
        <f>MAX(AB$26:AC$26)+IF($B$2="mil",1,0.0254)*DDR2Specs!$E$2</f>
        <v>#REF!</v>
      </c>
      <c r="AC30" s="489" t="e">
        <f>MIN(AB$26:AC$26)+IF($B$2="mil",1,0.0254)*DDR2Specs!$F$2</f>
        <v>#REF!</v>
      </c>
      <c r="AD30" s="21"/>
      <c r="AE30" s="598" t="e">
        <f t="shared" si="4"/>
        <v>#REF!</v>
      </c>
      <c r="AF30" s="495" t="e">
        <f t="shared" si="5"/>
        <v>#REF!</v>
      </c>
      <c r="AG30" s="495" t="e">
        <f>IF((ABS($S30-$S31)&lt;=IF($B$2="mil",1,0.0254)*5),"Pass",ABS($S30-$S31))</f>
        <v>#REF!</v>
      </c>
      <c r="AH30" s="495" t="e">
        <f>IF((ABS($T30-$T31)&lt;=IF($B$2="mil",1,0.0254)*5),"Pass",ABS($T30-$T31))</f>
        <v>#REF!</v>
      </c>
      <c r="AI30" s="495" t="e">
        <f>IF($E30&lt;=IF($B$2="mil",1,0.0254)*50,"Pass",IF($B$2="mil",1,0.0254)*50-$E30)</f>
        <v>#REF!</v>
      </c>
      <c r="AJ30" s="495" t="e">
        <f t="shared" si="6"/>
        <v>#REF!</v>
      </c>
      <c r="AK30" s="495" t="e">
        <f>IF($H30&lt;=IF($B$2="mil",1,0.0254)*250,"Pass",IF($B$2="mil",1,0.0254)*250-$H30)</f>
        <v>#REF!</v>
      </c>
      <c r="AL30" s="495" t="e">
        <f ca="1">CheckLength(IF($B$2="mil",1,0.0254)*1125, IF($B$2="mil",1,0.0254)*125-J30, 0, I30,J30,0)</f>
        <v>#NAME?</v>
      </c>
      <c r="AM30" s="495" t="e">
        <f t="shared" si="7"/>
        <v>#REF!</v>
      </c>
      <c r="AN30" s="495" t="e">
        <f t="shared" si="8"/>
        <v>#REF!</v>
      </c>
      <c r="AO30" s="495" t="e">
        <f ca="1">CheckLength(IF($B$2="mil",1,0.0254)*1525, 125-L30, IF($B$2="mil",1,0.0254)*150-N30, M30,L30,N30)</f>
        <v>#NAME?</v>
      </c>
      <c r="AP30" s="495" t="e">
        <f ca="1">CheckLength2(IF($B$2="mil",1,0.0254)*1400,M30,N30,0)</f>
        <v>#NAME?</v>
      </c>
      <c r="AQ30" s="495" t="e">
        <f>IF(AND($P30&gt;=IF($B$2="mil",1,0.0254)*500, $P30&lt;=IF($B$2="mil",1,0.0254)*4000),"Pass",IF($B$2="mil",1,0.0254)*4000-$P30)</f>
        <v>#REF!</v>
      </c>
      <c r="AR30" s="495" t="e">
        <f>IF(AND($S30&gt;=IF($B$2="mil",1,0.0254)*500, $S30&lt;=IF($B$2="mil",1,0.0254)*4500),"Pass",IF($B$2="mil",1,0.0254)*4500-$S30)</f>
        <v>#REF!</v>
      </c>
      <c r="AS30" s="495" t="e">
        <f>IF(AND($Q30&gt;=IF($B$2="mil",1,0.0254)*500, $Q30&lt;=IF($B$2="mil",1,0.0254)*5500),"Pass",IF($B$2="mil",1,0.0254)*5500-$Q30)</f>
        <v>#REF!</v>
      </c>
      <c r="AT30" s="495" t="e">
        <f>IF(AND($T30&gt;=IF($B$2="mil",1,0.0254)*500, $T30&lt;=IF($B$2="mil",1,0.0254)*6000),"Pass",IF($B$2="mil",1,0.0254)*6000-$T30)</f>
        <v>#REF!</v>
      </c>
      <c r="AU30" s="21"/>
      <c r="AV30" s="554" t="e">
        <f t="shared" ca="1" si="9"/>
        <v>#REF!</v>
      </c>
      <c r="AW30" s="554"/>
      <c r="AX30" s="554"/>
    </row>
    <row r="31" spans="1:50">
      <c r="A31" s="363" t="s">
        <v>106</v>
      </c>
      <c r="B31" s="480" t="s">
        <v>473</v>
      </c>
      <c r="C31" s="635">
        <v>624.48818897637796</v>
      </c>
      <c r="D31" s="18"/>
      <c r="E31" s="277">
        <v>29.7</v>
      </c>
      <c r="F31" s="277">
        <v>0</v>
      </c>
      <c r="G31" s="305">
        <v>2098.02</v>
      </c>
      <c r="H31" s="305">
        <v>69.819999999999993</v>
      </c>
      <c r="I31" s="277">
        <v>0</v>
      </c>
      <c r="J31" s="305">
        <v>58.71</v>
      </c>
      <c r="K31" s="277">
        <v>40</v>
      </c>
      <c r="L31" s="305">
        <v>87.86</v>
      </c>
      <c r="M31" s="305">
        <v>987.79</v>
      </c>
      <c r="N31" s="305">
        <v>33.590000000000003</v>
      </c>
      <c r="O31" s="69"/>
      <c r="P31" s="489">
        <f t="shared" si="1"/>
        <v>2197.54</v>
      </c>
      <c r="Q31" s="489">
        <f t="shared" si="2"/>
        <v>3335.67</v>
      </c>
      <c r="R31" s="597"/>
      <c r="S31" s="489" t="e">
        <f>P31+IF($B$2="mil",1,0.0254)*C31</f>
        <v>#REF!</v>
      </c>
      <c r="T31" s="489" t="e">
        <f>Q31+IF($B$2="mil",1,0.0254)*C31</f>
        <v>#REF!</v>
      </c>
      <c r="U31" s="597"/>
      <c r="V31" s="489" t="e">
        <f>MAX(V$5:W$5)+IF($B$2="mil",1,0.0254)*DDR2Specs!$B$2</f>
        <v>#REF!</v>
      </c>
      <c r="W31" s="489" t="e">
        <f>MIN(V$5:W$5)+IF($B$2="mil",1,0.0254)*DDR2Specs!$C$2</f>
        <v>#REF!</v>
      </c>
      <c r="X31" s="597"/>
      <c r="Y31" s="598" t="e">
        <f t="shared" si="0"/>
        <v>#REF!</v>
      </c>
      <c r="Z31" s="495" t="e">
        <f t="shared" si="3"/>
        <v>#REF!</v>
      </c>
      <c r="AA31" s="21"/>
      <c r="AB31" s="489" t="e">
        <f>MAX(AB$26:AC$26)+IF($B$2="mil",1,0.0254)*DDR2Specs!$E$2</f>
        <v>#REF!</v>
      </c>
      <c r="AC31" s="489" t="e">
        <f>MIN(AB$26:AC$26)+IF($B$2="mil",1,0.0254)*DDR2Specs!$F$2</f>
        <v>#REF!</v>
      </c>
      <c r="AD31" s="21"/>
      <c r="AE31" s="598" t="e">
        <f t="shared" si="4"/>
        <v>#REF!</v>
      </c>
      <c r="AF31" s="495" t="e">
        <f t="shared" si="5"/>
        <v>#REF!</v>
      </c>
      <c r="AG31" s="495" t="e">
        <f>IF((ABS($S31-$S30)&lt;=IF($B$2="mil",1,0.0254)*5),"Pass",ABS($S31-$S30))</f>
        <v>#REF!</v>
      </c>
      <c r="AH31" s="495" t="e">
        <f>IF((ABS($T31-$T30)&lt;=IF($B$2="mil",1,0.0254)*5),"Pass",ABS($T31-$T30))</f>
        <v>#REF!</v>
      </c>
      <c r="AI31" s="495" t="e">
        <f>IF($E31&lt;=IF($B$2="mil",1,0.0254)*50,"Pass",IF($B$2="mil",1,0.0254)*50-$E31)</f>
        <v>#REF!</v>
      </c>
      <c r="AJ31" s="495" t="e">
        <f t="shared" si="6"/>
        <v>#REF!</v>
      </c>
      <c r="AK31" s="495" t="e">
        <f>IF($H31&lt;=IF($B$2="mil",1,0.0254)*250,"Pass",IF($B$2="mil",1,0.0254)*250-$H31)</f>
        <v>#REF!</v>
      </c>
      <c r="AL31" s="495" t="e">
        <f ca="1">CheckLength(IF($B$2="mil",1,0.0254)*1125, IF($B$2="mil",1,0.0254)*125-J31, 0, I31,J31,0)</f>
        <v>#NAME?</v>
      </c>
      <c r="AM31" s="495" t="e">
        <f t="shared" si="7"/>
        <v>#REF!</v>
      </c>
      <c r="AN31" s="495" t="e">
        <f t="shared" si="8"/>
        <v>#REF!</v>
      </c>
      <c r="AO31" s="495" t="e">
        <f ca="1">CheckLength(IF($B$2="mil",1,0.0254)*1525, 125-L31, IF($B$2="mil",1,0.0254)*150-N31, M31,L31,N31)</f>
        <v>#NAME?</v>
      </c>
      <c r="AP31" s="495" t="e">
        <f ca="1">CheckLength2(IF($B$2="mil",1,0.0254)*1400,M31,N31,0)</f>
        <v>#NAME?</v>
      </c>
      <c r="AQ31" s="495" t="e">
        <f>IF(AND($P31&gt;=IF($B$2="mil",1,0.0254)*500, $P31&lt;=IF($B$2="mil",1,0.0254)*4000),"Pass",IF($B$2="mil",1,0.0254)*4000-$P31)</f>
        <v>#REF!</v>
      </c>
      <c r="AR31" s="495" t="e">
        <f>IF(AND($S31&gt;=IF($B$2="mil",1,0.0254)*500, $S31&lt;=IF($B$2="mil",1,0.0254)*4500),"Pass",IF($B$2="mil",1,0.0254)*4500-$S31)</f>
        <v>#REF!</v>
      </c>
      <c r="AS31" s="495" t="e">
        <f>IF(AND($Q31&gt;=IF($B$2="mil",1,0.0254)*500, $Q31&lt;=IF($B$2="mil",1,0.0254)*5500),"Pass",IF($B$2="mil",1,0.0254)*5500-$Q31)</f>
        <v>#REF!</v>
      </c>
      <c r="AT31" s="495" t="e">
        <f>IF(AND($T31&gt;=IF($B$2="mil",1,0.0254)*500, $T31&lt;=IF($B$2="mil",1,0.0254)*6000),"Pass",IF($B$2="mil",1,0.0254)*6000-$T31)</f>
        <v>#REF!</v>
      </c>
      <c r="AU31" s="21"/>
      <c r="AV31" s="554" t="e">
        <f t="shared" ca="1" si="9"/>
        <v>#REF!</v>
      </c>
      <c r="AW31" s="554"/>
      <c r="AX31" s="554"/>
    </row>
    <row r="32" spans="1:50" s="22" customFormat="1">
      <c r="A32" s="70"/>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554"/>
      <c r="AW32" s="599"/>
      <c r="AX32" s="599"/>
    </row>
    <row r="33" spans="1:58" ht="25.5">
      <c r="A33" s="48" t="s">
        <v>9</v>
      </c>
      <c r="B33" s="24"/>
      <c r="C33" s="26"/>
      <c r="D33" s="26"/>
      <c r="E33" s="24"/>
      <c r="F33" s="24"/>
      <c r="G33" s="26"/>
      <c r="H33" s="24"/>
      <c r="I33" s="24"/>
      <c r="J33" s="24"/>
      <c r="K33" s="24"/>
      <c r="L33" s="24"/>
      <c r="M33" s="24"/>
      <c r="N33" s="24"/>
      <c r="O33" s="24"/>
      <c r="P33" s="24"/>
      <c r="Q33" s="24"/>
      <c r="R33" s="24"/>
      <c r="S33" s="24"/>
      <c r="T33" s="24"/>
      <c r="U33" s="24"/>
      <c r="V33" s="24"/>
      <c r="W33" s="24"/>
      <c r="X33" s="24"/>
      <c r="Y33" s="24"/>
      <c r="Z33" s="24"/>
      <c r="AA33" s="24"/>
      <c r="AB33" s="26"/>
      <c r="AC33" s="26"/>
      <c r="AD33" s="24"/>
      <c r="AE33" s="26"/>
      <c r="AF33" s="26"/>
      <c r="AG33" s="26"/>
      <c r="AH33" s="26"/>
      <c r="AI33" s="26"/>
      <c r="AJ33" s="72"/>
      <c r="AK33" s="72"/>
      <c r="AL33" s="72"/>
      <c r="AM33" s="72"/>
      <c r="AN33" s="72"/>
      <c r="AO33" s="72"/>
      <c r="AP33" s="72"/>
      <c r="AQ33" s="72"/>
      <c r="AR33" s="72"/>
      <c r="AS33" s="72"/>
      <c r="AT33" s="72"/>
      <c r="AU33" s="24"/>
      <c r="AV33" s="24"/>
      <c r="AW33" s="24"/>
      <c r="AX33" s="554"/>
      <c r="AY33" s="55"/>
      <c r="AZ33" s="55"/>
      <c r="BA33" s="55"/>
      <c r="BB33" s="55"/>
      <c r="BC33" s="55"/>
      <c r="BD33" s="55"/>
      <c r="BF33" s="73"/>
    </row>
    <row r="34" spans="1:58">
      <c r="A34" s="24"/>
      <c r="B34" s="26"/>
      <c r="C34" s="26"/>
      <c r="D34" s="26"/>
      <c r="E34" s="24"/>
      <c r="F34" s="24"/>
      <c r="G34" s="26"/>
      <c r="H34" s="24"/>
      <c r="I34" s="24"/>
      <c r="J34" s="24"/>
      <c r="K34" s="24"/>
      <c r="L34" s="24"/>
      <c r="M34" s="24"/>
      <c r="N34" s="24"/>
      <c r="O34" s="24"/>
      <c r="P34" s="24"/>
      <c r="Q34" s="24"/>
      <c r="R34" s="24"/>
      <c r="S34" s="24"/>
      <c r="T34" s="24"/>
      <c r="U34" s="24"/>
      <c r="V34" s="24"/>
      <c r="W34" s="24"/>
      <c r="X34" s="24"/>
      <c r="Y34" s="24"/>
      <c r="Z34" s="24"/>
      <c r="AA34" s="24"/>
      <c r="AB34" s="26"/>
      <c r="AC34" s="26"/>
      <c r="AD34" s="24"/>
      <c r="AE34" s="26"/>
      <c r="AF34" s="26"/>
      <c r="AG34" s="26"/>
      <c r="AH34" s="26"/>
      <c r="AI34" s="26"/>
      <c r="AJ34" s="72"/>
      <c r="AK34" s="72"/>
      <c r="AL34" s="72"/>
      <c r="AM34" s="72"/>
      <c r="AN34" s="72"/>
      <c r="AO34" s="72"/>
      <c r="AP34" s="72"/>
      <c r="AQ34" s="72"/>
      <c r="AR34" s="72"/>
      <c r="AS34" s="72"/>
      <c r="AT34" s="72"/>
      <c r="AU34" s="24"/>
      <c r="AV34" s="24"/>
      <c r="AW34" s="24"/>
      <c r="AX34" s="554"/>
    </row>
    <row r="35" spans="1:58">
      <c r="E35" s="77"/>
      <c r="N35" s="6" t="s">
        <v>107</v>
      </c>
      <c r="AJ35" s="78"/>
      <c r="AT35" s="74"/>
      <c r="AX35" s="554"/>
      <c r="AZ35" s="78"/>
    </row>
    <row r="36" spans="1:58">
      <c r="H36" s="3"/>
      <c r="I36" s="3"/>
      <c r="J36" s="3"/>
      <c r="K36" s="3"/>
      <c r="L36" s="3"/>
      <c r="M36" s="3"/>
      <c r="N36" s="3"/>
      <c r="O36" s="3"/>
    </row>
    <row r="37" spans="1:58">
      <c r="AC37" s="5" t="s">
        <v>107</v>
      </c>
    </row>
    <row r="38" spans="1:58">
      <c r="U38" s="75"/>
      <c r="V38" s="75"/>
      <c r="W38" s="75"/>
      <c r="X38" s="75"/>
      <c r="Y38" s="75"/>
      <c r="Z38" s="75"/>
      <c r="AA38" s="75"/>
      <c r="AB38" s="4"/>
      <c r="AC38" s="4"/>
      <c r="AD38" s="75"/>
      <c r="AE38" s="4"/>
      <c r="AF38" s="4"/>
      <c r="AG38" s="4"/>
      <c r="AH38" s="4"/>
      <c r="AI38" s="4"/>
    </row>
    <row r="39" spans="1:58">
      <c r="U39" s="75"/>
      <c r="V39" s="75"/>
      <c r="W39" s="75"/>
      <c r="X39" s="75"/>
      <c r="Y39" s="75"/>
      <c r="Z39" s="75"/>
      <c r="AA39" s="75"/>
      <c r="AB39" s="4"/>
      <c r="AC39" s="4"/>
      <c r="AD39" s="75"/>
      <c r="AE39" s="4"/>
      <c r="AF39" s="4"/>
      <c r="AG39" s="4"/>
      <c r="AH39" s="4"/>
      <c r="AI39" s="4"/>
    </row>
    <row r="40" spans="1:58">
      <c r="U40" s="75"/>
      <c r="V40" s="75"/>
      <c r="W40" s="75"/>
      <c r="X40" s="75"/>
      <c r="Y40" s="75"/>
      <c r="Z40" s="75"/>
      <c r="AA40" s="75"/>
      <c r="AB40" s="4"/>
      <c r="AC40" s="4"/>
      <c r="AD40" s="75"/>
      <c r="AE40" s="4"/>
      <c r="AF40" s="4"/>
      <c r="AG40" s="4"/>
      <c r="AH40" s="4"/>
      <c r="AI40" s="4"/>
    </row>
    <row r="41" spans="1:58">
      <c r="U41" s="75"/>
      <c r="V41" s="75"/>
      <c r="W41" s="75"/>
      <c r="X41" s="75"/>
      <c r="Y41" s="75"/>
      <c r="Z41" s="75"/>
      <c r="AA41" s="75"/>
      <c r="AB41" s="4"/>
      <c r="AC41" s="4"/>
      <c r="AD41" s="75"/>
      <c r="AE41" s="4"/>
      <c r="AF41" s="4"/>
      <c r="AG41" s="4"/>
      <c r="AH41" s="4"/>
      <c r="AI41" s="4"/>
    </row>
    <row r="42" spans="1:58">
      <c r="U42" s="75"/>
      <c r="V42" s="55"/>
      <c r="W42" s="75"/>
      <c r="X42" s="75"/>
      <c r="Y42" s="75"/>
      <c r="Z42" s="75"/>
      <c r="AA42" s="75"/>
      <c r="AB42" s="4"/>
      <c r="AC42" s="4"/>
      <c r="AD42" s="75"/>
      <c r="AE42" s="4"/>
      <c r="AF42" s="4"/>
      <c r="AG42" s="4"/>
      <c r="AH42" s="4"/>
      <c r="AI42" s="4"/>
    </row>
    <row r="43" spans="1:58">
      <c r="U43" s="75"/>
      <c r="V43" s="75"/>
      <c r="W43" s="75"/>
      <c r="X43" s="75"/>
      <c r="Y43" s="75"/>
      <c r="Z43" s="75"/>
      <c r="AA43" s="75"/>
      <c r="AB43" s="4"/>
      <c r="AC43" s="4"/>
      <c r="AD43" s="75"/>
      <c r="AE43" s="4"/>
      <c r="AF43" s="4"/>
      <c r="AG43" s="4"/>
      <c r="AH43" s="4"/>
      <c r="AI43" s="4"/>
    </row>
    <row r="44" spans="1:58">
      <c r="U44" s="75"/>
      <c r="V44" s="75"/>
      <c r="W44" s="75"/>
      <c r="X44" s="75"/>
      <c r="Y44" s="75"/>
      <c r="Z44" s="75"/>
      <c r="AA44" s="75"/>
      <c r="AB44" s="4"/>
      <c r="AC44" s="4"/>
      <c r="AD44" s="75"/>
      <c r="AE44" s="4"/>
      <c r="AF44" s="4"/>
      <c r="AG44" s="4"/>
      <c r="AH44" s="4"/>
      <c r="AI44" s="4"/>
    </row>
    <row r="45" spans="1:58">
      <c r="U45" s="75"/>
      <c r="V45" s="75"/>
      <c r="W45" s="75"/>
      <c r="X45" s="75"/>
      <c r="Y45" s="75"/>
      <c r="Z45" s="75"/>
      <c r="AA45" s="75"/>
      <c r="AB45" s="4"/>
      <c r="AC45" s="4"/>
      <c r="AD45" s="75"/>
      <c r="AE45" s="4"/>
      <c r="AF45" s="4"/>
      <c r="AG45" s="4"/>
      <c r="AH45" s="4"/>
      <c r="AI45" s="4"/>
    </row>
    <row r="46" spans="1:58">
      <c r="U46" s="75"/>
      <c r="V46" s="75"/>
      <c r="W46" s="75"/>
      <c r="X46" s="75"/>
      <c r="Y46" s="75"/>
      <c r="Z46" s="75"/>
      <c r="AA46" s="75"/>
      <c r="AB46" s="4"/>
      <c r="AC46" s="4"/>
      <c r="AD46" s="75"/>
      <c r="AE46" s="4"/>
      <c r="AF46" s="4"/>
      <c r="AG46" s="4"/>
      <c r="AH46" s="4"/>
      <c r="AI46" s="4"/>
    </row>
    <row r="47" spans="1:58">
      <c r="U47" s="75"/>
      <c r="V47" s="75"/>
      <c r="W47" s="75"/>
      <c r="X47" s="75"/>
      <c r="Y47" s="75"/>
      <c r="Z47" s="75"/>
      <c r="AA47" s="75"/>
      <c r="AB47" s="4"/>
      <c r="AC47" s="4"/>
      <c r="AD47" s="75"/>
      <c r="AE47" s="4"/>
      <c r="AF47" s="4"/>
      <c r="AG47" s="4"/>
      <c r="AH47" s="4"/>
      <c r="AI47" s="4"/>
    </row>
    <row r="48" spans="1:58">
      <c r="U48" s="75"/>
      <c r="V48" s="75"/>
      <c r="W48" s="75"/>
      <c r="X48" s="75"/>
      <c r="Y48" s="75"/>
      <c r="Z48" s="75"/>
      <c r="AA48" s="75"/>
      <c r="AB48" s="4"/>
      <c r="AC48" s="4"/>
      <c r="AD48" s="75"/>
      <c r="AE48" s="4"/>
      <c r="AF48" s="4"/>
      <c r="AG48" s="4"/>
      <c r="AH48" s="4"/>
      <c r="AI48" s="4"/>
    </row>
    <row r="49" spans="10:49">
      <c r="U49" s="75"/>
      <c r="V49" s="75"/>
      <c r="W49" s="75"/>
      <c r="X49" s="75"/>
      <c r="Y49" s="75"/>
      <c r="Z49" s="75"/>
      <c r="AA49" s="75"/>
      <c r="AB49" s="4"/>
      <c r="AC49" s="4"/>
      <c r="AD49" s="75"/>
      <c r="AE49" s="4"/>
      <c r="AF49" s="4"/>
      <c r="AG49" s="4"/>
      <c r="AH49" s="4"/>
      <c r="AI49" s="4"/>
    </row>
    <row r="50" spans="10:49">
      <c r="K50" s="6" t="s">
        <v>297</v>
      </c>
      <c r="O50" s="76"/>
      <c r="P50" s="76"/>
      <c r="T50" s="75"/>
      <c r="U50" s="75"/>
      <c r="V50" s="75"/>
      <c r="W50" s="75"/>
      <c r="X50" s="75"/>
      <c r="Y50" s="75"/>
      <c r="Z50" s="75"/>
      <c r="AA50" s="4"/>
      <c r="AB50" s="4"/>
      <c r="AC50" s="75"/>
      <c r="AD50" s="4"/>
      <c r="AE50" s="4"/>
      <c r="AF50" s="4"/>
      <c r="AG50" s="4"/>
      <c r="AH50" s="4"/>
      <c r="AT50" s="6"/>
      <c r="AW50" s="3"/>
    </row>
    <row r="51" spans="10:49">
      <c r="J51" s="6" t="s">
        <v>289</v>
      </c>
      <c r="K51" s="6" t="s">
        <v>245</v>
      </c>
      <c r="O51" s="76"/>
      <c r="P51" s="76"/>
      <c r="T51" s="75"/>
      <c r="U51" s="75"/>
      <c r="V51" s="75"/>
      <c r="W51" s="75"/>
      <c r="X51" s="75"/>
      <c r="Y51" s="75"/>
      <c r="Z51" s="75"/>
      <c r="AA51" s="4"/>
      <c r="AB51" s="4"/>
      <c r="AC51" s="75"/>
      <c r="AD51" s="4"/>
      <c r="AE51" s="4"/>
      <c r="AF51" s="4"/>
      <c r="AG51" s="4"/>
      <c r="AH51" s="4"/>
      <c r="AT51" s="6"/>
      <c r="AW51" s="3"/>
    </row>
    <row r="52" spans="10:49">
      <c r="J52" s="6" t="s">
        <v>290</v>
      </c>
      <c r="K52" s="6" t="s">
        <v>245</v>
      </c>
      <c r="T52" s="75"/>
      <c r="U52" s="75"/>
      <c r="V52" s="75"/>
      <c r="W52" s="75"/>
      <c r="X52" s="75"/>
      <c r="Y52" s="75"/>
      <c r="Z52" s="75"/>
      <c r="AA52" s="4"/>
      <c r="AB52" s="4"/>
      <c r="AC52" s="75"/>
      <c r="AD52" s="4"/>
      <c r="AE52" s="4"/>
      <c r="AF52" s="4"/>
      <c r="AG52" s="4"/>
      <c r="AH52" s="4"/>
      <c r="AT52" s="6"/>
      <c r="AW52" s="3"/>
    </row>
    <row r="53" spans="10:49">
      <c r="J53" s="6" t="s">
        <v>291</v>
      </c>
      <c r="K53" s="6" t="s">
        <v>246</v>
      </c>
      <c r="T53" s="75"/>
      <c r="U53" s="75"/>
      <c r="V53" s="75"/>
      <c r="W53" s="75"/>
      <c r="X53" s="75"/>
      <c r="Y53" s="75"/>
      <c r="Z53" s="75"/>
      <c r="AA53" s="4"/>
      <c r="AB53" s="4"/>
      <c r="AC53" s="75"/>
      <c r="AD53" s="4"/>
      <c r="AE53" s="4"/>
      <c r="AF53" s="4"/>
      <c r="AG53" s="4"/>
      <c r="AH53" s="4"/>
      <c r="AT53" s="6"/>
      <c r="AW53" s="3"/>
    </row>
    <row r="54" spans="10:49">
      <c r="J54" s="6" t="s">
        <v>392</v>
      </c>
      <c r="K54" s="6" t="s">
        <v>246</v>
      </c>
      <c r="T54" s="75"/>
      <c r="U54" s="75"/>
      <c r="V54" s="75"/>
      <c r="W54" s="75"/>
      <c r="X54" s="75"/>
      <c r="Y54" s="75"/>
      <c r="Z54" s="75"/>
      <c r="AA54" s="4"/>
      <c r="AB54" s="4"/>
      <c r="AC54" s="75"/>
      <c r="AD54" s="4"/>
      <c r="AE54" s="4"/>
      <c r="AF54" s="4"/>
      <c r="AG54" s="4"/>
      <c r="AH54" s="4"/>
      <c r="AT54" s="6"/>
      <c r="AW54" s="3"/>
    </row>
    <row r="55" spans="10:49">
      <c r="J55" s="6" t="s">
        <v>293</v>
      </c>
      <c r="K55" s="6" t="s">
        <v>248</v>
      </c>
      <c r="T55" s="75"/>
      <c r="U55" s="75"/>
      <c r="V55" s="75"/>
      <c r="W55" s="75"/>
      <c r="X55" s="75"/>
      <c r="Y55" s="75"/>
      <c r="Z55" s="75"/>
      <c r="AA55" s="4"/>
      <c r="AB55" s="4"/>
      <c r="AC55" s="75"/>
      <c r="AD55" s="4"/>
      <c r="AE55" s="4"/>
      <c r="AF55" s="4"/>
      <c r="AG55" s="4"/>
      <c r="AH55" s="4"/>
      <c r="AT55" s="6"/>
      <c r="AW55" s="3"/>
    </row>
    <row r="56" spans="10:49">
      <c r="J56" s="6" t="s">
        <v>294</v>
      </c>
      <c r="K56" s="6" t="s">
        <v>248</v>
      </c>
      <c r="AA56" s="5"/>
      <c r="AC56" s="6"/>
      <c r="AD56" s="5"/>
      <c r="AT56" s="6"/>
      <c r="AW56" s="3"/>
    </row>
    <row r="57" spans="10:49">
      <c r="J57" s="6" t="s">
        <v>295</v>
      </c>
      <c r="K57" s="6" t="s">
        <v>247</v>
      </c>
      <c r="AA57" s="5"/>
      <c r="AC57" s="6"/>
      <c r="AD57" s="5"/>
      <c r="AT57" s="6"/>
      <c r="AW57" s="3"/>
    </row>
    <row r="58" spans="10:49">
      <c r="J58" s="6" t="s">
        <v>296</v>
      </c>
      <c r="K58" s="6" t="s">
        <v>247</v>
      </c>
      <c r="AA58" s="5"/>
      <c r="AC58" s="6"/>
      <c r="AD58" s="5"/>
      <c r="AT58" s="6"/>
      <c r="AW58" s="3"/>
    </row>
  </sheetData>
  <protectedRanges>
    <protectedRange sqref="E28:O31 E21:O24 E7:O10 E14:O17" name="DDR2StrobesA"/>
  </protectedRanges>
  <mergeCells count="1">
    <mergeCell ref="A1:D1"/>
  </mergeCells>
  <phoneticPr fontId="4" type="noConversion"/>
  <conditionalFormatting sqref="AG7:AT10 AG14:AT17 AG21:AT24 AG28:AT31">
    <cfRule type="cellIs" dxfId="49" priority="1" stopIfTrue="1" operator="equal">
      <formula>"Pass"</formula>
    </cfRule>
    <cfRule type="cellIs" dxfId="48" priority="2" stopIfTrue="1" operator="notEqual">
      <formula>"Pass"</formula>
    </cfRule>
  </conditionalFormatting>
  <conditionalFormatting sqref="AE28:AF31 AE7:AF10 Y28:Z31 Y14:Z17 AE14:AF17 AE21:AF24 Y21:Z24 Y7:Z10">
    <cfRule type="cellIs" priority="3" stopIfTrue="1" operator="equal">
      <formula>"Pass"</formula>
    </cfRule>
    <cfRule type="cellIs" dxfId="47" priority="4" stopIfTrue="1" operator="notEqual">
      <formula>"Pass"</formula>
    </cfRule>
  </conditionalFormatting>
  <conditionalFormatting sqref="A1:AU1">
    <cfRule type="expression" dxfId="46" priority="5" stopIfTrue="1">
      <formula>$E$1 = "Fail"</formula>
    </cfRule>
    <cfRule type="expression" dxfId="45" priority="6" stopIfTrue="1">
      <formula>$E$1 = "Pass"</formula>
    </cfRule>
  </conditionalFormatting>
  <conditionalFormatting sqref="T21:T24 T14:T17 T7:T10 T28:T31">
    <cfRule type="cellIs" dxfId="44" priority="7" stopIfTrue="1" operator="greaterThan">
      <formula>6250</formula>
    </cfRule>
    <cfRule type="cellIs" dxfId="43" priority="8" stopIfTrue="1" operator="lessThan">
      <formula>6250</formula>
    </cfRule>
  </conditionalFormatting>
  <conditionalFormatting sqref="S21:S24 S14:S17 S7:S10 S28:S31">
    <cfRule type="cellIs" dxfId="42" priority="9" stopIfTrue="1" operator="greaterThan">
      <formula>4750</formula>
    </cfRule>
    <cfRule type="cellIs" dxfId="41" priority="10" stopIfTrue="1" operator="lessThan">
      <formula>4750</formula>
    </cfRule>
  </conditionalFormatting>
  <pageMargins left="0.75" right="0.75" top="1" bottom="1" header="0.5" footer="0.5"/>
  <pageSetup orientation="landscape" r:id="rId1"/>
  <headerFooter alignWithMargins="0"/>
  <drawing r:id="rId2"/>
  <legacyDrawing r:id="rId3"/>
  <oleObjects>
    <mc:AlternateContent xmlns:mc="http://schemas.openxmlformats.org/markup-compatibility/2006">
      <mc:Choice Requires="x14">
        <oleObject progId="Visio.Drawing.11" shapeId="6161" r:id="rId4">
          <objectPr defaultSize="0" autoPict="0" r:id="rId5">
            <anchor moveWithCells="1">
              <from>
                <xdr:col>0</xdr:col>
                <xdr:colOff>85725</xdr:colOff>
                <xdr:row>33</xdr:row>
                <xdr:rowOff>38100</xdr:rowOff>
              </from>
              <to>
                <xdr:col>11</xdr:col>
                <xdr:colOff>0</xdr:colOff>
                <xdr:row>49</xdr:row>
                <xdr:rowOff>9525</xdr:rowOff>
              </to>
            </anchor>
          </objectPr>
        </oleObject>
      </mc:Choice>
      <mc:Fallback>
        <oleObject progId="Visio.Drawing.11" shapeId="6161"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L170"/>
  <sheetViews>
    <sheetView workbookViewId="0">
      <selection activeCell="H15" sqref="H15"/>
    </sheetView>
  </sheetViews>
  <sheetFormatPr defaultColWidth="10.28515625" defaultRowHeight="16.5"/>
  <cols>
    <col min="1" max="1" width="25.7109375" style="814" customWidth="1"/>
    <col min="2" max="2" width="18.85546875" style="814" customWidth="1"/>
    <col min="3" max="3" width="23.28515625" style="814" customWidth="1"/>
    <col min="4" max="4" width="17.42578125" style="814" customWidth="1"/>
    <col min="5" max="5" width="26.140625" style="814" customWidth="1"/>
    <col min="6" max="6" width="23.42578125" style="814" customWidth="1"/>
    <col min="7" max="7" width="19" style="814" customWidth="1"/>
    <col min="8" max="8" width="13.7109375" style="814" customWidth="1"/>
    <col min="9" max="9" width="29.85546875" style="814" customWidth="1"/>
    <col min="10" max="10" width="11.7109375" style="814" customWidth="1"/>
    <col min="11" max="11" width="15.140625" style="814" customWidth="1"/>
    <col min="12" max="12" width="18.140625" style="814" customWidth="1"/>
    <col min="13" max="16384" width="10.28515625" style="814"/>
  </cols>
  <sheetData>
    <row r="1" spans="1:12" ht="28.5" thickBot="1">
      <c r="A1" s="1200" t="s">
        <v>738</v>
      </c>
      <c r="B1" s="1200"/>
      <c r="C1" s="1200"/>
      <c r="D1" s="698"/>
      <c r="E1" s="698"/>
      <c r="F1" s="698"/>
      <c r="I1" s="698"/>
    </row>
    <row r="2" spans="1:12" s="704" customFormat="1" ht="34.5" thickTop="1" thickBot="1">
      <c r="A2" s="723" t="s">
        <v>739</v>
      </c>
      <c r="B2" s="724" t="s">
        <v>726</v>
      </c>
      <c r="C2" s="725" t="s">
        <v>740</v>
      </c>
      <c r="D2" s="815" t="s">
        <v>882</v>
      </c>
      <c r="E2" s="815" t="s">
        <v>741</v>
      </c>
      <c r="F2" s="726" t="s">
        <v>742</v>
      </c>
      <c r="G2" s="727" t="s">
        <v>743</v>
      </c>
      <c r="H2" s="725" t="s">
        <v>744</v>
      </c>
      <c r="I2" s="725" t="s">
        <v>745</v>
      </c>
      <c r="J2" s="725" t="s">
        <v>746</v>
      </c>
      <c r="K2" s="725" t="s">
        <v>747</v>
      </c>
      <c r="L2" s="816" t="s">
        <v>748</v>
      </c>
    </row>
    <row r="3" spans="1:12" s="705" customFormat="1" ht="18" thickTop="1" thickBot="1">
      <c r="A3" s="817" t="s">
        <v>749</v>
      </c>
      <c r="B3" s="818" t="s">
        <v>750</v>
      </c>
      <c r="C3" s="887">
        <v>7000</v>
      </c>
      <c r="D3" s="1019">
        <v>1044.83</v>
      </c>
      <c r="E3" s="820">
        <f t="shared" ref="E3:E66" si="0">C3-D3</f>
        <v>5955.17</v>
      </c>
      <c r="F3" s="694"/>
      <c r="G3" s="719" t="s">
        <v>751</v>
      </c>
      <c r="H3" s="694"/>
      <c r="I3" s="1201" t="s">
        <v>752</v>
      </c>
      <c r="J3" s="1204">
        <v>2</v>
      </c>
      <c r="K3" s="1207" t="s">
        <v>753</v>
      </c>
      <c r="L3" s="1210">
        <v>20</v>
      </c>
    </row>
    <row r="4" spans="1:12" s="705" customFormat="1" ht="18" customHeight="1" thickTop="1" thickBot="1">
      <c r="A4" s="821" t="s">
        <v>754</v>
      </c>
      <c r="B4" s="822" t="s">
        <v>755</v>
      </c>
      <c r="C4" s="819">
        <v>7000</v>
      </c>
      <c r="D4" s="1020">
        <v>1045.27</v>
      </c>
      <c r="E4" s="730">
        <f t="shared" si="0"/>
        <v>5954.73</v>
      </c>
      <c r="F4" s="692"/>
      <c r="G4" s="720">
        <f>F3-F4</f>
        <v>0</v>
      </c>
      <c r="H4" s="692"/>
      <c r="I4" s="1202"/>
      <c r="J4" s="1205"/>
      <c r="K4" s="1208"/>
      <c r="L4" s="1211"/>
    </row>
    <row r="5" spans="1:12" s="705" customFormat="1" ht="18" thickTop="1" thickBot="1">
      <c r="A5" s="817" t="s">
        <v>756</v>
      </c>
      <c r="B5" s="818" t="s">
        <v>757</v>
      </c>
      <c r="C5" s="819">
        <v>7000</v>
      </c>
      <c r="D5" s="1019">
        <v>1103.78</v>
      </c>
      <c r="E5" s="820">
        <f t="shared" si="0"/>
        <v>5896.22</v>
      </c>
      <c r="F5" s="694"/>
      <c r="G5" s="719">
        <f>F3-F5</f>
        <v>0</v>
      </c>
      <c r="H5" s="694"/>
      <c r="I5" s="1202"/>
      <c r="J5" s="1205"/>
      <c r="K5" s="1208"/>
      <c r="L5" s="1211"/>
    </row>
    <row r="6" spans="1:12" s="705" customFormat="1" ht="18" thickTop="1" thickBot="1">
      <c r="A6" s="821" t="s">
        <v>758</v>
      </c>
      <c r="B6" s="822" t="s">
        <v>759</v>
      </c>
      <c r="C6" s="819">
        <v>7000</v>
      </c>
      <c r="D6" s="1020">
        <v>1104.74</v>
      </c>
      <c r="E6" s="730">
        <f t="shared" si="0"/>
        <v>5895.26</v>
      </c>
      <c r="F6" s="692"/>
      <c r="G6" s="720">
        <f>F5-F6</f>
        <v>0</v>
      </c>
      <c r="H6" s="692"/>
      <c r="I6" s="1202"/>
      <c r="J6" s="1205"/>
      <c r="K6" s="1208"/>
      <c r="L6" s="1211"/>
    </row>
    <row r="7" spans="1:12" s="705" customFormat="1" ht="18" thickTop="1" thickBot="1">
      <c r="A7" s="817" t="s">
        <v>760</v>
      </c>
      <c r="B7" s="818" t="s">
        <v>761</v>
      </c>
      <c r="C7" s="819">
        <v>7000</v>
      </c>
      <c r="D7" s="1019">
        <v>1123.6199999999999</v>
      </c>
      <c r="E7" s="820">
        <f t="shared" si="0"/>
        <v>5876.38</v>
      </c>
      <c r="F7" s="694"/>
      <c r="G7" s="719">
        <f>F3-F7</f>
        <v>0</v>
      </c>
      <c r="H7" s="694"/>
      <c r="I7" s="1202"/>
      <c r="J7" s="1205"/>
      <c r="K7" s="1208"/>
      <c r="L7" s="1211"/>
    </row>
    <row r="8" spans="1:12" s="705" customFormat="1" ht="18" thickTop="1" thickBot="1">
      <c r="A8" s="821" t="s">
        <v>762</v>
      </c>
      <c r="B8" s="822" t="s">
        <v>763</v>
      </c>
      <c r="C8" s="819">
        <v>7000</v>
      </c>
      <c r="D8" s="1020">
        <v>1122.17</v>
      </c>
      <c r="E8" s="730">
        <f t="shared" si="0"/>
        <v>5877.83</v>
      </c>
      <c r="F8" s="692"/>
      <c r="G8" s="720">
        <f>F7-F8</f>
        <v>0</v>
      </c>
      <c r="H8" s="692"/>
      <c r="I8" s="1202"/>
      <c r="J8" s="1205"/>
      <c r="K8" s="1208"/>
      <c r="L8" s="1211"/>
    </row>
    <row r="9" spans="1:12" s="705" customFormat="1" ht="18" thickTop="1" thickBot="1">
      <c r="A9" s="817" t="s">
        <v>764</v>
      </c>
      <c r="B9" s="818" t="s">
        <v>765</v>
      </c>
      <c r="C9" s="819">
        <v>7000</v>
      </c>
      <c r="D9" s="1019">
        <v>921.66</v>
      </c>
      <c r="E9" s="820">
        <f t="shared" si="0"/>
        <v>6078.34</v>
      </c>
      <c r="F9" s="694"/>
      <c r="G9" s="719">
        <f>F3-F9</f>
        <v>0</v>
      </c>
      <c r="H9" s="694"/>
      <c r="I9" s="1202"/>
      <c r="J9" s="1205"/>
      <c r="K9" s="1208"/>
      <c r="L9" s="1211"/>
    </row>
    <row r="10" spans="1:12" s="705" customFormat="1" ht="18" thickTop="1" thickBot="1">
      <c r="A10" s="821" t="s">
        <v>766</v>
      </c>
      <c r="B10" s="822" t="s">
        <v>767</v>
      </c>
      <c r="C10" s="819">
        <v>7000</v>
      </c>
      <c r="D10" s="1020">
        <v>921.95</v>
      </c>
      <c r="E10" s="730">
        <f t="shared" si="0"/>
        <v>6078.05</v>
      </c>
      <c r="F10" s="692"/>
      <c r="G10" s="720">
        <f>F9-F10</f>
        <v>0</v>
      </c>
      <c r="H10" s="692"/>
      <c r="I10" s="1202"/>
      <c r="J10" s="1205"/>
      <c r="K10" s="1208"/>
      <c r="L10" s="1211"/>
    </row>
    <row r="11" spans="1:12" s="705" customFormat="1" ht="18" thickTop="1" thickBot="1">
      <c r="A11" s="817" t="s">
        <v>768</v>
      </c>
      <c r="B11" s="818" t="s">
        <v>769</v>
      </c>
      <c r="C11" s="819">
        <v>7000</v>
      </c>
      <c r="D11" s="1019">
        <v>859.3</v>
      </c>
      <c r="E11" s="820">
        <f t="shared" si="0"/>
        <v>6140.7</v>
      </c>
      <c r="F11" s="693"/>
      <c r="G11" s="721">
        <f>F3-F11</f>
        <v>0</v>
      </c>
      <c r="H11" s="693"/>
      <c r="I11" s="1202"/>
      <c r="J11" s="1205"/>
      <c r="K11" s="1208"/>
      <c r="L11" s="1211"/>
    </row>
    <row r="12" spans="1:12" s="705" customFormat="1" ht="18" thickTop="1" thickBot="1">
      <c r="A12" s="821" t="s">
        <v>770</v>
      </c>
      <c r="B12" s="822" t="s">
        <v>771</v>
      </c>
      <c r="C12" s="819">
        <v>7000</v>
      </c>
      <c r="D12" s="1020">
        <v>857.94</v>
      </c>
      <c r="E12" s="730">
        <f t="shared" si="0"/>
        <v>6142.0599999999995</v>
      </c>
      <c r="F12" s="695"/>
      <c r="G12" s="722">
        <f>F11-F12</f>
        <v>0</v>
      </c>
      <c r="H12" s="695"/>
      <c r="I12" s="1202"/>
      <c r="J12" s="1205"/>
      <c r="K12" s="1208"/>
      <c r="L12" s="1211"/>
    </row>
    <row r="13" spans="1:12" s="705" customFormat="1" ht="18" thickTop="1" thickBot="1">
      <c r="A13" s="817" t="s">
        <v>772</v>
      </c>
      <c r="B13" s="818" t="s">
        <v>773</v>
      </c>
      <c r="C13" s="819">
        <v>7000</v>
      </c>
      <c r="D13" s="1019">
        <v>882.85</v>
      </c>
      <c r="E13" s="820">
        <f t="shared" si="0"/>
        <v>6117.15</v>
      </c>
      <c r="F13" s="694"/>
      <c r="G13" s="719">
        <f>F3-F13</f>
        <v>0</v>
      </c>
      <c r="H13" s="694"/>
      <c r="I13" s="1202"/>
      <c r="J13" s="1205"/>
      <c r="K13" s="1208"/>
      <c r="L13" s="1211"/>
    </row>
    <row r="14" spans="1:12" s="705" customFormat="1" ht="18" thickTop="1" thickBot="1">
      <c r="A14" s="821" t="s">
        <v>774</v>
      </c>
      <c r="B14" s="822" t="s">
        <v>775</v>
      </c>
      <c r="C14" s="819">
        <v>7000</v>
      </c>
      <c r="D14" s="1020">
        <v>883.19</v>
      </c>
      <c r="E14" s="730">
        <f t="shared" si="0"/>
        <v>6116.8099999999995</v>
      </c>
      <c r="F14" s="692"/>
      <c r="G14" s="720">
        <f>F13-F14</f>
        <v>0</v>
      </c>
      <c r="H14" s="692"/>
      <c r="I14" s="1202"/>
      <c r="J14" s="1205"/>
      <c r="K14" s="1208"/>
      <c r="L14" s="1211"/>
    </row>
    <row r="15" spans="1:12" s="705" customFormat="1" ht="18" thickTop="1" thickBot="1">
      <c r="A15" s="817" t="s">
        <v>776</v>
      </c>
      <c r="B15" s="818" t="s">
        <v>777</v>
      </c>
      <c r="C15" s="819">
        <v>7000</v>
      </c>
      <c r="D15" s="1019">
        <v>898.71</v>
      </c>
      <c r="E15" s="820">
        <f t="shared" si="0"/>
        <v>6101.29</v>
      </c>
      <c r="F15" s="693"/>
      <c r="G15" s="721">
        <f>F3-F15</f>
        <v>0</v>
      </c>
      <c r="H15" s="693"/>
      <c r="I15" s="1202"/>
      <c r="J15" s="1205"/>
      <c r="K15" s="1208"/>
      <c r="L15" s="1211"/>
    </row>
    <row r="16" spans="1:12" s="705" customFormat="1" ht="18" thickTop="1" thickBot="1">
      <c r="A16" s="821" t="s">
        <v>778</v>
      </c>
      <c r="B16" s="822" t="s">
        <v>779</v>
      </c>
      <c r="C16" s="819">
        <v>7000</v>
      </c>
      <c r="D16" s="1020">
        <v>898.12</v>
      </c>
      <c r="E16" s="730">
        <f t="shared" si="0"/>
        <v>6101.88</v>
      </c>
      <c r="F16" s="695"/>
      <c r="G16" s="722">
        <f>F15-F16</f>
        <v>0</v>
      </c>
      <c r="H16" s="695"/>
      <c r="I16" s="1202"/>
      <c r="J16" s="1205"/>
      <c r="K16" s="1208"/>
      <c r="L16" s="1211"/>
    </row>
    <row r="17" spans="1:12" s="705" customFormat="1" ht="18" thickTop="1" thickBot="1">
      <c r="A17" s="817" t="s">
        <v>780</v>
      </c>
      <c r="B17" s="818" t="s">
        <v>781</v>
      </c>
      <c r="C17" s="819">
        <v>7000</v>
      </c>
      <c r="D17" s="1019">
        <v>848.58</v>
      </c>
      <c r="E17" s="820">
        <f t="shared" si="0"/>
        <v>6151.42</v>
      </c>
      <c r="F17" s="694"/>
      <c r="G17" s="719">
        <f>F3-F17</f>
        <v>0</v>
      </c>
      <c r="H17" s="694"/>
      <c r="I17" s="1202"/>
      <c r="J17" s="1205"/>
      <c r="K17" s="1208"/>
      <c r="L17" s="1211"/>
    </row>
    <row r="18" spans="1:12" s="705" customFormat="1" ht="18" thickTop="1" thickBot="1">
      <c r="A18" s="821" t="s">
        <v>782</v>
      </c>
      <c r="B18" s="822" t="s">
        <v>783</v>
      </c>
      <c r="C18" s="819">
        <v>7000</v>
      </c>
      <c r="D18" s="1020">
        <v>850.5</v>
      </c>
      <c r="E18" s="730">
        <f t="shared" si="0"/>
        <v>6149.5</v>
      </c>
      <c r="F18" s="692"/>
      <c r="G18" s="720">
        <f>F17-F18</f>
        <v>0</v>
      </c>
      <c r="H18" s="692"/>
      <c r="I18" s="1202"/>
      <c r="J18" s="1205"/>
      <c r="K18" s="1208"/>
      <c r="L18" s="1211"/>
    </row>
    <row r="19" spans="1:12" s="705" customFormat="1" ht="18" thickTop="1" thickBot="1">
      <c r="A19" s="817" t="s">
        <v>784</v>
      </c>
      <c r="B19" s="818" t="s">
        <v>785</v>
      </c>
      <c r="C19" s="819">
        <v>7000</v>
      </c>
      <c r="D19" s="1019">
        <v>814.96</v>
      </c>
      <c r="E19" s="820">
        <f t="shared" si="0"/>
        <v>6185.04</v>
      </c>
      <c r="F19" s="694"/>
      <c r="G19" s="719">
        <f>F3-F19</f>
        <v>0</v>
      </c>
      <c r="H19" s="694"/>
      <c r="I19" s="1202"/>
      <c r="J19" s="1205"/>
      <c r="K19" s="1208"/>
      <c r="L19" s="1211"/>
    </row>
    <row r="20" spans="1:12" s="705" customFormat="1" ht="18" thickTop="1" thickBot="1">
      <c r="A20" s="821" t="s">
        <v>786</v>
      </c>
      <c r="B20" s="822" t="s">
        <v>787</v>
      </c>
      <c r="C20" s="819">
        <v>7000</v>
      </c>
      <c r="D20" s="1020">
        <v>816.27</v>
      </c>
      <c r="E20" s="730">
        <f t="shared" si="0"/>
        <v>6183.73</v>
      </c>
      <c r="F20" s="692"/>
      <c r="G20" s="720">
        <f>F19-F20</f>
        <v>0</v>
      </c>
      <c r="H20" s="692"/>
      <c r="I20" s="1202"/>
      <c r="J20" s="1205"/>
      <c r="K20" s="1208"/>
      <c r="L20" s="1211"/>
    </row>
    <row r="21" spans="1:12" s="705" customFormat="1" ht="18" thickTop="1" thickBot="1">
      <c r="A21" s="817" t="s">
        <v>788</v>
      </c>
      <c r="B21" s="818" t="s">
        <v>789</v>
      </c>
      <c r="C21" s="819">
        <v>7000</v>
      </c>
      <c r="D21" s="1019">
        <v>901.56</v>
      </c>
      <c r="E21" s="820">
        <f t="shared" si="0"/>
        <v>6098.4400000000005</v>
      </c>
      <c r="F21" s="694"/>
      <c r="G21" s="719">
        <f>F3-F21</f>
        <v>0</v>
      </c>
      <c r="H21" s="694"/>
      <c r="I21" s="1202"/>
      <c r="J21" s="1205"/>
      <c r="K21" s="1208"/>
      <c r="L21" s="1211"/>
    </row>
    <row r="22" spans="1:12" s="705" customFormat="1" ht="18" thickTop="1" thickBot="1">
      <c r="A22" s="821" t="s">
        <v>790</v>
      </c>
      <c r="B22" s="822" t="s">
        <v>791</v>
      </c>
      <c r="C22" s="819">
        <v>7000</v>
      </c>
      <c r="D22" s="1020">
        <v>900.01</v>
      </c>
      <c r="E22" s="730">
        <f t="shared" si="0"/>
        <v>6099.99</v>
      </c>
      <c r="F22" s="692"/>
      <c r="G22" s="720">
        <f>F21-F22</f>
        <v>0</v>
      </c>
      <c r="H22" s="692"/>
      <c r="I22" s="1202"/>
      <c r="J22" s="1205"/>
      <c r="K22" s="1208"/>
      <c r="L22" s="1211"/>
    </row>
    <row r="23" spans="1:12" s="705" customFormat="1" ht="18" thickTop="1" thickBot="1">
      <c r="A23" s="817" t="s">
        <v>792</v>
      </c>
      <c r="B23" s="818" t="s">
        <v>793</v>
      </c>
      <c r="C23" s="819">
        <v>7000</v>
      </c>
      <c r="D23" s="1019">
        <v>763.97</v>
      </c>
      <c r="E23" s="820">
        <f t="shared" si="0"/>
        <v>6236.03</v>
      </c>
      <c r="F23" s="694"/>
      <c r="G23" s="719">
        <f>F3-F23</f>
        <v>0</v>
      </c>
      <c r="H23" s="694"/>
      <c r="I23" s="1202"/>
      <c r="J23" s="1205"/>
      <c r="K23" s="1208"/>
      <c r="L23" s="1211"/>
    </row>
    <row r="24" spans="1:12" s="705" customFormat="1" ht="18" thickTop="1" thickBot="1">
      <c r="A24" s="821" t="s">
        <v>794</v>
      </c>
      <c r="B24" s="822" t="s">
        <v>795</v>
      </c>
      <c r="C24" s="819">
        <v>7000</v>
      </c>
      <c r="D24" s="1020">
        <v>762.99</v>
      </c>
      <c r="E24" s="730">
        <f t="shared" si="0"/>
        <v>6237.01</v>
      </c>
      <c r="F24" s="692"/>
      <c r="G24" s="720">
        <f>F23-F24</f>
        <v>0</v>
      </c>
      <c r="H24" s="692"/>
      <c r="I24" s="1202"/>
      <c r="J24" s="1205"/>
      <c r="K24" s="1208"/>
      <c r="L24" s="1211"/>
    </row>
    <row r="25" spans="1:12" s="705" customFormat="1" ht="18" thickTop="1" thickBot="1">
      <c r="A25" s="817" t="s">
        <v>796</v>
      </c>
      <c r="B25" s="818" t="s">
        <v>797</v>
      </c>
      <c r="C25" s="819">
        <v>7000</v>
      </c>
      <c r="D25" s="1019">
        <v>867.79</v>
      </c>
      <c r="E25" s="820">
        <f t="shared" si="0"/>
        <v>6132.21</v>
      </c>
      <c r="F25" s="694"/>
      <c r="G25" s="719">
        <f>F3-F25</f>
        <v>0</v>
      </c>
      <c r="H25" s="694"/>
      <c r="I25" s="1202"/>
      <c r="J25" s="1205"/>
      <c r="K25" s="1208"/>
      <c r="L25" s="1211"/>
    </row>
    <row r="26" spans="1:12" s="705" customFormat="1" ht="18" thickTop="1" thickBot="1">
      <c r="A26" s="821" t="s">
        <v>798</v>
      </c>
      <c r="B26" s="822" t="s">
        <v>799</v>
      </c>
      <c r="C26" s="819">
        <v>7000</v>
      </c>
      <c r="D26" s="1020">
        <v>868.47</v>
      </c>
      <c r="E26" s="730">
        <f t="shared" si="0"/>
        <v>6131.53</v>
      </c>
      <c r="F26" s="692"/>
      <c r="G26" s="720">
        <f>F25-F26</f>
        <v>0</v>
      </c>
      <c r="H26" s="692"/>
      <c r="I26" s="1202"/>
      <c r="J26" s="1205"/>
      <c r="K26" s="1208"/>
      <c r="L26" s="1211"/>
    </row>
    <row r="27" spans="1:12" s="705" customFormat="1" ht="18" thickTop="1" thickBot="1">
      <c r="A27" s="817" t="s">
        <v>800</v>
      </c>
      <c r="B27" s="818" t="s">
        <v>801</v>
      </c>
      <c r="C27" s="819">
        <v>7000</v>
      </c>
      <c r="D27" s="1019">
        <v>767.24</v>
      </c>
      <c r="E27" s="820">
        <f t="shared" si="0"/>
        <v>6232.76</v>
      </c>
      <c r="F27" s="693"/>
      <c r="G27" s="719">
        <f>F3-F27</f>
        <v>0</v>
      </c>
      <c r="H27" s="693"/>
      <c r="I27" s="1202"/>
      <c r="J27" s="1205"/>
      <c r="K27" s="1208"/>
      <c r="L27" s="1211"/>
    </row>
    <row r="28" spans="1:12" s="705" customFormat="1" ht="18" thickTop="1" thickBot="1">
      <c r="A28" s="821" t="s">
        <v>802</v>
      </c>
      <c r="B28" s="822" t="s">
        <v>803</v>
      </c>
      <c r="C28" s="819">
        <v>7000</v>
      </c>
      <c r="D28" s="1020">
        <v>765.46</v>
      </c>
      <c r="E28" s="730">
        <f t="shared" si="0"/>
        <v>6234.54</v>
      </c>
      <c r="F28" s="695"/>
      <c r="G28" s="720">
        <f>F27-F28</f>
        <v>0</v>
      </c>
      <c r="H28" s="695"/>
      <c r="I28" s="1202"/>
      <c r="J28" s="1205"/>
      <c r="K28" s="1208"/>
      <c r="L28" s="1211"/>
    </row>
    <row r="29" spans="1:12" s="705" customFormat="1" ht="18" thickTop="1" thickBot="1">
      <c r="A29" s="817" t="s">
        <v>804</v>
      </c>
      <c r="B29" s="818" t="s">
        <v>805</v>
      </c>
      <c r="C29" s="819">
        <v>7000</v>
      </c>
      <c r="D29" s="1019">
        <v>825.94</v>
      </c>
      <c r="E29" s="820">
        <f t="shared" si="0"/>
        <v>6174.0599999999995</v>
      </c>
      <c r="F29" s="694"/>
      <c r="G29" s="719">
        <f>F3-F29</f>
        <v>0</v>
      </c>
      <c r="H29" s="694"/>
      <c r="I29" s="1202"/>
      <c r="J29" s="1205"/>
      <c r="K29" s="1208"/>
      <c r="L29" s="1211"/>
    </row>
    <row r="30" spans="1:12" s="705" customFormat="1" ht="18" thickTop="1" thickBot="1">
      <c r="A30" s="821" t="s">
        <v>806</v>
      </c>
      <c r="B30" s="822" t="s">
        <v>807</v>
      </c>
      <c r="C30" s="819">
        <v>7000</v>
      </c>
      <c r="D30" s="1020">
        <v>827.05</v>
      </c>
      <c r="E30" s="730">
        <f t="shared" si="0"/>
        <v>6172.95</v>
      </c>
      <c r="F30" s="692"/>
      <c r="G30" s="720">
        <f>F29-F30</f>
        <v>0</v>
      </c>
      <c r="H30" s="692"/>
      <c r="I30" s="1202"/>
      <c r="J30" s="1205"/>
      <c r="K30" s="1208"/>
      <c r="L30" s="1211"/>
    </row>
    <row r="31" spans="1:12" s="705" customFormat="1" ht="18" thickTop="1" thickBot="1">
      <c r="A31" s="817" t="s">
        <v>808</v>
      </c>
      <c r="B31" s="818" t="s">
        <v>809</v>
      </c>
      <c r="C31" s="819">
        <v>7000</v>
      </c>
      <c r="D31" s="1019">
        <v>748.6</v>
      </c>
      <c r="E31" s="820">
        <f t="shared" si="0"/>
        <v>6251.4</v>
      </c>
      <c r="F31" s="693"/>
      <c r="G31" s="719">
        <f>F3-F31</f>
        <v>0</v>
      </c>
      <c r="H31" s="693"/>
      <c r="I31" s="1202"/>
      <c r="J31" s="1205"/>
      <c r="K31" s="1208"/>
      <c r="L31" s="1211"/>
    </row>
    <row r="32" spans="1:12" s="705" customFormat="1" ht="18" thickTop="1" thickBot="1">
      <c r="A32" s="821" t="s">
        <v>810</v>
      </c>
      <c r="B32" s="822" t="s">
        <v>811</v>
      </c>
      <c r="C32" s="819">
        <v>7000</v>
      </c>
      <c r="D32" s="1020">
        <v>747.77</v>
      </c>
      <c r="E32" s="730">
        <f t="shared" si="0"/>
        <v>6252.23</v>
      </c>
      <c r="F32" s="695"/>
      <c r="G32" s="720">
        <f>F31-F32</f>
        <v>0</v>
      </c>
      <c r="H32" s="695"/>
      <c r="I32" s="1202"/>
      <c r="J32" s="1205"/>
      <c r="K32" s="1208"/>
      <c r="L32" s="1211"/>
    </row>
    <row r="33" spans="1:12" s="705" customFormat="1" ht="18" thickTop="1" thickBot="1">
      <c r="A33" s="817" t="s">
        <v>812</v>
      </c>
      <c r="B33" s="818" t="s">
        <v>813</v>
      </c>
      <c r="C33" s="819">
        <v>7000</v>
      </c>
      <c r="D33" s="1019">
        <v>925.21</v>
      </c>
      <c r="E33" s="820">
        <f t="shared" si="0"/>
        <v>6074.79</v>
      </c>
      <c r="F33" s="694"/>
      <c r="G33" s="719">
        <f>F3-F33</f>
        <v>0</v>
      </c>
      <c r="H33" s="694"/>
      <c r="I33" s="1202"/>
      <c r="J33" s="1205"/>
      <c r="K33" s="1208"/>
      <c r="L33" s="1211"/>
    </row>
    <row r="34" spans="1:12" s="705" customFormat="1" ht="18" thickTop="1" thickBot="1">
      <c r="A34" s="821" t="s">
        <v>814</v>
      </c>
      <c r="B34" s="822" t="s">
        <v>815</v>
      </c>
      <c r="C34" s="819">
        <v>7000</v>
      </c>
      <c r="D34" s="1020">
        <v>924.13</v>
      </c>
      <c r="E34" s="730">
        <f t="shared" si="0"/>
        <v>6075.87</v>
      </c>
      <c r="F34" s="692"/>
      <c r="G34" s="720">
        <f>F33-F34</f>
        <v>0</v>
      </c>
      <c r="H34" s="692"/>
      <c r="I34" s="1203"/>
      <c r="J34" s="1206"/>
      <c r="K34" s="1209"/>
      <c r="L34" s="1212"/>
    </row>
    <row r="35" spans="1:12" s="705" customFormat="1" ht="18" thickTop="1" thickBot="1">
      <c r="A35" s="817" t="s">
        <v>816</v>
      </c>
      <c r="B35" s="818" t="s">
        <v>817</v>
      </c>
      <c r="C35" s="819">
        <v>7000</v>
      </c>
      <c r="D35" s="1019">
        <v>878.23</v>
      </c>
      <c r="E35" s="820">
        <f t="shared" si="0"/>
        <v>6121.77</v>
      </c>
      <c r="F35" s="694"/>
      <c r="G35" s="719" t="s">
        <v>818</v>
      </c>
      <c r="H35" s="694"/>
      <c r="I35" s="1201" t="s">
        <v>819</v>
      </c>
      <c r="J35" s="1204">
        <v>2</v>
      </c>
      <c r="K35" s="1207" t="s">
        <v>753</v>
      </c>
      <c r="L35" s="1210">
        <v>20</v>
      </c>
    </row>
    <row r="36" spans="1:12" s="705" customFormat="1" ht="18" customHeight="1" thickTop="1" thickBot="1">
      <c r="A36" s="821" t="s">
        <v>820</v>
      </c>
      <c r="B36" s="822" t="s">
        <v>821</v>
      </c>
      <c r="C36" s="819">
        <v>7000</v>
      </c>
      <c r="D36" s="1020">
        <v>876.88</v>
      </c>
      <c r="E36" s="730">
        <f t="shared" si="0"/>
        <v>6123.12</v>
      </c>
      <c r="F36" s="692"/>
      <c r="G36" s="720">
        <f>F35-F36</f>
        <v>0</v>
      </c>
      <c r="H36" s="692"/>
      <c r="I36" s="1202"/>
      <c r="J36" s="1205"/>
      <c r="K36" s="1208"/>
      <c r="L36" s="1211"/>
    </row>
    <row r="37" spans="1:12" s="705" customFormat="1" ht="18" thickTop="1" thickBot="1">
      <c r="A37" s="817" t="s">
        <v>822</v>
      </c>
      <c r="B37" s="818" t="s">
        <v>823</v>
      </c>
      <c r="C37" s="819">
        <v>7000</v>
      </c>
      <c r="D37" s="1019">
        <v>1081.98</v>
      </c>
      <c r="E37" s="820">
        <f t="shared" si="0"/>
        <v>5918.02</v>
      </c>
      <c r="F37" s="694"/>
      <c r="G37" s="719">
        <f>F35-F37</f>
        <v>0</v>
      </c>
      <c r="H37" s="694"/>
      <c r="I37" s="1202"/>
      <c r="J37" s="1205"/>
      <c r="K37" s="1208"/>
      <c r="L37" s="1211"/>
    </row>
    <row r="38" spans="1:12" s="705" customFormat="1" ht="18" thickTop="1" thickBot="1">
      <c r="A38" s="821" t="s">
        <v>824</v>
      </c>
      <c r="B38" s="822" t="s">
        <v>825</v>
      </c>
      <c r="C38" s="819">
        <v>7000</v>
      </c>
      <c r="D38" s="1020">
        <v>1080.5</v>
      </c>
      <c r="E38" s="730">
        <f t="shared" si="0"/>
        <v>5919.5</v>
      </c>
      <c r="F38" s="692"/>
      <c r="G38" s="720">
        <f>F37-F38</f>
        <v>0</v>
      </c>
      <c r="H38" s="692"/>
      <c r="I38" s="1202"/>
      <c r="J38" s="1205"/>
      <c r="K38" s="1208"/>
      <c r="L38" s="1211"/>
    </row>
    <row r="39" spans="1:12" s="705" customFormat="1" ht="18" thickTop="1" thickBot="1">
      <c r="A39" s="817" t="s">
        <v>826</v>
      </c>
      <c r="B39" s="818" t="s">
        <v>827</v>
      </c>
      <c r="C39" s="819">
        <v>7000</v>
      </c>
      <c r="D39" s="1019">
        <v>1028.8599999999999</v>
      </c>
      <c r="E39" s="820">
        <f t="shared" si="0"/>
        <v>5971.14</v>
      </c>
      <c r="F39" s="694"/>
      <c r="G39" s="719">
        <f>F35-F39</f>
        <v>0</v>
      </c>
      <c r="H39" s="694"/>
      <c r="I39" s="1202"/>
      <c r="J39" s="1205"/>
      <c r="K39" s="1208"/>
      <c r="L39" s="1211"/>
    </row>
    <row r="40" spans="1:12" s="705" customFormat="1" ht="18" thickTop="1" thickBot="1">
      <c r="A40" s="821" t="s">
        <v>828</v>
      </c>
      <c r="B40" s="822" t="s">
        <v>829</v>
      </c>
      <c r="C40" s="819">
        <v>7000</v>
      </c>
      <c r="D40" s="1020">
        <v>1027.1300000000001</v>
      </c>
      <c r="E40" s="730">
        <f t="shared" si="0"/>
        <v>5972.87</v>
      </c>
      <c r="F40" s="692"/>
      <c r="G40" s="720">
        <f>F39-F40</f>
        <v>0</v>
      </c>
      <c r="H40" s="692"/>
      <c r="I40" s="1202"/>
      <c r="J40" s="1205"/>
      <c r="K40" s="1208"/>
      <c r="L40" s="1211"/>
    </row>
    <row r="41" spans="1:12" s="705" customFormat="1" ht="18" thickTop="1" thickBot="1">
      <c r="A41" s="817" t="s">
        <v>830</v>
      </c>
      <c r="B41" s="818" t="s">
        <v>831</v>
      </c>
      <c r="C41" s="819">
        <v>7000</v>
      </c>
      <c r="D41" s="1019">
        <v>816.76</v>
      </c>
      <c r="E41" s="820">
        <f t="shared" si="0"/>
        <v>6183.24</v>
      </c>
      <c r="F41" s="694"/>
      <c r="G41" s="719">
        <f>F35-F41</f>
        <v>0</v>
      </c>
      <c r="H41" s="694"/>
      <c r="I41" s="1202"/>
      <c r="J41" s="1205"/>
      <c r="K41" s="1208"/>
      <c r="L41" s="1211"/>
    </row>
    <row r="42" spans="1:12" s="705" customFormat="1" ht="18" thickTop="1" thickBot="1">
      <c r="A42" s="821" t="s">
        <v>832</v>
      </c>
      <c r="B42" s="822" t="s">
        <v>833</v>
      </c>
      <c r="C42" s="819">
        <v>7000</v>
      </c>
      <c r="D42" s="1020">
        <v>816.2</v>
      </c>
      <c r="E42" s="730">
        <f t="shared" si="0"/>
        <v>6183.8</v>
      </c>
      <c r="F42" s="692"/>
      <c r="G42" s="720">
        <f>F41-F42</f>
        <v>0</v>
      </c>
      <c r="H42" s="692"/>
      <c r="I42" s="1202"/>
      <c r="J42" s="1205"/>
      <c r="K42" s="1208"/>
      <c r="L42" s="1211"/>
    </row>
    <row r="43" spans="1:12" s="705" customFormat="1" ht="18" thickTop="1" thickBot="1">
      <c r="A43" s="817" t="s">
        <v>834</v>
      </c>
      <c r="B43" s="818" t="s">
        <v>835</v>
      </c>
      <c r="C43" s="819">
        <v>7000</v>
      </c>
      <c r="D43" s="1019">
        <v>852.07</v>
      </c>
      <c r="E43" s="820">
        <f t="shared" si="0"/>
        <v>6147.93</v>
      </c>
      <c r="F43" s="693"/>
      <c r="G43" s="721">
        <f>F35-F43</f>
        <v>0</v>
      </c>
      <c r="H43" s="693"/>
      <c r="I43" s="1202"/>
      <c r="J43" s="1205"/>
      <c r="K43" s="1208"/>
      <c r="L43" s="1211"/>
    </row>
    <row r="44" spans="1:12" s="705" customFormat="1" ht="18" thickTop="1" thickBot="1">
      <c r="A44" s="821" t="s">
        <v>836</v>
      </c>
      <c r="B44" s="822" t="s">
        <v>837</v>
      </c>
      <c r="C44" s="819">
        <v>7000</v>
      </c>
      <c r="D44" s="1020">
        <v>850.83</v>
      </c>
      <c r="E44" s="730">
        <f t="shared" si="0"/>
        <v>6149.17</v>
      </c>
      <c r="F44" s="695"/>
      <c r="G44" s="722">
        <f>F43-F44</f>
        <v>0</v>
      </c>
      <c r="H44" s="695"/>
      <c r="I44" s="1202"/>
      <c r="J44" s="1205"/>
      <c r="K44" s="1208"/>
      <c r="L44" s="1211"/>
    </row>
    <row r="45" spans="1:12" s="705" customFormat="1" ht="18" thickTop="1" thickBot="1">
      <c r="A45" s="817" t="s">
        <v>838</v>
      </c>
      <c r="B45" s="818" t="s">
        <v>839</v>
      </c>
      <c r="C45" s="819">
        <v>7000</v>
      </c>
      <c r="D45" s="1019">
        <v>850.95</v>
      </c>
      <c r="E45" s="820">
        <f t="shared" si="0"/>
        <v>6149.05</v>
      </c>
      <c r="F45" s="694"/>
      <c r="G45" s="719">
        <f>F35-F45</f>
        <v>0</v>
      </c>
      <c r="H45" s="694"/>
      <c r="I45" s="1202"/>
      <c r="J45" s="1205"/>
      <c r="K45" s="1208"/>
      <c r="L45" s="1211"/>
    </row>
    <row r="46" spans="1:12" s="705" customFormat="1" ht="18" thickTop="1" thickBot="1">
      <c r="A46" s="821" t="s">
        <v>840</v>
      </c>
      <c r="B46" s="822" t="s">
        <v>841</v>
      </c>
      <c r="C46" s="819">
        <v>7000</v>
      </c>
      <c r="D46" s="1020">
        <v>852.73</v>
      </c>
      <c r="E46" s="730">
        <f t="shared" si="0"/>
        <v>6147.27</v>
      </c>
      <c r="F46" s="692"/>
      <c r="G46" s="720">
        <f>F45-F46</f>
        <v>0</v>
      </c>
      <c r="H46" s="692"/>
      <c r="I46" s="1202"/>
      <c r="J46" s="1205"/>
      <c r="K46" s="1208"/>
      <c r="L46" s="1211"/>
    </row>
    <row r="47" spans="1:12" s="705" customFormat="1" ht="18" thickTop="1" thickBot="1">
      <c r="A47" s="817" t="s">
        <v>842</v>
      </c>
      <c r="B47" s="818" t="s">
        <v>843</v>
      </c>
      <c r="C47" s="819">
        <v>7000</v>
      </c>
      <c r="D47" s="1019">
        <v>671.37</v>
      </c>
      <c r="E47" s="820">
        <f t="shared" si="0"/>
        <v>6328.63</v>
      </c>
      <c r="F47" s="693"/>
      <c r="G47" s="721">
        <f>F35-F47</f>
        <v>0</v>
      </c>
      <c r="H47" s="693"/>
      <c r="I47" s="1202"/>
      <c r="J47" s="1205"/>
      <c r="K47" s="1208"/>
      <c r="L47" s="1211"/>
    </row>
    <row r="48" spans="1:12" s="705" customFormat="1" ht="18" thickTop="1" thickBot="1">
      <c r="A48" s="821" t="s">
        <v>844</v>
      </c>
      <c r="B48" s="822" t="s">
        <v>845</v>
      </c>
      <c r="C48" s="819">
        <v>7000</v>
      </c>
      <c r="D48" s="1020">
        <v>671.17</v>
      </c>
      <c r="E48" s="730">
        <f t="shared" si="0"/>
        <v>6328.83</v>
      </c>
      <c r="F48" s="695"/>
      <c r="G48" s="722">
        <f>F47-F48</f>
        <v>0</v>
      </c>
      <c r="H48" s="695"/>
      <c r="I48" s="1202"/>
      <c r="J48" s="1205"/>
      <c r="K48" s="1208"/>
      <c r="L48" s="1211"/>
    </row>
    <row r="49" spans="1:12" s="705" customFormat="1" ht="18" thickTop="1" thickBot="1">
      <c r="A49" s="817" t="s">
        <v>846</v>
      </c>
      <c r="B49" s="818" t="s">
        <v>847</v>
      </c>
      <c r="C49" s="819">
        <v>7000</v>
      </c>
      <c r="D49" s="1019">
        <v>827.79</v>
      </c>
      <c r="E49" s="820">
        <f t="shared" si="0"/>
        <v>6172.21</v>
      </c>
      <c r="F49" s="694"/>
      <c r="G49" s="719">
        <f>F35-F49</f>
        <v>0</v>
      </c>
      <c r="H49" s="694"/>
      <c r="I49" s="1202"/>
      <c r="J49" s="1205"/>
      <c r="K49" s="1208"/>
      <c r="L49" s="1211"/>
    </row>
    <row r="50" spans="1:12" s="705" customFormat="1" ht="18" thickTop="1" thickBot="1">
      <c r="A50" s="821" t="s">
        <v>848</v>
      </c>
      <c r="B50" s="822" t="s">
        <v>849</v>
      </c>
      <c r="C50" s="819">
        <v>7000</v>
      </c>
      <c r="D50" s="1020">
        <v>827.26</v>
      </c>
      <c r="E50" s="730">
        <f t="shared" si="0"/>
        <v>6172.74</v>
      </c>
      <c r="F50" s="692"/>
      <c r="G50" s="720">
        <f>F49-F50</f>
        <v>0</v>
      </c>
      <c r="H50" s="692"/>
      <c r="I50" s="1202"/>
      <c r="J50" s="1205"/>
      <c r="K50" s="1208"/>
      <c r="L50" s="1211"/>
    </row>
    <row r="51" spans="1:12" s="705" customFormat="1" ht="18" thickTop="1" thickBot="1">
      <c r="A51" s="817" t="s">
        <v>850</v>
      </c>
      <c r="B51" s="818" t="s">
        <v>851</v>
      </c>
      <c r="C51" s="819">
        <v>7000</v>
      </c>
      <c r="D51" s="1019">
        <v>537.26</v>
      </c>
      <c r="E51" s="820">
        <f t="shared" si="0"/>
        <v>6462.74</v>
      </c>
      <c r="F51" s="694"/>
      <c r="G51" s="719">
        <f>F35-F51</f>
        <v>0</v>
      </c>
      <c r="H51" s="694"/>
      <c r="I51" s="1202"/>
      <c r="J51" s="1205"/>
      <c r="K51" s="1208"/>
      <c r="L51" s="1211"/>
    </row>
    <row r="52" spans="1:12" s="705" customFormat="1" ht="18" thickTop="1" thickBot="1">
      <c r="A52" s="821" t="s">
        <v>852</v>
      </c>
      <c r="B52" s="822" t="s">
        <v>853</v>
      </c>
      <c r="C52" s="819">
        <v>7000</v>
      </c>
      <c r="D52" s="1020">
        <v>536.78</v>
      </c>
      <c r="E52" s="730">
        <f t="shared" si="0"/>
        <v>6463.22</v>
      </c>
      <c r="F52" s="692"/>
      <c r="G52" s="720">
        <f>F51-F52</f>
        <v>0</v>
      </c>
      <c r="H52" s="692"/>
      <c r="I52" s="1202"/>
      <c r="J52" s="1205"/>
      <c r="K52" s="1208"/>
      <c r="L52" s="1211"/>
    </row>
    <row r="53" spans="1:12" s="705" customFormat="1" ht="18" thickTop="1" thickBot="1">
      <c r="A53" s="817" t="s">
        <v>854</v>
      </c>
      <c r="B53" s="818" t="s">
        <v>855</v>
      </c>
      <c r="C53" s="819">
        <v>7000</v>
      </c>
      <c r="D53" s="1019">
        <v>568.79</v>
      </c>
      <c r="E53" s="820">
        <f t="shared" si="0"/>
        <v>6431.21</v>
      </c>
      <c r="F53" s="694"/>
      <c r="G53" s="719">
        <f>F35-F53</f>
        <v>0</v>
      </c>
      <c r="H53" s="694"/>
      <c r="I53" s="1202"/>
      <c r="J53" s="1205"/>
      <c r="K53" s="1208"/>
      <c r="L53" s="1211"/>
    </row>
    <row r="54" spans="1:12" s="705" customFormat="1" ht="18" thickTop="1" thickBot="1">
      <c r="A54" s="821" t="s">
        <v>856</v>
      </c>
      <c r="B54" s="822" t="s">
        <v>857</v>
      </c>
      <c r="C54" s="819">
        <v>7000</v>
      </c>
      <c r="D54" s="1020">
        <v>567.58000000000004</v>
      </c>
      <c r="E54" s="730">
        <f t="shared" si="0"/>
        <v>6432.42</v>
      </c>
      <c r="F54" s="692"/>
      <c r="G54" s="720">
        <f>F53-F54</f>
        <v>0</v>
      </c>
      <c r="H54" s="692"/>
      <c r="I54" s="1202"/>
      <c r="J54" s="1205"/>
      <c r="K54" s="1208"/>
      <c r="L54" s="1211"/>
    </row>
    <row r="55" spans="1:12" s="705" customFormat="1" ht="18" thickTop="1" thickBot="1">
      <c r="A55" s="817" t="s">
        <v>858</v>
      </c>
      <c r="B55" s="818" t="s">
        <v>859</v>
      </c>
      <c r="C55" s="819">
        <v>7000</v>
      </c>
      <c r="D55" s="1019">
        <v>793.92</v>
      </c>
      <c r="E55" s="820">
        <f t="shared" si="0"/>
        <v>6206.08</v>
      </c>
      <c r="F55" s="694"/>
      <c r="G55" s="719">
        <f>F35-F55</f>
        <v>0</v>
      </c>
      <c r="H55" s="694"/>
      <c r="I55" s="1202"/>
      <c r="J55" s="1205"/>
      <c r="K55" s="1208"/>
      <c r="L55" s="1211"/>
    </row>
    <row r="56" spans="1:12" s="705" customFormat="1" ht="18" thickTop="1" thickBot="1">
      <c r="A56" s="821" t="s">
        <v>860</v>
      </c>
      <c r="B56" s="822" t="s">
        <v>861</v>
      </c>
      <c r="C56" s="819">
        <v>7000</v>
      </c>
      <c r="D56" s="1020">
        <v>792.78</v>
      </c>
      <c r="E56" s="730">
        <f t="shared" si="0"/>
        <v>6207.22</v>
      </c>
      <c r="F56" s="692"/>
      <c r="G56" s="720">
        <f>F55-F56</f>
        <v>0</v>
      </c>
      <c r="H56" s="692"/>
      <c r="I56" s="1202"/>
      <c r="J56" s="1205"/>
      <c r="K56" s="1208"/>
      <c r="L56" s="1211"/>
    </row>
    <row r="57" spans="1:12" s="705" customFormat="1" ht="18" thickTop="1" thickBot="1">
      <c r="A57" s="817" t="s">
        <v>862</v>
      </c>
      <c r="B57" s="818" t="s">
        <v>863</v>
      </c>
      <c r="C57" s="819">
        <v>7000</v>
      </c>
      <c r="D57" s="1019">
        <v>731.3</v>
      </c>
      <c r="E57" s="820">
        <f t="shared" si="0"/>
        <v>6268.7</v>
      </c>
      <c r="F57" s="694"/>
      <c r="G57" s="719">
        <f>F35-F57</f>
        <v>0</v>
      </c>
      <c r="H57" s="694"/>
      <c r="I57" s="1202"/>
      <c r="J57" s="1205"/>
      <c r="K57" s="1208"/>
      <c r="L57" s="1211"/>
    </row>
    <row r="58" spans="1:12" s="705" customFormat="1" ht="18" thickTop="1" thickBot="1">
      <c r="A58" s="821" t="s">
        <v>864</v>
      </c>
      <c r="B58" s="822" t="s">
        <v>865</v>
      </c>
      <c r="C58" s="819">
        <v>7000</v>
      </c>
      <c r="D58" s="1020">
        <v>732.68</v>
      </c>
      <c r="E58" s="730">
        <f t="shared" si="0"/>
        <v>6267.32</v>
      </c>
      <c r="F58" s="692"/>
      <c r="G58" s="720">
        <f>F57-F58</f>
        <v>0</v>
      </c>
      <c r="H58" s="692"/>
      <c r="I58" s="1202"/>
      <c r="J58" s="1205"/>
      <c r="K58" s="1208"/>
      <c r="L58" s="1211"/>
    </row>
    <row r="59" spans="1:12" s="705" customFormat="1" ht="18" thickTop="1" thickBot="1">
      <c r="A59" s="817" t="s">
        <v>866</v>
      </c>
      <c r="B59" s="818" t="s">
        <v>867</v>
      </c>
      <c r="C59" s="819">
        <v>7000</v>
      </c>
      <c r="D59" s="1019">
        <v>451.27</v>
      </c>
      <c r="E59" s="820">
        <f t="shared" si="0"/>
        <v>6548.73</v>
      </c>
      <c r="F59" s="693"/>
      <c r="G59" s="719">
        <f>F35-F59</f>
        <v>0</v>
      </c>
      <c r="H59" s="693"/>
      <c r="I59" s="1202"/>
      <c r="J59" s="1205"/>
      <c r="K59" s="1208"/>
      <c r="L59" s="1211"/>
    </row>
    <row r="60" spans="1:12" s="705" customFormat="1" ht="18" thickTop="1" thickBot="1">
      <c r="A60" s="821" t="s">
        <v>868</v>
      </c>
      <c r="B60" s="822" t="s">
        <v>869</v>
      </c>
      <c r="C60" s="819">
        <v>7000</v>
      </c>
      <c r="D60" s="1020">
        <v>450.51</v>
      </c>
      <c r="E60" s="730">
        <f t="shared" si="0"/>
        <v>6549.49</v>
      </c>
      <c r="F60" s="695"/>
      <c r="G60" s="720">
        <f>F59-F60</f>
        <v>0</v>
      </c>
      <c r="H60" s="695"/>
      <c r="I60" s="1202"/>
      <c r="J60" s="1205"/>
      <c r="K60" s="1208"/>
      <c r="L60" s="1211"/>
    </row>
    <row r="61" spans="1:12" s="705" customFormat="1" ht="18" thickTop="1" thickBot="1">
      <c r="A61" s="817" t="s">
        <v>870</v>
      </c>
      <c r="B61" s="818" t="s">
        <v>871</v>
      </c>
      <c r="C61" s="819">
        <v>7000</v>
      </c>
      <c r="D61" s="1019">
        <v>436.99</v>
      </c>
      <c r="E61" s="820">
        <f t="shared" si="0"/>
        <v>6563.01</v>
      </c>
      <c r="F61" s="694"/>
      <c r="G61" s="719">
        <f>F35-F61</f>
        <v>0</v>
      </c>
      <c r="H61" s="694"/>
      <c r="I61" s="1202"/>
      <c r="J61" s="1205"/>
      <c r="K61" s="1208"/>
      <c r="L61" s="1211"/>
    </row>
    <row r="62" spans="1:12" s="705" customFormat="1" ht="18" thickTop="1" thickBot="1">
      <c r="A62" s="821" t="s">
        <v>872</v>
      </c>
      <c r="B62" s="822" t="s">
        <v>873</v>
      </c>
      <c r="C62" s="819">
        <v>7000</v>
      </c>
      <c r="D62" s="1020">
        <v>436.78</v>
      </c>
      <c r="E62" s="730">
        <f t="shared" si="0"/>
        <v>6563.22</v>
      </c>
      <c r="F62" s="692"/>
      <c r="G62" s="720">
        <f>F61-F62</f>
        <v>0</v>
      </c>
      <c r="H62" s="692"/>
      <c r="I62" s="1202"/>
      <c r="J62" s="1205"/>
      <c r="K62" s="1208"/>
      <c r="L62" s="1211"/>
    </row>
    <row r="63" spans="1:12" s="705" customFormat="1" ht="18" thickTop="1" thickBot="1">
      <c r="A63" s="817" t="s">
        <v>874</v>
      </c>
      <c r="B63" s="818" t="s">
        <v>875</v>
      </c>
      <c r="C63" s="819">
        <v>7000</v>
      </c>
      <c r="D63" s="1019">
        <v>384.69</v>
      </c>
      <c r="E63" s="820">
        <f t="shared" si="0"/>
        <v>6615.31</v>
      </c>
      <c r="F63" s="693"/>
      <c r="G63" s="719">
        <f>F35-F63</f>
        <v>0</v>
      </c>
      <c r="H63" s="693"/>
      <c r="I63" s="1202"/>
      <c r="J63" s="1205"/>
      <c r="K63" s="1208"/>
      <c r="L63" s="1211"/>
    </row>
    <row r="64" spans="1:12" s="705" customFormat="1" ht="18" thickTop="1" thickBot="1">
      <c r="A64" s="821" t="s">
        <v>876</v>
      </c>
      <c r="B64" s="822" t="s">
        <v>877</v>
      </c>
      <c r="C64" s="819">
        <v>7000</v>
      </c>
      <c r="D64" s="1020">
        <v>383.58</v>
      </c>
      <c r="E64" s="730">
        <f t="shared" si="0"/>
        <v>6616.42</v>
      </c>
      <c r="F64" s="695"/>
      <c r="G64" s="720">
        <f>F63-F64</f>
        <v>0</v>
      </c>
      <c r="H64" s="695"/>
      <c r="I64" s="1202"/>
      <c r="J64" s="1205"/>
      <c r="K64" s="1208"/>
      <c r="L64" s="1211"/>
    </row>
    <row r="65" spans="1:12" s="705" customFormat="1" ht="18" thickTop="1" thickBot="1">
      <c r="A65" s="817" t="s">
        <v>878</v>
      </c>
      <c r="B65" s="818" t="s">
        <v>879</v>
      </c>
      <c r="C65" s="819">
        <v>7000</v>
      </c>
      <c r="D65" s="1019">
        <v>455.65</v>
      </c>
      <c r="E65" s="820">
        <f t="shared" si="0"/>
        <v>6544.35</v>
      </c>
      <c r="F65" s="694"/>
      <c r="G65" s="719">
        <f>F35-F65</f>
        <v>0</v>
      </c>
      <c r="H65" s="694"/>
      <c r="I65" s="1202"/>
      <c r="J65" s="1205"/>
      <c r="K65" s="1208"/>
      <c r="L65" s="1211"/>
    </row>
    <row r="66" spans="1:12" s="705" customFormat="1" ht="18" thickTop="1" thickBot="1">
      <c r="A66" s="821" t="s">
        <v>880</v>
      </c>
      <c r="B66" s="822" t="s">
        <v>881</v>
      </c>
      <c r="C66" s="819">
        <v>7000</v>
      </c>
      <c r="D66" s="1020">
        <v>453.79</v>
      </c>
      <c r="E66" s="730">
        <f t="shared" si="0"/>
        <v>6546.21</v>
      </c>
      <c r="F66" s="692"/>
      <c r="G66" s="720">
        <f>F65-F66</f>
        <v>0</v>
      </c>
      <c r="H66" s="692"/>
      <c r="I66" s="1203"/>
      <c r="J66" s="1206"/>
      <c r="K66" s="1209"/>
      <c r="L66" s="1212"/>
    </row>
    <row r="67" spans="1:12" ht="17.25" thickTop="1">
      <c r="C67" s="823"/>
      <c r="F67" s="824"/>
      <c r="G67" s="824"/>
      <c r="H67" s="824"/>
      <c r="I67" s="824"/>
      <c r="J67" s="824"/>
    </row>
    <row r="68" spans="1:12">
      <c r="C68" s="823"/>
      <c r="F68" s="824"/>
      <c r="G68" s="824"/>
      <c r="H68" s="824"/>
      <c r="I68" s="824"/>
      <c r="J68" s="824"/>
    </row>
    <row r="69" spans="1:12">
      <c r="C69" s="823"/>
      <c r="F69" s="824"/>
      <c r="G69" s="824"/>
      <c r="H69" s="824"/>
      <c r="I69" s="824"/>
      <c r="J69" s="824"/>
    </row>
    <row r="70" spans="1:12">
      <c r="C70" s="823"/>
      <c r="G70" s="824"/>
      <c r="H70" s="824"/>
      <c r="I70" s="824"/>
      <c r="J70" s="824"/>
      <c r="K70" s="824"/>
    </row>
    <row r="71" spans="1:12">
      <c r="C71" s="823"/>
      <c r="G71" s="824"/>
      <c r="H71" s="824"/>
      <c r="I71" s="824"/>
      <c r="J71" s="824"/>
      <c r="K71" s="824"/>
    </row>
    <row r="72" spans="1:12">
      <c r="C72" s="823"/>
      <c r="G72" s="824"/>
      <c r="H72" s="824"/>
      <c r="I72" s="824"/>
      <c r="J72" s="824"/>
      <c r="K72" s="824"/>
    </row>
    <row r="73" spans="1:12">
      <c r="C73" s="823"/>
      <c r="G73" s="824"/>
      <c r="H73" s="824"/>
      <c r="I73" s="824"/>
      <c r="J73" s="824"/>
      <c r="K73" s="824"/>
    </row>
    <row r="74" spans="1:12">
      <c r="C74" s="823"/>
      <c r="G74" s="824"/>
      <c r="H74" s="824"/>
      <c r="I74" s="824"/>
      <c r="J74" s="824"/>
      <c r="K74" s="824"/>
    </row>
    <row r="75" spans="1:12">
      <c r="C75" s="823"/>
      <c r="G75" s="824"/>
      <c r="H75" s="824"/>
      <c r="I75" s="824"/>
      <c r="J75" s="824"/>
      <c r="K75" s="824"/>
    </row>
    <row r="76" spans="1:12">
      <c r="C76" s="823"/>
      <c r="G76" s="824"/>
      <c r="H76" s="824"/>
      <c r="I76" s="824"/>
      <c r="J76" s="824"/>
      <c r="K76" s="824"/>
    </row>
    <row r="77" spans="1:12">
      <c r="C77" s="823"/>
      <c r="G77" s="824"/>
      <c r="H77" s="824"/>
      <c r="I77" s="824"/>
      <c r="J77" s="824"/>
      <c r="K77" s="824"/>
    </row>
    <row r="78" spans="1:12">
      <c r="C78" s="823"/>
      <c r="G78" s="824"/>
      <c r="H78" s="824"/>
      <c r="I78" s="824"/>
      <c r="J78" s="824"/>
      <c r="K78" s="824"/>
    </row>
    <row r="79" spans="1:12">
      <c r="C79" s="823"/>
      <c r="G79" s="824"/>
      <c r="H79" s="824"/>
      <c r="I79" s="824"/>
      <c r="J79" s="824"/>
      <c r="K79" s="824"/>
    </row>
    <row r="80" spans="1:12">
      <c r="C80" s="823"/>
      <c r="G80" s="824"/>
      <c r="H80" s="824"/>
      <c r="I80" s="824"/>
      <c r="J80" s="824"/>
      <c r="K80" s="824"/>
    </row>
    <row r="81" spans="3:11">
      <c r="C81" s="823"/>
      <c r="G81" s="824"/>
      <c r="H81" s="824"/>
      <c r="I81" s="824"/>
      <c r="J81" s="824"/>
      <c r="K81" s="824"/>
    </row>
    <row r="82" spans="3:11">
      <c r="C82" s="823"/>
      <c r="G82" s="824"/>
      <c r="H82" s="824"/>
      <c r="I82" s="824"/>
      <c r="J82" s="824"/>
      <c r="K82" s="824"/>
    </row>
    <row r="83" spans="3:11">
      <c r="C83" s="823"/>
      <c r="G83" s="824"/>
      <c r="H83" s="824"/>
      <c r="I83" s="824"/>
      <c r="J83" s="824"/>
      <c r="K83" s="824"/>
    </row>
    <row r="84" spans="3:11">
      <c r="C84" s="823"/>
      <c r="G84" s="824"/>
      <c r="H84" s="824"/>
      <c r="I84" s="824"/>
      <c r="J84" s="824"/>
      <c r="K84" s="824"/>
    </row>
    <row r="85" spans="3:11">
      <c r="C85" s="823"/>
      <c r="G85" s="824"/>
      <c r="H85" s="824"/>
      <c r="I85" s="824"/>
      <c r="J85" s="824"/>
      <c r="K85" s="824"/>
    </row>
    <row r="86" spans="3:11">
      <c r="G86" s="824"/>
      <c r="H86" s="824"/>
      <c r="I86" s="824"/>
      <c r="J86" s="824"/>
      <c r="K86" s="824"/>
    </row>
    <row r="87" spans="3:11">
      <c r="G87" s="824"/>
      <c r="H87" s="824"/>
      <c r="I87" s="824"/>
      <c r="J87" s="824"/>
      <c r="K87" s="824"/>
    </row>
    <row r="88" spans="3:11">
      <c r="G88" s="824"/>
      <c r="H88" s="824"/>
      <c r="I88" s="824"/>
      <c r="J88" s="824"/>
      <c r="K88" s="824"/>
    </row>
    <row r="89" spans="3:11">
      <c r="G89" s="824"/>
      <c r="H89" s="824"/>
      <c r="I89" s="824"/>
      <c r="J89" s="824"/>
      <c r="K89" s="824"/>
    </row>
    <row r="90" spans="3:11">
      <c r="G90" s="824"/>
      <c r="H90" s="824"/>
      <c r="I90" s="824"/>
      <c r="J90" s="824"/>
      <c r="K90" s="824"/>
    </row>
    <row r="91" spans="3:11">
      <c r="G91" s="824"/>
      <c r="H91" s="824"/>
      <c r="I91" s="824"/>
      <c r="J91" s="824"/>
      <c r="K91" s="824"/>
    </row>
    <row r="92" spans="3:11">
      <c r="G92" s="824"/>
      <c r="H92" s="824"/>
      <c r="I92" s="824"/>
      <c r="J92" s="824"/>
      <c r="K92" s="824"/>
    </row>
    <row r="93" spans="3:11">
      <c r="G93" s="824"/>
      <c r="H93" s="824"/>
      <c r="I93" s="824"/>
      <c r="J93" s="824"/>
      <c r="K93" s="824"/>
    </row>
    <row r="94" spans="3:11">
      <c r="G94" s="824"/>
      <c r="H94" s="824"/>
      <c r="I94" s="824"/>
      <c r="J94" s="824"/>
      <c r="K94" s="824"/>
    </row>
    <row r="95" spans="3:11">
      <c r="G95" s="824"/>
      <c r="H95" s="824"/>
      <c r="I95" s="824"/>
      <c r="J95" s="824"/>
      <c r="K95" s="824"/>
    </row>
    <row r="96" spans="3:11">
      <c r="G96" s="824"/>
      <c r="H96" s="824"/>
      <c r="I96" s="824"/>
      <c r="J96" s="824"/>
      <c r="K96" s="824"/>
    </row>
    <row r="97" spans="7:11">
      <c r="G97" s="824"/>
      <c r="H97" s="824"/>
      <c r="I97" s="824"/>
      <c r="J97" s="824"/>
      <c r="K97" s="824"/>
    </row>
    <row r="98" spans="7:11">
      <c r="G98" s="824"/>
      <c r="H98" s="824"/>
      <c r="I98" s="824"/>
      <c r="J98" s="824"/>
      <c r="K98" s="824"/>
    </row>
    <row r="99" spans="7:11">
      <c r="G99" s="824"/>
      <c r="H99" s="824"/>
      <c r="I99" s="824"/>
      <c r="J99" s="824"/>
      <c r="K99" s="824"/>
    </row>
    <row r="100" spans="7:11">
      <c r="G100" s="824"/>
      <c r="H100" s="824"/>
      <c r="I100" s="824"/>
      <c r="J100" s="824"/>
      <c r="K100" s="824"/>
    </row>
    <row r="101" spans="7:11">
      <c r="G101" s="824"/>
      <c r="H101" s="824"/>
      <c r="I101" s="824"/>
      <c r="J101" s="824"/>
      <c r="K101" s="824"/>
    </row>
    <row r="102" spans="7:11">
      <c r="G102" s="824"/>
      <c r="H102" s="824"/>
      <c r="I102" s="824"/>
      <c r="J102" s="824"/>
      <c r="K102" s="824"/>
    </row>
    <row r="103" spans="7:11">
      <c r="G103" s="824"/>
      <c r="H103" s="824"/>
      <c r="I103" s="824"/>
      <c r="J103" s="824"/>
      <c r="K103" s="824"/>
    </row>
    <row r="104" spans="7:11">
      <c r="G104" s="824"/>
      <c r="H104" s="824"/>
      <c r="I104" s="824"/>
      <c r="J104" s="824"/>
      <c r="K104" s="824"/>
    </row>
    <row r="105" spans="7:11">
      <c r="G105" s="824"/>
      <c r="H105" s="824"/>
      <c r="I105" s="824"/>
      <c r="J105" s="824"/>
      <c r="K105" s="824"/>
    </row>
    <row r="106" spans="7:11">
      <c r="G106" s="824"/>
      <c r="H106" s="824"/>
      <c r="I106" s="824"/>
      <c r="J106" s="824"/>
      <c r="K106" s="824"/>
    </row>
    <row r="107" spans="7:11">
      <c r="G107" s="824"/>
      <c r="H107" s="824"/>
      <c r="I107" s="824"/>
      <c r="J107" s="824"/>
      <c r="K107" s="824"/>
    </row>
    <row r="108" spans="7:11">
      <c r="G108" s="824"/>
      <c r="H108" s="824"/>
      <c r="I108" s="824"/>
      <c r="J108" s="824"/>
      <c r="K108" s="824"/>
    </row>
    <row r="109" spans="7:11">
      <c r="G109" s="824"/>
      <c r="H109" s="824"/>
      <c r="I109" s="824"/>
      <c r="J109" s="824"/>
      <c r="K109" s="824"/>
    </row>
    <row r="110" spans="7:11">
      <c r="G110" s="824"/>
      <c r="H110" s="824"/>
      <c r="I110" s="824"/>
      <c r="J110" s="824"/>
      <c r="K110" s="824"/>
    </row>
    <row r="111" spans="7:11">
      <c r="G111" s="824"/>
      <c r="H111" s="824"/>
      <c r="I111" s="824"/>
      <c r="J111" s="824"/>
      <c r="K111" s="824"/>
    </row>
    <row r="112" spans="7:11">
      <c r="G112" s="824"/>
      <c r="H112" s="824"/>
      <c r="I112" s="824"/>
      <c r="J112" s="824"/>
      <c r="K112" s="824"/>
    </row>
    <row r="113" spans="7:11">
      <c r="G113" s="824"/>
      <c r="H113" s="824"/>
      <c r="I113" s="824"/>
      <c r="J113" s="824"/>
      <c r="K113" s="824"/>
    </row>
    <row r="114" spans="7:11">
      <c r="G114" s="824"/>
      <c r="H114" s="824"/>
      <c r="I114" s="824"/>
      <c r="J114" s="824"/>
      <c r="K114" s="824"/>
    </row>
    <row r="115" spans="7:11">
      <c r="G115" s="824"/>
      <c r="H115" s="824"/>
      <c r="I115" s="824"/>
      <c r="J115" s="824"/>
      <c r="K115" s="824"/>
    </row>
    <row r="116" spans="7:11">
      <c r="G116" s="824"/>
      <c r="H116" s="824"/>
      <c r="I116" s="824"/>
      <c r="J116" s="824"/>
      <c r="K116" s="824"/>
    </row>
    <row r="117" spans="7:11">
      <c r="G117" s="824"/>
      <c r="H117" s="824"/>
      <c r="I117" s="824"/>
      <c r="J117" s="824"/>
      <c r="K117" s="824"/>
    </row>
    <row r="118" spans="7:11">
      <c r="G118" s="824"/>
      <c r="H118" s="824"/>
      <c r="I118" s="824"/>
      <c r="J118" s="824"/>
      <c r="K118" s="824"/>
    </row>
    <row r="119" spans="7:11">
      <c r="G119" s="824"/>
      <c r="H119" s="824"/>
      <c r="I119" s="824"/>
      <c r="J119" s="824"/>
      <c r="K119" s="824"/>
    </row>
    <row r="120" spans="7:11">
      <c r="G120" s="824"/>
      <c r="H120" s="824"/>
      <c r="I120" s="824"/>
      <c r="J120" s="824"/>
      <c r="K120" s="824"/>
    </row>
    <row r="121" spans="7:11">
      <c r="G121" s="824"/>
      <c r="H121" s="824"/>
      <c r="I121" s="824"/>
      <c r="J121" s="824"/>
      <c r="K121" s="824"/>
    </row>
    <row r="122" spans="7:11">
      <c r="G122" s="824"/>
      <c r="H122" s="824"/>
      <c r="I122" s="824"/>
      <c r="J122" s="824"/>
      <c r="K122" s="824"/>
    </row>
    <row r="123" spans="7:11">
      <c r="G123" s="824"/>
      <c r="H123" s="824"/>
      <c r="I123" s="824"/>
      <c r="J123" s="824"/>
      <c r="K123" s="824"/>
    </row>
    <row r="124" spans="7:11">
      <c r="G124" s="824"/>
      <c r="H124" s="824"/>
      <c r="I124" s="824"/>
      <c r="J124" s="824"/>
      <c r="K124" s="824"/>
    </row>
    <row r="125" spans="7:11">
      <c r="G125" s="824"/>
      <c r="H125" s="824"/>
      <c r="I125" s="824"/>
      <c r="J125" s="824"/>
      <c r="K125" s="824"/>
    </row>
    <row r="126" spans="7:11">
      <c r="G126" s="824"/>
      <c r="H126" s="824"/>
      <c r="I126" s="824"/>
      <c r="J126" s="824"/>
      <c r="K126" s="824"/>
    </row>
    <row r="127" spans="7:11">
      <c r="G127" s="824"/>
      <c r="H127" s="824"/>
      <c r="I127" s="824"/>
      <c r="J127" s="824"/>
      <c r="K127" s="824"/>
    </row>
    <row r="128" spans="7:11">
      <c r="G128" s="824"/>
      <c r="H128" s="824"/>
      <c r="I128" s="824"/>
      <c r="J128" s="824"/>
      <c r="K128" s="824"/>
    </row>
    <row r="129" spans="7:11">
      <c r="G129" s="824"/>
      <c r="H129" s="824"/>
      <c r="I129" s="824"/>
      <c r="J129" s="824"/>
      <c r="K129" s="824"/>
    </row>
    <row r="130" spans="7:11">
      <c r="G130" s="824"/>
      <c r="H130" s="824"/>
      <c r="I130" s="824"/>
      <c r="J130" s="824"/>
      <c r="K130" s="824"/>
    </row>
    <row r="131" spans="7:11">
      <c r="G131" s="824"/>
      <c r="H131" s="824"/>
      <c r="I131" s="824"/>
      <c r="J131" s="824"/>
      <c r="K131" s="824"/>
    </row>
    <row r="132" spans="7:11">
      <c r="G132" s="824"/>
      <c r="H132" s="824"/>
      <c r="I132" s="824"/>
      <c r="J132" s="824"/>
      <c r="K132" s="824"/>
    </row>
    <row r="133" spans="7:11">
      <c r="G133" s="824"/>
      <c r="H133" s="824"/>
      <c r="I133" s="824"/>
      <c r="J133" s="824"/>
      <c r="K133" s="824"/>
    </row>
    <row r="134" spans="7:11">
      <c r="G134" s="824"/>
      <c r="H134" s="824"/>
      <c r="I134" s="824"/>
      <c r="J134" s="824"/>
      <c r="K134" s="824"/>
    </row>
    <row r="135" spans="7:11">
      <c r="G135" s="824"/>
      <c r="H135" s="824"/>
      <c r="I135" s="824"/>
      <c r="J135" s="824"/>
      <c r="K135" s="824"/>
    </row>
    <row r="136" spans="7:11">
      <c r="G136" s="824"/>
      <c r="H136" s="824"/>
      <c r="I136" s="824"/>
      <c r="J136" s="824"/>
      <c r="K136" s="824"/>
    </row>
    <row r="137" spans="7:11">
      <c r="G137" s="824"/>
      <c r="H137" s="824"/>
      <c r="I137" s="824"/>
      <c r="J137" s="824"/>
      <c r="K137" s="824"/>
    </row>
    <row r="138" spans="7:11">
      <c r="G138" s="824"/>
      <c r="H138" s="824"/>
      <c r="I138" s="824"/>
      <c r="J138" s="824"/>
      <c r="K138" s="824"/>
    </row>
    <row r="139" spans="7:11">
      <c r="G139" s="824"/>
      <c r="H139" s="824"/>
      <c r="I139" s="824"/>
      <c r="J139" s="824"/>
      <c r="K139" s="824"/>
    </row>
    <row r="140" spans="7:11">
      <c r="G140" s="824"/>
      <c r="H140" s="824"/>
      <c r="I140" s="824"/>
      <c r="J140" s="824"/>
      <c r="K140" s="824"/>
    </row>
    <row r="141" spans="7:11">
      <c r="G141" s="824"/>
      <c r="H141" s="824"/>
      <c r="I141" s="824"/>
      <c r="J141" s="824"/>
      <c r="K141" s="824"/>
    </row>
    <row r="142" spans="7:11">
      <c r="G142" s="824"/>
      <c r="H142" s="824"/>
      <c r="I142" s="824"/>
      <c r="J142" s="824"/>
      <c r="K142" s="824"/>
    </row>
    <row r="143" spans="7:11">
      <c r="G143" s="824"/>
      <c r="H143" s="824"/>
      <c r="I143" s="824"/>
      <c r="J143" s="824"/>
      <c r="K143" s="824"/>
    </row>
    <row r="144" spans="7:11">
      <c r="G144" s="824"/>
      <c r="H144" s="824"/>
      <c r="I144" s="824"/>
      <c r="J144" s="824"/>
      <c r="K144" s="824"/>
    </row>
    <row r="145" spans="7:11">
      <c r="G145" s="824"/>
      <c r="H145" s="824"/>
      <c r="I145" s="824"/>
      <c r="J145" s="824"/>
      <c r="K145" s="824"/>
    </row>
    <row r="146" spans="7:11">
      <c r="G146" s="824"/>
      <c r="H146" s="824"/>
      <c r="I146" s="824"/>
      <c r="J146" s="824"/>
      <c r="K146" s="824"/>
    </row>
    <row r="147" spans="7:11">
      <c r="G147" s="824"/>
      <c r="H147" s="824"/>
      <c r="I147" s="824"/>
      <c r="J147" s="824"/>
      <c r="K147" s="824"/>
    </row>
    <row r="148" spans="7:11">
      <c r="G148" s="824"/>
      <c r="H148" s="824"/>
      <c r="I148" s="824"/>
      <c r="J148" s="824"/>
      <c r="K148" s="824"/>
    </row>
    <row r="149" spans="7:11">
      <c r="G149" s="824"/>
      <c r="H149" s="824"/>
      <c r="I149" s="824"/>
      <c r="J149" s="824"/>
      <c r="K149" s="824"/>
    </row>
    <row r="150" spans="7:11">
      <c r="G150" s="824"/>
      <c r="H150" s="824"/>
      <c r="I150" s="824"/>
      <c r="J150" s="824"/>
      <c r="K150" s="824"/>
    </row>
    <row r="151" spans="7:11">
      <c r="G151" s="824"/>
      <c r="H151" s="824"/>
      <c r="I151" s="824"/>
      <c r="J151" s="824"/>
      <c r="K151" s="824"/>
    </row>
    <row r="152" spans="7:11">
      <c r="G152" s="824"/>
      <c r="H152" s="824"/>
      <c r="I152" s="824"/>
      <c r="J152" s="824"/>
      <c r="K152" s="824"/>
    </row>
    <row r="153" spans="7:11">
      <c r="G153" s="824"/>
      <c r="H153" s="824"/>
      <c r="I153" s="824"/>
      <c r="J153" s="824"/>
      <c r="K153" s="824"/>
    </row>
    <row r="154" spans="7:11">
      <c r="G154" s="824"/>
      <c r="H154" s="824"/>
      <c r="I154" s="824"/>
      <c r="J154" s="824"/>
      <c r="K154" s="824"/>
    </row>
    <row r="155" spans="7:11">
      <c r="G155" s="824"/>
      <c r="H155" s="824"/>
      <c r="I155" s="824"/>
      <c r="J155" s="824"/>
      <c r="K155" s="824"/>
    </row>
    <row r="156" spans="7:11">
      <c r="G156" s="824"/>
      <c r="H156" s="824"/>
      <c r="I156" s="824"/>
      <c r="J156" s="824"/>
      <c r="K156" s="824"/>
    </row>
    <row r="157" spans="7:11">
      <c r="G157" s="824"/>
      <c r="H157" s="824"/>
      <c r="I157" s="824"/>
      <c r="J157" s="824"/>
      <c r="K157" s="824"/>
    </row>
    <row r="158" spans="7:11">
      <c r="G158" s="824"/>
      <c r="H158" s="824"/>
      <c r="I158" s="824"/>
      <c r="J158" s="824"/>
      <c r="K158" s="824"/>
    </row>
    <row r="159" spans="7:11">
      <c r="G159" s="824"/>
      <c r="H159" s="824"/>
      <c r="I159" s="824"/>
      <c r="J159" s="824"/>
      <c r="K159" s="824"/>
    </row>
    <row r="160" spans="7:11">
      <c r="G160" s="824"/>
      <c r="H160" s="824"/>
      <c r="I160" s="824"/>
      <c r="J160" s="824"/>
      <c r="K160" s="824"/>
    </row>
    <row r="161" spans="7:11">
      <c r="G161" s="824"/>
      <c r="H161" s="824"/>
      <c r="I161" s="824"/>
      <c r="J161" s="824"/>
      <c r="K161" s="824"/>
    </row>
    <row r="162" spans="7:11">
      <c r="G162" s="824"/>
      <c r="H162" s="824"/>
      <c r="I162" s="824"/>
      <c r="J162" s="824"/>
      <c r="K162" s="824"/>
    </row>
    <row r="163" spans="7:11">
      <c r="G163" s="824"/>
      <c r="H163" s="824"/>
      <c r="I163" s="824"/>
      <c r="J163" s="824"/>
      <c r="K163" s="824"/>
    </row>
    <row r="164" spans="7:11">
      <c r="G164" s="824"/>
      <c r="H164" s="824"/>
      <c r="I164" s="824"/>
      <c r="J164" s="824"/>
      <c r="K164" s="824"/>
    </row>
    <row r="165" spans="7:11">
      <c r="G165" s="824"/>
      <c r="H165" s="824"/>
      <c r="I165" s="824"/>
      <c r="J165" s="824"/>
      <c r="K165" s="824"/>
    </row>
    <row r="166" spans="7:11">
      <c r="G166" s="824"/>
      <c r="H166" s="824"/>
      <c r="I166" s="824"/>
      <c r="J166" s="824"/>
      <c r="K166" s="824"/>
    </row>
    <row r="167" spans="7:11">
      <c r="G167" s="824"/>
      <c r="H167" s="824"/>
      <c r="I167" s="824"/>
      <c r="J167" s="824"/>
      <c r="K167" s="824"/>
    </row>
    <row r="168" spans="7:11">
      <c r="G168" s="824"/>
      <c r="H168" s="824"/>
      <c r="I168" s="824"/>
      <c r="J168" s="824"/>
      <c r="K168" s="824"/>
    </row>
    <row r="169" spans="7:11">
      <c r="G169" s="824"/>
      <c r="H169" s="824"/>
      <c r="I169" s="824"/>
      <c r="J169" s="824"/>
      <c r="K169" s="824"/>
    </row>
    <row r="170" spans="7:11">
      <c r="G170" s="824"/>
      <c r="H170" s="824"/>
      <c r="I170" s="824"/>
      <c r="J170" s="824"/>
      <c r="K170" s="824"/>
    </row>
  </sheetData>
  <sheetProtection password="AAE5" sheet="1" objects="1" scenarios="1" selectLockedCells="1"/>
  <mergeCells count="9">
    <mergeCell ref="I35:I66"/>
    <mergeCell ref="J35:J66"/>
    <mergeCell ref="K35:K66"/>
    <mergeCell ref="L35:L66"/>
    <mergeCell ref="A1:C1"/>
    <mergeCell ref="I3:I34"/>
    <mergeCell ref="J3:J34"/>
    <mergeCell ref="K3:K34"/>
    <mergeCell ref="L3:L34"/>
  </mergeCells>
  <phoneticPr fontId="49" type="noConversion"/>
  <conditionalFormatting sqref="H3:H66">
    <cfRule type="cellIs" dxfId="431" priority="1" stopIfTrue="1" operator="greaterThan">
      <formula>2</formula>
    </cfRule>
  </conditionalFormatting>
  <conditionalFormatting sqref="G66 G6 G8 G10 G12 G14 G16 G18 G20 G22 G24 G26 G28 G30 G32 G34 G36 G38 G40 G42 G44 G46 G48 G50 G52 G54 G56 G58 G60 G62 G64 G4">
    <cfRule type="cellIs" dxfId="430" priority="2" stopIfTrue="1" operator="notBetween">
      <formula>2</formula>
      <formula>-2</formula>
    </cfRule>
  </conditionalFormatting>
  <conditionalFormatting sqref="G5 G7 G9 G11 G13 G15 G17 G19 G21 G23 G25 G27 G29 G31 G33 G37 G39 G41 G43 G45 G47 G49 G51 G53 G55 G57 G59 G61 G63 G65">
    <cfRule type="cellIs" dxfId="429" priority="3" stopIfTrue="1" operator="notBetween">
      <formula>500</formula>
      <formula>-500</formula>
    </cfRule>
  </conditionalFormatting>
  <conditionalFormatting sqref="F3">
    <cfRule type="cellIs" dxfId="428" priority="4" stopIfTrue="1" operator="greaterThan">
      <formula>$E$3</formula>
    </cfRule>
  </conditionalFormatting>
  <conditionalFormatting sqref="F4">
    <cfRule type="cellIs" dxfId="427" priority="5" stopIfTrue="1" operator="greaterThan">
      <formula>$E$4</formula>
    </cfRule>
  </conditionalFormatting>
  <conditionalFormatting sqref="F5">
    <cfRule type="cellIs" dxfId="426" priority="6" stopIfTrue="1" operator="greaterThan">
      <formula>$E$5</formula>
    </cfRule>
  </conditionalFormatting>
  <conditionalFormatting sqref="F6">
    <cfRule type="cellIs" dxfId="425" priority="7" stopIfTrue="1" operator="greaterThan">
      <formula>$E$6</formula>
    </cfRule>
  </conditionalFormatting>
  <conditionalFormatting sqref="F7">
    <cfRule type="cellIs" dxfId="424" priority="8" stopIfTrue="1" operator="greaterThan">
      <formula>$E$7</formula>
    </cfRule>
  </conditionalFormatting>
  <conditionalFormatting sqref="F8">
    <cfRule type="cellIs" dxfId="423" priority="9" stopIfTrue="1" operator="greaterThan">
      <formula>$E$8</formula>
    </cfRule>
  </conditionalFormatting>
  <conditionalFormatting sqref="F9">
    <cfRule type="cellIs" dxfId="422" priority="10" stopIfTrue="1" operator="greaterThan">
      <formula>$E$9</formula>
    </cfRule>
  </conditionalFormatting>
  <conditionalFormatting sqref="F10">
    <cfRule type="cellIs" dxfId="421" priority="11" stopIfTrue="1" operator="greaterThan">
      <formula>$E$10</formula>
    </cfRule>
  </conditionalFormatting>
  <conditionalFormatting sqref="F11">
    <cfRule type="cellIs" dxfId="420" priority="12" stopIfTrue="1" operator="greaterThan">
      <formula>$E$11</formula>
    </cfRule>
  </conditionalFormatting>
  <conditionalFormatting sqref="F12">
    <cfRule type="cellIs" dxfId="419" priority="13" stopIfTrue="1" operator="greaterThan">
      <formula>$E$12</formula>
    </cfRule>
  </conditionalFormatting>
  <conditionalFormatting sqref="F13">
    <cfRule type="cellIs" dxfId="418" priority="14" stopIfTrue="1" operator="greaterThan">
      <formula>$E$13</formula>
    </cfRule>
  </conditionalFormatting>
  <conditionalFormatting sqref="F14">
    <cfRule type="cellIs" dxfId="417" priority="15" stopIfTrue="1" operator="greaterThan">
      <formula>$E$14</formula>
    </cfRule>
  </conditionalFormatting>
  <conditionalFormatting sqref="F15">
    <cfRule type="cellIs" dxfId="416" priority="16" stopIfTrue="1" operator="greaterThan">
      <formula>$E$15</formula>
    </cfRule>
  </conditionalFormatting>
  <conditionalFormatting sqref="F16">
    <cfRule type="cellIs" dxfId="415" priority="17" stopIfTrue="1" operator="greaterThan">
      <formula>$E$16</formula>
    </cfRule>
  </conditionalFormatting>
  <conditionalFormatting sqref="F17">
    <cfRule type="cellIs" dxfId="414" priority="18" stopIfTrue="1" operator="greaterThan">
      <formula>$E$17</formula>
    </cfRule>
  </conditionalFormatting>
  <conditionalFormatting sqref="F18">
    <cfRule type="cellIs" dxfId="413" priority="19" stopIfTrue="1" operator="greaterThan">
      <formula>$E$18</formula>
    </cfRule>
  </conditionalFormatting>
  <conditionalFormatting sqref="F19">
    <cfRule type="cellIs" dxfId="412" priority="20" stopIfTrue="1" operator="greaterThan">
      <formula>$E$19</formula>
    </cfRule>
  </conditionalFormatting>
  <conditionalFormatting sqref="F20">
    <cfRule type="cellIs" dxfId="411" priority="21" stopIfTrue="1" operator="greaterThan">
      <formula>$E$20</formula>
    </cfRule>
  </conditionalFormatting>
  <conditionalFormatting sqref="F21">
    <cfRule type="cellIs" dxfId="410" priority="22" stopIfTrue="1" operator="greaterThan">
      <formula>$E$21</formula>
    </cfRule>
  </conditionalFormatting>
  <conditionalFormatting sqref="F22">
    <cfRule type="cellIs" dxfId="409" priority="23" stopIfTrue="1" operator="greaterThan">
      <formula>$E$22</formula>
    </cfRule>
  </conditionalFormatting>
  <conditionalFormatting sqref="F23">
    <cfRule type="cellIs" dxfId="408" priority="24" stopIfTrue="1" operator="greaterThan">
      <formula>$E$23</formula>
    </cfRule>
  </conditionalFormatting>
  <conditionalFormatting sqref="F24">
    <cfRule type="cellIs" dxfId="407" priority="25" stopIfTrue="1" operator="greaterThan">
      <formula>$E$24</formula>
    </cfRule>
  </conditionalFormatting>
  <conditionalFormatting sqref="F25">
    <cfRule type="cellIs" dxfId="406" priority="26" stopIfTrue="1" operator="greaterThan">
      <formula>$E$25</formula>
    </cfRule>
  </conditionalFormatting>
  <conditionalFormatting sqref="F26">
    <cfRule type="cellIs" dxfId="405" priority="27" stopIfTrue="1" operator="greaterThan">
      <formula>$E$26</formula>
    </cfRule>
  </conditionalFormatting>
  <conditionalFormatting sqref="F27">
    <cfRule type="cellIs" dxfId="404" priority="28" stopIfTrue="1" operator="greaterThan">
      <formula>$E$27</formula>
    </cfRule>
  </conditionalFormatting>
  <conditionalFormatting sqref="F28">
    <cfRule type="cellIs" dxfId="403" priority="29" stopIfTrue="1" operator="greaterThan">
      <formula>$E$28</formula>
    </cfRule>
  </conditionalFormatting>
  <conditionalFormatting sqref="F29">
    <cfRule type="cellIs" dxfId="402" priority="30" stopIfTrue="1" operator="greaterThan">
      <formula>$E$29</formula>
    </cfRule>
  </conditionalFormatting>
  <conditionalFormatting sqref="F30">
    <cfRule type="cellIs" dxfId="401" priority="31" stopIfTrue="1" operator="greaterThan">
      <formula>$E$30</formula>
    </cfRule>
  </conditionalFormatting>
  <conditionalFormatting sqref="F31">
    <cfRule type="cellIs" dxfId="400" priority="32" stopIfTrue="1" operator="greaterThan">
      <formula>$E$31</formula>
    </cfRule>
  </conditionalFormatting>
  <conditionalFormatting sqref="F32">
    <cfRule type="cellIs" dxfId="399" priority="33" stopIfTrue="1" operator="greaterThan">
      <formula>$E$32</formula>
    </cfRule>
  </conditionalFormatting>
  <conditionalFormatting sqref="F33">
    <cfRule type="cellIs" dxfId="398" priority="34" stopIfTrue="1" operator="greaterThan">
      <formula>$E$33</formula>
    </cfRule>
  </conditionalFormatting>
  <conditionalFormatting sqref="F34">
    <cfRule type="cellIs" dxfId="397" priority="35" stopIfTrue="1" operator="greaterThan">
      <formula>$E$34</formula>
    </cfRule>
  </conditionalFormatting>
  <conditionalFormatting sqref="F35">
    <cfRule type="cellIs" dxfId="396" priority="36" stopIfTrue="1" operator="greaterThan">
      <formula>$E$35</formula>
    </cfRule>
  </conditionalFormatting>
  <conditionalFormatting sqref="F36">
    <cfRule type="cellIs" dxfId="395" priority="37" stopIfTrue="1" operator="greaterThan">
      <formula>$E$36</formula>
    </cfRule>
  </conditionalFormatting>
  <conditionalFormatting sqref="F37">
    <cfRule type="cellIs" dxfId="394" priority="38" stopIfTrue="1" operator="greaterThan">
      <formula>$E$37</formula>
    </cfRule>
  </conditionalFormatting>
  <conditionalFormatting sqref="F38">
    <cfRule type="cellIs" dxfId="393" priority="39" stopIfTrue="1" operator="greaterThan">
      <formula>$E$38</formula>
    </cfRule>
  </conditionalFormatting>
  <conditionalFormatting sqref="F39">
    <cfRule type="cellIs" dxfId="392" priority="40" stopIfTrue="1" operator="greaterThan">
      <formula>$E$39</formula>
    </cfRule>
  </conditionalFormatting>
  <conditionalFormatting sqref="F40">
    <cfRule type="cellIs" dxfId="391" priority="41" stopIfTrue="1" operator="greaterThan">
      <formula>$E$40</formula>
    </cfRule>
  </conditionalFormatting>
  <conditionalFormatting sqref="F41">
    <cfRule type="cellIs" dxfId="390" priority="42" stopIfTrue="1" operator="greaterThan">
      <formula>$E$41</formula>
    </cfRule>
  </conditionalFormatting>
  <conditionalFormatting sqref="F42">
    <cfRule type="cellIs" dxfId="389" priority="43" stopIfTrue="1" operator="greaterThan">
      <formula>$E$42</formula>
    </cfRule>
  </conditionalFormatting>
  <conditionalFormatting sqref="F43">
    <cfRule type="cellIs" dxfId="388" priority="44" stopIfTrue="1" operator="greaterThan">
      <formula>$E$43</formula>
    </cfRule>
  </conditionalFormatting>
  <conditionalFormatting sqref="F44">
    <cfRule type="cellIs" dxfId="387" priority="45" stopIfTrue="1" operator="greaterThan">
      <formula>$E$44</formula>
    </cfRule>
  </conditionalFormatting>
  <conditionalFormatting sqref="F45">
    <cfRule type="cellIs" dxfId="386" priority="46" stopIfTrue="1" operator="greaterThan">
      <formula>$E$45</formula>
    </cfRule>
  </conditionalFormatting>
  <conditionalFormatting sqref="F46">
    <cfRule type="cellIs" dxfId="385" priority="47" stopIfTrue="1" operator="greaterThan">
      <formula>$E$46</formula>
    </cfRule>
  </conditionalFormatting>
  <conditionalFormatting sqref="F47">
    <cfRule type="cellIs" dxfId="384" priority="48" stopIfTrue="1" operator="greaterThan">
      <formula>$E$47</formula>
    </cfRule>
  </conditionalFormatting>
  <conditionalFormatting sqref="F48">
    <cfRule type="cellIs" dxfId="383" priority="49" stopIfTrue="1" operator="greaterThan">
      <formula>$E$48</formula>
    </cfRule>
  </conditionalFormatting>
  <conditionalFormatting sqref="F49">
    <cfRule type="cellIs" dxfId="382" priority="50" stopIfTrue="1" operator="greaterThan">
      <formula>$E$49</formula>
    </cfRule>
  </conditionalFormatting>
  <conditionalFormatting sqref="F50">
    <cfRule type="cellIs" dxfId="381" priority="51" stopIfTrue="1" operator="greaterThan">
      <formula>$E$50</formula>
    </cfRule>
  </conditionalFormatting>
  <conditionalFormatting sqref="F51">
    <cfRule type="cellIs" dxfId="380" priority="52" stopIfTrue="1" operator="greaterThan">
      <formula>$E$51</formula>
    </cfRule>
  </conditionalFormatting>
  <conditionalFormatting sqref="F52">
    <cfRule type="cellIs" dxfId="379" priority="53" stopIfTrue="1" operator="greaterThan">
      <formula>$E$52</formula>
    </cfRule>
  </conditionalFormatting>
  <conditionalFormatting sqref="F53">
    <cfRule type="cellIs" dxfId="378" priority="54" stopIfTrue="1" operator="greaterThan">
      <formula>$E$53</formula>
    </cfRule>
  </conditionalFormatting>
  <conditionalFormatting sqref="F54">
    <cfRule type="cellIs" dxfId="377" priority="55" stopIfTrue="1" operator="greaterThan">
      <formula>$E$54</formula>
    </cfRule>
  </conditionalFormatting>
  <conditionalFormatting sqref="F55">
    <cfRule type="cellIs" dxfId="376" priority="56" stopIfTrue="1" operator="greaterThan">
      <formula>$E$55</formula>
    </cfRule>
  </conditionalFormatting>
  <conditionalFormatting sqref="F56">
    <cfRule type="cellIs" dxfId="375" priority="57" stopIfTrue="1" operator="greaterThan">
      <formula>$E$56</formula>
    </cfRule>
  </conditionalFormatting>
  <conditionalFormatting sqref="F57">
    <cfRule type="cellIs" dxfId="374" priority="58" stopIfTrue="1" operator="greaterThan">
      <formula>$E$57</formula>
    </cfRule>
  </conditionalFormatting>
  <conditionalFormatting sqref="F58">
    <cfRule type="cellIs" dxfId="373" priority="59" stopIfTrue="1" operator="greaterThan">
      <formula>$E$58</formula>
    </cfRule>
  </conditionalFormatting>
  <conditionalFormatting sqref="F59">
    <cfRule type="cellIs" dxfId="372" priority="60" stopIfTrue="1" operator="greaterThan">
      <formula>$E$59</formula>
    </cfRule>
  </conditionalFormatting>
  <conditionalFormatting sqref="F60">
    <cfRule type="cellIs" dxfId="371" priority="61" stopIfTrue="1" operator="greaterThan">
      <formula>$E$60</formula>
    </cfRule>
  </conditionalFormatting>
  <conditionalFormatting sqref="F61">
    <cfRule type="cellIs" dxfId="370" priority="62" stopIfTrue="1" operator="greaterThan">
      <formula>$E$61</formula>
    </cfRule>
  </conditionalFormatting>
  <conditionalFormatting sqref="F65">
    <cfRule type="cellIs" dxfId="369" priority="63" stopIfTrue="1" operator="greaterThan">
      <formula>$E$65</formula>
    </cfRule>
  </conditionalFormatting>
  <conditionalFormatting sqref="F66">
    <cfRule type="cellIs" dxfId="368" priority="64" stopIfTrue="1" operator="greaterThan">
      <formula>$E$66</formula>
    </cfRule>
  </conditionalFormatting>
  <conditionalFormatting sqref="F62">
    <cfRule type="cellIs" dxfId="367" priority="65" stopIfTrue="1" operator="greaterThan">
      <formula>$E$62</formula>
    </cfRule>
  </conditionalFormatting>
  <conditionalFormatting sqref="F63">
    <cfRule type="cellIs" dxfId="366" priority="66" stopIfTrue="1" operator="greaterThan">
      <formula>$E$63</formula>
    </cfRule>
  </conditionalFormatting>
  <conditionalFormatting sqref="F64">
    <cfRule type="cellIs" dxfId="365" priority="67" stopIfTrue="1" operator="greaterThan">
      <formula>$E$64</formula>
    </cfRule>
  </conditionalFormatting>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BK71"/>
  <sheetViews>
    <sheetView zoomScale="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hidden="1" customWidth="1"/>
    <col min="9" max="10" width="12.140625" bestFit="1" customWidth="1"/>
    <col min="11" max="11" width="10.85546875" bestFit="1" customWidth="1"/>
    <col min="12" max="13" width="12.28515625" bestFit="1" customWidth="1"/>
    <col min="14" max="14" width="13.5703125" customWidth="1"/>
    <col min="15" max="15" width="15" customWidth="1"/>
    <col min="16" max="16" width="14" customWidth="1"/>
    <col min="17" max="17" width="15.42578125" customWidth="1"/>
    <col min="18" max="18" width="1" customWidth="1"/>
    <col min="19" max="19" width="0.85546875" customWidth="1"/>
    <col min="20" max="21" width="21.28515625" customWidth="1"/>
    <col min="22" max="22" width="12.140625" bestFit="1" customWidth="1"/>
    <col min="23" max="23" width="10.85546875" bestFit="1" customWidth="1"/>
    <col min="24" max="24" width="1" customWidth="1"/>
    <col min="25" max="25" width="11.5703125" bestFit="1" customWidth="1"/>
    <col min="26" max="26" width="11" bestFit="1" customWidth="1"/>
    <col min="27" max="27" width="0.85546875" customWidth="1"/>
    <col min="28" max="29" width="21.28515625" customWidth="1"/>
    <col min="30" max="30" width="12.140625" bestFit="1" customWidth="1"/>
    <col min="31" max="31" width="13.140625" customWidth="1"/>
    <col min="32" max="32" width="1" customWidth="1"/>
    <col min="33" max="33" width="11.5703125" bestFit="1" customWidth="1"/>
    <col min="34" max="34" width="11" bestFit="1" customWidth="1"/>
    <col min="35" max="35" width="0.85546875" customWidth="1"/>
    <col min="36" max="36" width="13.85546875" bestFit="1" customWidth="1"/>
    <col min="37" max="37" width="13.42578125" bestFit="1" customWidth="1"/>
    <col min="38" max="38" width="11" bestFit="1" customWidth="1"/>
    <col min="39" max="39" width="11.7109375" bestFit="1" customWidth="1"/>
    <col min="40" max="40" width="11.7109375" hidden="1" customWidth="1"/>
    <col min="41" max="41" width="12.28515625" bestFit="1" customWidth="1"/>
    <col min="42" max="43" width="11.42578125" bestFit="1" customWidth="1"/>
    <col min="44" max="44" width="18" customWidth="1"/>
    <col min="45" max="46" width="11.7109375" customWidth="1"/>
    <col min="47" max="47" width="27.5703125" customWidth="1"/>
    <col min="48" max="48" width="16.85546875" customWidth="1"/>
    <col min="49" max="49" width="17" customWidth="1"/>
    <col min="50" max="50" width="18.28515625" bestFit="1" customWidth="1"/>
    <col min="51" max="51" width="16.7109375" customWidth="1"/>
    <col min="52" max="52" width="1" customWidth="1"/>
    <col min="53" max="53" width="16.85546875" customWidth="1"/>
    <col min="54" max="54" width="16.28515625" customWidth="1"/>
  </cols>
  <sheetData>
    <row r="1" spans="1:54" s="3" customFormat="1" ht="26.25">
      <c r="A1" s="1322" t="s">
        <v>89</v>
      </c>
      <c r="B1" s="1324"/>
      <c r="C1" s="1324"/>
      <c r="D1" s="1324"/>
      <c r="E1" s="116" t="e">
        <f ca="1">IF(AND(BB7="Pass"),"Pass","Fail")</f>
        <v>#REF!</v>
      </c>
      <c r="F1" s="49"/>
      <c r="AZ1" s="61"/>
    </row>
    <row r="2" spans="1:54" ht="18">
      <c r="A2" s="96" t="s">
        <v>10</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row>
    <row r="3" spans="1:54" s="50" customFormat="1" ht="87.75" customHeight="1">
      <c r="A3" s="361" t="s">
        <v>457</v>
      </c>
      <c r="B3" s="101" t="s">
        <v>474</v>
      </c>
      <c r="C3" s="364" t="s">
        <v>475</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"Stripline to SDRAM L7-1 ["&amp;$B$2&amp;"]"</f>
        <v>#REF!</v>
      </c>
      <c r="O3" s="124" t="e">
        <f>"Stripline to SDRAM L7-2 ["&amp;$B$2&amp;"]"</f>
        <v>#REF!</v>
      </c>
      <c r="P3" s="124" t="e">
        <f>"Breakin to SDRAM L8-1 ["&amp;$B$2&amp;"]"</f>
        <v>#REF!</v>
      </c>
      <c r="Q3" s="124" t="e">
        <f>"Breakin to SDRAM L8-2 ["&amp;$B$2&amp;"]"</f>
        <v>#REF!</v>
      </c>
      <c r="R3" s="124"/>
      <c r="S3" s="7"/>
      <c r="T3" s="595" t="e">
        <f>"Total MB Length to SDRAM (L0+L1+L2+L3+L4+Rs+L5+L6+L7-1+L8-1)  ["&amp;$B$2&amp;"]"</f>
        <v>#REF!</v>
      </c>
      <c r="U3" s="7" t="e">
        <f>"Total Pad-to-SDRAM Pin Length (P0+L0+L1+L2+L3+L4+Rs+L5+L6+L7-1+L8-1)  ["&amp;$B$2&amp;"]"</f>
        <v>#REF!</v>
      </c>
      <c r="V3" s="7" t="e">
        <f>"Target Min Length to SDRAM (U1-U4)["&amp;$B$2&amp;"]"</f>
        <v>#REF!</v>
      </c>
      <c r="W3" s="7" t="e">
        <f>"Target Max Length to SDRAM (U1-U4) ["&amp;$B$2&amp;"]"</f>
        <v>#REF!</v>
      </c>
      <c r="X3" s="7"/>
      <c r="Y3" s="7" t="e">
        <f>"Length to SDRAM (U1-U4) Routed Too Short  ["&amp;$B$2&amp;"]"</f>
        <v>#REF!</v>
      </c>
      <c r="Z3" s="7" t="e">
        <f>"Length to SDRAM (U1-U4) Routed Too Long  ["&amp;$B$2&amp;"]"</f>
        <v>#REF!</v>
      </c>
      <c r="AA3" s="7"/>
      <c r="AB3" s="595" t="e">
        <f>"Total MB Length to SDRAM (L0+L1+L2+L3+L4+Rs+L5+L6+L7-2+L8-2)  ["&amp;$B$2&amp;"]"</f>
        <v>#REF!</v>
      </c>
      <c r="AC3" s="7" t="e">
        <f>"Total Pad-to-SDRAM Pin Length (P0+L0+L1+L2+L3+L4+Rs+L5+L6+L7-2+L8-2)  ["&amp;$B$2&amp;"]"</f>
        <v>#REF!</v>
      </c>
      <c r="AD3" s="7" t="e">
        <f>"Target Min Length to SDRAM (U5-U8)["&amp;$B$2&amp;"]"</f>
        <v>#REF!</v>
      </c>
      <c r="AE3" s="7" t="e">
        <f>"Target Max Length to SDRAM (U5-U8) ["&amp;$B$2&amp;"]"</f>
        <v>#REF!</v>
      </c>
      <c r="AF3" s="7"/>
      <c r="AG3" s="7" t="e">
        <f>"Length to SDRAM (U5-U8) Routed Too Short  ["&amp;$B$2&amp;"]"</f>
        <v>#REF!</v>
      </c>
      <c r="AH3" s="7" t="e">
        <f>"Length to SDRAM (U5-U8) Routed Too Long  ["&amp;$B$2&amp;"]"</f>
        <v>#REF!</v>
      </c>
      <c r="AI3" s="7"/>
      <c r="AJ3" s="7" t="e">
        <f>"DQS-DQS# SDRAM (U1-U4) Length Test(&lt;="&amp;IF($B$2="mil",1,0.0254)*5&amp;$B$2&amp;")"</f>
        <v>#REF!</v>
      </c>
      <c r="AK3" s="7" t="e">
        <f>"DQS-DQS# SDRAM (U5-U8) Length Test(&lt;="&amp;IF($B$2="mil",1,0.0254)*10&amp;$B$2&amp;")"</f>
        <v>#REF!</v>
      </c>
      <c r="AL3" s="7" t="e">
        <f>"L0 Length Test (&lt;="&amp;IF($B$2="mil",1,0.0254)*50&amp;$B$2&amp;")"</f>
        <v>#REF!</v>
      </c>
      <c r="AM3" s="7" t="e">
        <f>"L1 Length Test (&lt;="&amp;IF($B$2="mil",1,0.0254)*500&amp;$B$2&amp;")"</f>
        <v>#REF!</v>
      </c>
      <c r="AN3" s="7" t="e">
        <f>"S1 Length test (&lt;="&amp;IF($B$2="mil",1,0.0254)*0&amp;$B$2&amp;")"</f>
        <v>#REF!</v>
      </c>
      <c r="AO3" s="7" t="e">
        <f>"L2 Length Test (&lt;="&amp;IF($B$2="mil",1,0.0254)*2000&amp;$B$2&amp;" or L2 + L3 &lt;= "&amp;IF($B$2="mil",1,0.0254)*2750&amp;$B$2&amp;")"</f>
        <v>#REF!</v>
      </c>
      <c r="AP3" s="7" t="e">
        <f>"L4 Length Test (&lt;="&amp;IF($B$2="mil",1,0.0254)*125&amp;$B$2&amp;")"</f>
        <v>#REF!</v>
      </c>
      <c r="AQ3" s="7" t="e">
        <f>"L5 Length Test (&lt;="&amp;IF($B$2="mil",1,0.0254)*125&amp;$B$2&amp;")"</f>
        <v>#REF!</v>
      </c>
      <c r="AR3" s="7" t="e">
        <f>"L6 Length Test (&lt;="&amp;IF($B$2="mil",1,0.0254)*1200&amp;$B$2&amp;" or L5+L6 &lt;="&amp;IF($B$2="mil",1,0.0254)*1350&amp;$B$2&amp;")"</f>
        <v>#REF!</v>
      </c>
      <c r="AS3" s="7" t="e">
        <f>"L7-1 Length Test (&lt;="&amp;IF($B$2="mil",1,0.0254)*650&amp;$B$2&amp;")"</f>
        <v>#REF!</v>
      </c>
      <c r="AT3" s="7" t="e">
        <f>"L7-2 Length Test (&lt;="&amp;IF($B$2="mil",1,0.0254)*650&amp;$B$2&amp;")"</f>
        <v>#REF!</v>
      </c>
      <c r="AU3" s="7" t="e">
        <f>"L7 Matching Test (Maximum L7 - Minimum L7 &lt;="&amp;IF($B$2="mil",1,0.0254)*50&amp;IF($B$2="mil","mil","mm")&amp;")"</f>
        <v>#REF!</v>
      </c>
      <c r="AV3" s="7" t="e">
        <f>"L8-1 Length Test (&lt;="&amp;IF($B$2="mil",1,0.0254)*150&amp;$B$2&amp;") or (L7-1+L8-1 &lt;= "&amp;IF($B$2="mil",1,0.0254)*800&amp;$B$2&amp;")"</f>
        <v>#REF!</v>
      </c>
      <c r="AW3" s="7" t="e">
        <f>"L8-2 Length Test (&lt;="&amp;IF($B$2="mil",1,0.0254)*150&amp;$B$2&amp;") or (L7-2+L8-2 &lt;= "&amp;IF($B$2="mil",1,0.0254)*800&amp;$B$2&amp;")"</f>
        <v>#REF!</v>
      </c>
      <c r="AX3" s="7" t="e">
        <f>"Total MB Length to SDRAM (L0+L1+L2+L3+L4+Rs+L5+L6+L7+L8) Test "&amp;IF($B$2="mil","(500-5500mil)","(12.7-114.3mm)")</f>
        <v>#REF!</v>
      </c>
      <c r="AY3" s="7" t="e">
        <f>"Total Length to SDRAM (P0+L0+L1+L2+L3+L4+Rs+L5+L6+L7+L8) Test (&lt;="&amp; IF($B$2="mil","6000mil","127mm")&amp;")"</f>
        <v>#REF!</v>
      </c>
      <c r="AZ3" s="7"/>
    </row>
    <row r="4" spans="1:54" s="3" customFormat="1">
      <c r="A4" s="109" t="s">
        <v>249</v>
      </c>
      <c r="B4" s="366"/>
      <c r="C4" s="105"/>
      <c r="D4" s="10"/>
      <c r="E4" s="10"/>
      <c r="F4" s="10"/>
      <c r="G4" s="10"/>
      <c r="H4" s="10"/>
      <c r="I4" s="10"/>
      <c r="J4" s="10"/>
      <c r="K4" s="10"/>
      <c r="L4" s="10"/>
      <c r="M4" s="10"/>
      <c r="N4" s="10"/>
      <c r="O4" s="10"/>
      <c r="P4" s="10"/>
      <c r="Q4" s="10"/>
      <c r="R4" s="10"/>
      <c r="S4" s="10"/>
      <c r="T4" s="9"/>
      <c r="U4" s="51"/>
      <c r="V4" s="10"/>
      <c r="W4" s="15"/>
      <c r="X4" s="10"/>
      <c r="Y4" s="15"/>
      <c r="Z4" s="15"/>
      <c r="AA4" s="10"/>
      <c r="AB4" s="9"/>
      <c r="AC4" s="51"/>
      <c r="AD4" s="10"/>
      <c r="AE4" s="15"/>
      <c r="AF4" s="10"/>
      <c r="AG4" s="15"/>
      <c r="AH4" s="15"/>
      <c r="AI4" s="10"/>
      <c r="AJ4" s="15"/>
      <c r="AK4" s="15"/>
      <c r="AL4" s="15"/>
      <c r="AM4" s="15"/>
      <c r="AN4" s="15"/>
      <c r="AO4" s="10"/>
      <c r="AP4" s="10"/>
      <c r="AQ4" s="10"/>
      <c r="AR4" s="10"/>
      <c r="AS4" s="10"/>
      <c r="AT4" s="10"/>
      <c r="AU4" s="10"/>
      <c r="AV4" s="10"/>
      <c r="AW4" s="10"/>
      <c r="AX4" s="10"/>
      <c r="AY4" s="10"/>
      <c r="AZ4" s="12"/>
    </row>
    <row r="5" spans="1:54" s="3" customFormat="1">
      <c r="A5" s="362" t="s">
        <v>24</v>
      </c>
      <c r="B5" s="125"/>
      <c r="C5" s="365"/>
      <c r="D5" s="53"/>
      <c r="E5" s="52"/>
      <c r="F5" s="52"/>
      <c r="G5" s="52"/>
      <c r="H5" s="52"/>
      <c r="I5" s="52"/>
      <c r="J5" s="52"/>
      <c r="K5" s="52"/>
      <c r="L5" s="52"/>
      <c r="M5" s="52"/>
      <c r="N5" s="52"/>
      <c r="O5" s="52"/>
      <c r="P5" s="52"/>
      <c r="Q5" s="52"/>
      <c r="R5" s="52"/>
      <c r="S5" s="540"/>
      <c r="T5" s="81"/>
      <c r="U5" s="540" t="s">
        <v>224</v>
      </c>
      <c r="V5" s="542" t="e">
        <f>MIN('DDR2 Clocks - 4L'!$O$5:$O$6)</f>
        <v>#REF!</v>
      </c>
      <c r="W5" s="541" t="e">
        <f>MAX('DDR2 Clocks - 4L'!$O$5:$O$6)</f>
        <v>#REF!</v>
      </c>
      <c r="X5" s="65"/>
      <c r="Y5" s="65"/>
      <c r="Z5" s="65"/>
      <c r="AA5" s="540"/>
      <c r="AB5" s="81"/>
      <c r="AC5" s="540" t="s">
        <v>284</v>
      </c>
      <c r="AD5" s="542" t="e">
        <f>MIN('DDR2 Clocks - 4L'!$O$7:$O$8)</f>
        <v>#REF!</v>
      </c>
      <c r="AE5" s="541" t="e">
        <f>MAX('DDR2 Clocks - 4L'!$O$7:$O$8)</f>
        <v>#REF!</v>
      </c>
      <c r="AF5" s="65"/>
      <c r="AG5" s="65"/>
      <c r="AH5" s="65"/>
      <c r="AI5" s="540"/>
      <c r="AJ5" s="65"/>
      <c r="AK5" s="65"/>
      <c r="AL5" s="65"/>
      <c r="AM5" s="52"/>
      <c r="AN5" s="52"/>
      <c r="AO5" s="52"/>
      <c r="AP5" s="52"/>
      <c r="AQ5" s="52"/>
      <c r="AR5" s="52"/>
      <c r="AS5" s="52"/>
      <c r="AT5" s="52"/>
      <c r="AU5" s="52"/>
      <c r="AV5" s="52"/>
      <c r="AW5" s="52"/>
      <c r="AX5" s="52"/>
      <c r="AY5" s="52"/>
      <c r="AZ5" s="58"/>
    </row>
    <row r="6" spans="1:54" s="3" customFormat="1">
      <c r="A6" s="109" t="s">
        <v>250</v>
      </c>
      <c r="B6" s="367"/>
      <c r="C6" s="119"/>
      <c r="D6" s="62"/>
      <c r="E6" s="54"/>
      <c r="F6" s="54"/>
      <c r="G6" s="54"/>
      <c r="H6" s="54"/>
      <c r="I6" s="54"/>
      <c r="J6" s="54"/>
      <c r="K6" s="54"/>
      <c r="L6" s="54"/>
      <c r="M6" s="54"/>
      <c r="N6" s="54"/>
      <c r="O6" s="54"/>
      <c r="P6" s="54"/>
      <c r="Q6" s="54"/>
      <c r="R6" s="54"/>
      <c r="S6" s="66"/>
      <c r="T6" s="54"/>
      <c r="U6" s="54"/>
      <c r="V6" s="66"/>
      <c r="W6" s="67"/>
      <c r="X6" s="66"/>
      <c r="Y6" s="54"/>
      <c r="Z6" s="54"/>
      <c r="AA6" s="66"/>
      <c r="AB6" s="54"/>
      <c r="AC6" s="54"/>
      <c r="AD6" s="66"/>
      <c r="AE6" s="67"/>
      <c r="AF6" s="66"/>
      <c r="AG6" s="54"/>
      <c r="AH6" s="54"/>
      <c r="AI6" s="66"/>
      <c r="AJ6" s="54"/>
      <c r="AK6" s="54"/>
      <c r="AL6" s="54"/>
      <c r="AM6" s="66"/>
      <c r="AN6" s="66"/>
      <c r="AO6" s="66"/>
      <c r="AP6" s="66"/>
      <c r="AQ6" s="66"/>
      <c r="AR6" s="66"/>
      <c r="AS6" s="66"/>
      <c r="AT6" s="66"/>
      <c r="AU6" s="66"/>
      <c r="AV6" s="66"/>
      <c r="AW6" s="66"/>
      <c r="AX6" s="66"/>
      <c r="AY6" s="66"/>
      <c r="AZ6" s="68"/>
    </row>
    <row r="7" spans="1:54" s="3" customFormat="1">
      <c r="A7" s="652" t="s">
        <v>90</v>
      </c>
      <c r="B7" s="646" t="s">
        <v>460</v>
      </c>
      <c r="C7" s="635">
        <v>373.89763779527561</v>
      </c>
      <c r="D7" s="18"/>
      <c r="E7" s="621">
        <v>22.63</v>
      </c>
      <c r="F7" s="621">
        <v>0</v>
      </c>
      <c r="G7" s="622">
        <v>1600</v>
      </c>
      <c r="H7" s="622">
        <v>0</v>
      </c>
      <c r="I7" s="622">
        <v>794.79</v>
      </c>
      <c r="J7" s="622">
        <v>44.57</v>
      </c>
      <c r="K7" s="621">
        <v>40</v>
      </c>
      <c r="L7" s="622">
        <v>43.4</v>
      </c>
      <c r="M7" s="622">
        <v>924.3</v>
      </c>
      <c r="N7" s="305">
        <v>0</v>
      </c>
      <c r="O7" s="305">
        <v>0</v>
      </c>
      <c r="P7" s="305">
        <v>94</v>
      </c>
      <c r="Q7" s="305">
        <v>120</v>
      </c>
      <c r="R7" s="69"/>
      <c r="S7" s="21"/>
      <c r="T7" s="489">
        <f>SUM(E7:G7,I7:N7,P7)</f>
        <v>3563.6900000000005</v>
      </c>
      <c r="U7" s="489" t="e">
        <f>T7+IF($B$2="mil",1,0.0254)*$C7</f>
        <v>#REF!</v>
      </c>
      <c r="V7" s="489" t="e">
        <f>MAX(V$5:W$5)+IF($B$2="mil",1,0.0254)*DDR2Specs!$E$2</f>
        <v>#REF!</v>
      </c>
      <c r="W7" s="489" t="e">
        <f>MIN(V$5:W$5)+IF($B$2="mil",1,0.0254)*DDR2Specs!$F$2</f>
        <v>#REF!</v>
      </c>
      <c r="X7" s="21"/>
      <c r="Y7" s="598" t="e">
        <f>IF($U7&lt;$V7,$V7-$U7,"Pass")</f>
        <v>#REF!</v>
      </c>
      <c r="Z7" s="495" t="e">
        <f>IF($U7&gt;$W7,$U7-$W7,"Pass")</f>
        <v>#REF!</v>
      </c>
      <c r="AA7" s="21"/>
      <c r="AB7" s="489">
        <f>SUM(E7:G7,I7:M7,O7,Q7)</f>
        <v>3589.6900000000005</v>
      </c>
      <c r="AC7" s="489" t="e">
        <f>AB7+IF($B$2="mil",1,0.0254)*$C7</f>
        <v>#REF!</v>
      </c>
      <c r="AD7" s="489" t="e">
        <f>MAX(AD$5:AE$5)+IF($B$2="mil",1,0.0254)*DDR2Specs!$E$2</f>
        <v>#REF!</v>
      </c>
      <c r="AE7" s="489" t="e">
        <f>MIN(AD$5:AE$5)+IF($B$2="mil",1,0.0254)*DDR2Specs!$F$2</f>
        <v>#REF!</v>
      </c>
      <c r="AF7" s="21"/>
      <c r="AG7" s="598" t="e">
        <f>IF($AC7&lt;$AD7,$AD7-$AC7,"Pass")</f>
        <v>#REF!</v>
      </c>
      <c r="AH7" s="495" t="e">
        <f>IF($AC7&gt;$AE7,$AC7-$AE7,"Pass")</f>
        <v>#REF!</v>
      </c>
      <c r="AI7" s="21"/>
      <c r="AJ7" s="495" t="e">
        <f>IF((ABS($U7-$U8)&lt;=IF($B$2="mil",1,0.0254)*5),"Pass",ABS($U7-$U8))</f>
        <v>#REF!</v>
      </c>
      <c r="AK7" s="495" t="e">
        <f>IF((ABS($AC7-$AC8)&lt;=IF($B$2="mil",1,0.0254)*10),"Pass",ABS($AC7-$AC8))</f>
        <v>#REF!</v>
      </c>
      <c r="AL7" s="495" t="e">
        <f>IF($E7&lt;=IF($B$2="mil",1,0.0254)*50,"Pass",IF($B$2="mil",1,0.0254)*50-$E7)</f>
        <v>#REF!</v>
      </c>
      <c r="AM7" s="495" t="e">
        <f>IF($F7&lt;=IF($B$2="mil",1,0.0254)*500,"Pass",IF($B$2="mil",1,0.0254)*500-$F7)</f>
        <v>#REF!</v>
      </c>
      <c r="AN7" s="495" t="e">
        <f>IF($H7&lt;=IF($B$2="mil",1,0.0254)*0,"Pass",IF($B$2="mil",1,0.0254)*0-$H7)</f>
        <v>#REF!</v>
      </c>
      <c r="AO7" s="495" t="e">
        <f>IF(($G7+$I7)&lt;=IF($B$2="mil",1,0.0254)*2750,"Pass",IF($B$2="mil",1,0.0254)*2750-($G7+I7))</f>
        <v>#REF!</v>
      </c>
      <c r="AP7" s="495" t="e">
        <f>IF($J7&lt;=IF($B$2="mil",1,0.0254)*125,"Pass",IF($B$2="mil",1,0.0254)*125-$J7)</f>
        <v>#REF!</v>
      </c>
      <c r="AQ7" s="495" t="e">
        <f>IF($L7&lt;=IF($B$2="mil",1,0.0254)*125,"Pass",IF($B$2="mil",1,0.0254)*125-$L7)</f>
        <v>#REF!</v>
      </c>
      <c r="AR7" s="495" t="e">
        <f>IF(($L7+$M7)&lt;=IF($B$2="mil",1,0.0254)*1350,"Pass",IF($B$2="mil",1,0.0254)*1350-($L7+M7))</f>
        <v>#REF!</v>
      </c>
      <c r="AS7" s="495" t="e">
        <f>IF($N7&lt;=IF($B$2="mil",1,0.0254)*650,"Pass",IF($B$2="mil",1,0.0254)*650-$N7)</f>
        <v>#REF!</v>
      </c>
      <c r="AT7" s="495" t="e">
        <f>IF($O7&lt;=IF($B$2="mil",1,0.0254)*650,"Pass",IF($B$2="mil",1,0.0254)*650-$O7)</f>
        <v>#REF!</v>
      </c>
      <c r="AU7" s="493" t="e">
        <f>IF(MAX(N7:O7)-MIN(N7:O7)&lt;=IF($B$2="mil",1,0.0254)*50,"Pass",MAX(N7:O7)-MIN(N7:O7)-IF($B$2="mil",1,0.0254)*50)</f>
        <v>#REF!</v>
      </c>
      <c r="AV7" s="495" t="e">
        <f ca="1">CheckLength2(IF($B$2="mil",1,0.0254)*800,N7,P7,0)</f>
        <v>#NAME?</v>
      </c>
      <c r="AW7" s="495" t="e">
        <f ca="1">CheckLength2(800,$O7,Q7,0)</f>
        <v>#NAME?</v>
      </c>
      <c r="AX7" s="495" t="e">
        <f>IF(AND($T7&gt;=IF($B$2="mil",1,0.0254)*500, $T7&lt;=IF($B$2="mil",1,0.0254)*5500),"Pass",IF($B$2="mil",1,0.0254)*5500-$T7)</f>
        <v>#REF!</v>
      </c>
      <c r="AY7" s="495" t="e">
        <f>IF(AND($U7&gt;=IF($B$2="mil",1,0.0254)*500, $U7&lt;=IF($B$2="mil",1,0.0254)*6000),"Pass",IF($B$2="mil",1,0.0254)*6000-$U7)</f>
        <v>#REF!</v>
      </c>
      <c r="AZ7" s="21"/>
      <c r="BA7" s="3" t="e">
        <f ca="1">IF(AND(AL7="Pass",AN7="Pass",AM7="Pass",AW7="Pass",AR7="Pass",AS7="Pass",AT7="Pass",AU7="Pass",AV7="Pass",AQ7="Pass",AP7="Pass",AO7="Pass",AG7="Pass",AH7="Pass",AJ7="Pass",AK7="Pass",AX7="Pass",AY7="Pass",Y7="Pass",Z7="Pass"),"Pass","Fail")</f>
        <v>#REF!</v>
      </c>
      <c r="BB7" s="3" t="e">
        <f ca="1">IF(AND(BA7="Pass",BA8="Pass",BA12="Pass",BA13="Pass",BA17="Pass",BA18="Pass",BA22="Pass",BA23="Pass",BA27="Pass",BA28="Pass",BA32="Pass",BA33="Pass",BA37="Pass",BA38="Pass",BA42="Pass",BA43="Pass"),"Pass","Fail")</f>
        <v>#REF!</v>
      </c>
    </row>
    <row r="8" spans="1:54" s="3" customFormat="1">
      <c r="A8" s="652" t="s">
        <v>91</v>
      </c>
      <c r="B8" s="646" t="s">
        <v>467</v>
      </c>
      <c r="C8" s="635">
        <v>373.93700787401571</v>
      </c>
      <c r="D8" s="18"/>
      <c r="E8" s="621">
        <v>22.63</v>
      </c>
      <c r="F8" s="621">
        <v>0</v>
      </c>
      <c r="G8" s="622">
        <v>1600</v>
      </c>
      <c r="H8" s="622">
        <v>0</v>
      </c>
      <c r="I8" s="622">
        <v>788.93</v>
      </c>
      <c r="J8" s="622">
        <v>85.78</v>
      </c>
      <c r="K8" s="621">
        <v>40</v>
      </c>
      <c r="L8" s="622">
        <v>44.57</v>
      </c>
      <c r="M8" s="622">
        <v>882.34</v>
      </c>
      <c r="N8" s="305">
        <v>0</v>
      </c>
      <c r="O8" s="305">
        <v>0</v>
      </c>
      <c r="P8" s="305">
        <v>100</v>
      </c>
      <c r="Q8" s="305">
        <v>117</v>
      </c>
      <c r="R8" s="69"/>
      <c r="S8" s="21"/>
      <c r="T8" s="489">
        <f>SUM(E8:G8,I8:N8,P8)</f>
        <v>3564.2500000000005</v>
      </c>
      <c r="U8" s="489" t="e">
        <f>T8+IF($B$2="mil",1,0.0254)*$C8</f>
        <v>#REF!</v>
      </c>
      <c r="V8" s="489" t="e">
        <f>MAX(V$5:W$5)+IF($B$2="mil",1,0.0254)*DDR2Specs!$E$2</f>
        <v>#REF!</v>
      </c>
      <c r="W8" s="489" t="e">
        <f>MIN(V$5:W$5)+IF($B$2="mil",1,0.0254)*DDR2Specs!$F$2</f>
        <v>#REF!</v>
      </c>
      <c r="X8" s="21"/>
      <c r="Y8" s="598" t="e">
        <f>IF($U8&lt;$V8,$V8-$U8,"Pass")</f>
        <v>#REF!</v>
      </c>
      <c r="Z8" s="495" t="e">
        <f>IF($U8&gt;$W8,$U8-$W8,"Pass")</f>
        <v>#REF!</v>
      </c>
      <c r="AA8" s="21"/>
      <c r="AB8" s="489">
        <f>SUM(E8:G8,I8:M8,O8,Q8)</f>
        <v>3581.2500000000005</v>
      </c>
      <c r="AC8" s="489" t="e">
        <f>AB8+IF($B$2="mil",1,0.0254)*$C8</f>
        <v>#REF!</v>
      </c>
      <c r="AD8" s="489" t="e">
        <f>MAX(AD$5:AE$5)+IF($B$2="mil",1,0.0254)*DDR2Specs!$E$2</f>
        <v>#REF!</v>
      </c>
      <c r="AE8" s="489" t="e">
        <f>MIN(AD$5:AE$5)+IF($B$2="mil",1,0.0254)*DDR2Specs!$F$2</f>
        <v>#REF!</v>
      </c>
      <c r="AF8" s="21"/>
      <c r="AG8" s="598" t="e">
        <f>IF($AC8&lt;$AD8,$AD8-$AC8,"Pass")</f>
        <v>#REF!</v>
      </c>
      <c r="AH8" s="495" t="e">
        <f>IF($AC8&gt;$AE8,$AC8-$AE8,"Pass")</f>
        <v>#REF!</v>
      </c>
      <c r="AI8" s="21"/>
      <c r="AJ8" s="495" t="e">
        <f>IF((ABS($U8-$U7)&lt;=IF($B$2="mil",1,0.0254)*5),"Pass",ABS($U8-$U7))</f>
        <v>#REF!</v>
      </c>
      <c r="AK8" s="495" t="e">
        <f>IF((ABS($AC8-$AC7)&lt;=IF($B$2="mil",1,0.0254)*10),"Pass",ABS($AC8-$AC7))</f>
        <v>#REF!</v>
      </c>
      <c r="AL8" s="495" t="e">
        <f>IF($E8&lt;=IF($B$2="mil",1,0.0254)*50,"Pass",IF($B$2="mil",1,0.0254)*50-$E8)</f>
        <v>#REF!</v>
      </c>
      <c r="AM8" s="495" t="e">
        <f>IF($F8&lt;=IF($B$2="mil",1,0.0254)*500,"Pass",IF($B$2="mil",1,0.0254)*500-$F8)</f>
        <v>#REF!</v>
      </c>
      <c r="AN8" s="495" t="e">
        <f>IF($H8&lt;=IF($B$2="mil",1,0.0254)*0,"Pass",IF($B$2="mil",1,0.0254)*0-$H8)</f>
        <v>#REF!</v>
      </c>
      <c r="AO8" s="495" t="e">
        <f>IF(($G8+$I8)&lt;=IF($B$2="mil",1,0.0254)*2750,"Pass",IF($B$2="mil",1,0.0254)*2750-($G8+I8))</f>
        <v>#REF!</v>
      </c>
      <c r="AP8" s="495" t="e">
        <f>IF($J8&lt;=IF($B$2="mil",1,0.0254)*125,"Pass",IF($B$2="mil",1,0.0254)*125-$J8)</f>
        <v>#REF!</v>
      </c>
      <c r="AQ8" s="495" t="e">
        <f>IF($L8&lt;=IF($B$2="mil",1,0.0254)*125,"Pass",IF($B$2="mil",1,0.0254)*125-$L8)</f>
        <v>#REF!</v>
      </c>
      <c r="AR8" s="495" t="e">
        <f>IF(($L8+$M8)&lt;=IF($B$2="mil",1,0.0254)*1350,"Pass",IF($B$2="mil",1,0.0254)*1350-($L8+M8))</f>
        <v>#REF!</v>
      </c>
      <c r="AS8" s="495" t="e">
        <f>IF($N8&lt;=IF($B$2="mil",1,0.0254)*650,"Pass",IF($B$2="mil",1,0.0254)*650-$N8)</f>
        <v>#REF!</v>
      </c>
      <c r="AT8" s="495" t="e">
        <f>IF($O8&lt;=IF($B$2="mil",1,0.0254)*650,"Pass",IF($B$2="mil",1,0.0254)*650-$O8)</f>
        <v>#REF!</v>
      </c>
      <c r="AU8" s="493" t="e">
        <f>IF(MAX(N8:O8)-MIN(N8:O8)&lt;=IF($B$2="mil",1,0.0254)*50,"Pass",MAX(N8:O8)-MIN(N8:O8)-IF($B$2="mil",1,0.0254)*50)</f>
        <v>#REF!</v>
      </c>
      <c r="AV8" s="495" t="e">
        <f ca="1">CheckLength2(IF($B$2="mil",1,0.0254)*800,N8,P8,0)</f>
        <v>#NAME?</v>
      </c>
      <c r="AW8" s="495" t="e">
        <f ca="1">CheckLength2(800,$O8,Q8,0)</f>
        <v>#NAME?</v>
      </c>
      <c r="AX8" s="495" t="e">
        <f>IF(AND($T8&gt;=IF($B$2="mil",1,0.0254)*500, $T8&lt;=IF($B$2="mil",1,0.0254)*5500),"Pass",IF($B$2="mil",1,0.0254)*5500-$T8)</f>
        <v>#REF!</v>
      </c>
      <c r="AY8" s="495" t="e">
        <f>IF(AND($U8&gt;=IF($B$2="mil",1,0.0254)*500, $U8&lt;=IF($B$2="mil",1,0.0254)*6000),"Pass",IF($B$2="mil",1,0.0254)*6000-$U8)</f>
        <v>#REF!</v>
      </c>
      <c r="AZ8" s="21"/>
      <c r="BA8" s="3" t="e">
        <f ca="1">IF(AND(AL8="Pass",AN8="Pass",AM8="Pass",AW8="Pass",AR8="Pass",AS8="Pass",AT8="Pass",AU8="Pass",AV8="Pass",AQ8="Pass",AP8="Pass",AO8="Pass",AG8="Pass",AH8="Pass",AJ8="Pass",AK8="Pass",AX8="Pass",AY8="Pass",Y8="Pass",Z8="Pass"),"Pass","Fail")</f>
        <v>#REF!</v>
      </c>
    </row>
    <row r="9" spans="1:54" s="3" customFormat="1">
      <c r="A9" s="8" t="s">
        <v>249</v>
      </c>
      <c r="B9" s="631"/>
      <c r="C9" s="632"/>
      <c r="D9" s="10"/>
      <c r="E9" s="288"/>
      <c r="F9" s="288"/>
      <c r="G9" s="288"/>
      <c r="H9" s="288"/>
      <c r="I9" s="288"/>
      <c r="J9" s="292"/>
      <c r="K9" s="10"/>
      <c r="L9" s="292"/>
      <c r="M9" s="292"/>
      <c r="N9" s="292"/>
      <c r="O9" s="292"/>
      <c r="P9" s="292"/>
      <c r="Q9" s="292"/>
      <c r="R9" s="10"/>
      <c r="S9" s="10"/>
      <c r="T9" s="9"/>
      <c r="U9" s="51"/>
      <c r="V9" s="10"/>
      <c r="W9" s="15"/>
      <c r="X9" s="10"/>
      <c r="Y9" s="15"/>
      <c r="Z9" s="15"/>
      <c r="AA9" s="10"/>
      <c r="AB9" s="9"/>
      <c r="AC9" s="51"/>
      <c r="AD9" s="10"/>
      <c r="AE9" s="15"/>
      <c r="AF9" s="10"/>
      <c r="AG9" s="15"/>
      <c r="AH9" s="15"/>
      <c r="AI9" s="10"/>
      <c r="AJ9" s="15"/>
      <c r="AK9" s="15"/>
      <c r="AL9" s="15"/>
      <c r="AM9" s="15"/>
      <c r="AN9" s="15"/>
      <c r="AO9" s="10"/>
      <c r="AP9" s="10"/>
      <c r="AQ9" s="10"/>
      <c r="AR9" s="10"/>
      <c r="AS9" s="10"/>
      <c r="AT9" s="10"/>
      <c r="AU9" s="10"/>
      <c r="AV9" s="10"/>
      <c r="AW9" s="10"/>
      <c r="AX9" s="10"/>
      <c r="AY9" s="10"/>
      <c r="AZ9" s="12"/>
    </row>
    <row r="10" spans="1:54" s="3" customFormat="1">
      <c r="A10" s="653" t="s">
        <v>24</v>
      </c>
      <c r="B10" s="654"/>
      <c r="C10" s="648"/>
      <c r="D10" s="53"/>
      <c r="E10" s="289"/>
      <c r="F10" s="289"/>
      <c r="G10" s="289"/>
      <c r="H10" s="289"/>
      <c r="I10" s="289"/>
      <c r="J10" s="293"/>
      <c r="K10" s="52"/>
      <c r="L10" s="293"/>
      <c r="M10" s="293"/>
      <c r="N10" s="293"/>
      <c r="O10" s="293"/>
      <c r="P10" s="293"/>
      <c r="Q10" s="293"/>
      <c r="R10" s="52"/>
      <c r="S10" s="540"/>
      <c r="T10" s="81"/>
      <c r="U10" s="540" t="s">
        <v>224</v>
      </c>
      <c r="V10" s="542" t="e">
        <f>MIN('DDR2 Clocks - 4L'!$O$5:$O$6)</f>
        <v>#REF!</v>
      </c>
      <c r="W10" s="541" t="e">
        <f>MAX('DDR2 Clocks - 4L'!$O$5:$O$6)</f>
        <v>#REF!</v>
      </c>
      <c r="X10" s="65"/>
      <c r="Y10" s="65"/>
      <c r="Z10" s="65"/>
      <c r="AA10" s="540"/>
      <c r="AB10" s="81"/>
      <c r="AC10" s="540" t="s">
        <v>284</v>
      </c>
      <c r="AD10" s="542" t="e">
        <f>MIN('DDR2 Clocks - 4L'!$O$7:$O$8)</f>
        <v>#REF!</v>
      </c>
      <c r="AE10" s="541" t="e">
        <f>MAX('DDR2 Clocks - 4L'!$O$7:$O$8)</f>
        <v>#REF!</v>
      </c>
      <c r="AF10" s="65"/>
      <c r="AG10" s="65"/>
      <c r="AH10" s="65"/>
      <c r="AI10" s="540"/>
      <c r="AJ10" s="65"/>
      <c r="AK10" s="65"/>
      <c r="AL10" s="65"/>
      <c r="AM10" s="52"/>
      <c r="AN10" s="52"/>
      <c r="AO10" s="52"/>
      <c r="AP10" s="52"/>
      <c r="AQ10" s="52"/>
      <c r="AR10" s="52"/>
      <c r="AS10" s="52"/>
      <c r="AT10" s="52"/>
      <c r="AU10" s="52"/>
      <c r="AV10" s="52"/>
      <c r="AW10" s="52"/>
      <c r="AX10" s="52"/>
      <c r="AY10" s="52"/>
      <c r="AZ10" s="58"/>
    </row>
    <row r="11" spans="1:54" s="3" customFormat="1">
      <c r="A11" s="8" t="s">
        <v>250</v>
      </c>
      <c r="B11" s="655"/>
      <c r="C11" s="649"/>
      <c r="D11" s="62"/>
      <c r="E11" s="290"/>
      <c r="F11" s="290"/>
      <c r="G11" s="290"/>
      <c r="H11" s="290"/>
      <c r="I11" s="290"/>
      <c r="J11" s="294"/>
      <c r="K11" s="54"/>
      <c r="L11" s="294"/>
      <c r="M11" s="294"/>
      <c r="N11" s="294"/>
      <c r="O11" s="294"/>
      <c r="P11" s="294"/>
      <c r="Q11" s="294"/>
      <c r="R11" s="54"/>
      <c r="S11" s="66"/>
      <c r="T11" s="54"/>
      <c r="U11" s="54"/>
      <c r="V11" s="66"/>
      <c r="W11" s="67"/>
      <c r="X11" s="66"/>
      <c r="Y11" s="54"/>
      <c r="Z11" s="54"/>
      <c r="AA11" s="66"/>
      <c r="AB11" s="54"/>
      <c r="AC11" s="54"/>
      <c r="AD11" s="66"/>
      <c r="AE11" s="67"/>
      <c r="AF11" s="66"/>
      <c r="AG11" s="54"/>
      <c r="AH11" s="54"/>
      <c r="AI11" s="66"/>
      <c r="AJ11" s="54"/>
      <c r="AK11" s="54"/>
      <c r="AL11" s="54"/>
      <c r="AM11" s="66"/>
      <c r="AN11" s="66"/>
      <c r="AO11" s="66"/>
      <c r="AP11" s="66"/>
      <c r="AQ11" s="66"/>
      <c r="AR11" s="66"/>
      <c r="AS11" s="66"/>
      <c r="AT11" s="66"/>
      <c r="AU11" s="66"/>
      <c r="AV11" s="66"/>
      <c r="AW11" s="66"/>
      <c r="AX11" s="66"/>
      <c r="AY11" s="66"/>
      <c r="AZ11" s="68"/>
    </row>
    <row r="12" spans="1:54" s="3" customFormat="1">
      <c r="A12" s="652" t="s">
        <v>92</v>
      </c>
      <c r="B12" s="646" t="s">
        <v>461</v>
      </c>
      <c r="C12" s="635">
        <v>768.42519685039372</v>
      </c>
      <c r="D12" s="18"/>
      <c r="E12" s="621">
        <v>22.63</v>
      </c>
      <c r="F12" s="621">
        <v>0</v>
      </c>
      <c r="G12" s="622">
        <v>1503.71</v>
      </c>
      <c r="H12" s="622">
        <v>0</v>
      </c>
      <c r="I12" s="622">
        <v>794.79</v>
      </c>
      <c r="J12" s="622">
        <v>44.57</v>
      </c>
      <c r="K12" s="621">
        <v>40</v>
      </c>
      <c r="L12" s="622">
        <v>43.4</v>
      </c>
      <c r="M12" s="622">
        <v>924.3</v>
      </c>
      <c r="N12" s="305">
        <v>0</v>
      </c>
      <c r="O12" s="305">
        <v>0</v>
      </c>
      <c r="P12" s="622">
        <v>101.96</v>
      </c>
      <c r="Q12" s="622">
        <v>102.52</v>
      </c>
      <c r="R12" s="69"/>
      <c r="S12" s="21"/>
      <c r="T12" s="489">
        <f>SUM(E12:G12,I12:N12,P12)</f>
        <v>3475.3600000000006</v>
      </c>
      <c r="U12" s="489" t="e">
        <f>T12+IF($B$2="mil",1,0.0254)*$C12</f>
        <v>#REF!</v>
      </c>
      <c r="V12" s="489" t="e">
        <f>MAX(V$10:W$10)+IF($B$2="mil",1,0.0254)*DDR2Specs!$E$2</f>
        <v>#REF!</v>
      </c>
      <c r="W12" s="489" t="e">
        <f>MIN(V$10:W$10)+IF($B$2="mil",1,0.0254)*DDR2Specs!$F$2</f>
        <v>#REF!</v>
      </c>
      <c r="X12" s="21"/>
      <c r="Y12" s="598" t="e">
        <f>IF($U12&lt;$V12,$V12-$U12,"Pass")</f>
        <v>#REF!</v>
      </c>
      <c r="Z12" s="495" t="e">
        <f>IF($U12&gt;$W12,$U12-$W12,"Pass")</f>
        <v>#REF!</v>
      </c>
      <c r="AA12" s="21"/>
      <c r="AB12" s="489">
        <f>SUM(E12:G12,I12:M12,O12,Q12)</f>
        <v>3475.9200000000005</v>
      </c>
      <c r="AC12" s="489" t="e">
        <f>AB12+IF($B$2="mil",1,0.0254)*$C12</f>
        <v>#REF!</v>
      </c>
      <c r="AD12" s="489" t="e">
        <f>MAX(AD$10:AE$10)+IF($B$2="mil",1,0.0254)*DDR2Specs!$E$2</f>
        <v>#REF!</v>
      </c>
      <c r="AE12" s="489" t="e">
        <f>MIN(AD$10:AE$10)+IF($B$2="mil",1,0.0254)*DDR2Specs!$F$2</f>
        <v>#REF!</v>
      </c>
      <c r="AF12" s="21"/>
      <c r="AG12" s="598" t="e">
        <f>IF($AC12&lt;$AD12,$AD12-$AC12,"Pass")</f>
        <v>#REF!</v>
      </c>
      <c r="AH12" s="495" t="e">
        <f>IF($AC12&gt;$AE12,$AC12-$AE12,"Pass")</f>
        <v>#REF!</v>
      </c>
      <c r="AI12" s="21"/>
      <c r="AJ12" s="495" t="e">
        <f>IF((ABS($U12-$U13)&lt;=IF($B$2="mil",1,0.0254)*5),"Pass",ABS($U12-$U13))</f>
        <v>#REF!</v>
      </c>
      <c r="AK12" s="495" t="e">
        <f>IF((ABS($AC12-$AC13)&lt;=IF($B$2="mil",1,0.0254)*10),"Pass",ABS($AC12-$AC13))</f>
        <v>#REF!</v>
      </c>
      <c r="AL12" s="495" t="e">
        <f>IF($E12&lt;=IF($B$2="mil",1,0.0254)*50,"Pass",IF($B$2="mil",1,0.0254)*50-$E12)</f>
        <v>#REF!</v>
      </c>
      <c r="AM12" s="495" t="e">
        <f>IF($F12&lt;=IF($B$2="mil",1,0.0254)*500,"Pass",IF($B$2="mil",1,0.0254)*500-$F12)</f>
        <v>#REF!</v>
      </c>
      <c r="AN12" s="495" t="e">
        <f>IF($H12&lt;=IF($B$2="mil",1,0.0254)*0,"Pass",IF($B$2="mil",1,0.0254)*0-$H12)</f>
        <v>#REF!</v>
      </c>
      <c r="AO12" s="495" t="e">
        <f>IF(($G12+$I12)&lt;=IF($B$2="mil",1,0.0254)*2750,"Pass",IF($B$2="mil",1,0.0254)*2750-($G12+I12))</f>
        <v>#REF!</v>
      </c>
      <c r="AP12" s="495" t="e">
        <f>IF($J12&lt;=IF($B$2="mil",1,0.0254)*125,"Pass",IF($B$2="mil",1,0.0254)*125-$J12)</f>
        <v>#REF!</v>
      </c>
      <c r="AQ12" s="495" t="e">
        <f>IF($L12&lt;=IF($B$2="mil",1,0.0254)*125,"Pass",IF($B$2="mil",1,0.0254)*125-$L12)</f>
        <v>#REF!</v>
      </c>
      <c r="AR12" s="495" t="e">
        <f>IF(($L12+$M12)&lt;=IF($B$2="mil",1,0.0254)*1350,"Pass",IF($B$2="mil",1,0.0254)*1350-($L12+M12))</f>
        <v>#REF!</v>
      </c>
      <c r="AS12" s="495" t="e">
        <f>IF($N12&lt;=IF($B$2="mil",1,0.0254)*650,"Pass",IF($B$2="mil",1,0.0254)*650-$N12)</f>
        <v>#REF!</v>
      </c>
      <c r="AT12" s="495" t="e">
        <f>IF($O12&lt;=IF($B$2="mil",1,0.0254)*650,"Pass",IF($B$2="mil",1,0.0254)*650-$O12)</f>
        <v>#REF!</v>
      </c>
      <c r="AU12" s="493" t="e">
        <f>IF(MAX(N12:O12)-MIN(N12:O12)&lt;=IF($B$2="mil",1,0.0254)*50,"Pass",MAX(N12:O12)-MIN(N12:O12)-IF($B$2="mil",1,0.0254)*50)</f>
        <v>#REF!</v>
      </c>
      <c r="AV12" s="495" t="e">
        <f ca="1">CheckLength2(IF($B$2="mil",1,0.0254)*800,N12,P12,0)</f>
        <v>#NAME?</v>
      </c>
      <c r="AW12" s="495" t="e">
        <f ca="1">CheckLength2(800,$O12,Q12,0)</f>
        <v>#NAME?</v>
      </c>
      <c r="AX12" s="495" t="e">
        <f>IF(AND($T12&gt;=IF($B$2="mil",1,0.0254)*500, $T12&lt;=IF($B$2="mil",1,0.0254)*5500),"Pass",IF($B$2="mil",1,0.0254)*5500-$T12)</f>
        <v>#REF!</v>
      </c>
      <c r="AY12" s="495" t="e">
        <f>IF(AND($U12&gt;=IF($B$2="mil",1,0.0254)*500, $U12&lt;=IF($B$2="mil",1,0.0254)*6000),"Pass",IF($B$2="mil",1,0.0254)*6000-$U12)</f>
        <v>#REF!</v>
      </c>
      <c r="AZ12" s="21"/>
      <c r="BA12" s="3" t="e">
        <f ca="1">IF(AND(AL12="Pass",AN12="Pass",AM12="Pass",AW12="Pass",AR12="Pass",AS12="Pass",AT12="Pass",AU12="Pass",AV12="Pass",AQ12="Pass",AP12="Pass",AO12="Pass",AG12="Pass",AH12="Pass",AJ12="Pass",AK12="Pass",AX12="Pass",AY12="Pass",Y12="Pass",Z12="Pass"),"Pass","Fail")</f>
        <v>#REF!</v>
      </c>
    </row>
    <row r="13" spans="1:54" s="3" customFormat="1">
      <c r="A13" s="652" t="s">
        <v>93</v>
      </c>
      <c r="B13" s="646" t="s">
        <v>311</v>
      </c>
      <c r="C13" s="635">
        <v>768.46456692913387</v>
      </c>
      <c r="D13" s="18"/>
      <c r="E13" s="621">
        <v>22.63</v>
      </c>
      <c r="F13" s="621">
        <v>0</v>
      </c>
      <c r="G13" s="622">
        <v>1502.26</v>
      </c>
      <c r="H13" s="622">
        <v>0</v>
      </c>
      <c r="I13" s="622">
        <v>788.93</v>
      </c>
      <c r="J13" s="622">
        <v>85.78</v>
      </c>
      <c r="K13" s="621">
        <v>40</v>
      </c>
      <c r="L13" s="622">
        <v>44.57</v>
      </c>
      <c r="M13" s="622">
        <v>882.34</v>
      </c>
      <c r="N13" s="305">
        <v>0</v>
      </c>
      <c r="O13" s="305">
        <v>0</v>
      </c>
      <c r="P13" s="622">
        <v>109.41</v>
      </c>
      <c r="Q13" s="622">
        <v>109.35</v>
      </c>
      <c r="R13" s="69"/>
      <c r="S13" s="21"/>
      <c r="T13" s="489">
        <f>SUM(E13:G13,I13:N13,P13)</f>
        <v>3475.9200000000005</v>
      </c>
      <c r="U13" s="489" t="e">
        <f>T13+IF($B$2="mil",1,0.0254)*$C13</f>
        <v>#REF!</v>
      </c>
      <c r="V13" s="489" t="e">
        <f>MAX(V$10:W$10)+IF($B$2="mil",1,0.0254)*DDR2Specs!$E$2</f>
        <v>#REF!</v>
      </c>
      <c r="W13" s="489" t="e">
        <f>MIN(V$10:W$10)+IF($B$2="mil",1,0.0254)*DDR2Specs!$F$2</f>
        <v>#REF!</v>
      </c>
      <c r="X13" s="21"/>
      <c r="Y13" s="598" t="e">
        <f>IF($U13&lt;$V13,$V13-$U13,"Pass")</f>
        <v>#REF!</v>
      </c>
      <c r="Z13" s="495" t="e">
        <f>IF($U13&gt;$W13,$U13-$W13,"Pass")</f>
        <v>#REF!</v>
      </c>
      <c r="AA13" s="21"/>
      <c r="AB13" s="489">
        <f>SUM(E13:G13,I13:M13,O13,Q13)</f>
        <v>3475.8600000000006</v>
      </c>
      <c r="AC13" s="489" t="e">
        <f>AB13+IF($B$2="mil",1,0.0254)*$C13</f>
        <v>#REF!</v>
      </c>
      <c r="AD13" s="489" t="e">
        <f>MAX(AD$10:AE$10)+IF($B$2="mil",1,0.0254)*DDR2Specs!$E$2</f>
        <v>#REF!</v>
      </c>
      <c r="AE13" s="489" t="e">
        <f>MIN(AD$10:AE$10)+IF($B$2="mil",1,0.0254)*DDR2Specs!$F$2</f>
        <v>#REF!</v>
      </c>
      <c r="AF13" s="21"/>
      <c r="AG13" s="598" t="e">
        <f>IF($AC13&lt;$AD13,$AD13-$AC13,"Pass")</f>
        <v>#REF!</v>
      </c>
      <c r="AH13" s="495" t="e">
        <f>IF($AC13&gt;$AE13,$AC13-$AE13,"Pass")</f>
        <v>#REF!</v>
      </c>
      <c r="AI13" s="21"/>
      <c r="AJ13" s="495" t="e">
        <f>IF((ABS($U13-$U12)&lt;=IF($B$2="mil",1,0.0254)*5),"Pass",ABS($U13-$U12))</f>
        <v>#REF!</v>
      </c>
      <c r="AK13" s="495" t="e">
        <f>IF((ABS($AC13-$AC12)&lt;=IF($B$2="mil",1,0.0254)*10),"Pass",ABS($AC13-$AC12))</f>
        <v>#REF!</v>
      </c>
      <c r="AL13" s="495" t="e">
        <f>IF($E13&lt;=IF($B$2="mil",1,0.0254)*50,"Pass",IF($B$2="mil",1,0.0254)*50-$E13)</f>
        <v>#REF!</v>
      </c>
      <c r="AM13" s="495" t="e">
        <f>IF($F13&lt;=IF($B$2="mil",1,0.0254)*500,"Pass",IF($B$2="mil",1,0.0254)*500-$F13)</f>
        <v>#REF!</v>
      </c>
      <c r="AN13" s="495" t="e">
        <f>IF($H13&lt;=IF($B$2="mil",1,0.0254)*0,"Pass",IF($B$2="mil",1,0.0254)*0-$H13)</f>
        <v>#REF!</v>
      </c>
      <c r="AO13" s="495" t="e">
        <f>IF(($G13+$I13)&lt;=IF($B$2="mil",1,0.0254)*2750,"Pass",IF($B$2="mil",1,0.0254)*2750-($G13+I13))</f>
        <v>#REF!</v>
      </c>
      <c r="AP13" s="495" t="e">
        <f>IF($J13&lt;=IF($B$2="mil",1,0.0254)*125,"Pass",IF($B$2="mil",1,0.0254)*125-$J13)</f>
        <v>#REF!</v>
      </c>
      <c r="AQ13" s="495" t="e">
        <f>IF($L13&lt;=IF($B$2="mil",1,0.0254)*125,"Pass",IF($B$2="mil",1,0.0254)*125-$L13)</f>
        <v>#REF!</v>
      </c>
      <c r="AR13" s="495" t="e">
        <f>IF(($L13+$M13)&lt;=IF($B$2="mil",1,0.0254)*1350,"Pass",IF($B$2="mil",1,0.0254)*1350-($L13+M13))</f>
        <v>#REF!</v>
      </c>
      <c r="AS13" s="495" t="e">
        <f>IF($N13&lt;=IF($B$2="mil",1,0.0254)*650,"Pass",IF($B$2="mil",1,0.0254)*650-$N13)</f>
        <v>#REF!</v>
      </c>
      <c r="AT13" s="495" t="e">
        <f>IF($O13&lt;=IF($B$2="mil",1,0.0254)*650,"Pass",IF($B$2="mil",1,0.0254)*650-$O13)</f>
        <v>#REF!</v>
      </c>
      <c r="AU13" s="493" t="e">
        <f>IF(MAX(N13:O13)-MIN(N13:O13)&lt;=IF($B$2="mil",1,0.0254)*50,"Pass",MAX(N13:O13)-MIN(N13:O13)-IF($B$2="mil",1,0.0254)*50)</f>
        <v>#REF!</v>
      </c>
      <c r="AV13" s="495" t="e">
        <f ca="1">CheckLength2(IF($B$2="mil",1,0.0254)*800,N13,P13,0)</f>
        <v>#NAME?</v>
      </c>
      <c r="AW13" s="495" t="e">
        <f ca="1">CheckLength2(800,$O13,Q13,0)</f>
        <v>#NAME?</v>
      </c>
      <c r="AX13" s="495" t="e">
        <f>IF(AND($T13&gt;=IF($B$2="mil",1,0.0254)*500, $T13&lt;=IF($B$2="mil",1,0.0254)*5500),"Pass",IF($B$2="mil",1,0.0254)*5500-$T13)</f>
        <v>#REF!</v>
      </c>
      <c r="AY13" s="495" t="e">
        <f>IF(AND($U13&gt;=IF($B$2="mil",1,0.0254)*500, $U13&lt;=IF($B$2="mil",1,0.0254)*6000),"Pass",IF($B$2="mil",1,0.0254)*6000-$U13)</f>
        <v>#REF!</v>
      </c>
      <c r="AZ13" s="21"/>
      <c r="BA13" s="3" t="e">
        <f ca="1">IF(AND(AL13="Pass",AN13="Pass",AM13="Pass",AW13="Pass",AR13="Pass",AS13="Pass",AT13="Pass",AU13="Pass",AV13="Pass",AQ13="Pass",AP13="Pass",AO13="Pass",AG13="Pass",AH13="Pass",AJ13="Pass",AK13="Pass",AX13="Pass",AY13="Pass",Y13="Pass",Z13="Pass"),"Pass","Fail")</f>
        <v>#REF!</v>
      </c>
    </row>
    <row r="14" spans="1:54" s="3" customFormat="1">
      <c r="A14" s="8" t="s">
        <v>249</v>
      </c>
      <c r="B14" s="631"/>
      <c r="C14" s="632"/>
      <c r="D14" s="10"/>
      <c r="E14" s="288"/>
      <c r="F14" s="288"/>
      <c r="G14" s="288"/>
      <c r="H14" s="288"/>
      <c r="I14" s="288"/>
      <c r="J14" s="292"/>
      <c r="K14" s="10"/>
      <c r="L14" s="292"/>
      <c r="M14" s="292"/>
      <c r="N14" s="292"/>
      <c r="O14" s="292"/>
      <c r="P14" s="292"/>
      <c r="Q14" s="292"/>
      <c r="R14" s="10"/>
      <c r="S14" s="10"/>
      <c r="T14" s="9"/>
      <c r="U14" s="51"/>
      <c r="V14" s="10"/>
      <c r="W14" s="15"/>
      <c r="X14" s="10"/>
      <c r="Y14" s="15"/>
      <c r="Z14" s="15"/>
      <c r="AA14" s="10"/>
      <c r="AB14" s="9"/>
      <c r="AC14" s="51"/>
      <c r="AD14" s="10"/>
      <c r="AE14" s="15"/>
      <c r="AF14" s="10"/>
      <c r="AG14" s="15"/>
      <c r="AH14" s="15"/>
      <c r="AI14" s="10"/>
      <c r="AJ14" s="15"/>
      <c r="AK14" s="15"/>
      <c r="AL14" s="15"/>
      <c r="AM14" s="15"/>
      <c r="AN14" s="15"/>
      <c r="AO14" s="10"/>
      <c r="AP14" s="10"/>
      <c r="AQ14" s="10"/>
      <c r="AR14" s="10"/>
      <c r="AS14" s="10"/>
      <c r="AT14" s="10"/>
      <c r="AU14" s="10"/>
      <c r="AV14" s="10"/>
      <c r="AW14" s="10"/>
      <c r="AX14" s="10"/>
      <c r="AY14" s="10"/>
      <c r="AZ14" s="12"/>
    </row>
    <row r="15" spans="1:54" s="3" customFormat="1">
      <c r="A15" s="653" t="s">
        <v>24</v>
      </c>
      <c r="B15" s="654"/>
      <c r="C15" s="648"/>
      <c r="D15" s="53"/>
      <c r="E15" s="289"/>
      <c r="F15" s="289"/>
      <c r="G15" s="289"/>
      <c r="H15" s="289"/>
      <c r="I15" s="289"/>
      <c r="J15" s="293"/>
      <c r="K15" s="52"/>
      <c r="L15" s="293"/>
      <c r="M15" s="293"/>
      <c r="N15" s="293"/>
      <c r="O15" s="293"/>
      <c r="P15" s="293"/>
      <c r="Q15" s="293"/>
      <c r="R15" s="52"/>
      <c r="S15" s="540"/>
      <c r="T15" s="81"/>
      <c r="U15" s="540" t="s">
        <v>227</v>
      </c>
      <c r="V15" s="542" t="e">
        <f>MIN('DDR2 Clocks - 4L'!$O$9:$O$10)</f>
        <v>#REF!</v>
      </c>
      <c r="W15" s="541" t="e">
        <f>MAX('DDR2 Clocks - 4L'!$O$9:$O$10)</f>
        <v>#REF!</v>
      </c>
      <c r="X15" s="65"/>
      <c r="Y15" s="65"/>
      <c r="Z15" s="65"/>
      <c r="AA15" s="540"/>
      <c r="AB15" s="81"/>
      <c r="AC15" s="540" t="s">
        <v>285</v>
      </c>
      <c r="AD15" s="542" t="e">
        <f>MIN('DDR2 Clocks - 4L'!$O$11:$O$12)</f>
        <v>#REF!</v>
      </c>
      <c r="AE15" s="541" t="e">
        <f>MAX('DDR2 Clocks - 4L'!$O$11:$O$12)</f>
        <v>#REF!</v>
      </c>
      <c r="AF15" s="65"/>
      <c r="AG15" s="65"/>
      <c r="AH15" s="65"/>
      <c r="AI15" s="540"/>
      <c r="AJ15" s="65"/>
      <c r="AK15" s="65"/>
      <c r="AL15" s="65"/>
      <c r="AM15" s="52"/>
      <c r="AN15" s="52"/>
      <c r="AO15" s="52"/>
      <c r="AP15" s="52"/>
      <c r="AQ15" s="52"/>
      <c r="AR15" s="52"/>
      <c r="AS15" s="52"/>
      <c r="AT15" s="52"/>
      <c r="AU15" s="52"/>
      <c r="AV15" s="52"/>
      <c r="AW15" s="52"/>
      <c r="AX15" s="52"/>
      <c r="AY15" s="52"/>
      <c r="AZ15" s="58"/>
    </row>
    <row r="16" spans="1:54" s="3" customFormat="1">
      <c r="A16" s="8" t="s">
        <v>250</v>
      </c>
      <c r="B16" s="655"/>
      <c r="C16" s="649"/>
      <c r="D16" s="62"/>
      <c r="E16" s="290"/>
      <c r="F16" s="290"/>
      <c r="G16" s="290"/>
      <c r="H16" s="290"/>
      <c r="I16" s="290"/>
      <c r="J16" s="294"/>
      <c r="K16" s="54"/>
      <c r="L16" s="294"/>
      <c r="M16" s="294"/>
      <c r="N16" s="294"/>
      <c r="O16" s="294"/>
      <c r="P16" s="294"/>
      <c r="Q16" s="294"/>
      <c r="R16" s="54"/>
      <c r="S16" s="66"/>
      <c r="T16" s="54"/>
      <c r="U16" s="54"/>
      <c r="V16" s="66"/>
      <c r="W16" s="67"/>
      <c r="X16" s="66"/>
      <c r="Y16" s="54"/>
      <c r="Z16" s="54"/>
      <c r="AA16" s="66"/>
      <c r="AB16" s="54"/>
      <c r="AC16" s="54"/>
      <c r="AD16" s="66"/>
      <c r="AE16" s="67"/>
      <c r="AF16" s="66"/>
      <c r="AG16" s="54"/>
      <c r="AH16" s="54"/>
      <c r="AI16" s="66"/>
      <c r="AJ16" s="54"/>
      <c r="AK16" s="54"/>
      <c r="AL16" s="54"/>
      <c r="AM16" s="66"/>
      <c r="AN16" s="66"/>
      <c r="AO16" s="66"/>
      <c r="AP16" s="66"/>
      <c r="AQ16" s="66"/>
      <c r="AR16" s="66"/>
      <c r="AS16" s="66"/>
      <c r="AT16" s="66"/>
      <c r="AU16" s="66"/>
      <c r="AV16" s="66"/>
      <c r="AW16" s="66"/>
      <c r="AX16" s="66"/>
      <c r="AY16" s="66"/>
      <c r="AZ16" s="68"/>
    </row>
    <row r="17" spans="1:53" s="3" customFormat="1">
      <c r="A17" s="652" t="s">
        <v>94</v>
      </c>
      <c r="B17" s="656" t="s">
        <v>314</v>
      </c>
      <c r="C17" s="635">
        <v>606.61417322834643</v>
      </c>
      <c r="D17" s="18"/>
      <c r="E17" s="621">
        <v>22.63</v>
      </c>
      <c r="F17" s="621">
        <v>0</v>
      </c>
      <c r="G17" s="622">
        <v>1503.71</v>
      </c>
      <c r="H17" s="622">
        <v>0</v>
      </c>
      <c r="I17" s="622">
        <v>794.79</v>
      </c>
      <c r="J17" s="622">
        <v>44.57</v>
      </c>
      <c r="K17" s="621">
        <v>40</v>
      </c>
      <c r="L17" s="622">
        <v>43.4</v>
      </c>
      <c r="M17" s="622">
        <v>924.3</v>
      </c>
      <c r="N17" s="305">
        <v>0</v>
      </c>
      <c r="O17" s="305">
        <v>0</v>
      </c>
      <c r="P17" s="622">
        <v>132.37</v>
      </c>
      <c r="Q17" s="622">
        <v>127.3</v>
      </c>
      <c r="R17" s="69"/>
      <c r="S17" s="21"/>
      <c r="T17" s="489">
        <f>SUM(E17:G17,I17:N17,P17)</f>
        <v>3505.7700000000004</v>
      </c>
      <c r="U17" s="489" t="e">
        <f>T17+IF($B$2="mil",1,0.0254)*$C17</f>
        <v>#REF!</v>
      </c>
      <c r="V17" s="489" t="e">
        <f>MAX(V$15:W$15)+IF($B$2="mil",1,0.0254)*DDR2Specs!$E$2</f>
        <v>#REF!</v>
      </c>
      <c r="W17" s="489" t="e">
        <f>MIN(V$15:W$15)+IF($B$2="mil",1,0.0254)*DDR2Specs!$F$2</f>
        <v>#REF!</v>
      </c>
      <c r="X17" s="21"/>
      <c r="Y17" s="598" t="e">
        <f>IF($U17&lt;$V17,$V17-$U17,"Pass")</f>
        <v>#REF!</v>
      </c>
      <c r="Z17" s="495" t="e">
        <f>IF($U17&gt;$W17,$U17-$W17,"Pass")</f>
        <v>#REF!</v>
      </c>
      <c r="AA17" s="21"/>
      <c r="AB17" s="489">
        <f>SUM(E17:G17,I17:M17,O17,Q17)</f>
        <v>3500.7000000000007</v>
      </c>
      <c r="AC17" s="489" t="e">
        <f>AB17+IF($B$2="mil",1,0.0254)*$C17</f>
        <v>#REF!</v>
      </c>
      <c r="AD17" s="489" t="e">
        <f>MAX(AD$15:AE$15)+IF($B$2="mil",1,0.0254)*DDR2Specs!$E$2</f>
        <v>#REF!</v>
      </c>
      <c r="AE17" s="489" t="e">
        <f>MIN(AD$15:AE$15)+IF($B$2="mil",1,0.0254)*DDR2Specs!$F$2</f>
        <v>#REF!</v>
      </c>
      <c r="AF17" s="21"/>
      <c r="AG17" s="598" t="e">
        <f>IF($AC17&lt;$AD17,$AD17-$AC17,"Pass")</f>
        <v>#REF!</v>
      </c>
      <c r="AH17" s="495" t="e">
        <f>IF($AC17&gt;$AE17,$AC17-$AE17,"Pass")</f>
        <v>#REF!</v>
      </c>
      <c r="AI17" s="21"/>
      <c r="AJ17" s="495" t="e">
        <f>IF((ABS($U17-$U18)&lt;=IF($B$2="mil",1,0.0254)*5),"Pass",ABS($U17-$U18))</f>
        <v>#REF!</v>
      </c>
      <c r="AK17" s="495" t="e">
        <f>IF((ABS($AC17-$AC18)&lt;=IF($B$2="mil",1,0.0254)*10),"Pass",ABS($AC17-$AC18))</f>
        <v>#REF!</v>
      </c>
      <c r="AL17" s="495" t="e">
        <f>IF($E17&lt;=IF($B$2="mil",1,0.0254)*50,"Pass",IF($B$2="mil",1,0.0254)*50-$E17)</f>
        <v>#REF!</v>
      </c>
      <c r="AM17" s="495" t="e">
        <f>IF($F17&lt;=IF($B$2="mil",1,0.0254)*500,"Pass",IF($B$2="mil",1,0.0254)*500-$F17)</f>
        <v>#REF!</v>
      </c>
      <c r="AN17" s="495" t="e">
        <f>IF($H17&lt;=IF($B$2="mil",1,0.0254)*0,"Pass",IF($B$2="mil",1,0.0254)*0-$H17)</f>
        <v>#REF!</v>
      </c>
      <c r="AO17" s="495" t="e">
        <f>IF(($G17+$I17)&lt;=IF($B$2="mil",1,0.0254)*2750,"Pass",IF($B$2="mil",1,0.0254)*2750-($G17+I17))</f>
        <v>#REF!</v>
      </c>
      <c r="AP17" s="495" t="e">
        <f>IF($J17&lt;=IF($B$2="mil",1,0.0254)*125,"Pass",IF($B$2="mil",1,0.0254)*125-$J17)</f>
        <v>#REF!</v>
      </c>
      <c r="AQ17" s="495" t="e">
        <f>IF($L17&lt;=IF($B$2="mil",1,0.0254)*125,"Pass",IF($B$2="mil",1,0.0254)*125-$L17)</f>
        <v>#REF!</v>
      </c>
      <c r="AR17" s="495" t="e">
        <f>IF(($L17+$M17)&lt;=IF($B$2="mil",1,0.0254)*1350,"Pass",IF($B$2="mil",1,0.0254)*1350-($L17+M17))</f>
        <v>#REF!</v>
      </c>
      <c r="AS17" s="495" t="e">
        <f>IF($N17&lt;=IF($B$2="mil",1,0.0254)*650,"Pass",IF($B$2="mil",1,0.0254)*650-$N17)</f>
        <v>#REF!</v>
      </c>
      <c r="AT17" s="495" t="e">
        <f>IF($O17&lt;=IF($B$2="mil",1,0.0254)*650,"Pass",IF($B$2="mil",1,0.0254)*650-$O17)</f>
        <v>#REF!</v>
      </c>
      <c r="AU17" s="493" t="e">
        <f>IF(MAX(N17:O17)-MIN(N17:O17)&lt;=IF($B$2="mil",1,0.0254)*50,"Pass",MAX(N17:O17)-MIN(N17:O17)-IF($B$2="mil",1,0.0254)*50)</f>
        <v>#REF!</v>
      </c>
      <c r="AV17" s="495" t="e">
        <f ca="1">CheckLength2(IF($B$2="mil",1,0.0254)*800,N17,P17,0)</f>
        <v>#NAME?</v>
      </c>
      <c r="AW17" s="495" t="e">
        <f ca="1">CheckLength2(800,$O17,Q17,0)</f>
        <v>#NAME?</v>
      </c>
      <c r="AX17" s="495" t="e">
        <f>IF(AND($T17&gt;=IF($B$2="mil",1,0.0254)*500, $T17&lt;=IF($B$2="mil",1,0.0254)*5500),"Pass",IF($B$2="mil",1,0.0254)*5500-$T17)</f>
        <v>#REF!</v>
      </c>
      <c r="AY17" s="495" t="e">
        <f>IF(AND($U17&gt;=IF($B$2="mil",1,0.0254)*500, $U17&lt;=IF($B$2="mil",1,0.0254)*6000),"Pass",IF($B$2="mil",1,0.0254)*6000-$U17)</f>
        <v>#REF!</v>
      </c>
      <c r="AZ17" s="21"/>
      <c r="BA17" s="3" t="e">
        <f ca="1">IF(AND(AL17="Pass",AN17="Pass",AM17="Pass",AW17="Pass",AR17="Pass",AS17="Pass",AT17="Pass",AU17="Pass",AV17="Pass",AQ17="Pass",AP17="Pass",AO17="Pass",AG17="Pass",AH17="Pass",AJ17="Pass",AK17="Pass",AX17="Pass",AY17="Pass",Y17="Pass",Z17="Pass"),"Pass","Fail")</f>
        <v>#REF!</v>
      </c>
    </row>
    <row r="18" spans="1:53" s="3" customFormat="1">
      <c r="A18" s="652" t="s">
        <v>95</v>
      </c>
      <c r="B18" s="646" t="s">
        <v>468</v>
      </c>
      <c r="C18" s="635">
        <v>606.61417322834643</v>
      </c>
      <c r="D18" s="18"/>
      <c r="E18" s="621">
        <v>22.63</v>
      </c>
      <c r="F18" s="621">
        <v>0</v>
      </c>
      <c r="G18" s="622">
        <v>1502.26</v>
      </c>
      <c r="H18" s="622">
        <v>0</v>
      </c>
      <c r="I18" s="622">
        <v>788.93</v>
      </c>
      <c r="J18" s="622">
        <v>85.78</v>
      </c>
      <c r="K18" s="621">
        <v>40</v>
      </c>
      <c r="L18" s="622">
        <v>44.57</v>
      </c>
      <c r="M18" s="622">
        <v>882.34</v>
      </c>
      <c r="N18" s="305">
        <v>0</v>
      </c>
      <c r="O18" s="305">
        <v>0</v>
      </c>
      <c r="P18" s="622">
        <v>137.94</v>
      </c>
      <c r="Q18" s="622">
        <v>131.16</v>
      </c>
      <c r="R18" s="69"/>
      <c r="S18" s="21"/>
      <c r="T18" s="489">
        <f>SUM(E18:G18,I18:N18,P18)</f>
        <v>3504.4500000000007</v>
      </c>
      <c r="U18" s="489" t="e">
        <f>T18+IF($B$2="mil",1,0.0254)*$C18</f>
        <v>#REF!</v>
      </c>
      <c r="V18" s="489" t="e">
        <f>MAX(V$15:W$15)+IF($B$2="mil",1,0.0254)*DDR2Specs!$E$2</f>
        <v>#REF!</v>
      </c>
      <c r="W18" s="489" t="e">
        <f>MIN(V$15:W$15)+IF($B$2="mil",1,0.0254)*DDR2Specs!$F$2</f>
        <v>#REF!</v>
      </c>
      <c r="X18" s="21"/>
      <c r="Y18" s="598" t="e">
        <f>IF($U18&lt;$V18,$V18-$U18,"Pass")</f>
        <v>#REF!</v>
      </c>
      <c r="Z18" s="495" t="e">
        <f>IF($U18&gt;$W18,$U18-$W18,"Pass")</f>
        <v>#REF!</v>
      </c>
      <c r="AA18" s="21"/>
      <c r="AB18" s="489">
        <f>SUM(E18:G18,I18:M18,O18,Q18)</f>
        <v>3497.6700000000005</v>
      </c>
      <c r="AC18" s="489" t="e">
        <f>AB18+IF($B$2="mil",1,0.0254)*$C18</f>
        <v>#REF!</v>
      </c>
      <c r="AD18" s="489" t="e">
        <f>MAX(AD$15:AE$15)+IF($B$2="mil",1,0.0254)*DDR2Specs!$E$2</f>
        <v>#REF!</v>
      </c>
      <c r="AE18" s="489" t="e">
        <f>MIN(AD$15:AE$15)+IF($B$2="mil",1,0.0254)*DDR2Specs!$F$2</f>
        <v>#REF!</v>
      </c>
      <c r="AF18" s="21"/>
      <c r="AG18" s="598" t="e">
        <f>IF($AC18&lt;$AD18,$AD18-$AC18,"Pass")</f>
        <v>#REF!</v>
      </c>
      <c r="AH18" s="495" t="e">
        <f>IF($AC18&gt;$AE18,$AC18-$AE18,"Pass")</f>
        <v>#REF!</v>
      </c>
      <c r="AI18" s="21"/>
      <c r="AJ18" s="495" t="e">
        <f>IF((ABS($U18-$U17)&lt;=IF($B$2="mil",1,0.0254)*5),"Pass",ABS($U18-$U17))</f>
        <v>#REF!</v>
      </c>
      <c r="AK18" s="495" t="e">
        <f>IF((ABS($AC18-$AC17)&lt;=IF($B$2="mil",1,0.0254)*10),"Pass",ABS($AC18-$AC17))</f>
        <v>#REF!</v>
      </c>
      <c r="AL18" s="495" t="e">
        <f>IF($E18&lt;=IF($B$2="mil",1,0.0254)*50,"Pass",IF($B$2="mil",1,0.0254)*50-$E18)</f>
        <v>#REF!</v>
      </c>
      <c r="AM18" s="495" t="e">
        <f>IF($F18&lt;=IF($B$2="mil",1,0.0254)*500,"Pass",IF($B$2="mil",1,0.0254)*500-$F18)</f>
        <v>#REF!</v>
      </c>
      <c r="AN18" s="495" t="e">
        <f>IF($H18&lt;=IF($B$2="mil",1,0.0254)*0,"Pass",IF($B$2="mil",1,0.0254)*0-$H18)</f>
        <v>#REF!</v>
      </c>
      <c r="AO18" s="495" t="e">
        <f>IF(($G18+$I18)&lt;=IF($B$2="mil",1,0.0254)*2750,"Pass",IF($B$2="mil",1,0.0254)*2750-($G18+I18))</f>
        <v>#REF!</v>
      </c>
      <c r="AP18" s="495" t="e">
        <f>IF($J18&lt;=IF($B$2="mil",1,0.0254)*125,"Pass",IF($B$2="mil",1,0.0254)*125-$J18)</f>
        <v>#REF!</v>
      </c>
      <c r="AQ18" s="495" t="e">
        <f>IF($L18&lt;=IF($B$2="mil",1,0.0254)*125,"Pass",IF($B$2="mil",1,0.0254)*125-$L18)</f>
        <v>#REF!</v>
      </c>
      <c r="AR18" s="495" t="e">
        <f>IF(($L18+$M18)&lt;=IF($B$2="mil",1,0.0254)*1350,"Pass",IF($B$2="mil",1,0.0254)*1350-($L18+M18))</f>
        <v>#REF!</v>
      </c>
      <c r="AS18" s="495" t="e">
        <f>IF($N18&lt;=IF($B$2="mil",1,0.0254)*650,"Pass",IF($B$2="mil",1,0.0254)*650-$N18)</f>
        <v>#REF!</v>
      </c>
      <c r="AT18" s="495" t="e">
        <f>IF($O18&lt;=IF($B$2="mil",1,0.0254)*650,"Pass",IF($B$2="mil",1,0.0254)*650-$O18)</f>
        <v>#REF!</v>
      </c>
      <c r="AU18" s="493" t="e">
        <f>IF(MAX(N18:O18)-MIN(N18:O18)&lt;=IF($B$2="mil",1,0.0254)*50,"Pass",MAX(N18:O18)-MIN(N18:O18)-IF($B$2="mil",1,0.0254)*50)</f>
        <v>#REF!</v>
      </c>
      <c r="AV18" s="495" t="e">
        <f ca="1">CheckLength2(IF($B$2="mil",1,0.0254)*800,N18,P18,0)</f>
        <v>#NAME?</v>
      </c>
      <c r="AW18" s="495" t="e">
        <f ca="1">CheckLength2(800,$O18,Q18,0)</f>
        <v>#NAME?</v>
      </c>
      <c r="AX18" s="495" t="e">
        <f>IF(AND($T18&gt;=IF($B$2="mil",1,0.0254)*500, $T18&lt;=IF($B$2="mil",1,0.0254)*5500),"Pass",IF($B$2="mil",1,0.0254)*5500-$T18)</f>
        <v>#REF!</v>
      </c>
      <c r="AY18" s="495" t="e">
        <f>IF(AND($U18&gt;=IF($B$2="mil",1,0.0254)*500, $U18&lt;=IF($B$2="mil",1,0.0254)*6000),"Pass",IF($B$2="mil",1,0.0254)*6000-$U18)</f>
        <v>#REF!</v>
      </c>
      <c r="AZ18" s="21"/>
      <c r="BA18" s="3" t="e">
        <f ca="1">IF(AND(AL18="Pass",AN18="Pass",AM18="Pass",AW18="Pass",AR18="Pass",AS18="Pass",AT18="Pass",AU18="Pass",AV18="Pass",AQ18="Pass",AP18="Pass",AO18="Pass",AG18="Pass",AH18="Pass",AJ18="Pass",AK18="Pass",AX18="Pass",AY18="Pass",Y18="Pass",Z18="Pass"),"Pass","Fail")</f>
        <v>#REF!</v>
      </c>
    </row>
    <row r="19" spans="1:53" s="3" customFormat="1">
      <c r="A19" s="8" t="s">
        <v>249</v>
      </c>
      <c r="B19" s="631"/>
      <c r="C19" s="632"/>
      <c r="D19" s="10"/>
      <c r="E19" s="288"/>
      <c r="F19" s="288"/>
      <c r="G19" s="288"/>
      <c r="H19" s="288"/>
      <c r="I19" s="288"/>
      <c r="J19" s="292"/>
      <c r="K19" s="10"/>
      <c r="L19" s="292"/>
      <c r="M19" s="292"/>
      <c r="N19" s="292"/>
      <c r="O19" s="292"/>
      <c r="P19" s="292"/>
      <c r="Q19" s="292"/>
      <c r="R19" s="10"/>
      <c r="S19" s="10"/>
      <c r="T19" s="9"/>
      <c r="U19" s="51"/>
      <c r="V19" s="10"/>
      <c r="W19" s="15"/>
      <c r="X19" s="10"/>
      <c r="Y19" s="15"/>
      <c r="Z19" s="15"/>
      <c r="AA19" s="10"/>
      <c r="AB19" s="9"/>
      <c r="AC19" s="51"/>
      <c r="AD19" s="10"/>
      <c r="AE19" s="15"/>
      <c r="AF19" s="10"/>
      <c r="AG19" s="15"/>
      <c r="AH19" s="15"/>
      <c r="AI19" s="10"/>
      <c r="AJ19" s="15"/>
      <c r="AK19" s="15"/>
      <c r="AL19" s="15"/>
      <c r="AM19" s="15"/>
      <c r="AN19" s="15"/>
      <c r="AO19" s="10"/>
      <c r="AP19" s="10"/>
      <c r="AQ19" s="10"/>
      <c r="AR19" s="10"/>
      <c r="AS19" s="10"/>
      <c r="AT19" s="10"/>
      <c r="AU19" s="10"/>
      <c r="AV19" s="10"/>
      <c r="AW19" s="10"/>
      <c r="AX19" s="10"/>
      <c r="AY19" s="10"/>
      <c r="AZ19" s="12"/>
    </row>
    <row r="20" spans="1:53" s="3" customFormat="1">
      <c r="A20" s="653" t="s">
        <v>24</v>
      </c>
      <c r="B20" s="654"/>
      <c r="C20" s="648"/>
      <c r="D20" s="53"/>
      <c r="E20" s="289"/>
      <c r="F20" s="289"/>
      <c r="G20" s="289"/>
      <c r="H20" s="289"/>
      <c r="I20" s="289"/>
      <c r="J20" s="293"/>
      <c r="K20" s="52"/>
      <c r="L20" s="293"/>
      <c r="M20" s="293"/>
      <c r="N20" s="293"/>
      <c r="O20" s="293"/>
      <c r="P20" s="293"/>
      <c r="Q20" s="293"/>
      <c r="R20" s="52"/>
      <c r="S20" s="540"/>
      <c r="T20" s="81"/>
      <c r="U20" s="540" t="s">
        <v>227</v>
      </c>
      <c r="V20" s="542" t="e">
        <f>MIN('DDR2 Clocks - 4L'!$O$9:$O$10)</f>
        <v>#REF!</v>
      </c>
      <c r="W20" s="541" t="e">
        <f>MAX('DDR2 Clocks - 4L'!$O$9:$O$10)</f>
        <v>#REF!</v>
      </c>
      <c r="X20" s="65"/>
      <c r="Y20" s="65"/>
      <c r="Z20" s="65"/>
      <c r="AA20" s="540"/>
      <c r="AB20" s="81"/>
      <c r="AC20" s="540" t="s">
        <v>285</v>
      </c>
      <c r="AD20" s="542" t="e">
        <f>MIN('DDR2 Clocks - 4L'!$O$11:$O$12)</f>
        <v>#REF!</v>
      </c>
      <c r="AE20" s="541" t="e">
        <f>MAX('DDR2 Clocks - 4L'!$O$11:$O$12)</f>
        <v>#REF!</v>
      </c>
      <c r="AF20" s="65"/>
      <c r="AG20" s="65"/>
      <c r="AH20" s="65"/>
      <c r="AI20" s="540"/>
      <c r="AJ20" s="65"/>
      <c r="AK20" s="65"/>
      <c r="AL20" s="65"/>
      <c r="AM20" s="52"/>
      <c r="AN20" s="52"/>
      <c r="AO20" s="52"/>
      <c r="AP20" s="52"/>
      <c r="AQ20" s="52"/>
      <c r="AR20" s="52"/>
      <c r="AS20" s="52"/>
      <c r="AT20" s="52"/>
      <c r="AU20" s="52"/>
      <c r="AV20" s="52"/>
      <c r="AW20" s="52"/>
      <c r="AX20" s="52"/>
      <c r="AY20" s="52"/>
      <c r="AZ20" s="58"/>
    </row>
    <row r="21" spans="1:53" s="3" customFormat="1">
      <c r="A21" s="8" t="s">
        <v>250</v>
      </c>
      <c r="B21" s="655"/>
      <c r="C21" s="649"/>
      <c r="D21" s="62"/>
      <c r="E21" s="290"/>
      <c r="F21" s="290"/>
      <c r="G21" s="290"/>
      <c r="H21" s="290"/>
      <c r="I21" s="290"/>
      <c r="J21" s="294"/>
      <c r="K21" s="54"/>
      <c r="L21" s="294"/>
      <c r="M21" s="294"/>
      <c r="N21" s="294"/>
      <c r="O21" s="294"/>
      <c r="P21" s="294"/>
      <c r="Q21" s="294"/>
      <c r="R21" s="54"/>
      <c r="S21" s="66"/>
      <c r="T21" s="54"/>
      <c r="U21" s="54"/>
      <c r="V21" s="66"/>
      <c r="W21" s="67"/>
      <c r="X21" s="66"/>
      <c r="Y21" s="54"/>
      <c r="Z21" s="54"/>
      <c r="AA21" s="66"/>
      <c r="AB21" s="54"/>
      <c r="AC21" s="54"/>
      <c r="AD21" s="66"/>
      <c r="AE21" s="67"/>
      <c r="AF21" s="66"/>
      <c r="AG21" s="54"/>
      <c r="AH21" s="54"/>
      <c r="AI21" s="66"/>
      <c r="AJ21" s="54"/>
      <c r="AK21" s="54"/>
      <c r="AL21" s="54"/>
      <c r="AM21" s="66"/>
      <c r="AN21" s="66"/>
      <c r="AO21" s="66"/>
      <c r="AP21" s="66"/>
      <c r="AQ21" s="66"/>
      <c r="AR21" s="66"/>
      <c r="AS21" s="66"/>
      <c r="AT21" s="66"/>
      <c r="AU21" s="66"/>
      <c r="AV21" s="66"/>
      <c r="AW21" s="66"/>
      <c r="AX21" s="66"/>
      <c r="AY21" s="66"/>
      <c r="AZ21" s="68"/>
    </row>
    <row r="22" spans="1:53" s="3" customFormat="1">
      <c r="A22" s="652" t="s">
        <v>96</v>
      </c>
      <c r="B22" s="656" t="s">
        <v>462</v>
      </c>
      <c r="C22" s="635">
        <v>765.98425196850394</v>
      </c>
      <c r="D22" s="18"/>
      <c r="E22" s="621">
        <v>22.63</v>
      </c>
      <c r="F22" s="621">
        <v>0</v>
      </c>
      <c r="G22" s="622">
        <v>1503.71</v>
      </c>
      <c r="H22" s="622">
        <v>0</v>
      </c>
      <c r="I22" s="622">
        <v>794.79</v>
      </c>
      <c r="J22" s="622">
        <v>44.57</v>
      </c>
      <c r="K22" s="621">
        <v>40</v>
      </c>
      <c r="L22" s="622">
        <v>43.4</v>
      </c>
      <c r="M22" s="622">
        <v>924.3</v>
      </c>
      <c r="N22" s="305">
        <v>0</v>
      </c>
      <c r="O22" s="305">
        <v>0</v>
      </c>
      <c r="P22" s="622">
        <v>106.1</v>
      </c>
      <c r="Q22" s="622">
        <v>103.95</v>
      </c>
      <c r="R22" s="69"/>
      <c r="S22" s="21"/>
      <c r="T22" s="489">
        <f>SUM(E22:G22,I22:N22,P22)</f>
        <v>3479.5000000000005</v>
      </c>
      <c r="U22" s="489" t="e">
        <f>T22+IF($B$2="mil",1,0.0254)*$C22</f>
        <v>#REF!</v>
      </c>
      <c r="V22" s="489" t="e">
        <f>MAX(V$20:W$20)+IF($B$2="mil",1,0.0254)*DDR2Specs!$E$2</f>
        <v>#REF!</v>
      </c>
      <c r="W22" s="489" t="e">
        <f>MIN(V$20:W$20)+IF($B$2="mil",1,0.0254)*DDR2Specs!$F$2</f>
        <v>#REF!</v>
      </c>
      <c r="X22" s="21"/>
      <c r="Y22" s="598" t="e">
        <f>IF($U22&lt;$V22,$V22-$U22,"Pass")</f>
        <v>#REF!</v>
      </c>
      <c r="Z22" s="495" t="e">
        <f>IF($U22&gt;$W22,$U22-$W22,"Pass")</f>
        <v>#REF!</v>
      </c>
      <c r="AA22" s="21"/>
      <c r="AB22" s="489">
        <f>SUM(E22:G22,I22:M22,O22,Q22)</f>
        <v>3477.3500000000004</v>
      </c>
      <c r="AC22" s="489" t="e">
        <f>AB22+IF($B$2="mil",1,0.0254)*$C22</f>
        <v>#REF!</v>
      </c>
      <c r="AD22" s="489" t="e">
        <f>MAX(AD$20:AE$20)+IF($B$2="mil",1,0.0254)*DDR2Specs!$E$2</f>
        <v>#REF!</v>
      </c>
      <c r="AE22" s="489" t="e">
        <f>MIN(AD$20:AE$20)+IF($B$2="mil",1,0.0254)*DDR2Specs!$F$2</f>
        <v>#REF!</v>
      </c>
      <c r="AF22" s="21"/>
      <c r="AG22" s="598" t="e">
        <f>IF($AC22&lt;$AD22,$AD22-$AC22,"Pass")</f>
        <v>#REF!</v>
      </c>
      <c r="AH22" s="495" t="e">
        <f>IF($AC22&gt;$AE22,$AC22-$AE22,"Pass")</f>
        <v>#REF!</v>
      </c>
      <c r="AI22" s="21"/>
      <c r="AJ22" s="495" t="e">
        <f>IF((ABS($U22-$U23)&lt;=IF($B$2="mil",1,0.0254)*5),"Pass",ABS($U22-$U23))</f>
        <v>#REF!</v>
      </c>
      <c r="AK22" s="495" t="e">
        <f>IF((ABS($AC22-$AC23)&lt;=IF($B$2="mil",1,0.0254)*10),"Pass",ABS($AC22-$AC23))</f>
        <v>#REF!</v>
      </c>
      <c r="AL22" s="495" t="e">
        <f>IF($E22&lt;=IF($B$2="mil",1,0.0254)*50,"Pass",IF($B$2="mil",1,0.0254)*50-$E22)</f>
        <v>#REF!</v>
      </c>
      <c r="AM22" s="495" t="e">
        <f>IF($F22&lt;=IF($B$2="mil",1,0.0254)*500,"Pass",IF($B$2="mil",1,0.0254)*500-$F22)</f>
        <v>#REF!</v>
      </c>
      <c r="AN22" s="495" t="e">
        <f>IF($H22&lt;=IF($B$2="mil",1,0.0254)*0,"Pass",IF($B$2="mil",1,0.0254)*0-$H22)</f>
        <v>#REF!</v>
      </c>
      <c r="AO22" s="495" t="e">
        <f>IF(($G22+$I22)&lt;=IF($B$2="mil",1,0.0254)*2750,"Pass",IF($B$2="mil",1,0.0254)*2750-($G22+I22))</f>
        <v>#REF!</v>
      </c>
      <c r="AP22" s="495" t="e">
        <f>IF($J22&lt;=IF($B$2="mil",1,0.0254)*125,"Pass",IF($B$2="mil",1,0.0254)*125-$J22)</f>
        <v>#REF!</v>
      </c>
      <c r="AQ22" s="495" t="e">
        <f>IF($L22&lt;=IF($B$2="mil",1,0.0254)*125,"Pass",IF($B$2="mil",1,0.0254)*125-$L22)</f>
        <v>#REF!</v>
      </c>
      <c r="AR22" s="495" t="e">
        <f>IF(($L22+$M22)&lt;=IF($B$2="mil",1,0.0254)*1350,"Pass",IF($B$2="mil",1,0.0254)*1350-($L22+M22))</f>
        <v>#REF!</v>
      </c>
      <c r="AS22" s="495" t="e">
        <f>IF($N22&lt;=IF($B$2="mil",1,0.0254)*650,"Pass",IF($B$2="mil",1,0.0254)*650-$N22)</f>
        <v>#REF!</v>
      </c>
      <c r="AT22" s="495" t="e">
        <f>IF($O22&lt;=IF($B$2="mil",1,0.0254)*650,"Pass",IF($B$2="mil",1,0.0254)*650-$O22)</f>
        <v>#REF!</v>
      </c>
      <c r="AU22" s="493" t="e">
        <f>IF(MAX(N22:O22)-MIN(N22:O22)&lt;=IF($B$2="mil",1,0.0254)*50,"Pass",MAX(N22:O22)-MIN(N22:O22)-IF($B$2="mil",1,0.0254)*50)</f>
        <v>#REF!</v>
      </c>
      <c r="AV22" s="495" t="e">
        <f ca="1">CheckLength2(IF($B$2="mil",1,0.0254)*800,N22,P22,0)</f>
        <v>#NAME?</v>
      </c>
      <c r="AW22" s="495" t="e">
        <f ca="1">CheckLength2(800,$O22,Q22,0)</f>
        <v>#NAME?</v>
      </c>
      <c r="AX22" s="495" t="e">
        <f>IF(AND($T22&gt;=IF($B$2="mil",1,0.0254)*500, $T22&lt;=IF($B$2="mil",1,0.0254)*5500),"Pass",IF($B$2="mil",1,0.0254)*5500-$T22)</f>
        <v>#REF!</v>
      </c>
      <c r="AY22" s="495" t="e">
        <f>IF(AND($U22&gt;=IF($B$2="mil",1,0.0254)*500, $U22&lt;=IF($B$2="mil",1,0.0254)*6000),"Pass",IF($B$2="mil",1,0.0254)*6000-$U22)</f>
        <v>#REF!</v>
      </c>
      <c r="AZ22" s="21"/>
      <c r="BA22" s="3" t="e">
        <f ca="1">IF(AND(AL22="Pass",AN22="Pass",AM22="Pass",AW22="Pass",AR22="Pass",AS22="Pass",AT22="Pass",AU22="Pass",AV22="Pass",AQ22="Pass",AP22="Pass",AO22="Pass",AG22="Pass",AH22="Pass",AJ22="Pass",AK22="Pass",AX22="Pass",AY22="Pass",Y22="Pass",Z22="Pass"),"Pass","Fail")</f>
        <v>#REF!</v>
      </c>
    </row>
    <row r="23" spans="1:53" s="3" customFormat="1">
      <c r="A23" s="652" t="s">
        <v>97</v>
      </c>
      <c r="B23" s="646" t="s">
        <v>469</v>
      </c>
      <c r="C23" s="635">
        <v>765.98425196850394</v>
      </c>
      <c r="D23" s="18"/>
      <c r="E23" s="621">
        <v>22.63</v>
      </c>
      <c r="F23" s="621">
        <v>0</v>
      </c>
      <c r="G23" s="622">
        <v>1502.26</v>
      </c>
      <c r="H23" s="622">
        <v>0</v>
      </c>
      <c r="I23" s="622">
        <v>788.93</v>
      </c>
      <c r="J23" s="622">
        <v>85.78</v>
      </c>
      <c r="K23" s="621">
        <v>40</v>
      </c>
      <c r="L23" s="622">
        <v>44.57</v>
      </c>
      <c r="M23" s="622">
        <v>882.34</v>
      </c>
      <c r="N23" s="305">
        <v>0</v>
      </c>
      <c r="O23" s="305">
        <v>0</v>
      </c>
      <c r="P23" s="622">
        <v>113.96</v>
      </c>
      <c r="Q23" s="622">
        <v>112.04</v>
      </c>
      <c r="R23" s="69"/>
      <c r="S23" s="21"/>
      <c r="T23" s="489">
        <f>SUM(E23:G23,I23:N23,P23)</f>
        <v>3480.4700000000007</v>
      </c>
      <c r="U23" s="489" t="e">
        <f>T23+IF($B$2="mil",1,0.0254)*$C23</f>
        <v>#REF!</v>
      </c>
      <c r="V23" s="489" t="e">
        <f>MAX(V$20:W$20)+IF($B$2="mil",1,0.0254)*DDR2Specs!$E$2</f>
        <v>#REF!</v>
      </c>
      <c r="W23" s="489" t="e">
        <f>MIN(V$20:W$20)+IF($B$2="mil",1,0.0254)*DDR2Specs!$F$2</f>
        <v>#REF!</v>
      </c>
      <c r="X23" s="21"/>
      <c r="Y23" s="598" t="e">
        <f>IF($U23&lt;$V23,$V23-$U23,"Pass")</f>
        <v>#REF!</v>
      </c>
      <c r="Z23" s="495" t="e">
        <f>IF($U23&gt;$W23,$U23-$W23,"Pass")</f>
        <v>#REF!</v>
      </c>
      <c r="AA23" s="21"/>
      <c r="AB23" s="489">
        <f>SUM(E23:G23,I23:M23,O23,Q23)</f>
        <v>3478.5500000000006</v>
      </c>
      <c r="AC23" s="489" t="e">
        <f>AB23+IF($B$2="mil",1,0.0254)*$C23</f>
        <v>#REF!</v>
      </c>
      <c r="AD23" s="489" t="e">
        <f>MAX(AD$20:AE$20)+IF($B$2="mil",1,0.0254)*DDR2Specs!$E$2</f>
        <v>#REF!</v>
      </c>
      <c r="AE23" s="489" t="e">
        <f>MIN(AD$20:AE$20)+IF($B$2="mil",1,0.0254)*DDR2Specs!$F$2</f>
        <v>#REF!</v>
      </c>
      <c r="AF23" s="21"/>
      <c r="AG23" s="598" t="e">
        <f>IF($AC23&lt;$AD23,$AD23-$AC23,"Pass")</f>
        <v>#REF!</v>
      </c>
      <c r="AH23" s="495" t="e">
        <f>IF($AC23&gt;$AE23,$AC23-$AE23,"Pass")</f>
        <v>#REF!</v>
      </c>
      <c r="AI23" s="21"/>
      <c r="AJ23" s="495" t="e">
        <f>IF((ABS($U23-$U22)&lt;=IF($B$2="mil",1,0.0254)*5),"Pass",ABS($U23-$U22))</f>
        <v>#REF!</v>
      </c>
      <c r="AK23" s="495" t="e">
        <f>IF((ABS($AC23-$AC22)&lt;=IF($B$2="mil",1,0.0254)*10),"Pass",ABS($AC23-$AC22))</f>
        <v>#REF!</v>
      </c>
      <c r="AL23" s="495" t="e">
        <f>IF($E23&lt;=IF($B$2="mil",1,0.0254)*50,"Pass",IF($B$2="mil",1,0.0254)*50-$E23)</f>
        <v>#REF!</v>
      </c>
      <c r="AM23" s="495" t="e">
        <f>IF($F23&lt;=IF($B$2="mil",1,0.0254)*500,"Pass",IF($B$2="mil",1,0.0254)*500-$F23)</f>
        <v>#REF!</v>
      </c>
      <c r="AN23" s="495" t="e">
        <f>IF($H23&lt;=IF($B$2="mil",1,0.0254)*0,"Pass",IF($B$2="mil",1,0.0254)*0-$H23)</f>
        <v>#REF!</v>
      </c>
      <c r="AO23" s="495" t="e">
        <f>IF(($G23+$I23)&lt;=IF($B$2="mil",1,0.0254)*2750,"Pass",IF($B$2="mil",1,0.0254)*2750-($G23+I23))</f>
        <v>#REF!</v>
      </c>
      <c r="AP23" s="495" t="e">
        <f>IF($J23&lt;=IF($B$2="mil",1,0.0254)*125,"Pass",IF($B$2="mil",1,0.0254)*125-$J23)</f>
        <v>#REF!</v>
      </c>
      <c r="AQ23" s="495" t="e">
        <f>IF($L23&lt;=IF($B$2="mil",1,0.0254)*125,"Pass",IF($B$2="mil",1,0.0254)*125-$L23)</f>
        <v>#REF!</v>
      </c>
      <c r="AR23" s="495" t="e">
        <f>IF(($L23+$M23)&lt;=IF($B$2="mil",1,0.0254)*1350,"Pass",IF($B$2="mil",1,0.0254)*1350-($L23+M23))</f>
        <v>#REF!</v>
      </c>
      <c r="AS23" s="495" t="e">
        <f>IF($N23&lt;=IF($B$2="mil",1,0.0254)*650,"Pass",IF($B$2="mil",1,0.0254)*650-$N23)</f>
        <v>#REF!</v>
      </c>
      <c r="AT23" s="495" t="e">
        <f>IF($O23&lt;=IF($B$2="mil",1,0.0254)*650,"Pass",IF($B$2="mil",1,0.0254)*650-$O23)</f>
        <v>#REF!</v>
      </c>
      <c r="AU23" s="493" t="e">
        <f>IF(MAX(N23:O23)-MIN(N23:O23)&lt;=IF($B$2="mil",1,0.0254)*50,"Pass",MAX(N23:O23)-MIN(N23:O23)-IF($B$2="mil",1,0.0254)*50)</f>
        <v>#REF!</v>
      </c>
      <c r="AV23" s="495" t="e">
        <f ca="1">CheckLength2(IF($B$2="mil",1,0.0254)*800,N23,P23,0)</f>
        <v>#NAME?</v>
      </c>
      <c r="AW23" s="495" t="e">
        <f ca="1">CheckLength2(800,$O23,Q23,0)</f>
        <v>#NAME?</v>
      </c>
      <c r="AX23" s="495" t="e">
        <f>IF(AND($T23&gt;=IF($B$2="mil",1,0.0254)*500, $T23&lt;=IF($B$2="mil",1,0.0254)*5500),"Pass",IF($B$2="mil",1,0.0254)*5500-$T23)</f>
        <v>#REF!</v>
      </c>
      <c r="AY23" s="495" t="e">
        <f>IF(AND($U23&gt;=IF($B$2="mil",1,0.0254)*500, $U23&lt;=IF($B$2="mil",1,0.0254)*6000),"Pass",IF($B$2="mil",1,0.0254)*6000-$U23)</f>
        <v>#REF!</v>
      </c>
      <c r="AZ23" s="21"/>
      <c r="BA23" s="3" t="e">
        <f ca="1">IF(AND(AL23="Pass",AN23="Pass",AM23="Pass",AW23="Pass",AR23="Pass",AS23="Pass",AT23="Pass",AU23="Pass",AV23="Pass",AQ23="Pass",AP23="Pass",AO23="Pass",AG23="Pass",AH23="Pass",AJ23="Pass",AK23="Pass",AX23="Pass",AY23="Pass",Y23="Pass",Z23="Pass"),"Pass","Fail")</f>
        <v>#REF!</v>
      </c>
    </row>
    <row r="24" spans="1:53" s="3" customFormat="1">
      <c r="A24" s="8" t="s">
        <v>249</v>
      </c>
      <c r="B24" s="631"/>
      <c r="C24" s="632"/>
      <c r="D24" s="10"/>
      <c r="E24" s="288"/>
      <c r="F24" s="288"/>
      <c r="G24" s="288"/>
      <c r="H24" s="288"/>
      <c r="I24" s="288"/>
      <c r="J24" s="292"/>
      <c r="K24" s="10"/>
      <c r="L24" s="292"/>
      <c r="M24" s="292"/>
      <c r="N24" s="292"/>
      <c r="O24" s="292"/>
      <c r="P24" s="292"/>
      <c r="Q24" s="292"/>
      <c r="R24" s="10"/>
      <c r="S24" s="10"/>
      <c r="T24" s="9"/>
      <c r="U24" s="51"/>
      <c r="V24" s="10"/>
      <c r="W24" s="15"/>
      <c r="X24" s="10"/>
      <c r="Y24" s="15"/>
      <c r="Z24" s="15"/>
      <c r="AA24" s="10"/>
      <c r="AB24" s="9"/>
      <c r="AC24" s="51"/>
      <c r="AD24" s="10"/>
      <c r="AE24" s="15"/>
      <c r="AF24" s="10"/>
      <c r="AG24" s="15"/>
      <c r="AH24" s="15"/>
      <c r="AI24" s="10"/>
      <c r="AJ24" s="15"/>
      <c r="AK24" s="15"/>
      <c r="AL24" s="15"/>
      <c r="AM24" s="15"/>
      <c r="AN24" s="15"/>
      <c r="AO24" s="10"/>
      <c r="AP24" s="10"/>
      <c r="AQ24" s="10"/>
      <c r="AR24" s="10"/>
      <c r="AS24" s="10"/>
      <c r="AT24" s="10"/>
      <c r="AU24" s="10"/>
      <c r="AV24" s="10"/>
      <c r="AW24" s="10"/>
      <c r="AX24" s="10"/>
      <c r="AY24" s="10"/>
      <c r="AZ24" s="12"/>
    </row>
    <row r="25" spans="1:53" s="3" customFormat="1">
      <c r="A25" s="653" t="s">
        <v>24</v>
      </c>
      <c r="B25" s="654"/>
      <c r="C25" s="648"/>
      <c r="D25" s="53"/>
      <c r="E25" s="289"/>
      <c r="F25" s="289"/>
      <c r="G25" s="289"/>
      <c r="H25" s="289"/>
      <c r="I25" s="289"/>
      <c r="J25" s="293"/>
      <c r="K25" s="52"/>
      <c r="L25" s="293"/>
      <c r="M25" s="293"/>
      <c r="N25" s="293"/>
      <c r="O25" s="293"/>
      <c r="P25" s="293"/>
      <c r="Q25" s="293"/>
      <c r="R25" s="52"/>
      <c r="S25" s="540"/>
      <c r="T25" s="81"/>
      <c r="U25" s="540" t="s">
        <v>226</v>
      </c>
      <c r="V25" s="542" t="e">
        <f>MIN('DDR2 Clocks - 4L'!$O$13:$O$14)</f>
        <v>#REF!</v>
      </c>
      <c r="W25" s="541" t="e">
        <f>MAX('DDR2 Clocks - 4L'!$O$13:$O$14)</f>
        <v>#REF!</v>
      </c>
      <c r="X25" s="65"/>
      <c r="Y25" s="65"/>
      <c r="Z25" s="65"/>
      <c r="AA25" s="540"/>
      <c r="AB25" s="81"/>
      <c r="AC25" s="540" t="s">
        <v>286</v>
      </c>
      <c r="AD25" s="542" t="e">
        <f>MIN('DDR2 Clocks - 4L'!$O$15:$O$16)</f>
        <v>#REF!</v>
      </c>
      <c r="AE25" s="541" t="e">
        <f>MAX('DDR2 Clocks - 4L'!$O$15:$O$16)</f>
        <v>#REF!</v>
      </c>
      <c r="AF25" s="65"/>
      <c r="AG25" s="65"/>
      <c r="AH25" s="65"/>
      <c r="AI25" s="540"/>
      <c r="AJ25" s="65"/>
      <c r="AK25" s="65"/>
      <c r="AL25" s="65"/>
      <c r="AM25" s="52"/>
      <c r="AN25" s="52"/>
      <c r="AO25" s="52"/>
      <c r="AP25" s="52"/>
      <c r="AQ25" s="52"/>
      <c r="AR25" s="52"/>
      <c r="AS25" s="52"/>
      <c r="AT25" s="52"/>
      <c r="AU25" s="52"/>
      <c r="AV25" s="52"/>
      <c r="AW25" s="52"/>
      <c r="AX25" s="52"/>
      <c r="AY25" s="52"/>
      <c r="AZ25" s="58"/>
    </row>
    <row r="26" spans="1:53" s="3" customFormat="1">
      <c r="A26" s="8" t="s">
        <v>250</v>
      </c>
      <c r="B26" s="655"/>
      <c r="C26" s="649"/>
      <c r="D26" s="62"/>
      <c r="E26" s="290"/>
      <c r="F26" s="290"/>
      <c r="G26" s="290"/>
      <c r="H26" s="290"/>
      <c r="I26" s="290"/>
      <c r="J26" s="294"/>
      <c r="K26" s="54"/>
      <c r="L26" s="294"/>
      <c r="M26" s="294"/>
      <c r="N26" s="294"/>
      <c r="O26" s="294"/>
      <c r="P26" s="294"/>
      <c r="Q26" s="294"/>
      <c r="R26" s="54"/>
      <c r="S26" s="66"/>
      <c r="T26" s="54"/>
      <c r="U26" s="54"/>
      <c r="V26" s="66"/>
      <c r="W26" s="67"/>
      <c r="X26" s="66"/>
      <c r="Y26" s="54"/>
      <c r="Z26" s="54"/>
      <c r="AA26" s="66"/>
      <c r="AB26" s="54"/>
      <c r="AC26" s="54"/>
      <c r="AD26" s="66"/>
      <c r="AE26" s="67"/>
      <c r="AF26" s="66"/>
      <c r="AG26" s="54"/>
      <c r="AH26" s="54"/>
      <c r="AI26" s="66"/>
      <c r="AJ26" s="54"/>
      <c r="AK26" s="54"/>
      <c r="AL26" s="54"/>
      <c r="AM26" s="66"/>
      <c r="AN26" s="66"/>
      <c r="AO26" s="66"/>
      <c r="AP26" s="66"/>
      <c r="AQ26" s="66"/>
      <c r="AR26" s="66"/>
      <c r="AS26" s="66"/>
      <c r="AT26" s="66"/>
      <c r="AU26" s="66"/>
      <c r="AV26" s="66"/>
      <c r="AW26" s="66"/>
      <c r="AX26" s="66"/>
      <c r="AY26" s="66"/>
      <c r="AZ26" s="68"/>
    </row>
    <row r="27" spans="1:53" s="3" customFormat="1">
      <c r="A27" s="652" t="s">
        <v>98</v>
      </c>
      <c r="B27" s="646" t="s">
        <v>463</v>
      </c>
      <c r="C27" s="635">
        <v>838.58267716535443</v>
      </c>
      <c r="D27" s="18"/>
      <c r="E27" s="621">
        <v>22.63</v>
      </c>
      <c r="F27" s="621">
        <v>0</v>
      </c>
      <c r="G27" s="622">
        <v>1503.71</v>
      </c>
      <c r="H27" s="622">
        <v>0</v>
      </c>
      <c r="I27" s="622">
        <v>794.79</v>
      </c>
      <c r="J27" s="622">
        <v>44.57</v>
      </c>
      <c r="K27" s="621">
        <v>40</v>
      </c>
      <c r="L27" s="622">
        <v>43.4</v>
      </c>
      <c r="M27" s="622">
        <v>924.3</v>
      </c>
      <c r="N27" s="305">
        <v>0</v>
      </c>
      <c r="O27" s="305">
        <v>0</v>
      </c>
      <c r="P27" s="622">
        <v>120.32</v>
      </c>
      <c r="Q27" s="622">
        <v>114.96</v>
      </c>
      <c r="R27" s="69"/>
      <c r="S27" s="21"/>
      <c r="T27" s="489">
        <f>SUM(E27:G27,I27:N27,P27)</f>
        <v>3493.7200000000007</v>
      </c>
      <c r="U27" s="489" t="e">
        <f>T27+IF($B$2="mil",1,0.0254)*$C27</f>
        <v>#REF!</v>
      </c>
      <c r="V27" s="489" t="e">
        <f>MAX(V$25:W$25)+IF($B$2="mil",1,0.0254)*DDR2Specs!$E$2</f>
        <v>#REF!</v>
      </c>
      <c r="W27" s="489" t="e">
        <f>MIN(V$25:W$25)+IF($B$2="mil",1,0.0254)*DDR2Specs!$F$2</f>
        <v>#REF!</v>
      </c>
      <c r="X27" s="21"/>
      <c r="Y27" s="598" t="e">
        <f>IF($U27&lt;$V27,$V27-$U27,"Pass")</f>
        <v>#REF!</v>
      </c>
      <c r="Z27" s="495" t="e">
        <f>IF($U27&gt;$W27,$U27-$W27,"Pass")</f>
        <v>#REF!</v>
      </c>
      <c r="AA27" s="21"/>
      <c r="AB27" s="489">
        <f>SUM(E27:G27,I27:M27,O27,Q27)</f>
        <v>3488.3600000000006</v>
      </c>
      <c r="AC27" s="489" t="e">
        <f>AB27+IF($B$2="mil",1,0.0254)*$C27</f>
        <v>#REF!</v>
      </c>
      <c r="AD27" s="489" t="e">
        <f>MAX(AD$25:AE$25)+IF($B$2="mil",1,0.0254)*DDR2Specs!$E$2</f>
        <v>#REF!</v>
      </c>
      <c r="AE27" s="489" t="e">
        <f>MIN(AD$25:AE$25)+IF($B$2="mil",1,0.0254)*DDR2Specs!$F$2</f>
        <v>#REF!</v>
      </c>
      <c r="AF27" s="21"/>
      <c r="AG27" s="598" t="e">
        <f>IF($AC27&lt;$AD27,$AD27-$AC27,"Pass")</f>
        <v>#REF!</v>
      </c>
      <c r="AH27" s="495" t="e">
        <f>IF($AC27&gt;$AE27,$AC27-$AE27,"Pass")</f>
        <v>#REF!</v>
      </c>
      <c r="AI27" s="21"/>
      <c r="AJ27" s="495" t="e">
        <f>IF((ABS($U27-$U28)&lt;=IF($B$2="mil",1,0.0254)*5),"Pass",ABS($U27-$U28))</f>
        <v>#REF!</v>
      </c>
      <c r="AK27" s="495" t="e">
        <f>IF((ABS($AC27-$AC28)&lt;=IF($B$2="mil",1,0.0254)*10),"Pass",ABS($AC27-$AC28))</f>
        <v>#REF!</v>
      </c>
      <c r="AL27" s="495" t="e">
        <f>IF($E27&lt;=IF($B$2="mil",1,0.0254)*50,"Pass",IF($B$2="mil",1,0.0254)*50-$E27)</f>
        <v>#REF!</v>
      </c>
      <c r="AM27" s="495" t="e">
        <f>IF($F27&lt;=IF($B$2="mil",1,0.0254)*500,"Pass",IF($B$2="mil",1,0.0254)*500-$F27)</f>
        <v>#REF!</v>
      </c>
      <c r="AN27" s="495" t="e">
        <f>IF($H27&lt;=IF($B$2="mil",1,0.0254)*0,"Pass",IF($B$2="mil",1,0.0254)*0-$H27)</f>
        <v>#REF!</v>
      </c>
      <c r="AO27" s="495" t="e">
        <f>IF(($G27+$I27)&lt;=IF($B$2="mil",1,0.0254)*2750,"Pass",IF($B$2="mil",1,0.0254)*2750-($G27+I27))</f>
        <v>#REF!</v>
      </c>
      <c r="AP27" s="495" t="e">
        <f>IF($J27&lt;=IF($B$2="mil",1,0.0254)*125,"Pass",IF($B$2="mil",1,0.0254)*125-$J27)</f>
        <v>#REF!</v>
      </c>
      <c r="AQ27" s="495" t="e">
        <f>IF($L27&lt;=IF($B$2="mil",1,0.0254)*125,"Pass",IF($B$2="mil",1,0.0254)*125-$L27)</f>
        <v>#REF!</v>
      </c>
      <c r="AR27" s="495" t="e">
        <f>IF(($L27+$M27)&lt;=IF($B$2="mil",1,0.0254)*1350,"Pass",IF($B$2="mil",1,0.0254)*1350-($L27+M27))</f>
        <v>#REF!</v>
      </c>
      <c r="AS27" s="495" t="e">
        <f>IF($N27&lt;=IF($B$2="mil",1,0.0254)*650,"Pass",IF($B$2="mil",1,0.0254)*650-$N27)</f>
        <v>#REF!</v>
      </c>
      <c r="AT27" s="495" t="e">
        <f>IF($O27&lt;=IF($B$2="mil",1,0.0254)*650,"Pass",IF($B$2="mil",1,0.0254)*650-$O27)</f>
        <v>#REF!</v>
      </c>
      <c r="AU27" s="493" t="e">
        <f>IF(MAX(N27:O27)-MIN(N27:O27)&lt;=IF($B$2="mil",1,0.0254)*50,"Pass",MAX(N27:O27)-MIN(N27:O27)-IF($B$2="mil",1,0.0254)*50)</f>
        <v>#REF!</v>
      </c>
      <c r="AV27" s="495" t="e">
        <f ca="1">CheckLength2(IF($B$2="mil",1,0.0254)*800,N27,P27,0)</f>
        <v>#NAME?</v>
      </c>
      <c r="AW27" s="495" t="e">
        <f ca="1">CheckLength2(800,$O27,Q27,0)</f>
        <v>#NAME?</v>
      </c>
      <c r="AX27" s="495" t="e">
        <f>IF(AND($T27&gt;=IF($B$2="mil",1,0.0254)*500, $T27&lt;=IF($B$2="mil",1,0.0254)*5500),"Pass",IF($B$2="mil",1,0.0254)*5500-$T27)</f>
        <v>#REF!</v>
      </c>
      <c r="AY27" s="495" t="e">
        <f>IF(AND($U27&gt;=IF($B$2="mil",1,0.0254)*500, $U27&lt;=IF($B$2="mil",1,0.0254)*6000),"Pass",IF($B$2="mil",1,0.0254)*6000-$U27)</f>
        <v>#REF!</v>
      </c>
      <c r="AZ27" s="21"/>
      <c r="BA27" s="3" t="e">
        <f ca="1">IF(AND(AL27="Pass",AN27="Pass",AM27="Pass",AW27="Pass",AR27="Pass",AS27="Pass",AT27="Pass",AU27="Pass",AV27="Pass",AQ27="Pass",AP27="Pass",AO27="Pass",AG27="Pass",AH27="Pass",AJ27="Pass",AK27="Pass",AX27="Pass",AY27="Pass",Y27="Pass",Z27="Pass"),"Pass","Fail")</f>
        <v>#REF!</v>
      </c>
    </row>
    <row r="28" spans="1:53" s="3" customFormat="1">
      <c r="A28" s="652" t="s">
        <v>99</v>
      </c>
      <c r="B28" s="646" t="s">
        <v>470</v>
      </c>
      <c r="C28" s="635">
        <v>838.58267716535443</v>
      </c>
      <c r="D28" s="18"/>
      <c r="E28" s="621">
        <v>22.63</v>
      </c>
      <c r="F28" s="621">
        <v>0</v>
      </c>
      <c r="G28" s="622">
        <v>1502.26</v>
      </c>
      <c r="H28" s="622">
        <v>0</v>
      </c>
      <c r="I28" s="622">
        <v>788.93</v>
      </c>
      <c r="J28" s="622">
        <v>85.78</v>
      </c>
      <c r="K28" s="621">
        <v>40</v>
      </c>
      <c r="L28" s="622">
        <v>44.57</v>
      </c>
      <c r="M28" s="622">
        <v>882.34</v>
      </c>
      <c r="N28" s="305">
        <v>0</v>
      </c>
      <c r="O28" s="305">
        <v>0</v>
      </c>
      <c r="P28" s="622">
        <v>129.34</v>
      </c>
      <c r="Q28" s="622">
        <v>129.84</v>
      </c>
      <c r="R28" s="69"/>
      <c r="S28" s="21"/>
      <c r="T28" s="489">
        <f>SUM(E28:G28,I28:N28,P28)</f>
        <v>3495.8500000000008</v>
      </c>
      <c r="U28" s="489" t="e">
        <f>T28+IF($B$2="mil",1,0.0254)*$C28</f>
        <v>#REF!</v>
      </c>
      <c r="V28" s="489" t="e">
        <f>MAX(V$25:W$25)+IF($B$2="mil",1,0.0254)*DDR2Specs!$E$2</f>
        <v>#REF!</v>
      </c>
      <c r="W28" s="489" t="e">
        <f>MIN(V$25:W$25)+IF($B$2="mil",1,0.0254)*DDR2Specs!$F$2</f>
        <v>#REF!</v>
      </c>
      <c r="X28" s="21"/>
      <c r="Y28" s="598" t="e">
        <f>IF($U28&lt;$V28,$V28-$U28,"Pass")</f>
        <v>#REF!</v>
      </c>
      <c r="Z28" s="495" t="e">
        <f>IF($U28&gt;$W28,$U28-$W28,"Pass")</f>
        <v>#REF!</v>
      </c>
      <c r="AA28" s="21"/>
      <c r="AB28" s="489">
        <f>SUM(E28:G28,I28:M28,O28,Q28)</f>
        <v>3496.3500000000008</v>
      </c>
      <c r="AC28" s="489" t="e">
        <f>AB28+IF($B$2="mil",1,0.0254)*$C28</f>
        <v>#REF!</v>
      </c>
      <c r="AD28" s="489" t="e">
        <f>MAX(AD$25:AE$25)+IF($B$2="mil",1,0.0254)*DDR2Specs!$E$2</f>
        <v>#REF!</v>
      </c>
      <c r="AE28" s="489" t="e">
        <f>MIN(AD$25:AE$25)+IF($B$2="mil",1,0.0254)*DDR2Specs!$F$2</f>
        <v>#REF!</v>
      </c>
      <c r="AF28" s="21"/>
      <c r="AG28" s="598" t="e">
        <f>IF($AC28&lt;$AD28,$AD28-$AC28,"Pass")</f>
        <v>#REF!</v>
      </c>
      <c r="AH28" s="495" t="e">
        <f>IF($AC28&gt;$AE28,$AC28-$AE28,"Pass")</f>
        <v>#REF!</v>
      </c>
      <c r="AI28" s="21"/>
      <c r="AJ28" s="495" t="e">
        <f>IF((ABS($U28-$U27)&lt;=IF($B$2="mil",1,0.0254)*5),"Pass",ABS($U28-$U27))</f>
        <v>#REF!</v>
      </c>
      <c r="AK28" s="495" t="e">
        <f>IF((ABS($AC28-$AC27)&lt;=IF($B$2="mil",1,0.0254)*10),"Pass",ABS($AC28-$AC27))</f>
        <v>#REF!</v>
      </c>
      <c r="AL28" s="495" t="e">
        <f>IF($E28&lt;=IF($B$2="mil",1,0.0254)*50,"Pass",IF($B$2="mil",1,0.0254)*50-$E28)</f>
        <v>#REF!</v>
      </c>
      <c r="AM28" s="495" t="e">
        <f>IF($F28&lt;=IF($B$2="mil",1,0.0254)*500,"Pass",IF($B$2="mil",1,0.0254)*500-$F28)</f>
        <v>#REF!</v>
      </c>
      <c r="AN28" s="495" t="e">
        <f>IF($H28&lt;=IF($B$2="mil",1,0.0254)*0,"Pass",IF($B$2="mil",1,0.0254)*0-$H28)</f>
        <v>#REF!</v>
      </c>
      <c r="AO28" s="495" t="e">
        <f>IF(($G28+$I28)&lt;=IF($B$2="mil",1,0.0254)*2750,"Pass",IF($B$2="mil",1,0.0254)*2750-($G28+I28))</f>
        <v>#REF!</v>
      </c>
      <c r="AP28" s="495" t="e">
        <f>IF($J28&lt;=IF($B$2="mil",1,0.0254)*125,"Pass",IF($B$2="mil",1,0.0254)*125-$J28)</f>
        <v>#REF!</v>
      </c>
      <c r="AQ28" s="495" t="e">
        <f>IF($L28&lt;=IF($B$2="mil",1,0.0254)*125,"Pass",IF($B$2="mil",1,0.0254)*125-$L28)</f>
        <v>#REF!</v>
      </c>
      <c r="AR28" s="495" t="e">
        <f>IF(($L28+$M28)&lt;=IF($B$2="mil",1,0.0254)*1350,"Pass",IF($B$2="mil",1,0.0254)*1350-($L28+M28))</f>
        <v>#REF!</v>
      </c>
      <c r="AS28" s="495" t="e">
        <f>IF($N28&lt;=IF($B$2="mil",1,0.0254)*650,"Pass",IF($B$2="mil",1,0.0254)*650-$N28)</f>
        <v>#REF!</v>
      </c>
      <c r="AT28" s="495" t="e">
        <f>IF($O28&lt;=IF($B$2="mil",1,0.0254)*650,"Pass",IF($B$2="mil",1,0.0254)*650-$O28)</f>
        <v>#REF!</v>
      </c>
      <c r="AU28" s="493" t="e">
        <f>IF(MAX(N28:O28)-MIN(N28:O28)&lt;=IF($B$2="mil",1,0.0254)*50,"Pass",MAX(N28:O28)-MIN(N28:O28)-IF($B$2="mil",1,0.0254)*50)</f>
        <v>#REF!</v>
      </c>
      <c r="AV28" s="495" t="e">
        <f ca="1">CheckLength2(IF($B$2="mil",1,0.0254)*800,N28,P28,0)</f>
        <v>#NAME?</v>
      </c>
      <c r="AW28" s="495" t="e">
        <f ca="1">CheckLength2(800,$O28,Q28,0)</f>
        <v>#NAME?</v>
      </c>
      <c r="AX28" s="495" t="e">
        <f>IF(AND($T28&gt;=IF($B$2="mil",1,0.0254)*500, $T28&lt;=IF($B$2="mil",1,0.0254)*5500),"Pass",IF($B$2="mil",1,0.0254)*5500-$T28)</f>
        <v>#REF!</v>
      </c>
      <c r="AY28" s="495" t="e">
        <f>IF(AND($U28&gt;=IF($B$2="mil",1,0.0254)*500, $U28&lt;=IF($B$2="mil",1,0.0254)*6000),"Pass",IF($B$2="mil",1,0.0254)*6000-$U28)</f>
        <v>#REF!</v>
      </c>
      <c r="AZ28" s="21"/>
      <c r="BA28" s="3" t="e">
        <f ca="1">IF(AND(AL28="Pass",AN28="Pass",AM28="Pass",AW28="Pass",AR28="Pass",AS28="Pass",AT28="Pass",AU28="Pass",AV28="Pass",AQ28="Pass",AP28="Pass",AO28="Pass",AG28="Pass",AH28="Pass",AJ28="Pass",AK28="Pass",AX28="Pass",AY28="Pass",Y28="Pass",Z28="Pass"),"Pass","Fail")</f>
        <v>#REF!</v>
      </c>
    </row>
    <row r="29" spans="1:53" s="3" customFormat="1">
      <c r="A29" s="8" t="s">
        <v>249</v>
      </c>
      <c r="B29" s="631"/>
      <c r="C29" s="632"/>
      <c r="D29" s="10"/>
      <c r="E29" s="288"/>
      <c r="F29" s="288"/>
      <c r="G29" s="288"/>
      <c r="H29" s="288"/>
      <c r="I29" s="288"/>
      <c r="J29" s="292"/>
      <c r="K29" s="10"/>
      <c r="L29" s="292"/>
      <c r="M29" s="292"/>
      <c r="N29" s="292"/>
      <c r="O29" s="292"/>
      <c r="P29" s="292"/>
      <c r="Q29" s="292"/>
      <c r="R29" s="10"/>
      <c r="S29" s="10"/>
      <c r="T29" s="9"/>
      <c r="U29" s="51"/>
      <c r="V29" s="10"/>
      <c r="W29" s="15"/>
      <c r="X29" s="10"/>
      <c r="Y29" s="15"/>
      <c r="Z29" s="15"/>
      <c r="AA29" s="10"/>
      <c r="AB29" s="9"/>
      <c r="AC29" s="51"/>
      <c r="AD29" s="10"/>
      <c r="AE29" s="15"/>
      <c r="AF29" s="10"/>
      <c r="AG29" s="15"/>
      <c r="AH29" s="15"/>
      <c r="AI29" s="10"/>
      <c r="AJ29" s="15"/>
      <c r="AK29" s="15"/>
      <c r="AL29" s="15"/>
      <c r="AM29" s="15"/>
      <c r="AN29" s="15"/>
      <c r="AO29" s="10"/>
      <c r="AP29" s="10"/>
      <c r="AQ29" s="10"/>
      <c r="AR29" s="10"/>
      <c r="AS29" s="10"/>
      <c r="AT29" s="10"/>
      <c r="AU29" s="10"/>
      <c r="AV29" s="10"/>
      <c r="AW29" s="10"/>
      <c r="AX29" s="10"/>
      <c r="AY29" s="10"/>
      <c r="AZ29" s="12"/>
    </row>
    <row r="30" spans="1:53" s="3" customFormat="1">
      <c r="A30" s="653" t="s">
        <v>24</v>
      </c>
      <c r="B30" s="654"/>
      <c r="C30" s="648"/>
      <c r="D30" s="53"/>
      <c r="E30" s="289"/>
      <c r="F30" s="289"/>
      <c r="G30" s="289"/>
      <c r="H30" s="289"/>
      <c r="I30" s="289"/>
      <c r="J30" s="293"/>
      <c r="K30" s="52"/>
      <c r="L30" s="293"/>
      <c r="M30" s="293"/>
      <c r="N30" s="293"/>
      <c r="O30" s="293"/>
      <c r="P30" s="293"/>
      <c r="Q30" s="293"/>
      <c r="R30" s="52"/>
      <c r="S30" s="540"/>
      <c r="T30" s="81"/>
      <c r="U30" s="540" t="s">
        <v>226</v>
      </c>
      <c r="V30" s="542" t="e">
        <f>MIN('DDR2 Clocks - 4L'!$O$13:$O$14)</f>
        <v>#REF!</v>
      </c>
      <c r="W30" s="541" t="e">
        <f>MAX('DDR2 Clocks - 4L'!$O$13:$O$14)</f>
        <v>#REF!</v>
      </c>
      <c r="X30" s="65"/>
      <c r="Y30" s="65"/>
      <c r="Z30" s="65"/>
      <c r="AA30" s="540"/>
      <c r="AB30" s="81"/>
      <c r="AC30" s="540" t="s">
        <v>286</v>
      </c>
      <c r="AD30" s="542" t="e">
        <f>MIN('DDR2 Clocks - 4L'!$O$15:$O$16)</f>
        <v>#REF!</v>
      </c>
      <c r="AE30" s="541" t="e">
        <f>MAX('DDR2 Clocks - 4L'!$O$15:$O$16)</f>
        <v>#REF!</v>
      </c>
      <c r="AF30" s="65"/>
      <c r="AG30" s="65"/>
      <c r="AH30" s="65"/>
      <c r="AI30" s="540"/>
      <c r="AJ30" s="65"/>
      <c r="AK30" s="65"/>
      <c r="AL30" s="65"/>
      <c r="AM30" s="52"/>
      <c r="AN30" s="52"/>
      <c r="AO30" s="52"/>
      <c r="AP30" s="52"/>
      <c r="AQ30" s="52"/>
      <c r="AR30" s="52"/>
      <c r="AS30" s="52"/>
      <c r="AT30" s="52"/>
      <c r="AU30" s="52"/>
      <c r="AV30" s="52"/>
      <c r="AW30" s="52"/>
      <c r="AX30" s="52"/>
      <c r="AY30" s="52"/>
      <c r="AZ30" s="58"/>
    </row>
    <row r="31" spans="1:53" s="3" customFormat="1">
      <c r="A31" s="8" t="s">
        <v>250</v>
      </c>
      <c r="B31" s="655"/>
      <c r="C31" s="649"/>
      <c r="D31" s="62"/>
      <c r="E31" s="290"/>
      <c r="F31" s="290"/>
      <c r="G31" s="290"/>
      <c r="H31" s="290"/>
      <c r="I31" s="290"/>
      <c r="J31" s="294"/>
      <c r="K31" s="54"/>
      <c r="L31" s="294"/>
      <c r="M31" s="294"/>
      <c r="N31" s="294"/>
      <c r="O31" s="294"/>
      <c r="P31" s="294"/>
      <c r="Q31" s="294"/>
      <c r="R31" s="54"/>
      <c r="S31" s="66"/>
      <c r="T31" s="54"/>
      <c r="U31" s="54"/>
      <c r="V31" s="66"/>
      <c r="W31" s="67"/>
      <c r="X31" s="66"/>
      <c r="Y31" s="54"/>
      <c r="Z31" s="54"/>
      <c r="AA31" s="66"/>
      <c r="AB31" s="54"/>
      <c r="AC31" s="54"/>
      <c r="AD31" s="66"/>
      <c r="AE31" s="67"/>
      <c r="AF31" s="66"/>
      <c r="AG31" s="54"/>
      <c r="AH31" s="54"/>
      <c r="AI31" s="66"/>
      <c r="AJ31" s="54"/>
      <c r="AK31" s="54"/>
      <c r="AL31" s="54"/>
      <c r="AM31" s="66"/>
      <c r="AN31" s="66"/>
      <c r="AO31" s="66"/>
      <c r="AP31" s="66"/>
      <c r="AQ31" s="66"/>
      <c r="AR31" s="66"/>
      <c r="AS31" s="66"/>
      <c r="AT31" s="66"/>
      <c r="AU31" s="66"/>
      <c r="AV31" s="66"/>
      <c r="AW31" s="66"/>
      <c r="AX31" s="66"/>
      <c r="AY31" s="66"/>
      <c r="AZ31" s="68"/>
    </row>
    <row r="32" spans="1:53" s="3" customFormat="1">
      <c r="A32" s="652" t="s">
        <v>100</v>
      </c>
      <c r="B32" s="646" t="s">
        <v>464</v>
      </c>
      <c r="C32" s="635">
        <v>583.81889763779532</v>
      </c>
      <c r="D32" s="18"/>
      <c r="E32" s="621">
        <v>22.63</v>
      </c>
      <c r="F32" s="621">
        <v>0</v>
      </c>
      <c r="G32" s="622">
        <v>1503.71</v>
      </c>
      <c r="H32" s="622">
        <v>0</v>
      </c>
      <c r="I32" s="622">
        <v>794.79</v>
      </c>
      <c r="J32" s="622">
        <v>44.57</v>
      </c>
      <c r="K32" s="621">
        <v>40</v>
      </c>
      <c r="L32" s="622">
        <v>120</v>
      </c>
      <c r="M32" s="622">
        <v>924.3</v>
      </c>
      <c r="N32" s="305">
        <v>200</v>
      </c>
      <c r="O32" s="305">
        <v>175</v>
      </c>
      <c r="P32" s="622">
        <v>111.16</v>
      </c>
      <c r="Q32" s="622">
        <v>150</v>
      </c>
      <c r="R32" s="69"/>
      <c r="S32" s="21"/>
      <c r="T32" s="489">
        <f>SUM(E32:G32,I32:N32,P32)</f>
        <v>3761.16</v>
      </c>
      <c r="U32" s="489" t="e">
        <f>T32+IF($B$2="mil",1,0.0254)*$C32</f>
        <v>#REF!</v>
      </c>
      <c r="V32" s="489" t="e">
        <f>MAX(V$30:W$30)+IF($B$2="mil",1,0.0254)*DDR2Specs!$E$2</f>
        <v>#REF!</v>
      </c>
      <c r="W32" s="489" t="e">
        <f>MIN(V$30:W$30)+IF($B$2="mil",1,0.0254)*DDR2Specs!$F$2</f>
        <v>#REF!</v>
      </c>
      <c r="X32" s="21"/>
      <c r="Y32" s="598" t="e">
        <f>IF($U32&lt;$V32,$V32-$U32,"Pass")</f>
        <v>#REF!</v>
      </c>
      <c r="Z32" s="495" t="e">
        <f>IF($U32&gt;$W32,$U32-$W32,"Pass")</f>
        <v>#REF!</v>
      </c>
      <c r="AA32" s="21"/>
      <c r="AB32" s="489">
        <f>SUM(E32:G32,I32:M32,O32,Q32)</f>
        <v>3775</v>
      </c>
      <c r="AC32" s="489" t="e">
        <f>AB32+IF($B$2="mil",1,0.0254)*$C32</f>
        <v>#REF!</v>
      </c>
      <c r="AD32" s="489" t="e">
        <f>MAX(AD$30:AE$30)+IF($B$2="mil",1,0.0254)*DDR2Specs!$E$2</f>
        <v>#REF!</v>
      </c>
      <c r="AE32" s="489" t="e">
        <f>MIN(AD$30:AE$30)+IF($B$2="mil",1,0.0254)*DDR2Specs!$F$2</f>
        <v>#REF!</v>
      </c>
      <c r="AF32" s="21"/>
      <c r="AG32" s="598" t="e">
        <f>IF($AC32&lt;$AD32,$AD32-$AC32,"Pass")</f>
        <v>#REF!</v>
      </c>
      <c r="AH32" s="495" t="e">
        <f>IF($AC32&gt;$AE32,$AC32-$AE32,"Pass")</f>
        <v>#REF!</v>
      </c>
      <c r="AI32" s="21"/>
      <c r="AJ32" s="495" t="e">
        <f>IF((ABS($U32-$U33)&lt;=IF($B$2="mil",1,0.0254)*5),"Pass",ABS($U32-$U33))</f>
        <v>#REF!</v>
      </c>
      <c r="AK32" s="495" t="e">
        <f>IF((ABS($U32-$U33)&lt;=IF($B$2="mil",1,0.0254)*10),"Pass",ABS($U32-$U33))</f>
        <v>#REF!</v>
      </c>
      <c r="AL32" s="495" t="e">
        <f>IF($E32&lt;=IF($B$2="mil",1,0.0254)*50,"Pass",IF($B$2="mil",1,0.0254)*50-$E32)</f>
        <v>#REF!</v>
      </c>
      <c r="AM32" s="495" t="e">
        <f>IF($F32&lt;=IF($B$2="mil",1,0.0254)*500,"Pass",IF($B$2="mil",1,0.0254)*500-$F32)</f>
        <v>#REF!</v>
      </c>
      <c r="AN32" s="495" t="e">
        <f>IF($H32&lt;=IF($B$2="mil",1,0.0254)*0,"Pass",IF($B$2="mil",1,0.0254)*0-$H32)</f>
        <v>#REF!</v>
      </c>
      <c r="AO32" s="495" t="e">
        <f>IF(($G32+$I32)&lt;=IF($B$2="mil",1,0.0254)*2750,"Pass",IF($B$2="mil",1,0.0254)*2750-($G32+I32))</f>
        <v>#REF!</v>
      </c>
      <c r="AP32" s="495" t="e">
        <f>IF($J32&lt;=IF($B$2="mil",1,0.0254)*125,"Pass",IF($B$2="mil",1,0.0254)*125-$J32)</f>
        <v>#REF!</v>
      </c>
      <c r="AQ32" s="495" t="e">
        <f>IF($L32&lt;=IF($B$2="mil",1,0.0254)*125,"Pass",IF($B$2="mil",1,0.0254)*125-$L32)</f>
        <v>#REF!</v>
      </c>
      <c r="AR32" s="495" t="e">
        <f>IF(($L32+$M32)&lt;=IF($B$2="mil",1,0.0254)*1350,"Pass",IF($B$2="mil",1,0.0254)*1350-($L32+M32))</f>
        <v>#REF!</v>
      </c>
      <c r="AS32" s="495" t="e">
        <f>IF($N32&lt;=IF($B$2="mil",1,0.0254)*650,"Pass",IF($B$2="mil",1,0.0254)*650-$N32)</f>
        <v>#REF!</v>
      </c>
      <c r="AT32" s="495" t="e">
        <f>IF($O32&lt;=IF($B$2="mil",1,0.0254)*650,"Pass",IF($B$2="mil",1,0.0254)*650-$O32)</f>
        <v>#REF!</v>
      </c>
      <c r="AU32" s="493" t="e">
        <f>IF(MAX(N32:O32)-MIN(N32:O32)&lt;=IF($B$2="mil",1,0.0254)*50,"Pass",MAX(N32:O32)-MIN(N32:O32)-IF($B$2="mil",1,0.0254)*50)</f>
        <v>#REF!</v>
      </c>
      <c r="AV32" s="495" t="e">
        <f ca="1">CheckLength2(IF($B$2="mil",1,0.0254)*800,N32,P32,0)</f>
        <v>#NAME?</v>
      </c>
      <c r="AW32" s="495" t="e">
        <f ca="1">CheckLength2(800,$O32,Q32,0)</f>
        <v>#NAME?</v>
      </c>
      <c r="AX32" s="495" t="e">
        <f>IF(AND($T32&gt;=IF($B$2="mil",1,0.0254)*500, $T32&lt;=IF($B$2="mil",1,0.0254)*5500),"Pass",IF($B$2="mil",1,0.0254)*5500-$T32)</f>
        <v>#REF!</v>
      </c>
      <c r="AY32" s="495" t="e">
        <f>IF(AND($U32&gt;=IF($B$2="mil",1,0.0254)*500, $U32&lt;=IF($B$2="mil",1,0.0254)*6000),"Pass",IF($B$2="mil",1,0.0254)*6000-$U32)</f>
        <v>#REF!</v>
      </c>
      <c r="AZ32" s="21"/>
      <c r="BA32" s="3" t="e">
        <f ca="1">IF(AND(AL32="Pass",AN32="Pass",AM32="Pass",AW32="Pass",AR32="Pass",AS32="Pass",AT32="Pass",AU32="Pass",AV32="Pass",AQ32="Pass",AP32="Pass",AO32="Pass",AG32="Pass",AH32="Pass",AJ32="Pass",AK32="Pass",AX32="Pass",AY32="Pass",Y32="Pass",Z32="Pass"),"Pass","Fail")</f>
        <v>#REF!</v>
      </c>
    </row>
    <row r="33" spans="1:63" s="3" customFormat="1">
      <c r="A33" s="652" t="s">
        <v>101</v>
      </c>
      <c r="B33" s="646" t="s">
        <v>471</v>
      </c>
      <c r="C33" s="635">
        <v>583.81889763779532</v>
      </c>
      <c r="D33" s="18"/>
      <c r="E33" s="621">
        <v>22.63</v>
      </c>
      <c r="F33" s="621">
        <v>0</v>
      </c>
      <c r="G33" s="622">
        <v>1502.26</v>
      </c>
      <c r="H33" s="622">
        <v>0</v>
      </c>
      <c r="I33" s="622">
        <v>788.93</v>
      </c>
      <c r="J33" s="622">
        <v>85.78</v>
      </c>
      <c r="K33" s="621">
        <v>40</v>
      </c>
      <c r="L33" s="622">
        <v>120</v>
      </c>
      <c r="M33" s="622">
        <v>882.34</v>
      </c>
      <c r="N33" s="305">
        <v>200</v>
      </c>
      <c r="O33" s="305">
        <v>175</v>
      </c>
      <c r="P33" s="622">
        <v>116.12</v>
      </c>
      <c r="Q33" s="622">
        <v>150</v>
      </c>
      <c r="R33" s="69"/>
      <c r="S33" s="21"/>
      <c r="T33" s="489">
        <f>SUM(E33:G33,I33:N33,P33)</f>
        <v>3758.0600000000004</v>
      </c>
      <c r="U33" s="489" t="e">
        <f>T33+IF($B$2="mil",1,0.0254)*$C33</f>
        <v>#REF!</v>
      </c>
      <c r="V33" s="489" t="e">
        <f>MAX(V$30:W$30)+IF($B$2="mil",1,0.0254)*DDR2Specs!$E$2</f>
        <v>#REF!</v>
      </c>
      <c r="W33" s="489" t="e">
        <f>MIN(V$30:W$30)+IF($B$2="mil",1,0.0254)*DDR2Specs!$F$2</f>
        <v>#REF!</v>
      </c>
      <c r="X33" s="21"/>
      <c r="Y33" s="598" t="e">
        <f>IF($U33&lt;$V33,$V33-$U33,"Pass")</f>
        <v>#REF!</v>
      </c>
      <c r="Z33" s="495" t="e">
        <f>IF($U33&gt;$W33,$U33-$W33,"Pass")</f>
        <v>#REF!</v>
      </c>
      <c r="AA33" s="21"/>
      <c r="AB33" s="489">
        <f>SUM(E33:G33,I33:M33,O33,Q33)</f>
        <v>3766.9400000000005</v>
      </c>
      <c r="AC33" s="489" t="e">
        <f>AB33+IF($B$2="mil",1,0.0254)*$C33</f>
        <v>#REF!</v>
      </c>
      <c r="AD33" s="489" t="e">
        <f>MAX(AD$30:AE$30)+IF($B$2="mil",1,0.0254)*DDR2Specs!$E$2</f>
        <v>#REF!</v>
      </c>
      <c r="AE33" s="489" t="e">
        <f>MIN(AD$30:AE$30)+IF($B$2="mil",1,0.0254)*DDR2Specs!$F$2</f>
        <v>#REF!</v>
      </c>
      <c r="AF33" s="21"/>
      <c r="AG33" s="598" t="e">
        <f>IF($AC33&lt;$AD33,$AD33-$AC33,"Pass")</f>
        <v>#REF!</v>
      </c>
      <c r="AH33" s="495" t="e">
        <f>IF($AC33&gt;$AE33,$AC33-$AE33,"Pass")</f>
        <v>#REF!</v>
      </c>
      <c r="AI33" s="21"/>
      <c r="AJ33" s="495" t="e">
        <f>IF((ABS($U33-$U32)&lt;=IF($B$2="mil",1,0.0254)*5),"Pass",ABS($U33-$U32))</f>
        <v>#REF!</v>
      </c>
      <c r="AK33" s="495" t="e">
        <f>IF((ABS($U33-$U32)&lt;=IF($B$2="mil",1,0.0254)*10),"Pass",ABS($U33-$U32))</f>
        <v>#REF!</v>
      </c>
      <c r="AL33" s="495" t="e">
        <f>IF($E33&lt;=IF($B$2="mil",1,0.0254)*50,"Pass",IF($B$2="mil",1,0.0254)*50-$E33)</f>
        <v>#REF!</v>
      </c>
      <c r="AM33" s="495" t="e">
        <f>IF($F33&lt;=IF($B$2="mil",1,0.0254)*500,"Pass",IF($B$2="mil",1,0.0254)*500-$F33)</f>
        <v>#REF!</v>
      </c>
      <c r="AN33" s="495" t="e">
        <f>IF($H33&lt;=IF($B$2="mil",1,0.0254)*0,"Pass",IF($B$2="mil",1,0.0254)*0-$H33)</f>
        <v>#REF!</v>
      </c>
      <c r="AO33" s="495" t="e">
        <f>IF(($G33+$I33)&lt;=IF($B$2="mil",1,0.0254)*2750,"Pass",IF($B$2="mil",1,0.0254)*2750-($G33+I33))</f>
        <v>#REF!</v>
      </c>
      <c r="AP33" s="495" t="e">
        <f>IF($J33&lt;=IF($B$2="mil",1,0.0254)*125,"Pass",IF($B$2="mil",1,0.0254)*125-$J33)</f>
        <v>#REF!</v>
      </c>
      <c r="AQ33" s="495" t="e">
        <f>IF($L33&lt;=IF($B$2="mil",1,0.0254)*125,"Pass",IF($B$2="mil",1,0.0254)*125-$L33)</f>
        <v>#REF!</v>
      </c>
      <c r="AR33" s="495" t="e">
        <f>IF(($L33+$M33)&lt;=IF($B$2="mil",1,0.0254)*1350,"Pass",IF($B$2="mil",1,0.0254)*1350-($L33+M33))</f>
        <v>#REF!</v>
      </c>
      <c r="AS33" s="495" t="e">
        <f>IF($N33&lt;=IF($B$2="mil",1,0.0254)*650,"Pass",IF($B$2="mil",1,0.0254)*650-$N33)</f>
        <v>#REF!</v>
      </c>
      <c r="AT33" s="495" t="e">
        <f>IF($O33&lt;=IF($B$2="mil",1,0.0254)*650,"Pass",IF($B$2="mil",1,0.0254)*650-$O33)</f>
        <v>#REF!</v>
      </c>
      <c r="AU33" s="493" t="e">
        <f>IF(MAX(N33:O33)-MIN(N33:O33)&lt;=IF($B$2="mil",1,0.0254)*50,"Pass",MAX(N33:O33)-MIN(N33:O33)-IF($B$2="mil",1,0.0254)*50)</f>
        <v>#REF!</v>
      </c>
      <c r="AV33" s="495" t="e">
        <f ca="1">CheckLength2(IF($B$2="mil",1,0.0254)*800,N33,P33,0)</f>
        <v>#NAME?</v>
      </c>
      <c r="AW33" s="495" t="e">
        <f ca="1">CheckLength2(800,$O33,Q33,0)</f>
        <v>#NAME?</v>
      </c>
      <c r="AX33" s="495" t="e">
        <f>IF(AND($T33&gt;=IF($B$2="mil",1,0.0254)*500, $T33&lt;=IF($B$2="mil",1,0.0254)*5500),"Pass",IF($B$2="mil",1,0.0254)*5500-$T33)</f>
        <v>#REF!</v>
      </c>
      <c r="AY33" s="495" t="e">
        <f>IF(AND($U33&gt;=IF($B$2="mil",1,0.0254)*500, $U33&lt;=IF($B$2="mil",1,0.0254)*6000),"Pass",IF($B$2="mil",1,0.0254)*6000-$U33)</f>
        <v>#REF!</v>
      </c>
      <c r="AZ33" s="21"/>
      <c r="BA33" s="3" t="e">
        <f ca="1">IF(AND(AL33="Pass",AN33="Pass",AM33="Pass",AW33="Pass",AR33="Pass",AS33="Pass",AT33="Pass",AU33="Pass",AV33="Pass",AQ33="Pass",AP33="Pass",AO33="Pass",AG33="Pass",AH33="Pass",AJ33="Pass",AK33="Pass",AX33="Pass",AY33="Pass",Y33="Pass",Z33="Pass"),"Pass","Fail")</f>
        <v>#REF!</v>
      </c>
    </row>
    <row r="34" spans="1:63" s="3" customFormat="1">
      <c r="A34" s="8" t="s">
        <v>249</v>
      </c>
      <c r="B34" s="631"/>
      <c r="C34" s="632"/>
      <c r="D34" s="10"/>
      <c r="E34" s="288"/>
      <c r="F34" s="288"/>
      <c r="G34" s="288"/>
      <c r="H34" s="288"/>
      <c r="I34" s="288"/>
      <c r="J34" s="292"/>
      <c r="K34" s="10"/>
      <c r="L34" s="292"/>
      <c r="M34" s="292"/>
      <c r="N34" s="292"/>
      <c r="O34" s="292"/>
      <c r="P34" s="292"/>
      <c r="Q34" s="292"/>
      <c r="R34" s="10"/>
      <c r="S34" s="10"/>
      <c r="T34" s="9"/>
      <c r="U34" s="51"/>
      <c r="V34" s="10"/>
      <c r="W34" s="15"/>
      <c r="X34" s="10"/>
      <c r="Y34" s="15"/>
      <c r="Z34" s="15"/>
      <c r="AA34" s="10"/>
      <c r="AB34" s="9"/>
      <c r="AC34" s="51"/>
      <c r="AD34" s="10"/>
      <c r="AE34" s="15"/>
      <c r="AF34" s="10"/>
      <c r="AG34" s="15"/>
      <c r="AH34" s="15"/>
      <c r="AI34" s="10"/>
      <c r="AJ34" s="15"/>
      <c r="AK34" s="15"/>
      <c r="AL34" s="15"/>
      <c r="AM34" s="15"/>
      <c r="AN34" s="15"/>
      <c r="AO34" s="10"/>
      <c r="AP34" s="10"/>
      <c r="AQ34" s="10"/>
      <c r="AR34" s="10"/>
      <c r="AS34" s="10"/>
      <c r="AT34" s="10"/>
      <c r="AU34" s="10"/>
      <c r="AV34" s="10"/>
      <c r="AW34" s="10"/>
      <c r="AX34" s="10"/>
      <c r="AY34" s="10"/>
      <c r="AZ34" s="12"/>
    </row>
    <row r="35" spans="1:63" s="3" customFormat="1">
      <c r="A35" s="653" t="s">
        <v>24</v>
      </c>
      <c r="B35" s="654"/>
      <c r="C35" s="648"/>
      <c r="D35" s="53"/>
      <c r="E35" s="289"/>
      <c r="F35" s="289"/>
      <c r="G35" s="289"/>
      <c r="H35" s="289"/>
      <c r="I35" s="289"/>
      <c r="J35" s="293"/>
      <c r="K35" s="52"/>
      <c r="L35" s="293"/>
      <c r="M35" s="293"/>
      <c r="N35" s="293"/>
      <c r="O35" s="293"/>
      <c r="P35" s="293"/>
      <c r="Q35" s="293"/>
      <c r="R35" s="52"/>
      <c r="S35" s="540"/>
      <c r="T35" s="81"/>
      <c r="U35" s="540" t="s">
        <v>225</v>
      </c>
      <c r="V35" s="542" t="e">
        <f>MIN('DDR2 Clocks - 4L'!$O$17:$O$18)</f>
        <v>#REF!</v>
      </c>
      <c r="W35" s="541" t="e">
        <f>MAX('DDR2 Clocks - 4L'!$O$17:$O$18)</f>
        <v>#REF!</v>
      </c>
      <c r="X35" s="65"/>
      <c r="Y35" s="65"/>
      <c r="Z35" s="65"/>
      <c r="AA35" s="540"/>
      <c r="AB35" s="81"/>
      <c r="AC35" s="540" t="s">
        <v>287</v>
      </c>
      <c r="AD35" s="542" t="e">
        <f>MIN('DDR2 Clocks - 4L'!$O$19:$O$20)</f>
        <v>#REF!</v>
      </c>
      <c r="AE35" s="541" t="e">
        <f>MAX('DDR2 Clocks - 4L'!$O$19:$O$20)</f>
        <v>#REF!</v>
      </c>
      <c r="AF35" s="65"/>
      <c r="AG35" s="65"/>
      <c r="AH35" s="65"/>
      <c r="AI35" s="540"/>
      <c r="AJ35" s="65"/>
      <c r="AK35" s="65"/>
      <c r="AL35" s="65"/>
      <c r="AM35" s="52"/>
      <c r="AN35" s="52"/>
      <c r="AO35" s="52"/>
      <c r="AP35" s="52"/>
      <c r="AQ35" s="52"/>
      <c r="AR35" s="52"/>
      <c r="AS35" s="52"/>
      <c r="AT35" s="52"/>
      <c r="AU35" s="52"/>
      <c r="AV35" s="52"/>
      <c r="AW35" s="52"/>
      <c r="AX35" s="52"/>
      <c r="AY35" s="52"/>
      <c r="AZ35" s="58"/>
    </row>
    <row r="36" spans="1:63" s="3" customFormat="1">
      <c r="A36" s="8" t="s">
        <v>250</v>
      </c>
      <c r="B36" s="657"/>
      <c r="C36" s="649"/>
      <c r="D36" s="62"/>
      <c r="E36" s="290"/>
      <c r="F36" s="290"/>
      <c r="G36" s="290"/>
      <c r="H36" s="290"/>
      <c r="I36" s="290"/>
      <c r="J36" s="294"/>
      <c r="K36" s="54"/>
      <c r="L36" s="294"/>
      <c r="M36" s="294"/>
      <c r="N36" s="294"/>
      <c r="O36" s="294"/>
      <c r="P36" s="294"/>
      <c r="Q36" s="294"/>
      <c r="R36" s="54"/>
      <c r="S36" s="66"/>
      <c r="T36" s="54"/>
      <c r="U36" s="54"/>
      <c r="V36" s="66"/>
      <c r="W36" s="67"/>
      <c r="X36" s="66"/>
      <c r="Y36" s="54"/>
      <c r="Z36" s="54"/>
      <c r="AA36" s="66"/>
      <c r="AB36" s="54"/>
      <c r="AC36" s="54"/>
      <c r="AD36" s="66"/>
      <c r="AE36" s="67"/>
      <c r="AF36" s="66"/>
      <c r="AG36" s="54"/>
      <c r="AH36" s="54"/>
      <c r="AI36" s="66"/>
      <c r="AJ36" s="54"/>
      <c r="AK36" s="54"/>
      <c r="AL36" s="54"/>
      <c r="AM36" s="66"/>
      <c r="AN36" s="66"/>
      <c r="AO36" s="66"/>
      <c r="AP36" s="66"/>
      <c r="AQ36" s="66"/>
      <c r="AR36" s="66"/>
      <c r="AS36" s="66"/>
      <c r="AT36" s="66"/>
      <c r="AU36" s="66"/>
      <c r="AV36" s="66"/>
      <c r="AW36" s="66"/>
      <c r="AX36" s="66"/>
      <c r="AY36" s="66"/>
      <c r="AZ36" s="68"/>
    </row>
    <row r="37" spans="1:63" s="3" customFormat="1">
      <c r="A37" s="652" t="s">
        <v>102</v>
      </c>
      <c r="B37" s="646" t="s">
        <v>465</v>
      </c>
      <c r="C37" s="635">
        <v>762.24409448818903</v>
      </c>
      <c r="D37" s="18"/>
      <c r="E37" s="621">
        <v>22.63</v>
      </c>
      <c r="F37" s="277">
        <v>0</v>
      </c>
      <c r="G37" s="622">
        <v>1600.88</v>
      </c>
      <c r="H37" s="622">
        <v>0</v>
      </c>
      <c r="I37" s="622">
        <v>804.85</v>
      </c>
      <c r="J37" s="622">
        <v>44.57</v>
      </c>
      <c r="K37" s="621">
        <v>40</v>
      </c>
      <c r="L37" s="622">
        <v>90.75</v>
      </c>
      <c r="M37" s="622">
        <v>1100.57</v>
      </c>
      <c r="N37" s="305">
        <v>0</v>
      </c>
      <c r="O37" s="305">
        <v>0</v>
      </c>
      <c r="P37" s="622">
        <v>95.38</v>
      </c>
      <c r="Q37" s="622">
        <v>94.21</v>
      </c>
      <c r="R37" s="69"/>
      <c r="S37" s="21"/>
      <c r="T37" s="489">
        <f>SUM(E37:G37,I37:N37,P37)</f>
        <v>3799.63</v>
      </c>
      <c r="U37" s="489" t="e">
        <f>T37+IF($B$2="mil",1,0.0254)*$C37</f>
        <v>#REF!</v>
      </c>
      <c r="V37" s="489" t="e">
        <f>MAX(V$35:W$35)+IF($B$2="mil",1,0.0254)*DDR2Specs!$E$2</f>
        <v>#REF!</v>
      </c>
      <c r="W37" s="489" t="e">
        <f>MIN(V$35:W$35)+IF($B$2="mil",1,0.0254)*DDR2Specs!$F$2</f>
        <v>#REF!</v>
      </c>
      <c r="X37" s="21"/>
      <c r="Y37" s="598" t="e">
        <f>IF($U37&lt;$V37,$V37-$U37,"Pass")</f>
        <v>#REF!</v>
      </c>
      <c r="Z37" s="495" t="e">
        <f>IF($U37&gt;$W37,$U37-$W37,"Pass")</f>
        <v>#REF!</v>
      </c>
      <c r="AA37" s="21"/>
      <c r="AB37" s="489">
        <f>SUM(E37:G37,I37:M37,O37,Q37)</f>
        <v>3798.46</v>
      </c>
      <c r="AC37" s="489" t="e">
        <f>AB37+IF($B$2="mil",1,0.0254)*$C37</f>
        <v>#REF!</v>
      </c>
      <c r="AD37" s="489" t="e">
        <f>MAX(AD$35:AE$35)+IF($B$2="mil",1,0.0254)*DDR2Specs!$E$2</f>
        <v>#REF!</v>
      </c>
      <c r="AE37" s="489" t="e">
        <f>MIN(AD$35:AE$35)+IF($B$2="mil",1,0.0254)*DDR2Specs!$F$2</f>
        <v>#REF!</v>
      </c>
      <c r="AF37" s="21"/>
      <c r="AG37" s="598" t="e">
        <f>IF($AC37&lt;$AD37,$AD37-$AC37,"Pass")</f>
        <v>#REF!</v>
      </c>
      <c r="AH37" s="495" t="e">
        <f>IF($AC37&gt;$AE37,$AC37-$AE37,"Pass")</f>
        <v>#REF!</v>
      </c>
      <c r="AI37" s="21"/>
      <c r="AJ37" s="495" t="e">
        <f>IF((ABS($U37-$U38)&lt;=IF($B$2="mil",1,0.0254)*5),"Pass",ABS($U37-$U38))</f>
        <v>#REF!</v>
      </c>
      <c r="AK37" s="495" t="e">
        <f>IF((ABS($AC37-$AC38)&lt;=IF($B$2="mil",1,0.0254)*10),"Pass",ABS($AC37-$AC38))</f>
        <v>#REF!</v>
      </c>
      <c r="AL37" s="495" t="e">
        <f>IF($E37&lt;=IF($B$2="mil",1,0.0254)*50,"Pass",IF($B$2="mil",1,0.0254)*50-$E37)</f>
        <v>#REF!</v>
      </c>
      <c r="AM37" s="495" t="e">
        <f>IF($F37&lt;=IF($B$2="mil",1,0.0254)*500,"Pass",IF($B$2="mil",1,0.0254)*500-$F37)</f>
        <v>#REF!</v>
      </c>
      <c r="AN37" s="495" t="e">
        <f>IF($H37&lt;=IF($B$2="mil",1,0.0254)*0,"Pass",IF($B$2="mil",1,0.0254)*0-$H37)</f>
        <v>#REF!</v>
      </c>
      <c r="AO37" s="495" t="e">
        <f>IF(($G37+$I37)&lt;=IF($B$2="mil",1,0.0254)*2750,"Pass",IF($B$2="mil",1,0.0254)*2750-($G37+I37))</f>
        <v>#REF!</v>
      </c>
      <c r="AP37" s="495" t="e">
        <f>IF($J37&lt;=IF($B$2="mil",1,0.0254)*125,"Pass",IF($B$2="mil",1,0.0254)*125-$J37)</f>
        <v>#REF!</v>
      </c>
      <c r="AQ37" s="495" t="e">
        <f>IF($L37&lt;=IF($B$2="mil",1,0.0254)*125,"Pass",IF($B$2="mil",1,0.0254)*125-$L37)</f>
        <v>#REF!</v>
      </c>
      <c r="AR37" s="495" t="e">
        <f>IF(($L37+$M37)&lt;=IF($B$2="mil",1,0.0254)*1350,"Pass",IF($B$2="mil",1,0.0254)*1350-($L37+M37))</f>
        <v>#REF!</v>
      </c>
      <c r="AS37" s="495" t="e">
        <f>IF($N37&lt;=IF($B$2="mil",1,0.0254)*650,"Pass",IF($B$2="mil",1,0.0254)*650-$N37)</f>
        <v>#REF!</v>
      </c>
      <c r="AT37" s="495" t="e">
        <f>IF($O37&lt;=IF($B$2="mil",1,0.0254)*650,"Pass",IF($B$2="mil",1,0.0254)*650-$O37)</f>
        <v>#REF!</v>
      </c>
      <c r="AU37" s="493" t="e">
        <f>IF(MAX(N37:O37)-MIN(N37:O37)&lt;=IF($B$2="mil",1,0.0254)*50,"Pass",MAX(N37:O37)-MIN(N37:O37)-IF($B$2="mil",1,0.0254)*50)</f>
        <v>#REF!</v>
      </c>
      <c r="AV37" s="495" t="e">
        <f ca="1">CheckLength2(IF($B$2="mil",1,0.0254)*800,N37,P37,0)</f>
        <v>#NAME?</v>
      </c>
      <c r="AW37" s="495" t="e">
        <f ca="1">CheckLength2(800,$O37,Q37,0)</f>
        <v>#NAME?</v>
      </c>
      <c r="AX37" s="495" t="e">
        <f>IF(AND($T37&gt;=IF($B$2="mil",1,0.0254)*500, $T37&lt;=IF($B$2="mil",1,0.0254)*5500),"Pass",IF($B$2="mil",1,0.0254)*5500-$T37)</f>
        <v>#REF!</v>
      </c>
      <c r="AY37" s="495" t="e">
        <f>IF(AND($U37&gt;=IF($B$2="mil",1,0.0254)*500, $U37&lt;=IF($B$2="mil",1,0.0254)*6000),"Pass",IF($B$2="mil",1,0.0254)*6000-$U37)</f>
        <v>#REF!</v>
      </c>
      <c r="AZ37" s="21"/>
      <c r="BA37" s="3" t="e">
        <f ca="1">IF(AND(AL37="Pass",AN37="Pass",AM37="Pass",AW37="Pass",AR37="Pass",AS37="Pass",AT37="Pass",AU37="Pass",AV37="Pass",AQ37="Pass",AP37="Pass",AO37="Pass",AG37="Pass",AH37="Pass",AJ37="Pass",AK37="Pass",AX37="Pass",AY37="Pass",Y37="Pass",Z37="Pass"),"Pass","Fail")</f>
        <v>#REF!</v>
      </c>
    </row>
    <row r="38" spans="1:63" s="3" customFormat="1">
      <c r="A38" s="652" t="s">
        <v>103</v>
      </c>
      <c r="B38" s="646" t="s">
        <v>472</v>
      </c>
      <c r="C38" s="635">
        <v>762.24409448818903</v>
      </c>
      <c r="D38" s="18"/>
      <c r="E38" s="621">
        <v>22.63</v>
      </c>
      <c r="F38" s="277">
        <v>0</v>
      </c>
      <c r="G38" s="622">
        <v>1602.58</v>
      </c>
      <c r="H38" s="622">
        <v>0</v>
      </c>
      <c r="I38" s="622">
        <v>804.93</v>
      </c>
      <c r="J38" s="622">
        <v>43.4</v>
      </c>
      <c r="K38" s="621">
        <v>40</v>
      </c>
      <c r="L38" s="622">
        <v>92.41</v>
      </c>
      <c r="M38" s="622">
        <v>1080.57</v>
      </c>
      <c r="N38" s="305">
        <v>0</v>
      </c>
      <c r="O38" s="305">
        <v>0</v>
      </c>
      <c r="P38" s="622">
        <v>114.95</v>
      </c>
      <c r="Q38" s="622">
        <v>114.36</v>
      </c>
      <c r="R38" s="69"/>
      <c r="S38" s="21"/>
      <c r="T38" s="489">
        <f>SUM(E38:G38,I38:N38,P38)</f>
        <v>3801.4699999999993</v>
      </c>
      <c r="U38" s="489" t="e">
        <f>T38+IF($B$2="mil",1,0.0254)*$C38</f>
        <v>#REF!</v>
      </c>
      <c r="V38" s="489" t="e">
        <f>MAX(V$35:W$35)+IF($B$2="mil",1,0.0254)*DDR2Specs!$E$2</f>
        <v>#REF!</v>
      </c>
      <c r="W38" s="489" t="e">
        <f>MIN(V$35:W$35)+IF($B$2="mil",1,0.0254)*DDR2Specs!$F$2</f>
        <v>#REF!</v>
      </c>
      <c r="X38" s="21"/>
      <c r="Y38" s="598" t="e">
        <f>IF($U38&lt;$V38,$V38-$U38,"Pass")</f>
        <v>#REF!</v>
      </c>
      <c r="Z38" s="495" t="e">
        <f>IF($U38&gt;$W38,$U38-$W38,"Pass")</f>
        <v>#REF!</v>
      </c>
      <c r="AA38" s="21"/>
      <c r="AB38" s="489">
        <f>SUM(E38:G38,I38:M38,O38,Q38)</f>
        <v>3800.8799999999997</v>
      </c>
      <c r="AC38" s="489" t="e">
        <f>AB38+IF($B$2="mil",1,0.0254)*$C38</f>
        <v>#REF!</v>
      </c>
      <c r="AD38" s="489" t="e">
        <f>MAX(AD$35:AE$35)+IF($B$2="mil",1,0.0254)*DDR2Specs!$E$2</f>
        <v>#REF!</v>
      </c>
      <c r="AE38" s="489" t="e">
        <f>MIN(AD$35:AE$35)+IF($B$2="mil",1,0.0254)*DDR2Specs!$F$2</f>
        <v>#REF!</v>
      </c>
      <c r="AF38" s="21"/>
      <c r="AG38" s="598" t="e">
        <f>IF($AC38&lt;$AD38,$AD38-$AC38,"Pass")</f>
        <v>#REF!</v>
      </c>
      <c r="AH38" s="495" t="e">
        <f>IF($AC38&gt;$AE38,$AC38-$AE38,"Pass")</f>
        <v>#REF!</v>
      </c>
      <c r="AI38" s="21"/>
      <c r="AJ38" s="495" t="e">
        <f>IF((ABS($U38-$U37)&lt;=IF($B$2="mil",1,0.0254)*5),"Pass",ABS($U38-$U37))</f>
        <v>#REF!</v>
      </c>
      <c r="AK38" s="495" t="e">
        <f>IF((ABS($AC38-$AC37)&lt;=IF($B$2="mil",1,0.0254)*10),"Pass",ABS($AC38-$AC37))</f>
        <v>#REF!</v>
      </c>
      <c r="AL38" s="495" t="e">
        <f>IF($E38&lt;=IF($B$2="mil",1,0.0254)*50,"Pass",IF($B$2="mil",1,0.0254)*50-$E38)</f>
        <v>#REF!</v>
      </c>
      <c r="AM38" s="495" t="e">
        <f>IF($F38&lt;=IF($B$2="mil",1,0.0254)*500,"Pass",IF($B$2="mil",1,0.0254)*500-$F38)</f>
        <v>#REF!</v>
      </c>
      <c r="AN38" s="495" t="e">
        <f>IF($H38&lt;=IF($B$2="mil",1,0.0254)*0,"Pass",IF($B$2="mil",1,0.0254)*0-$H38)</f>
        <v>#REF!</v>
      </c>
      <c r="AO38" s="495" t="e">
        <f>IF(($G38+$I38)&lt;=IF($B$2="mil",1,0.0254)*2750,"Pass",IF($B$2="mil",1,0.0254)*2750-($G38+I38))</f>
        <v>#REF!</v>
      </c>
      <c r="AP38" s="495" t="e">
        <f>IF($J38&lt;=IF($B$2="mil",1,0.0254)*125,"Pass",IF($B$2="mil",1,0.0254)*125-$J38)</f>
        <v>#REF!</v>
      </c>
      <c r="AQ38" s="495" t="e">
        <f>IF($L38&lt;=IF($B$2="mil",1,0.0254)*125,"Pass",IF($B$2="mil",1,0.0254)*125-$L38)</f>
        <v>#REF!</v>
      </c>
      <c r="AR38" s="495" t="e">
        <f>IF(($L38+$M38)&lt;=IF($B$2="mil",1,0.0254)*1350,"Pass",IF($B$2="mil",1,0.0254)*1350-($L38+M38))</f>
        <v>#REF!</v>
      </c>
      <c r="AS38" s="495" t="e">
        <f>IF($N38&lt;=IF($B$2="mil",1,0.0254)*650,"Pass",IF($B$2="mil",1,0.0254)*650-$N38)</f>
        <v>#REF!</v>
      </c>
      <c r="AT38" s="495" t="e">
        <f>IF($O38&lt;=IF($B$2="mil",1,0.0254)*650,"Pass",IF($B$2="mil",1,0.0254)*650-$O38)</f>
        <v>#REF!</v>
      </c>
      <c r="AU38" s="493" t="e">
        <f>IF(MAX(N38:O38)-MIN(N38:O38)&lt;=IF($B$2="mil",1,0.0254)*50,"Pass",MAX(N38:O38)-MIN(N38:O38)-IF($B$2="mil",1,0.0254)*50)</f>
        <v>#REF!</v>
      </c>
      <c r="AV38" s="495" t="e">
        <f ca="1">CheckLength2(IF($B$2="mil",1,0.0254)*800,N38,P38,0)</f>
        <v>#NAME?</v>
      </c>
      <c r="AW38" s="495" t="e">
        <f ca="1">CheckLength2(800,$O38,Q38,0)</f>
        <v>#NAME?</v>
      </c>
      <c r="AX38" s="495" t="e">
        <f>IF(AND($T38&gt;=IF($B$2="mil",1,0.0254)*500, $T38&lt;=IF($B$2="mil",1,0.0254)*5500),"Pass",IF($B$2="mil",1,0.0254)*5500-$T38)</f>
        <v>#REF!</v>
      </c>
      <c r="AY38" s="495" t="e">
        <f>IF(AND($U38&gt;=IF($B$2="mil",1,0.0254)*500, $U38&lt;=IF($B$2="mil",1,0.0254)*6000),"Pass",IF($B$2="mil",1,0.0254)*6000-$U38)</f>
        <v>#REF!</v>
      </c>
      <c r="AZ38" s="21"/>
      <c r="BA38" s="3" t="e">
        <f ca="1">IF(AND(AL38="Pass",AN38="Pass",AM38="Pass",AW38="Pass",AR38="Pass",AS38="Pass",AT38="Pass",AU38="Pass",AV38="Pass",AQ38="Pass",AP38="Pass",AO38="Pass",AG38="Pass",AH38="Pass",AJ38="Pass",AK38="Pass",AX38="Pass",AY38="Pass",Y38="Pass",Z38="Pass"),"Pass","Fail")</f>
        <v>#REF!</v>
      </c>
    </row>
    <row r="39" spans="1:63" s="3" customFormat="1">
      <c r="A39" s="8" t="s">
        <v>249</v>
      </c>
      <c r="B39" s="631"/>
      <c r="C39" s="632"/>
      <c r="D39" s="10"/>
      <c r="E39" s="288"/>
      <c r="F39" s="288"/>
      <c r="G39" s="288"/>
      <c r="H39" s="288"/>
      <c r="I39" s="288"/>
      <c r="J39" s="292"/>
      <c r="K39" s="10"/>
      <c r="L39" s="292"/>
      <c r="M39" s="292"/>
      <c r="N39" s="292"/>
      <c r="O39" s="292"/>
      <c r="P39" s="292"/>
      <c r="Q39" s="292"/>
      <c r="R39" s="10"/>
      <c r="S39" s="10"/>
      <c r="T39" s="9"/>
      <c r="U39" s="51"/>
      <c r="V39" s="10"/>
      <c r="W39" s="15"/>
      <c r="X39" s="10"/>
      <c r="Y39" s="15"/>
      <c r="Z39" s="15"/>
      <c r="AA39" s="10"/>
      <c r="AB39" s="9"/>
      <c r="AC39" s="51"/>
      <c r="AD39" s="10"/>
      <c r="AE39" s="15"/>
      <c r="AF39" s="10"/>
      <c r="AG39" s="15"/>
      <c r="AH39" s="15"/>
      <c r="AI39" s="10"/>
      <c r="AJ39" s="15"/>
      <c r="AK39" s="15"/>
      <c r="AL39" s="15"/>
      <c r="AM39" s="15"/>
      <c r="AN39" s="15"/>
      <c r="AO39" s="10"/>
      <c r="AP39" s="10"/>
      <c r="AQ39" s="10"/>
      <c r="AR39" s="10"/>
      <c r="AS39" s="10"/>
      <c r="AT39" s="10"/>
      <c r="AU39" s="10"/>
      <c r="AV39" s="10"/>
      <c r="AW39" s="10"/>
      <c r="AX39" s="10"/>
      <c r="AY39" s="10"/>
      <c r="AZ39" s="12"/>
    </row>
    <row r="40" spans="1:63" s="3" customFormat="1">
      <c r="A40" s="653" t="s">
        <v>24</v>
      </c>
      <c r="B40" s="654"/>
      <c r="C40" s="648"/>
      <c r="D40" s="53"/>
      <c r="E40" s="289"/>
      <c r="F40" s="289"/>
      <c r="G40" s="289"/>
      <c r="H40" s="289"/>
      <c r="I40" s="289"/>
      <c r="J40" s="293"/>
      <c r="K40" s="52"/>
      <c r="L40" s="293"/>
      <c r="M40" s="293"/>
      <c r="N40" s="293"/>
      <c r="O40" s="293"/>
      <c r="P40" s="293"/>
      <c r="Q40" s="293"/>
      <c r="R40" s="52"/>
      <c r="S40" s="540"/>
      <c r="T40" s="81"/>
      <c r="U40" s="540" t="s">
        <v>225</v>
      </c>
      <c r="V40" s="542" t="e">
        <f>MIN('DDR2 Clocks - 4L'!$O$17:$O$18)</f>
        <v>#REF!</v>
      </c>
      <c r="W40" s="541" t="e">
        <f>MAX('DDR2 Clocks - 4L'!$O$17:$O$18)</f>
        <v>#REF!</v>
      </c>
      <c r="X40" s="65"/>
      <c r="Y40" s="65"/>
      <c r="Z40" s="65"/>
      <c r="AA40" s="540"/>
      <c r="AB40" s="81"/>
      <c r="AC40" s="540" t="s">
        <v>287</v>
      </c>
      <c r="AD40" s="542" t="e">
        <f>MIN('DDR2 Clocks - 4L'!$O$19:$O$20)</f>
        <v>#REF!</v>
      </c>
      <c r="AE40" s="541" t="e">
        <f>MAX('DDR2 Clocks - 4L'!$O$19:$O$20)</f>
        <v>#REF!</v>
      </c>
      <c r="AF40" s="65"/>
      <c r="AG40" s="65"/>
      <c r="AH40" s="65"/>
      <c r="AI40" s="540"/>
      <c r="AJ40" s="65"/>
      <c r="AK40" s="65"/>
      <c r="AL40" s="65"/>
      <c r="AM40" s="52"/>
      <c r="AN40" s="52"/>
      <c r="AO40" s="52"/>
      <c r="AP40" s="52"/>
      <c r="AQ40" s="52"/>
      <c r="AR40" s="52"/>
      <c r="AS40" s="52"/>
      <c r="AT40" s="52"/>
      <c r="AU40" s="52"/>
      <c r="AV40" s="52"/>
      <c r="AW40" s="52"/>
      <c r="AX40" s="52"/>
      <c r="AY40" s="52"/>
      <c r="AZ40" s="58"/>
    </row>
    <row r="41" spans="1:63" s="3" customFormat="1">
      <c r="A41" s="8" t="s">
        <v>250</v>
      </c>
      <c r="B41" s="655"/>
      <c r="C41" s="649"/>
      <c r="D41" s="62"/>
      <c r="E41" s="290"/>
      <c r="F41" s="290"/>
      <c r="G41" s="290"/>
      <c r="H41" s="290"/>
      <c r="I41" s="290"/>
      <c r="J41" s="294"/>
      <c r="K41" s="54"/>
      <c r="L41" s="294"/>
      <c r="M41" s="294"/>
      <c r="N41" s="294"/>
      <c r="O41" s="294"/>
      <c r="P41" s="294"/>
      <c r="Q41" s="294"/>
      <c r="R41" s="54"/>
      <c r="S41" s="66"/>
      <c r="T41" s="54"/>
      <c r="U41" s="54"/>
      <c r="V41" s="66"/>
      <c r="W41" s="67"/>
      <c r="X41" s="66"/>
      <c r="Y41" s="54"/>
      <c r="Z41" s="54"/>
      <c r="AA41" s="66"/>
      <c r="AB41" s="54"/>
      <c r="AC41" s="54"/>
      <c r="AD41" s="66"/>
      <c r="AE41" s="67"/>
      <c r="AF41" s="66"/>
      <c r="AG41" s="54"/>
      <c r="AH41" s="54"/>
      <c r="AI41" s="66"/>
      <c r="AJ41" s="54"/>
      <c r="AK41" s="54"/>
      <c r="AL41" s="54"/>
      <c r="AM41" s="66"/>
      <c r="AN41" s="66"/>
      <c r="AO41" s="66"/>
      <c r="AP41" s="66"/>
      <c r="AQ41" s="66"/>
      <c r="AR41" s="66"/>
      <c r="AS41" s="66"/>
      <c r="AT41" s="66"/>
      <c r="AU41" s="66"/>
      <c r="AV41" s="66"/>
      <c r="AW41" s="66"/>
      <c r="AX41" s="66"/>
      <c r="AY41" s="66"/>
      <c r="AZ41" s="68"/>
    </row>
    <row r="42" spans="1:63" s="3" customFormat="1">
      <c r="A42" s="652" t="s">
        <v>105</v>
      </c>
      <c r="B42" s="646" t="s">
        <v>466</v>
      </c>
      <c r="C42" s="635">
        <v>624.48818897637796</v>
      </c>
      <c r="D42" s="18"/>
      <c r="E42" s="621">
        <v>22.63</v>
      </c>
      <c r="F42" s="621">
        <v>0</v>
      </c>
      <c r="G42" s="622">
        <v>1400</v>
      </c>
      <c r="H42" s="622">
        <v>0</v>
      </c>
      <c r="I42" s="622">
        <v>794.79</v>
      </c>
      <c r="J42" s="622">
        <v>60</v>
      </c>
      <c r="K42" s="621">
        <v>40</v>
      </c>
      <c r="L42" s="622">
        <v>125</v>
      </c>
      <c r="M42" s="622">
        <v>1000</v>
      </c>
      <c r="N42" s="305">
        <v>200</v>
      </c>
      <c r="O42" s="305">
        <v>150</v>
      </c>
      <c r="P42" s="622">
        <v>63.73</v>
      </c>
      <c r="Q42" s="622">
        <v>126</v>
      </c>
      <c r="R42" s="69"/>
      <c r="S42" s="21"/>
      <c r="T42" s="489">
        <f>SUM(E42:G42,I42:N42,P42)</f>
        <v>3706.15</v>
      </c>
      <c r="U42" s="489" t="e">
        <f>T42+IF($B$2="mil",1,0.0254)*$C42</f>
        <v>#REF!</v>
      </c>
      <c r="V42" s="489" t="e">
        <f>MAX(V$40:W$40)+IF($B$2="mil",1,0.0254)*DDR2Specs!$E$2</f>
        <v>#REF!</v>
      </c>
      <c r="W42" s="489" t="e">
        <f>MIN(V$40:W$40)+IF($B$2="mil",1,0.0254)*DDR2Specs!$F$2</f>
        <v>#REF!</v>
      </c>
      <c r="X42" s="21"/>
      <c r="Y42" s="598" t="e">
        <f>IF($U42&lt;$V42,$V42-$U42,"Pass")</f>
        <v>#REF!</v>
      </c>
      <c r="Z42" s="495" t="e">
        <f>IF($U42&gt;$W42,$U42-$W42,"Pass")</f>
        <v>#REF!</v>
      </c>
      <c r="AA42" s="21"/>
      <c r="AB42" s="489">
        <f>SUM(E42:G42,I42:M42,O42,Q42)</f>
        <v>3718.42</v>
      </c>
      <c r="AC42" s="489" t="e">
        <f>AB42+IF($B$2="mil",1,0.0254)*$C42</f>
        <v>#REF!</v>
      </c>
      <c r="AD42" s="489" t="e">
        <f>MAX(AD$40:AE$40)+IF($B$2="mil",1,0.0254)*DDR2Specs!$E$2</f>
        <v>#REF!</v>
      </c>
      <c r="AE42" s="489" t="e">
        <f>MIN(AD$40:AE$40)+IF($B$2="mil",1,0.0254)*DDR2Specs!$F$2</f>
        <v>#REF!</v>
      </c>
      <c r="AF42" s="21"/>
      <c r="AG42" s="598" t="e">
        <f>IF($AC42&lt;$AD42,$AD42-$AC42,"Pass")</f>
        <v>#REF!</v>
      </c>
      <c r="AH42" s="495" t="e">
        <f>IF($AC42&gt;$AE42,$AC42-$AE42,"Pass")</f>
        <v>#REF!</v>
      </c>
      <c r="AI42" s="21"/>
      <c r="AJ42" s="495" t="e">
        <f>IF((ABS($U42-$U43)&lt;=IF($B$2="mil",1,0.0254)*5),"Pass",ABS($U42-$U43))</f>
        <v>#REF!</v>
      </c>
      <c r="AK42" s="495" t="e">
        <f>IF((ABS($AC42-$AC43)&lt;=IF($B$2="mil",1,0.0254)*10),"Pass",ABS($AC42-$AC43))</f>
        <v>#REF!</v>
      </c>
      <c r="AL42" s="495" t="e">
        <f>IF($E42&lt;=IF($B$2="mil",1,0.0254)*50,"Pass",IF($B$2="mil",1,0.0254)*50-$E42)</f>
        <v>#REF!</v>
      </c>
      <c r="AM42" s="495" t="e">
        <f>IF($F42&lt;=IF($B$2="mil",1,0.0254)*500,"Pass",IF($B$2="mil",1,0.0254)*500-$F42)</f>
        <v>#REF!</v>
      </c>
      <c r="AN42" s="495" t="e">
        <f>IF($H42&lt;=IF($B$2="mil",1,0.0254)*0,"Pass",IF($B$2="mil",1,0.0254)*0-$H42)</f>
        <v>#REF!</v>
      </c>
      <c r="AO42" s="495" t="e">
        <f>IF(($G42+$I42)&lt;=IF($B$2="mil",1,0.0254)*2750,"Pass",IF($B$2="mil",1,0.0254)*2750-($G42+I42))</f>
        <v>#REF!</v>
      </c>
      <c r="AP42" s="495" t="e">
        <f>IF($J42&lt;=IF($B$2="mil",1,0.0254)*125,"Pass",IF($B$2="mil",1,0.0254)*125-$J42)</f>
        <v>#REF!</v>
      </c>
      <c r="AQ42" s="495" t="e">
        <f>IF($L42&lt;=IF($B$2="mil",1,0.0254)*125,"Pass",IF($B$2="mil",1,0.0254)*125-$L42)</f>
        <v>#REF!</v>
      </c>
      <c r="AR42" s="495" t="e">
        <f>IF(($L42+$M42)&lt;=IF($B$2="mil",1,0.0254)*1350,"Pass",IF($B$2="mil",1,0.0254)*1350-($L42+M42))</f>
        <v>#REF!</v>
      </c>
      <c r="AS42" s="495" t="e">
        <f>IF($N42&lt;=IF($B$2="mil",1,0.0254)*650,"Pass",IF($B$2="mil",1,0.0254)*650-$N42)</f>
        <v>#REF!</v>
      </c>
      <c r="AT42" s="495" t="e">
        <f>IF($O42&lt;=IF($B$2="mil",1,0.0254)*650,"Pass",IF($B$2="mil",1,0.0254)*650-$O42)</f>
        <v>#REF!</v>
      </c>
      <c r="AU42" s="493" t="e">
        <f>IF(MAX(N42:O42)-MIN(N42:O42)&lt;=IF($B$2="mil",1,0.0254)*50,"Pass",MAX(N42:O42)-MIN(N42:O42)-IF($B$2="mil",1,0.0254)*50)</f>
        <v>#REF!</v>
      </c>
      <c r="AV42" s="495" t="e">
        <f ca="1">CheckLength2(IF($B$2="mil",1,0.0254)*800,N42,P42,0)</f>
        <v>#NAME?</v>
      </c>
      <c r="AW42" s="495" t="e">
        <f ca="1">CheckLength2(800,$O42,Q42,0)</f>
        <v>#NAME?</v>
      </c>
      <c r="AX42" s="495" t="e">
        <f>IF(AND($T42&gt;=IF($B$2="mil",1,0.0254)*500, $T42&lt;=IF($B$2="mil",1,0.0254)*5500),"Pass",IF($B$2="mil",1,0.0254)*5500-$T42)</f>
        <v>#REF!</v>
      </c>
      <c r="AY42" s="495" t="e">
        <f>IF(AND($U42&gt;=IF($B$2="mil",1,0.0254)*500, $U42&lt;=IF($B$2="mil",1,0.0254)*6000),"Pass",IF($B$2="mil",1,0.0254)*6000-$U42)</f>
        <v>#REF!</v>
      </c>
      <c r="AZ42" s="21"/>
      <c r="BA42" s="3" t="e">
        <f ca="1">IF(AND(AL42="Pass",AN42="Pass",AM42="Pass",AW42="Pass",AR42="Pass",AS42="Pass",AT42="Pass",AU42="Pass",AV42="Pass",AQ42="Pass",AP42="Pass",AO42="Pass",AG42="Pass",AH42="Pass",AJ42="Pass",AK42="Pass",AX42="Pass",AY42="Pass",Y42="Pass",Z42="Pass"),"Pass","Fail")</f>
        <v>#REF!</v>
      </c>
    </row>
    <row r="43" spans="1:63" s="3" customFormat="1">
      <c r="A43" s="652" t="s">
        <v>106</v>
      </c>
      <c r="B43" s="646" t="s">
        <v>473</v>
      </c>
      <c r="C43" s="635">
        <v>624.48818897637796</v>
      </c>
      <c r="D43" s="18"/>
      <c r="E43" s="621">
        <v>22.63</v>
      </c>
      <c r="F43" s="621">
        <v>0</v>
      </c>
      <c r="G43" s="622">
        <v>1430</v>
      </c>
      <c r="H43" s="622">
        <v>0</v>
      </c>
      <c r="I43" s="622">
        <v>788.93</v>
      </c>
      <c r="J43" s="622">
        <v>100</v>
      </c>
      <c r="K43" s="621">
        <v>40</v>
      </c>
      <c r="L43" s="622">
        <v>92.41</v>
      </c>
      <c r="M43" s="622">
        <v>920</v>
      </c>
      <c r="N43" s="305">
        <v>200</v>
      </c>
      <c r="O43" s="305">
        <v>175</v>
      </c>
      <c r="P43" s="622">
        <v>109.41</v>
      </c>
      <c r="Q43" s="622">
        <v>150</v>
      </c>
      <c r="R43" s="69"/>
      <c r="S43" s="21"/>
      <c r="T43" s="489">
        <f>SUM(E43:G43,I43:N43,P43)</f>
        <v>3703.3799999999997</v>
      </c>
      <c r="U43" s="489" t="e">
        <f>T43+IF($B$2="mil",1,0.0254)*$C43</f>
        <v>#REF!</v>
      </c>
      <c r="V43" s="489" t="e">
        <f>MAX(V$40:W$40)+IF($B$2="mil",1,0.0254)*DDR2Specs!$E$2</f>
        <v>#REF!</v>
      </c>
      <c r="W43" s="489" t="e">
        <f>MIN(V$40:W$40)+IF($B$2="mil",1,0.0254)*DDR2Specs!$F$2</f>
        <v>#REF!</v>
      </c>
      <c r="X43" s="21"/>
      <c r="Y43" s="598" t="e">
        <f>IF($U43&lt;$V43,$V43-$U43,"Pass")</f>
        <v>#REF!</v>
      </c>
      <c r="Z43" s="495" t="e">
        <f>IF($U43&gt;$W43,$U43-$W43,"Pass")</f>
        <v>#REF!</v>
      </c>
      <c r="AA43" s="21"/>
      <c r="AB43" s="489">
        <f>SUM(E43:G43,I43:M43,O43,Q43)</f>
        <v>3718.97</v>
      </c>
      <c r="AC43" s="489" t="e">
        <f>AB43+IF($B$2="mil",1,0.0254)*$C43</f>
        <v>#REF!</v>
      </c>
      <c r="AD43" s="489" t="e">
        <f>MAX(AD$40:AE$40)+IF($B$2="mil",1,0.0254)*DDR2Specs!$E$2</f>
        <v>#REF!</v>
      </c>
      <c r="AE43" s="489" t="e">
        <f>MIN(AD$40:AE$40)+IF($B$2="mil",1,0.0254)*DDR2Specs!$F$2</f>
        <v>#REF!</v>
      </c>
      <c r="AF43" s="21"/>
      <c r="AG43" s="598" t="e">
        <f>IF($AC43&lt;$AD43,$AD43-$AC43,"Pass")</f>
        <v>#REF!</v>
      </c>
      <c r="AH43" s="495" t="e">
        <f>IF($AC43&gt;$AE43,$AC43-$AE43,"Pass")</f>
        <v>#REF!</v>
      </c>
      <c r="AI43" s="21"/>
      <c r="AJ43" s="495" t="e">
        <f>IF((ABS($U43-$U42)&lt;=IF($B$2="mil",1,0.0254)*5),"Pass",ABS($U43-$U42))</f>
        <v>#REF!</v>
      </c>
      <c r="AK43" s="495" t="e">
        <f>IF((ABS($AC43-$AC42)&lt;=IF($B$2="mil",1,0.0254)*10),"Pass",ABS($AC43-$AC42))</f>
        <v>#REF!</v>
      </c>
      <c r="AL43" s="495" t="e">
        <f>IF($E43&lt;=IF($B$2="mil",1,0.0254)*50,"Pass",IF($B$2="mil",1,0.0254)*50-$E43)</f>
        <v>#REF!</v>
      </c>
      <c r="AM43" s="495" t="e">
        <f>IF($F43&lt;=IF($B$2="mil",1,0.0254)*500,"Pass",IF($B$2="mil",1,0.0254)*500-$F43)</f>
        <v>#REF!</v>
      </c>
      <c r="AN43" s="495" t="e">
        <f>IF($H43&lt;=IF($B$2="mil",1,0.0254)*0,"Pass",IF($B$2="mil",1,0.0254)*0-$H43)</f>
        <v>#REF!</v>
      </c>
      <c r="AO43" s="495" t="e">
        <f>IF(($G43+$I43)&lt;=IF($B$2="mil",1,0.0254)*2750,"Pass",IF($B$2="mil",1,0.0254)*2750-($G43+I43))</f>
        <v>#REF!</v>
      </c>
      <c r="AP43" s="495" t="e">
        <f>IF($J43&lt;=IF($B$2="mil",1,0.0254)*125,"Pass",IF($B$2="mil",1,0.0254)*125-$J43)</f>
        <v>#REF!</v>
      </c>
      <c r="AQ43" s="495" t="e">
        <f>IF($L43&lt;=IF($B$2="mil",1,0.0254)*125,"Pass",IF($B$2="mil",1,0.0254)*125-$L43)</f>
        <v>#REF!</v>
      </c>
      <c r="AR43" s="495" t="e">
        <f>IF(($L43+$M43)&lt;=IF($B$2="mil",1,0.0254)*1350,"Pass",IF($B$2="mil",1,0.0254)*1350-($L43+M43))</f>
        <v>#REF!</v>
      </c>
      <c r="AS43" s="495" t="e">
        <f>IF($N43&lt;=IF($B$2="mil",1,0.0254)*650,"Pass",IF($B$2="mil",1,0.0254)*650-$N43)</f>
        <v>#REF!</v>
      </c>
      <c r="AT43" s="495" t="e">
        <f>IF($O43&lt;=IF($B$2="mil",1,0.0254)*650,"Pass",IF($B$2="mil",1,0.0254)*650-$O43)</f>
        <v>#REF!</v>
      </c>
      <c r="AU43" s="493" t="e">
        <f>IF(MAX(N43:O43)-MIN(N43:O43)&lt;=IF($B$2="mil",1,0.0254)*50,"Pass",MAX(N43:O43)-MIN(N43:O43)-IF($B$2="mil",1,0.0254)*50)</f>
        <v>#REF!</v>
      </c>
      <c r="AV43" s="495" t="e">
        <f ca="1">CheckLength2(IF($B$2="mil",1,0.0254)*800,N43,P43,0)</f>
        <v>#NAME?</v>
      </c>
      <c r="AW43" s="495" t="e">
        <f ca="1">CheckLength2(800,$O43,Q43,0)</f>
        <v>#NAME?</v>
      </c>
      <c r="AX43" s="495" t="e">
        <f>IF(AND($T43&gt;=IF($B$2="mil",1,0.0254)*500, $T43&lt;=IF($B$2="mil",1,0.0254)*5500),"Pass",IF($B$2="mil",1,0.0254)*5500-$T43)</f>
        <v>#REF!</v>
      </c>
      <c r="AY43" s="495" t="e">
        <f>IF(AND($U43&gt;=IF($B$2="mil",1,0.0254)*500, $U43&lt;=IF($B$2="mil",1,0.0254)*6000),"Pass",IF($B$2="mil",1,0.0254)*6000-$U43)</f>
        <v>#REF!</v>
      </c>
      <c r="AZ43" s="21"/>
      <c r="BA43" s="3" t="e">
        <f ca="1">IF(AND(AL43="Pass",AN43="Pass",AM43="Pass",AW43="Pass",AR43="Pass",AS43="Pass",AT43="Pass",AU43="Pass",AV43="Pass",AQ43="Pass",AP43="Pass",AO43="Pass",AG43="Pass",AH43="Pass",AJ43="Pass",AK43="Pass",AX43="Pass",AY43="Pass",Y43="Pass",Z43="Pass"),"Pass","Fail")</f>
        <v>#REF!</v>
      </c>
    </row>
    <row r="44" spans="1:63"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478"/>
      <c r="BA44" s="3"/>
    </row>
    <row r="45" spans="1:63" s="3" customFormat="1" ht="25.5">
      <c r="A45" s="48" t="s">
        <v>9</v>
      </c>
      <c r="B45" s="24"/>
      <c r="C45" s="26"/>
      <c r="D45" s="26"/>
      <c r="E45" s="24"/>
      <c r="F45" s="24"/>
      <c r="G45" s="26"/>
      <c r="H45" s="24"/>
      <c r="I45" s="24"/>
      <c r="J45" s="24"/>
      <c r="K45" s="24"/>
      <c r="L45" s="24"/>
      <c r="M45" s="24"/>
      <c r="N45" s="24"/>
      <c r="O45" s="24"/>
      <c r="P45" s="24"/>
      <c r="Q45" s="24"/>
      <c r="R45" s="24"/>
      <c r="S45" s="24"/>
      <c r="T45" s="24"/>
      <c r="U45" s="24"/>
      <c r="V45" s="26"/>
      <c r="W45" s="26"/>
      <c r="X45" s="24"/>
      <c r="Y45" s="26"/>
      <c r="Z45" s="26"/>
      <c r="AA45" s="24"/>
      <c r="AB45" s="24"/>
      <c r="AC45" s="24"/>
      <c r="AD45" s="26"/>
      <c r="AE45" s="26"/>
      <c r="AF45" s="24"/>
      <c r="AG45" s="26"/>
      <c r="AH45" s="26"/>
      <c r="AI45" s="24"/>
      <c r="AJ45" s="26"/>
      <c r="AK45" s="26"/>
      <c r="AL45" s="26"/>
      <c r="AM45" s="72"/>
      <c r="AN45" s="72"/>
      <c r="AO45" s="72"/>
      <c r="AP45" s="72"/>
      <c r="AQ45" s="72"/>
      <c r="AR45" s="72"/>
      <c r="AS45" s="72"/>
      <c r="AT45" s="72"/>
      <c r="AU45" s="72"/>
      <c r="AV45" s="72"/>
      <c r="AW45" s="72"/>
      <c r="AX45" s="72"/>
      <c r="AY45" s="72"/>
      <c r="AZ45" s="24"/>
      <c r="BA45" s="24"/>
      <c r="BB45" s="24"/>
      <c r="BD45" s="55"/>
      <c r="BE45" s="55"/>
      <c r="BF45" s="55"/>
      <c r="BG45" s="55"/>
      <c r="BH45" s="55"/>
      <c r="BI45" s="55"/>
      <c r="BK45" s="73"/>
    </row>
    <row r="46" spans="1:63" s="3" customFormat="1">
      <c r="A46" s="24"/>
      <c r="B46" s="26"/>
      <c r="C46" s="26"/>
      <c r="D46" s="26"/>
      <c r="E46" s="24"/>
      <c r="F46" s="24"/>
      <c r="G46" s="26"/>
      <c r="H46" s="24"/>
      <c r="I46" s="24"/>
      <c r="J46" s="24"/>
      <c r="K46" s="24"/>
      <c r="L46" s="24"/>
      <c r="M46" s="24"/>
      <c r="N46" s="24"/>
      <c r="O46" s="24"/>
      <c r="P46" s="24"/>
      <c r="Q46" s="24"/>
      <c r="R46" s="24"/>
      <c r="S46" s="24"/>
      <c r="T46" s="24"/>
      <c r="U46" s="24"/>
      <c r="V46" s="26"/>
      <c r="W46" s="26"/>
      <c r="X46" s="24"/>
      <c r="Y46" s="26"/>
      <c r="Z46" s="26"/>
      <c r="AA46" s="24"/>
      <c r="AB46" s="24"/>
      <c r="AC46" s="24"/>
      <c r="AD46" s="26"/>
      <c r="AE46" s="26"/>
      <c r="AF46" s="24"/>
      <c r="AG46" s="26"/>
      <c r="AH46" s="26"/>
      <c r="AI46" s="24"/>
      <c r="AJ46" s="26"/>
      <c r="AK46" s="26"/>
      <c r="AL46" s="26"/>
      <c r="AM46" s="72"/>
      <c r="AN46" s="72"/>
      <c r="AO46" s="72"/>
      <c r="AP46" s="72"/>
      <c r="AQ46" s="72"/>
      <c r="AR46" s="72"/>
      <c r="AS46" s="72"/>
      <c r="AT46" s="72"/>
      <c r="AU46" s="72"/>
      <c r="AV46" s="72"/>
      <c r="AW46" s="72"/>
      <c r="AX46" s="72"/>
      <c r="AY46" s="72"/>
      <c r="AZ46" s="24"/>
      <c r="BA46" s="24"/>
      <c r="BB46" s="24"/>
    </row>
    <row r="47" spans="1:63" s="3" customFormat="1">
      <c r="A47" s="6"/>
      <c r="B47" s="75"/>
      <c r="C47" s="5"/>
      <c r="D47" s="5"/>
      <c r="E47" s="77"/>
      <c r="F47" s="6"/>
      <c r="G47" s="5"/>
      <c r="H47" s="6"/>
      <c r="I47" s="6"/>
      <c r="J47" s="6"/>
      <c r="K47" s="6"/>
      <c r="L47" s="6"/>
      <c r="M47" s="6"/>
      <c r="N47" s="6"/>
      <c r="O47" s="6"/>
      <c r="P47" s="6"/>
      <c r="Q47" s="6" t="s">
        <v>107</v>
      </c>
      <c r="R47" s="6"/>
      <c r="S47" s="6"/>
      <c r="T47" s="6"/>
      <c r="U47" s="6"/>
      <c r="V47" s="5"/>
      <c r="W47" s="5"/>
      <c r="X47" s="6"/>
      <c r="Y47" s="5"/>
      <c r="Z47" s="5"/>
      <c r="AA47" s="6"/>
      <c r="AB47" s="6"/>
      <c r="AC47" s="6"/>
      <c r="AD47" s="5"/>
      <c r="AE47" s="5"/>
      <c r="AF47" s="6"/>
      <c r="AG47" s="5"/>
      <c r="AH47" s="5"/>
      <c r="AI47" s="6"/>
      <c r="AJ47" s="5"/>
      <c r="AK47" s="5"/>
      <c r="AL47" s="5"/>
      <c r="AM47" s="78"/>
      <c r="AN47" s="5"/>
      <c r="AO47" s="5"/>
      <c r="AP47" s="5"/>
      <c r="AQ47" s="5"/>
      <c r="AR47" s="5"/>
      <c r="AS47" s="5"/>
      <c r="AT47" s="5"/>
      <c r="AU47" s="5"/>
      <c r="AV47" s="5"/>
      <c r="AW47" s="5"/>
      <c r="AX47" s="5"/>
      <c r="AY47" s="74"/>
      <c r="AZ47" s="6"/>
      <c r="BC47" s="78"/>
    </row>
    <row r="48" spans="1:63" s="3" customFormat="1">
      <c r="A48" s="6"/>
      <c r="B48" s="75"/>
      <c r="C48" s="5"/>
      <c r="D48" s="5"/>
      <c r="E48" s="6"/>
      <c r="F48" s="6"/>
      <c r="G48" s="5"/>
      <c r="H48" s="29" t="s">
        <v>21</v>
      </c>
      <c r="S48" s="6"/>
      <c r="T48" s="6"/>
      <c r="U48" s="6"/>
      <c r="V48" s="5"/>
      <c r="W48" s="5"/>
      <c r="X48" s="6"/>
      <c r="Y48" s="5"/>
      <c r="Z48" s="5"/>
      <c r="AA48" s="6"/>
      <c r="AB48" s="6"/>
      <c r="AC48" s="6"/>
      <c r="AD48" s="5"/>
      <c r="AE48" s="5"/>
      <c r="AF48" s="6"/>
      <c r="AG48" s="5"/>
      <c r="AH48" s="5"/>
      <c r="AI48" s="6"/>
      <c r="AJ48" s="5"/>
      <c r="AK48" s="5"/>
      <c r="AL48" s="5"/>
      <c r="AM48" s="5"/>
      <c r="AN48" s="5"/>
      <c r="AO48" s="5"/>
      <c r="AP48" s="5"/>
      <c r="AQ48" s="5"/>
      <c r="AR48" s="5"/>
      <c r="AS48" s="5"/>
      <c r="AT48" s="5"/>
      <c r="AU48" s="5"/>
      <c r="AV48" s="5"/>
      <c r="AW48" s="5"/>
      <c r="AX48" s="5"/>
      <c r="AY48" s="5"/>
      <c r="AZ48" s="6"/>
      <c r="BA48" s="6"/>
      <c r="BB48" s="6"/>
    </row>
    <row r="49" spans="1:54" s="3" customFormat="1">
      <c r="A49" s="6"/>
      <c r="B49" s="75"/>
      <c r="C49" s="5"/>
      <c r="D49" s="5"/>
      <c r="E49" s="6"/>
      <c r="F49" s="6"/>
      <c r="G49" s="5"/>
      <c r="H49" s="6"/>
      <c r="I49" s="6"/>
      <c r="J49" s="6"/>
      <c r="K49" s="6"/>
      <c r="L49" s="6"/>
      <c r="M49" s="6"/>
      <c r="N49" s="6"/>
      <c r="O49" s="6"/>
      <c r="P49" s="6"/>
      <c r="Q49" s="6"/>
      <c r="R49" s="6"/>
      <c r="S49" s="6"/>
      <c r="T49" s="6"/>
      <c r="U49" s="6"/>
      <c r="V49" s="5"/>
      <c r="W49" s="5" t="s">
        <v>107</v>
      </c>
      <c r="X49" s="6"/>
      <c r="Y49" s="5"/>
      <c r="Z49" s="5"/>
      <c r="AA49" s="6"/>
      <c r="AB49" s="6"/>
      <c r="AC49" s="6"/>
      <c r="AD49" s="5"/>
      <c r="AE49" s="5" t="s">
        <v>107</v>
      </c>
      <c r="AF49" s="6"/>
      <c r="AG49" s="5"/>
      <c r="AH49" s="5"/>
      <c r="AI49" s="6"/>
      <c r="AJ49" s="5"/>
      <c r="AK49" s="5"/>
      <c r="AL49" s="5"/>
      <c r="AM49" s="5"/>
      <c r="AN49" s="5"/>
      <c r="AO49" s="5"/>
      <c r="AP49" s="5"/>
      <c r="AQ49" s="5"/>
      <c r="AR49" s="5"/>
      <c r="AS49" s="5"/>
      <c r="AT49" s="5"/>
      <c r="AU49" s="5"/>
      <c r="AV49" s="5"/>
      <c r="AW49" s="5"/>
      <c r="AX49" s="5"/>
      <c r="AY49" s="5"/>
      <c r="AZ49" s="6"/>
      <c r="BA49" s="6"/>
      <c r="BB49" s="6"/>
    </row>
    <row r="50" spans="1:54" s="3" customFormat="1">
      <c r="A50" s="6"/>
      <c r="B50" s="75"/>
      <c r="C50" s="5"/>
      <c r="D50" s="5"/>
      <c r="E50" s="6"/>
      <c r="F50" s="6"/>
      <c r="G50" s="5"/>
      <c r="H50" s="6"/>
      <c r="I50" s="6"/>
      <c r="J50" s="6"/>
      <c r="K50" s="6"/>
      <c r="L50" s="6"/>
      <c r="M50" s="6"/>
      <c r="N50" s="6"/>
      <c r="O50" s="6"/>
      <c r="P50" s="6"/>
      <c r="Q50" s="6"/>
      <c r="R50" s="6"/>
      <c r="S50" s="75"/>
      <c r="T50" s="6"/>
      <c r="U50" s="6"/>
      <c r="V50" s="4"/>
      <c r="W50" s="4"/>
      <c r="X50" s="75"/>
      <c r="Y50" s="4"/>
      <c r="Z50" s="4"/>
      <c r="AA50" s="75"/>
      <c r="AB50" s="6"/>
      <c r="AC50" s="6"/>
      <c r="AD50" s="4"/>
      <c r="AE50" s="4"/>
      <c r="AF50" s="75"/>
      <c r="AG50" s="4"/>
      <c r="AH50" s="4"/>
      <c r="AI50" s="75"/>
      <c r="AJ50" s="4"/>
      <c r="AK50" s="4"/>
      <c r="AL50" s="4"/>
      <c r="AM50" s="5"/>
      <c r="AN50" s="5"/>
      <c r="AO50" s="5"/>
      <c r="AP50" s="5"/>
      <c r="AQ50" s="5"/>
      <c r="AR50" s="5"/>
      <c r="AS50" s="5"/>
      <c r="AT50" s="5"/>
      <c r="AU50" s="5"/>
      <c r="AV50" s="5"/>
      <c r="AW50" s="5"/>
      <c r="AX50" s="5"/>
      <c r="AY50" s="5"/>
      <c r="AZ50" s="6"/>
      <c r="BA50" s="6"/>
      <c r="BB50" s="6"/>
    </row>
    <row r="51" spans="1:54" s="3" customFormat="1">
      <c r="A51" s="6"/>
      <c r="B51" s="75"/>
      <c r="C51" s="5"/>
      <c r="D51" s="5"/>
      <c r="E51" s="6"/>
      <c r="F51" s="6"/>
      <c r="G51" s="5"/>
      <c r="H51" s="6"/>
      <c r="I51" s="6"/>
      <c r="J51" s="6"/>
      <c r="K51" s="6"/>
      <c r="L51" s="6"/>
      <c r="M51" s="6"/>
      <c r="N51" s="6"/>
      <c r="O51" s="6"/>
      <c r="P51" s="6"/>
      <c r="Q51" s="6"/>
      <c r="R51" s="6"/>
      <c r="S51" s="75"/>
      <c r="T51" s="6"/>
      <c r="U51" s="6"/>
      <c r="V51" s="4"/>
      <c r="W51" s="4"/>
      <c r="X51" s="75"/>
      <c r="Y51" s="4"/>
      <c r="Z51" s="4"/>
      <c r="AA51" s="75"/>
      <c r="AB51" s="6"/>
      <c r="AC51" s="6"/>
      <c r="AD51" s="4"/>
      <c r="AE51" s="4"/>
      <c r="AF51" s="75"/>
      <c r="AG51" s="4"/>
      <c r="AH51" s="4"/>
      <c r="AI51" s="75"/>
      <c r="AJ51" s="4"/>
      <c r="AK51" s="4"/>
      <c r="AL51" s="4"/>
      <c r="AM51" s="5"/>
      <c r="AN51" s="5"/>
      <c r="AO51" s="5"/>
      <c r="AP51" s="5"/>
      <c r="AQ51" s="5"/>
      <c r="AR51" s="5"/>
      <c r="AS51" s="5"/>
      <c r="AT51" s="5"/>
      <c r="AU51" s="5"/>
      <c r="AV51" s="5"/>
      <c r="AW51" s="5"/>
      <c r="AX51" s="5"/>
      <c r="AY51" s="5"/>
      <c r="AZ51" s="6"/>
      <c r="BA51" s="6"/>
      <c r="BB51" s="6"/>
    </row>
    <row r="52" spans="1:54" s="3" customFormat="1">
      <c r="A52" s="6"/>
      <c r="B52" s="75"/>
      <c r="C52" s="5"/>
      <c r="D52" s="5"/>
      <c r="E52" s="6"/>
      <c r="F52" s="6"/>
      <c r="G52" s="5"/>
      <c r="H52" s="6"/>
      <c r="I52" s="6"/>
      <c r="J52" s="6"/>
      <c r="K52" s="6"/>
      <c r="L52" s="6"/>
      <c r="M52" s="6"/>
      <c r="N52" s="6"/>
      <c r="O52" s="6"/>
      <c r="P52" s="6"/>
      <c r="Q52" s="6"/>
      <c r="R52" s="6"/>
      <c r="S52" s="75"/>
      <c r="T52" s="6"/>
      <c r="U52" s="6"/>
      <c r="V52" s="4"/>
      <c r="W52" s="4"/>
      <c r="X52" s="75"/>
      <c r="Y52" s="4"/>
      <c r="Z52" s="4"/>
      <c r="AA52" s="75"/>
      <c r="AB52" s="6"/>
      <c r="AC52" s="6"/>
      <c r="AD52" s="4"/>
      <c r="AE52" s="4"/>
      <c r="AF52" s="75"/>
      <c r="AG52" s="4"/>
      <c r="AH52" s="4"/>
      <c r="AI52" s="75"/>
      <c r="AJ52" s="4"/>
      <c r="AK52" s="4"/>
      <c r="AL52" s="4"/>
      <c r="AM52" s="5"/>
      <c r="AN52" s="5"/>
      <c r="AO52" s="5"/>
      <c r="AP52" s="5"/>
      <c r="AQ52" s="5"/>
      <c r="AR52" s="5"/>
      <c r="AS52" s="5"/>
      <c r="AT52" s="5"/>
      <c r="AU52" s="5"/>
      <c r="AV52" s="5"/>
      <c r="AW52" s="5"/>
      <c r="AX52" s="5"/>
      <c r="AY52" s="5"/>
      <c r="AZ52" s="6"/>
      <c r="BA52" s="6"/>
      <c r="BB52" s="6"/>
    </row>
    <row r="53" spans="1:54" s="3" customFormat="1">
      <c r="A53" s="6"/>
      <c r="B53" s="75"/>
      <c r="C53" s="5"/>
      <c r="D53" s="5"/>
      <c r="E53" s="6"/>
      <c r="F53" s="6"/>
      <c r="G53" s="5"/>
      <c r="H53" s="6"/>
      <c r="K53" s="6"/>
      <c r="L53" s="6"/>
      <c r="M53" s="6"/>
      <c r="N53" s="6"/>
      <c r="O53" s="6"/>
      <c r="P53" s="6"/>
      <c r="Q53" s="6"/>
      <c r="R53" s="6"/>
      <c r="S53" s="75"/>
      <c r="T53" s="6"/>
      <c r="U53" s="6"/>
      <c r="V53" s="4"/>
      <c r="W53" s="4"/>
      <c r="X53" s="75"/>
      <c r="Y53" s="4"/>
      <c r="Z53" s="4"/>
      <c r="AA53" s="75"/>
      <c r="AB53" s="6"/>
      <c r="AC53" s="6"/>
      <c r="AD53" s="4"/>
      <c r="AE53" s="4"/>
      <c r="AF53" s="75"/>
      <c r="AG53" s="4"/>
      <c r="AH53" s="4"/>
      <c r="AI53" s="75"/>
      <c r="AJ53" s="4"/>
      <c r="AK53" s="4"/>
      <c r="AL53" s="4"/>
      <c r="AM53" s="5"/>
      <c r="AN53" s="5"/>
      <c r="AO53" s="5"/>
      <c r="AP53" s="5"/>
      <c r="AQ53" s="5"/>
      <c r="AR53" s="5"/>
      <c r="AS53" s="5"/>
      <c r="AT53" s="5"/>
      <c r="AU53" s="5"/>
      <c r="AV53" s="5"/>
      <c r="AW53" s="5"/>
      <c r="AX53" s="5"/>
      <c r="AY53" s="5"/>
      <c r="AZ53" s="6"/>
      <c r="BA53" s="6"/>
      <c r="BB53" s="6"/>
    </row>
    <row r="54" spans="1:54" s="3" customFormat="1">
      <c r="A54" s="6"/>
      <c r="B54" s="75"/>
      <c r="C54" s="5"/>
      <c r="D54" s="5"/>
      <c r="E54" s="6"/>
      <c r="F54" s="6"/>
      <c r="G54" s="5"/>
      <c r="H54" s="6"/>
      <c r="K54" s="6"/>
      <c r="L54" s="6"/>
      <c r="M54" s="6"/>
      <c r="N54" s="6"/>
      <c r="O54" s="6"/>
      <c r="P54" s="6"/>
      <c r="Q54" s="6"/>
      <c r="R54" s="6"/>
      <c r="S54" s="75"/>
      <c r="T54" s="6"/>
      <c r="U54" s="6"/>
      <c r="V54" s="4"/>
      <c r="W54" s="4"/>
      <c r="X54" s="75"/>
      <c r="Y54" s="4"/>
      <c r="Z54" s="4"/>
      <c r="AA54" s="75"/>
      <c r="AB54" s="6"/>
      <c r="AC54" s="6"/>
      <c r="AD54" s="4"/>
      <c r="AE54" s="4"/>
      <c r="AF54" s="75"/>
      <c r="AG54" s="4"/>
      <c r="AH54" s="4"/>
      <c r="AI54" s="75"/>
      <c r="AJ54" s="4"/>
      <c r="AK54" s="4"/>
      <c r="AL54" s="4"/>
      <c r="AM54" s="5"/>
      <c r="AN54" s="5"/>
      <c r="AO54" s="5"/>
      <c r="AP54" s="5"/>
      <c r="AQ54" s="5"/>
      <c r="AR54" s="5"/>
      <c r="AS54" s="5"/>
      <c r="AT54" s="5"/>
      <c r="AU54" s="5"/>
      <c r="AV54" s="5"/>
      <c r="AW54" s="5"/>
      <c r="AX54" s="5"/>
      <c r="AY54" s="5"/>
      <c r="AZ54" s="6"/>
      <c r="BA54" s="6"/>
      <c r="BB54" s="6"/>
    </row>
    <row r="55" spans="1:54" s="3" customFormat="1">
      <c r="A55" s="6"/>
      <c r="B55" s="75"/>
      <c r="C55" s="5"/>
      <c r="D55" s="5"/>
      <c r="E55" s="6"/>
      <c r="F55" s="6"/>
      <c r="G55" s="5"/>
      <c r="H55" s="6"/>
      <c r="K55" s="6"/>
      <c r="L55" s="6"/>
      <c r="M55" s="6"/>
      <c r="N55" s="6"/>
      <c r="O55" s="6"/>
      <c r="P55" s="6"/>
      <c r="Q55" s="6"/>
      <c r="R55" s="6"/>
      <c r="S55" s="75"/>
      <c r="T55" s="6"/>
      <c r="U55" s="6"/>
      <c r="V55" s="4"/>
      <c r="W55" s="4"/>
      <c r="X55" s="75"/>
      <c r="Y55" s="4"/>
      <c r="Z55" s="4"/>
      <c r="AA55" s="75"/>
      <c r="AB55" s="6"/>
      <c r="AC55" s="6"/>
      <c r="AD55" s="4"/>
      <c r="AE55" s="4"/>
      <c r="AF55" s="75"/>
      <c r="AG55" s="4"/>
      <c r="AH55" s="4"/>
      <c r="AI55" s="75"/>
      <c r="AJ55" s="4"/>
      <c r="AK55" s="4"/>
      <c r="AL55" s="4"/>
      <c r="AM55" s="5"/>
      <c r="AN55" s="5"/>
      <c r="AO55" s="5"/>
      <c r="AP55" s="5"/>
      <c r="AQ55" s="5"/>
      <c r="AR55" s="5"/>
      <c r="AS55" s="5"/>
      <c r="AT55" s="5"/>
      <c r="AU55" s="5"/>
      <c r="AV55" s="5"/>
      <c r="AW55" s="5"/>
      <c r="AX55" s="5"/>
      <c r="AY55" s="5"/>
      <c r="AZ55" s="6"/>
      <c r="BA55" s="6"/>
      <c r="BB55" s="6"/>
    </row>
    <row r="56" spans="1:54" s="3" customFormat="1">
      <c r="A56" s="6"/>
      <c r="B56" s="75"/>
      <c r="C56" s="5"/>
      <c r="D56" s="5"/>
      <c r="E56" s="6"/>
      <c r="F56" s="6"/>
      <c r="G56" s="5"/>
      <c r="H56" s="6"/>
      <c r="I56" s="6"/>
      <c r="J56" s="6"/>
      <c r="K56" s="6"/>
      <c r="L56" s="6"/>
      <c r="M56" s="6"/>
      <c r="N56" s="6"/>
      <c r="O56" s="6"/>
      <c r="P56" s="6"/>
      <c r="Q56" s="6"/>
      <c r="R56" s="6"/>
      <c r="S56" s="75"/>
      <c r="T56" s="6"/>
      <c r="U56" s="6"/>
      <c r="V56" s="4"/>
      <c r="W56" s="4"/>
      <c r="X56" s="75"/>
      <c r="Y56" s="4"/>
      <c r="Z56" s="4"/>
      <c r="AA56" s="75"/>
      <c r="AB56" s="6"/>
      <c r="AC56" s="6"/>
      <c r="AD56" s="4"/>
      <c r="AE56" s="4"/>
      <c r="AF56" s="75"/>
      <c r="AG56" s="4"/>
      <c r="AH56" s="4"/>
      <c r="AI56" s="75"/>
      <c r="AJ56" s="4"/>
      <c r="AK56" s="4"/>
      <c r="AL56" s="4"/>
      <c r="AM56" s="5"/>
      <c r="AN56" s="5"/>
      <c r="AO56" s="5"/>
      <c r="AP56" s="5"/>
      <c r="AQ56" s="5"/>
      <c r="AR56" s="5"/>
      <c r="AS56" s="5"/>
      <c r="AT56" s="5"/>
      <c r="AU56" s="5"/>
      <c r="AV56" s="5"/>
      <c r="AW56" s="5"/>
      <c r="AX56" s="5"/>
      <c r="AY56" s="5"/>
      <c r="AZ56" s="6"/>
      <c r="BA56" s="6"/>
      <c r="BB56" s="6"/>
    </row>
    <row r="57" spans="1:54" s="3" customFormat="1">
      <c r="A57" s="6"/>
      <c r="B57" s="75"/>
      <c r="C57" s="5"/>
      <c r="D57" s="5"/>
      <c r="E57" s="6"/>
      <c r="F57" s="6"/>
      <c r="G57" s="5"/>
      <c r="H57" s="6"/>
      <c r="I57" s="6"/>
      <c r="J57" s="6"/>
      <c r="K57" s="6"/>
      <c r="L57" s="6"/>
      <c r="M57" s="6"/>
      <c r="N57" s="6"/>
      <c r="O57" s="6"/>
      <c r="P57" s="6"/>
      <c r="Q57" s="6"/>
      <c r="R57" s="6"/>
      <c r="S57" s="75"/>
      <c r="T57" s="6"/>
      <c r="U57" s="6"/>
      <c r="V57" s="4"/>
      <c r="W57" s="4"/>
      <c r="X57" s="75"/>
      <c r="Y57" s="4"/>
      <c r="Z57" s="4"/>
      <c r="AA57" s="75"/>
      <c r="AB57" s="6"/>
      <c r="AC57" s="6"/>
      <c r="AD57" s="4"/>
      <c r="AE57" s="4"/>
      <c r="AF57" s="75"/>
      <c r="AG57" s="4"/>
      <c r="AH57" s="4"/>
      <c r="AI57" s="75"/>
      <c r="AJ57" s="4"/>
      <c r="AK57" s="4"/>
      <c r="AL57" s="4"/>
      <c r="AM57" s="5"/>
      <c r="AN57" s="5"/>
      <c r="AO57" s="5"/>
      <c r="AP57" s="5"/>
      <c r="AQ57" s="5"/>
      <c r="AR57" s="5"/>
      <c r="AS57" s="5"/>
      <c r="AT57" s="5"/>
      <c r="AU57" s="5"/>
      <c r="AV57" s="5"/>
      <c r="AW57" s="5"/>
      <c r="AX57" s="5"/>
      <c r="AY57" s="5"/>
      <c r="AZ57" s="6"/>
      <c r="BA57" s="6"/>
      <c r="BB57" s="6"/>
    </row>
    <row r="58" spans="1:54" s="3" customFormat="1">
      <c r="A58" s="6"/>
      <c r="B58" s="75"/>
      <c r="C58" s="5"/>
      <c r="D58" s="5"/>
      <c r="E58" s="6"/>
      <c r="F58" s="6"/>
      <c r="G58" s="5"/>
      <c r="H58" s="6"/>
      <c r="I58" s="6"/>
      <c r="J58" s="6"/>
      <c r="K58" s="6"/>
      <c r="L58" s="6"/>
      <c r="M58" s="6"/>
      <c r="N58" s="6"/>
      <c r="O58" s="6"/>
      <c r="P58" s="6"/>
      <c r="Q58" s="6"/>
      <c r="R58" s="6"/>
      <c r="S58" s="75"/>
      <c r="T58" s="6"/>
      <c r="U58" s="6"/>
      <c r="V58" s="4"/>
      <c r="W58" s="4"/>
      <c r="X58" s="75"/>
      <c r="Y58" s="4"/>
      <c r="Z58" s="4"/>
      <c r="AA58" s="75"/>
      <c r="AB58" s="6"/>
      <c r="AC58" s="6"/>
      <c r="AD58" s="4"/>
      <c r="AE58" s="4"/>
      <c r="AF58" s="75"/>
      <c r="AG58" s="4"/>
      <c r="AH58" s="4"/>
      <c r="AI58" s="75"/>
      <c r="AJ58" s="4"/>
      <c r="AK58" s="4"/>
      <c r="AL58" s="4"/>
      <c r="AM58" s="5"/>
      <c r="AN58" s="5"/>
      <c r="AO58" s="5"/>
      <c r="AP58" s="5"/>
      <c r="AQ58" s="5"/>
      <c r="AR58" s="5"/>
      <c r="AS58" s="5"/>
      <c r="AT58" s="5"/>
      <c r="AU58" s="5"/>
      <c r="AV58" s="5"/>
      <c r="AW58" s="5"/>
      <c r="AX58" s="5"/>
      <c r="AY58" s="5"/>
      <c r="AZ58" s="6"/>
      <c r="BA58" s="6"/>
      <c r="BB58" s="6"/>
    </row>
    <row r="59" spans="1:54" s="3" customFormat="1">
      <c r="A59" s="6"/>
      <c r="B59" s="75"/>
      <c r="C59" s="5"/>
      <c r="D59" s="5"/>
      <c r="E59" s="6"/>
      <c r="F59" s="6"/>
      <c r="G59" s="5"/>
      <c r="H59" s="6"/>
      <c r="I59" s="6"/>
      <c r="J59" s="6"/>
      <c r="K59" s="6"/>
      <c r="L59" s="6"/>
      <c r="M59" s="6"/>
      <c r="N59" s="6"/>
      <c r="O59" s="6"/>
      <c r="P59" s="6"/>
      <c r="Q59" s="6"/>
      <c r="R59" s="6"/>
      <c r="S59" s="75"/>
      <c r="T59" s="76"/>
      <c r="U59" s="6"/>
      <c r="V59" s="4"/>
      <c r="W59" s="4"/>
      <c r="X59" s="75"/>
      <c r="Y59" s="4"/>
      <c r="Z59" s="4"/>
      <c r="AA59" s="75"/>
      <c r="AB59" s="76"/>
      <c r="AC59" s="6"/>
      <c r="AD59" s="4"/>
      <c r="AE59" s="4"/>
      <c r="AF59" s="75"/>
      <c r="AG59" s="4"/>
      <c r="AH59" s="4"/>
      <c r="AI59" s="75"/>
      <c r="AJ59" s="4"/>
      <c r="AK59" s="4"/>
      <c r="AL59" s="4"/>
      <c r="AM59" s="5"/>
      <c r="AN59" s="5"/>
      <c r="AO59" s="5"/>
      <c r="AP59" s="5"/>
      <c r="AQ59" s="5"/>
      <c r="AR59" s="5"/>
      <c r="AS59" s="5"/>
      <c r="AT59" s="5"/>
      <c r="AU59" s="5"/>
      <c r="AV59" s="5"/>
      <c r="AW59" s="5"/>
      <c r="AX59" s="5"/>
      <c r="AY59" s="5"/>
      <c r="AZ59" s="6"/>
      <c r="BA59" s="6"/>
      <c r="BB59" s="6"/>
    </row>
    <row r="60" spans="1:54" s="3" customFormat="1">
      <c r="A60" s="6"/>
      <c r="B60" s="75"/>
      <c r="C60" s="5"/>
      <c r="D60" s="5"/>
      <c r="E60" s="6"/>
      <c r="F60" s="6"/>
      <c r="G60" s="5"/>
      <c r="H60" s="6"/>
      <c r="I60" s="6"/>
      <c r="J60" s="6"/>
      <c r="K60" s="6"/>
      <c r="L60" s="6"/>
      <c r="M60" s="6"/>
      <c r="N60" s="6"/>
      <c r="O60" s="6"/>
      <c r="P60" s="6"/>
      <c r="Q60" s="6"/>
      <c r="R60" s="6"/>
      <c r="S60" s="75"/>
      <c r="T60" s="76"/>
      <c r="U60" s="6"/>
      <c r="V60" s="4"/>
      <c r="W60" s="4"/>
      <c r="X60" s="75"/>
      <c r="Y60" s="4"/>
      <c r="Z60" s="4"/>
      <c r="AA60" s="75"/>
      <c r="AB60" s="76"/>
      <c r="AC60" s="6"/>
      <c r="AD60" s="4"/>
      <c r="AE60" s="4"/>
      <c r="AF60" s="75"/>
      <c r="AG60" s="4"/>
      <c r="AH60" s="4"/>
      <c r="AI60" s="75"/>
      <c r="AJ60" s="4"/>
      <c r="AK60" s="4"/>
      <c r="AL60" s="4"/>
      <c r="AM60" s="5"/>
      <c r="AN60" s="5"/>
      <c r="AO60" s="5"/>
      <c r="AP60" s="5"/>
      <c r="AQ60" s="5"/>
      <c r="AR60" s="5"/>
      <c r="AS60" s="5"/>
      <c r="AT60" s="5"/>
      <c r="AU60" s="5"/>
      <c r="AV60" s="5"/>
      <c r="AW60" s="5"/>
      <c r="AX60" s="5"/>
      <c r="AY60" s="5"/>
      <c r="AZ60" s="6"/>
      <c r="BA60" s="6"/>
      <c r="BB60" s="6"/>
    </row>
    <row r="61" spans="1:54" s="3" customFormat="1">
      <c r="A61" s="6"/>
      <c r="B61" s="75"/>
      <c r="C61" s="5"/>
      <c r="D61" s="5"/>
      <c r="E61" s="6"/>
      <c r="F61" s="6"/>
      <c r="G61" s="5"/>
      <c r="H61" s="6"/>
      <c r="I61" s="6"/>
      <c r="J61" s="6"/>
      <c r="K61" s="6"/>
      <c r="L61" s="6"/>
      <c r="M61" s="6"/>
      <c r="N61" s="6"/>
      <c r="O61" s="6"/>
      <c r="P61" s="6"/>
      <c r="Q61" s="6"/>
      <c r="R61" s="6"/>
      <c r="S61" s="75"/>
      <c r="T61" s="6"/>
      <c r="U61" s="6"/>
      <c r="V61" s="4"/>
      <c r="W61" s="4"/>
      <c r="X61" s="75"/>
      <c r="Y61" s="4"/>
      <c r="Z61" s="4"/>
      <c r="AA61" s="75"/>
      <c r="AB61" s="6"/>
      <c r="AC61" s="6"/>
      <c r="AD61" s="4"/>
      <c r="AE61" s="4"/>
      <c r="AF61" s="75"/>
      <c r="AG61" s="4"/>
      <c r="AH61" s="4"/>
      <c r="AI61" s="75"/>
      <c r="AJ61" s="4"/>
      <c r="AK61" s="4"/>
      <c r="AL61" s="4"/>
      <c r="AM61" s="5"/>
      <c r="AN61" s="5"/>
      <c r="AO61" s="5"/>
      <c r="AP61" s="5"/>
      <c r="AQ61" s="5"/>
      <c r="AR61" s="5"/>
      <c r="AS61" s="5"/>
      <c r="AT61" s="5"/>
      <c r="AU61" s="5"/>
      <c r="AV61" s="5"/>
      <c r="AW61" s="5"/>
      <c r="AX61" s="5"/>
      <c r="AY61" s="5"/>
      <c r="AZ61" s="6"/>
      <c r="BA61" s="6"/>
      <c r="BB61" s="6"/>
    </row>
    <row r="62" spans="1:54" s="3" customFormat="1">
      <c r="A62" s="6"/>
      <c r="B62" s="75"/>
      <c r="C62" s="5"/>
      <c r="D62" s="5"/>
      <c r="E62" s="6"/>
      <c r="F62" s="6"/>
      <c r="G62" s="5"/>
      <c r="H62" s="6"/>
      <c r="I62" s="6"/>
      <c r="J62" s="6"/>
      <c r="K62" s="6"/>
      <c r="L62" s="6"/>
      <c r="M62" s="6"/>
      <c r="N62" s="6"/>
      <c r="O62" s="6"/>
      <c r="P62" s="6"/>
      <c r="Q62" s="6"/>
      <c r="R62" s="6"/>
      <c r="S62" s="75"/>
      <c r="T62" s="6"/>
      <c r="U62" s="6"/>
      <c r="V62" s="4"/>
      <c r="W62" s="4"/>
      <c r="X62" s="75"/>
      <c r="Y62" s="4"/>
      <c r="Z62" s="4"/>
      <c r="AA62" s="75"/>
      <c r="AB62" s="6"/>
      <c r="AC62" s="6"/>
      <c r="AD62" s="4"/>
      <c r="AE62" s="4"/>
      <c r="AF62" s="75"/>
      <c r="AG62" s="4"/>
      <c r="AH62" s="4"/>
      <c r="AI62" s="75"/>
      <c r="AJ62" s="4"/>
      <c r="AK62" s="4"/>
      <c r="AL62" s="4"/>
      <c r="AM62" s="5"/>
      <c r="AN62" s="5"/>
      <c r="AO62" s="5"/>
      <c r="AP62" s="5"/>
      <c r="AQ62" s="5"/>
      <c r="AR62" s="5"/>
      <c r="AS62" s="5"/>
      <c r="AT62" s="5"/>
      <c r="AU62" s="5"/>
      <c r="AV62" s="5"/>
      <c r="AW62" s="5"/>
      <c r="AX62" s="5"/>
      <c r="AY62" s="5"/>
      <c r="AZ62" s="6"/>
      <c r="BA62" s="6"/>
      <c r="BB62" s="6"/>
    </row>
    <row r="63" spans="1:54">
      <c r="H63" s="6"/>
      <c r="I63" s="6" t="s">
        <v>525</v>
      </c>
      <c r="J63" s="6"/>
    </row>
    <row r="64" spans="1:54">
      <c r="H64" s="6" t="s">
        <v>289</v>
      </c>
      <c r="I64" s="6" t="s">
        <v>526</v>
      </c>
      <c r="J64" s="6"/>
    </row>
    <row r="65" spans="8:9">
      <c r="H65" s="6" t="s">
        <v>290</v>
      </c>
      <c r="I65" s="6" t="s">
        <v>526</v>
      </c>
    </row>
    <row r="66" spans="8:9">
      <c r="H66" s="6" t="s">
        <v>291</v>
      </c>
      <c r="I66" s="6" t="s">
        <v>527</v>
      </c>
    </row>
    <row r="67" spans="8:9">
      <c r="H67" s="6" t="s">
        <v>392</v>
      </c>
      <c r="I67" s="6" t="s">
        <v>527</v>
      </c>
    </row>
    <row r="68" spans="8:9">
      <c r="H68" s="6" t="s">
        <v>293</v>
      </c>
      <c r="I68" s="6" t="s">
        <v>528</v>
      </c>
    </row>
    <row r="69" spans="8:9">
      <c r="H69" s="6" t="s">
        <v>294</v>
      </c>
      <c r="I69" s="6" t="s">
        <v>528</v>
      </c>
    </row>
    <row r="70" spans="8:9">
      <c r="H70" s="6" t="s">
        <v>295</v>
      </c>
      <c r="I70" s="6" t="s">
        <v>529</v>
      </c>
    </row>
    <row r="71" spans="8:9">
      <c r="H71" s="6" t="s">
        <v>296</v>
      </c>
      <c r="I71" s="6" t="s">
        <v>529</v>
      </c>
    </row>
  </sheetData>
  <protectedRanges>
    <protectedRange sqref="E22:R23 E37:R38 E17:R18 E12:R13 E27:R28 E32:R33 E7:R8 E42:R43" name="DDR2StrobesA"/>
  </protectedRanges>
  <mergeCells count="1">
    <mergeCell ref="A1:D1"/>
  </mergeCells>
  <phoneticPr fontId="25" type="noConversion"/>
  <conditionalFormatting sqref="AV37:AY38 AV22:AY23 AV27:AY28 AV32:AY33 AV7:AY8 AV12:AY13 AV17:AY18 AV42:AY43 AJ27:AT28 AJ37:AT38 AJ32:AT33 AJ17:AT18 AJ22:AT23 AJ12:AT13 AJ7:AT8 AJ42:AT43">
    <cfRule type="cellIs" dxfId="40" priority="1" stopIfTrue="1" operator="equal">
      <formula>"Pass"</formula>
    </cfRule>
    <cfRule type="cellIs" dxfId="39" priority="2" stopIfTrue="1" operator="notEqual">
      <formula>"Pass"</formula>
    </cfRule>
  </conditionalFormatting>
  <conditionalFormatting sqref="AU7:AU8 AU12:AU13 AU17:AU18 AU22:AU23 AU27:AU28 AU32:AU33 AU37:AU38 AU42:AU43">
    <cfRule type="cellIs" dxfId="38" priority="3" stopIfTrue="1" operator="equal">
      <formula>"Pass"</formula>
    </cfRule>
    <cfRule type="cellIs" dxfId="37" priority="4" stopIfTrue="1" operator="notEqual">
      <formula>"pass"</formula>
    </cfRule>
  </conditionalFormatting>
  <conditionalFormatting sqref="U27:U28 U17:U18 AC32:AC33 U7:U8 U12:U13 U22:U23 U32:U33 U37:U38 AC42:AC43 AC17:AC18 AC7:AC8 U42:U43 AC12:AC13 AC22:AC23 AC27:AC28 AC37:AC38">
    <cfRule type="cellIs" dxfId="36" priority="5" stopIfTrue="1" operator="greaterThan">
      <formula>6250</formula>
    </cfRule>
    <cfRule type="cellIs" dxfId="35" priority="6" stopIfTrue="1" operator="lessThan">
      <formula>6250</formula>
    </cfRule>
  </conditionalFormatting>
  <conditionalFormatting sqref="Y22:Z23 Y12:Z13 Y7:Z8 Y17:Z18 Y27:Z28 Y37:Z38 Y42:Z43 Y32:Z33 AG7:AH8 AG17:AH18 AG12:AH13 AG22:AH23 AG32:AH33 AG37:AH38 AG27:AH28 AG42:AH43">
    <cfRule type="cellIs" priority="7" stopIfTrue="1" operator="equal">
      <formula>"Pass"</formula>
    </cfRule>
    <cfRule type="cellIs" dxfId="34" priority="8" stopIfTrue="1" operator="notEqual">
      <formula>"Pass"</formula>
    </cfRule>
  </conditionalFormatting>
  <conditionalFormatting sqref="A1:AZ1">
    <cfRule type="expression" dxfId="33" priority="9" stopIfTrue="1">
      <formula>$E$1 = "Fail"</formula>
    </cfRule>
    <cfRule type="expression" dxfId="32" priority="10" stopIfTrue="1">
      <formula>$E$1 = "Pass"</formula>
    </cfRule>
  </conditionalFormatting>
  <pageMargins left="0.75" right="0.75" top="1" bottom="1" header="0.5" footer="0.5"/>
  <pageSetup paperSize="9" orientation="landscape" verticalDpi="0" r:id="rId1"/>
  <headerFooter alignWithMargins="0"/>
  <drawing r:id="rId2"/>
  <legacyDrawing r:id="rId3"/>
  <oleObjects>
    <mc:AlternateContent xmlns:mc="http://schemas.openxmlformats.org/markup-compatibility/2006">
      <mc:Choice Requires="x14">
        <oleObject progId="Visio.Drawing.11" shapeId="18659" r:id="rId4">
          <objectPr defaultSize="0" autoPict="0" r:id="rId5">
            <anchor moveWithCells="1">
              <from>
                <xdr:col>4</xdr:col>
                <xdr:colOff>38100</xdr:colOff>
                <xdr:row>45</xdr:row>
                <xdr:rowOff>9525</xdr:rowOff>
              </from>
              <to>
                <xdr:col>15</xdr:col>
                <xdr:colOff>333375</xdr:colOff>
                <xdr:row>61</xdr:row>
                <xdr:rowOff>0</xdr:rowOff>
              </to>
            </anchor>
          </objectPr>
        </oleObject>
      </mc:Choice>
      <mc:Fallback>
        <oleObject progId="Visio.Drawing.11" shapeId="18659" r:id="rId4"/>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1:BF70"/>
  <sheetViews>
    <sheetView zoomScale="75" zoomScaleNormal="75" zoomScaleSheetLayoutView="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bestFit="1" customWidth="1"/>
    <col min="9" max="10" width="12.140625" bestFit="1" customWidth="1"/>
    <col min="11" max="11" width="10.85546875" bestFit="1" customWidth="1"/>
    <col min="12" max="13" width="12.28515625" bestFit="1" customWidth="1"/>
    <col min="14" max="14" width="13.5703125" customWidth="1"/>
    <col min="15" max="15" width="1" customWidth="1"/>
    <col min="16" max="16" width="11.7109375" bestFit="1" customWidth="1"/>
    <col min="17" max="17" width="13.42578125" bestFit="1" customWidth="1"/>
    <col min="18" max="18" width="0.85546875" customWidth="1"/>
    <col min="19" max="19" width="12.140625" bestFit="1" customWidth="1"/>
    <col min="20" max="20" width="10.85546875" bestFit="1" customWidth="1"/>
    <col min="21" max="21" width="1" customWidth="1"/>
    <col min="22" max="22" width="11.5703125" bestFit="1" customWidth="1"/>
    <col min="23" max="23" width="11.140625" customWidth="1"/>
    <col min="24" max="24" width="0.85546875" customWidth="1"/>
    <col min="25" max="26" width="21.28515625" customWidth="1"/>
    <col min="27" max="27" width="12.140625" bestFit="1" customWidth="1"/>
    <col min="28" max="28" width="10.85546875" bestFit="1" customWidth="1"/>
    <col min="29" max="29" width="1" customWidth="1"/>
    <col min="30" max="30" width="11.5703125" bestFit="1" customWidth="1"/>
    <col min="31" max="31" width="11" bestFit="1" customWidth="1"/>
    <col min="32" max="32" width="0.85546875" customWidth="1"/>
    <col min="33" max="33" width="13.28515625" bestFit="1" customWidth="1"/>
    <col min="34" max="34" width="13.85546875" bestFit="1" customWidth="1"/>
    <col min="35" max="35" width="11" bestFit="1" customWidth="1"/>
    <col min="36" max="37" width="11.7109375" bestFit="1" customWidth="1"/>
    <col min="38" max="38" width="12.28515625" bestFit="1" customWidth="1"/>
    <col min="39" max="40" width="11.42578125" bestFit="1" customWidth="1"/>
    <col min="41" max="41" width="11.7109375" bestFit="1" customWidth="1"/>
    <col min="42" max="42" width="11.7109375" customWidth="1"/>
    <col min="43" max="43" width="15.5703125" bestFit="1" customWidth="1"/>
    <col min="44" max="44" width="18.85546875" customWidth="1"/>
    <col min="45" max="45" width="18.28515625" bestFit="1" customWidth="1"/>
    <col min="46" max="46" width="15.140625" bestFit="1" customWidth="1"/>
    <col min="47" max="47" width="1" customWidth="1"/>
    <col min="48" max="48" width="16.85546875" customWidth="1"/>
    <col min="49" max="49" width="16.28515625" customWidth="1"/>
  </cols>
  <sheetData>
    <row r="1" spans="1:49" s="3" customFormat="1" ht="26.25">
      <c r="A1" s="1322" t="s">
        <v>89</v>
      </c>
      <c r="B1" s="1324"/>
      <c r="C1" s="1324"/>
      <c r="D1" s="1324"/>
      <c r="E1" s="116" t="e">
        <f ca="1">IF(AND(AW7="Pass"),"Pass","Fail")</f>
        <v>#REF!</v>
      </c>
      <c r="F1" s="49"/>
      <c r="AU1" s="61"/>
    </row>
    <row r="2" spans="1:49" ht="18">
      <c r="A2" s="96" t="s">
        <v>10</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row>
    <row r="3" spans="1:49" s="50" customFormat="1" ht="87.75" customHeight="1">
      <c r="A3" s="361" t="s">
        <v>457</v>
      </c>
      <c r="B3" s="101" t="s">
        <v>474</v>
      </c>
      <c r="C3" s="364" t="s">
        <v>475</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"Microstrip to SDRAM L7 ["&amp;$B$2&amp;"]"</f>
        <v>#REF!</v>
      </c>
      <c r="O3" s="124"/>
      <c r="P3" s="595" t="e">
        <f>"Total MB Length to SODIMM (L0+L1+L2+S1)  ["&amp;$B$2&amp;"]"</f>
        <v>#REF!</v>
      </c>
      <c r="Q3" s="7" t="e">
        <f>"Total Pad-to-SODIMM Connector Length (P0+L0+L1+L2+S1)  ["&amp;$B$2&amp;"]"</f>
        <v>#REF!</v>
      </c>
      <c r="R3" s="7"/>
      <c r="S3" s="7" t="e">
        <f>"Target Min Length to SODIMM["&amp;$B$2&amp;"]"</f>
        <v>#REF!</v>
      </c>
      <c r="T3" s="7" t="e">
        <f>"Target Max Length to SODIMM ["&amp;$B$2&amp;"]"</f>
        <v>#REF!</v>
      </c>
      <c r="U3" s="7"/>
      <c r="V3" s="7" t="e">
        <f>"Length to SODIMM Routed Too Short  ["&amp;$B$2&amp;"]"</f>
        <v>#REF!</v>
      </c>
      <c r="W3" s="7" t="e">
        <f>"Length to SODIMM Routed Too Long  ["&amp;$B$2&amp;"]"</f>
        <v>#REF!</v>
      </c>
      <c r="X3" s="7"/>
      <c r="Y3" s="595" t="e">
        <f>"Total MB Length to SDRAM (L0+L1+L2+L3+L4+Rs+L5+L6+L7)  ["&amp;$B$2&amp;"]"</f>
        <v>#REF!</v>
      </c>
      <c r="Z3" s="7" t="e">
        <f>"Total Pad-to-SDRAM Pin Length (P0+L0+L1+L2+L3+L4+Rs+L5+L6+L7)  ["&amp;$B$2&amp;"]"</f>
        <v>#REF!</v>
      </c>
      <c r="AA3" s="7" t="e">
        <f>"Target Min Length to SDRAM (U1-U8)["&amp;$B$2&amp;"]"</f>
        <v>#REF!</v>
      </c>
      <c r="AB3" s="7" t="e">
        <f>"Target Max Length to SDRAM (U1-U8) ["&amp;$B$2&amp;"]"</f>
        <v>#REF!</v>
      </c>
      <c r="AC3" s="7"/>
      <c r="AD3" s="7" t="e">
        <f>"Length to SDRAM (U1-U8) Routed Too Short  ["&amp;$B$2&amp;"]"</f>
        <v>#REF!</v>
      </c>
      <c r="AE3" s="7" t="e">
        <f>"Length to SDRAM (U1-U8) Routed Too Long  ["&amp;$B$2&amp;"]"</f>
        <v>#REF!</v>
      </c>
      <c r="AF3" s="7"/>
      <c r="AG3" s="7" t="e">
        <f>"DQS-DQS# SODIMM Length Test(&lt;="&amp;IF($B$2="mil",1,0.0254)*5&amp;$B$2&amp;")"</f>
        <v>#REF!</v>
      </c>
      <c r="AH3" s="7" t="e">
        <f>"DQS-DQS# SDRAM (U1-U8) Length Test(&lt;="&amp;IF($B$2="mil",1,0.0254)*5&amp;$B$2&amp;")"</f>
        <v>#REF!</v>
      </c>
      <c r="AI3" s="7" t="e">
        <f>"L0 Length Test (&lt;="&amp;IF($B$2="mil",1,0.0254)*50&amp;$B$2&amp;")"</f>
        <v>#REF!</v>
      </c>
      <c r="AJ3" s="7" t="e">
        <f>"L1 Length Test (&lt;="&amp;IF($B$2="mil",1,0.0254)*500&amp;$B$2&amp;")"</f>
        <v>#REF!</v>
      </c>
      <c r="AK3" s="7" t="e">
        <f>"S1 Length test (&lt;="&amp;IF($B$2="mil",1,0.0254)*250&amp;$B$2&amp;")"</f>
        <v>#REF!</v>
      </c>
      <c r="AL3" s="7" t="e">
        <f>"L3 Length Test (&lt;="&amp;IF($B$2="mil",1,0.0254)*1000&amp;$B$2&amp;" or L3 + L4 &lt;= "&amp;IF($B$2="mil",1,0.0254)*1125&amp;$B$2&amp;")"</f>
        <v>#REF!</v>
      </c>
      <c r="AM3" s="7" t="e">
        <f>"L4 Length Test (&lt;="&amp;IF($B$2="mil",1,0.0254)*125&amp;$B$2&amp;")"</f>
        <v>#REF!</v>
      </c>
      <c r="AN3" s="7" t="e">
        <f>"L5 Length Test (&lt;="&amp;IF($B$2="mil",1,0.0254)*125&amp;$B$2&amp;")"</f>
        <v>#REF!</v>
      </c>
      <c r="AO3" s="7" t="e">
        <f>"L6 Length Test (&lt;="&amp;IF($B$2="mil",1,0.0254)*1250&amp;$B$2&amp;" or L5+L6+L7 &lt;="&amp;IF($B$2="mil",1,0.0254)*1525&amp;$B$2&amp;")"</f>
        <v>#REF!</v>
      </c>
      <c r="AP3" s="7" t="e">
        <f>"L7 Length Test (&lt;="&amp;IF($B$2="mil",1,0.0254)*150&amp;$B$2&amp;") or (L6+L7&lt;= "&amp;IF($B$2="mil",1,0.0254)*1400&amp;$B$2&amp;")"</f>
        <v>#REF!</v>
      </c>
      <c r="AQ3" s="7" t="e">
        <f>"Total MB Length to SODIMM (L0+L1+L2+S1) Test "&amp;IF($B$2="mil","(500-4000mil)","(12.7-114.3mm)")</f>
        <v>#REF!</v>
      </c>
      <c r="AR3" s="7" t="e">
        <f>"Total Length to SODIMM (P0+L0+L1+L2+S1) Test (&lt;="&amp; IF($B$2="mil","4500mil","127mm")&amp;")"</f>
        <v>#REF!</v>
      </c>
      <c r="AS3" s="7" t="e">
        <f>"Total MB Length to SDRAM (L0+L1+L2+L3+L4+Rs+L5+L6+L7) Test "&amp;IF($B$2="mil","(500-5500mil)","(12.7-114.3mm)")</f>
        <v>#REF!</v>
      </c>
      <c r="AT3" s="7" t="e">
        <f>"Total Length to SDRAM (P0+L0+L1+L2+L3+L4+Rs+L5+L6+L7) Test (&lt;="&amp; IF($B$2="mil","6000mil","127mm")&amp;")"</f>
        <v>#REF!</v>
      </c>
      <c r="AU3" s="7"/>
    </row>
    <row r="4" spans="1:49" s="3" customFormat="1">
      <c r="A4" s="109" t="s">
        <v>249</v>
      </c>
      <c r="B4" s="366"/>
      <c r="C4" s="105"/>
      <c r="D4" s="10"/>
      <c r="E4" s="10"/>
      <c r="F4" s="10"/>
      <c r="G4" s="10"/>
      <c r="H4" s="10"/>
      <c r="I4" s="10"/>
      <c r="J4" s="10"/>
      <c r="K4" s="10"/>
      <c r="L4" s="10"/>
      <c r="M4" s="10"/>
      <c r="N4" s="10"/>
      <c r="O4" s="10"/>
      <c r="P4" s="9"/>
      <c r="Q4" s="51"/>
      <c r="R4" s="10"/>
      <c r="S4" s="10"/>
      <c r="T4" s="10"/>
      <c r="U4" s="10"/>
      <c r="V4" s="10"/>
      <c r="W4" s="10"/>
      <c r="X4" s="10"/>
      <c r="Y4" s="9"/>
      <c r="Z4" s="51"/>
      <c r="AA4" s="10"/>
      <c r="AB4" s="15"/>
      <c r="AC4" s="10"/>
      <c r="AD4" s="15"/>
      <c r="AE4" s="15"/>
      <c r="AF4" s="10"/>
      <c r="AG4" s="15"/>
      <c r="AH4" s="15"/>
      <c r="AI4" s="15"/>
      <c r="AJ4" s="15"/>
      <c r="AK4" s="15"/>
      <c r="AL4" s="10"/>
      <c r="AM4" s="10"/>
      <c r="AN4" s="10"/>
      <c r="AO4" s="10"/>
      <c r="AP4" s="10"/>
      <c r="AQ4" s="10"/>
      <c r="AR4" s="10"/>
      <c r="AS4" s="10"/>
      <c r="AT4" s="10"/>
      <c r="AU4" s="12"/>
    </row>
    <row r="5" spans="1:49" s="3" customFormat="1">
      <c r="A5" s="362" t="s">
        <v>24</v>
      </c>
      <c r="B5" s="125"/>
      <c r="C5" s="365"/>
      <c r="D5" s="53"/>
      <c r="E5" s="52"/>
      <c r="F5" s="52"/>
      <c r="G5" s="52"/>
      <c r="H5" s="52"/>
      <c r="I5" s="52"/>
      <c r="J5" s="52"/>
      <c r="K5" s="52"/>
      <c r="L5" s="52"/>
      <c r="M5" s="52"/>
      <c r="N5" s="52"/>
      <c r="O5" s="52"/>
      <c r="P5" s="81"/>
      <c r="Q5" s="65"/>
      <c r="R5" s="540" t="s">
        <v>234</v>
      </c>
      <c r="S5" s="168" t="e">
        <f>MIN('DDR2 Clocks - 4L'!$O$22:$O$25)</f>
        <v>#REF!</v>
      </c>
      <c r="T5" s="541" t="e">
        <f>MAX('DDR2 Clocks - 4L'!$O$22:$O$25)</f>
        <v>#REF!</v>
      </c>
      <c r="U5" s="53"/>
      <c r="V5" s="65"/>
      <c r="W5" s="65"/>
      <c r="X5" s="540"/>
      <c r="Y5" s="81"/>
      <c r="Z5" s="540" t="s">
        <v>224</v>
      </c>
      <c r="AA5" s="542" t="e">
        <f>MIN('DDR2 Clocks - 4L'!$O$5:$O$6)</f>
        <v>#REF!</v>
      </c>
      <c r="AB5" s="541" t="e">
        <f>MAX('DDR2 Clocks - 4L'!$O$5:$O$6)</f>
        <v>#REF!</v>
      </c>
      <c r="AC5" s="65"/>
      <c r="AD5" s="65"/>
      <c r="AE5" s="65"/>
      <c r="AF5" s="540"/>
      <c r="AG5" s="65"/>
      <c r="AH5" s="65"/>
      <c r="AI5" s="65"/>
      <c r="AJ5" s="52"/>
      <c r="AK5" s="52"/>
      <c r="AL5" s="52"/>
      <c r="AM5" s="52"/>
      <c r="AN5" s="52"/>
      <c r="AO5" s="52"/>
      <c r="AP5" s="52"/>
      <c r="AQ5" s="52"/>
      <c r="AR5" s="52"/>
      <c r="AS5" s="52"/>
      <c r="AT5" s="52"/>
      <c r="AU5" s="58"/>
    </row>
    <row r="6" spans="1:49" s="3" customFormat="1">
      <c r="A6" s="109" t="s">
        <v>250</v>
      </c>
      <c r="B6" s="367"/>
      <c r="C6" s="119"/>
      <c r="D6" s="62"/>
      <c r="E6" s="54"/>
      <c r="F6" s="54"/>
      <c r="G6" s="54"/>
      <c r="H6" s="54"/>
      <c r="I6" s="54"/>
      <c r="J6" s="54"/>
      <c r="K6" s="54"/>
      <c r="L6" s="54"/>
      <c r="M6" s="54"/>
      <c r="N6" s="54"/>
      <c r="O6" s="54"/>
      <c r="P6" s="54"/>
      <c r="Q6" s="54"/>
      <c r="R6" s="54"/>
      <c r="S6" s="54"/>
      <c r="T6" s="66"/>
      <c r="U6" s="54"/>
      <c r="V6" s="66"/>
      <c r="W6" s="66"/>
      <c r="X6" s="66"/>
      <c r="Y6" s="54"/>
      <c r="Z6" s="54"/>
      <c r="AA6" s="66"/>
      <c r="AB6" s="67"/>
      <c r="AC6" s="66"/>
      <c r="AD6" s="54"/>
      <c r="AE6" s="54"/>
      <c r="AF6" s="66"/>
      <c r="AG6" s="54"/>
      <c r="AH6" s="54"/>
      <c r="AI6" s="54"/>
      <c r="AJ6" s="66"/>
      <c r="AK6" s="66"/>
      <c r="AL6" s="66"/>
      <c r="AM6" s="66"/>
      <c r="AN6" s="66"/>
      <c r="AO6" s="66"/>
      <c r="AP6" s="66"/>
      <c r="AQ6" s="66"/>
      <c r="AR6" s="66"/>
      <c r="AS6" s="66"/>
      <c r="AT6" s="66"/>
      <c r="AU6" s="68"/>
    </row>
    <row r="7" spans="1:49" s="3" customFormat="1">
      <c r="A7" s="652" t="e">
        <f ca="1">Assign1x8(#REF!,"Name")</f>
        <v>#NAME?</v>
      </c>
      <c r="B7" s="652" t="e">
        <f ca="1">Assign1x8(#REF!,"Ball")</f>
        <v>#NAME?</v>
      </c>
      <c r="C7" s="652" t="e">
        <f ca="1">Assign1x8(#REF!,"Len")</f>
        <v>#NAME?</v>
      </c>
      <c r="D7" s="18"/>
      <c r="E7" s="277">
        <v>29.7</v>
      </c>
      <c r="F7" s="277">
        <v>0</v>
      </c>
      <c r="G7" s="305">
        <v>2200</v>
      </c>
      <c r="H7" s="305">
        <v>80.47</v>
      </c>
      <c r="I7" s="277">
        <v>0</v>
      </c>
      <c r="J7" s="305">
        <v>78.709999999999994</v>
      </c>
      <c r="K7" s="277">
        <v>40</v>
      </c>
      <c r="L7" s="305">
        <v>100</v>
      </c>
      <c r="M7" s="305">
        <v>726.24</v>
      </c>
      <c r="N7" s="305">
        <v>350</v>
      </c>
      <c r="O7" s="69"/>
      <c r="P7" s="489">
        <f xml:space="preserve"> E7+F7+G7+H7</f>
        <v>2310.1699999999996</v>
      </c>
      <c r="Q7" s="489" t="e">
        <f ca="1">P7+IF($B$2="mil",1,0.0254)*C7</f>
        <v>#REF!</v>
      </c>
      <c r="R7" s="597"/>
      <c r="S7" s="489" t="e">
        <f>MAX(S$5:T$5)+IF($B$2="mil",1,0.0254)*DDR2Specs!$B$2</f>
        <v>#REF!</v>
      </c>
      <c r="T7" s="489" t="e">
        <f>MIN(S$5:T$5)+IF($B$2="mil",1,0.0254)*DDR2Specs!$C$2</f>
        <v>#REF!</v>
      </c>
      <c r="U7" s="597"/>
      <c r="V7" s="598" t="e">
        <f ca="1">IF($Q7&lt;$S7,$S7-$Q7,"Pass")</f>
        <v>#REF!</v>
      </c>
      <c r="W7" s="495" t="e">
        <f ca="1">IF($Q7&gt;$T7,$Q7-$T7,"Pass")</f>
        <v>#REF!</v>
      </c>
      <c r="X7" s="21"/>
      <c r="Y7" s="489">
        <f>SUM(E7:G7,I7:N7)</f>
        <v>3524.6499999999996</v>
      </c>
      <c r="Z7" s="489" t="e">
        <f ca="1">Y7+IF($B$2="mil",1,0.0254)*$C7</f>
        <v>#REF!</v>
      </c>
      <c r="AA7" s="489" t="e">
        <f>MAX(AA$5:AB$5)+IF($B$2="mil",1,0.0254)*DDR2Specs!$E$2</f>
        <v>#REF!</v>
      </c>
      <c r="AB7" s="489" t="e">
        <f>MIN(AA$5:AB$5)+IF($B$2="mil",1,0.0254)*DDR2Specs!$F$2</f>
        <v>#REF!</v>
      </c>
      <c r="AC7" s="21"/>
      <c r="AD7" s="598" t="e">
        <f ca="1">IF($Z7&lt;$AA7,$AA7-$Z7,"Pass")</f>
        <v>#REF!</v>
      </c>
      <c r="AE7" s="495" t="e">
        <f ca="1">IF($Z7&gt;$AB7,$Z7-$AB7,"Pass")</f>
        <v>#REF!</v>
      </c>
      <c r="AF7" s="21"/>
      <c r="AG7" s="495" t="e">
        <f ca="1">IF((ABS($Q7-$Q8)&lt;=IF($B$2="mil",1,0.0254)*5),"Pass",ABS($Q7-$Q8))</f>
        <v>#REF!</v>
      </c>
      <c r="AH7" s="495" t="e">
        <f ca="1">IF((ABS($Z7-$Z8)&lt;=IF($B$2="mil",1,0.0254)*5),"Pass",ABS($Z7-$Z8))</f>
        <v>#REF!</v>
      </c>
      <c r="AI7" s="495" t="e">
        <f>IF($E7&lt;=IF($B$2="mil",1,0.0254)*50,"Pass",IF($B$2="mil",1,0.0254)*50-$E7)</f>
        <v>#REF!</v>
      </c>
      <c r="AJ7" s="495" t="e">
        <f>IF($F7&lt;=IF($B$2="mil",1,0.0254)*500,"Pass",IF($B$2="mil",1,0.0254)*500-$F7)</f>
        <v>#REF!</v>
      </c>
      <c r="AK7" s="495" t="e">
        <f>IF($H7&lt;=IF($B$2="mil",1,0.0254)*250,"Pass",IF($B$2="mil",1,0.0254)*250-$H7)</f>
        <v>#REF!</v>
      </c>
      <c r="AL7" s="495" t="e">
        <f ca="1">CheckLength(IF($B$2="mil",1,0.0254)*1125, IF($B$2="mil",1,0.0254)*125-J7, 0, I7,J7,0)</f>
        <v>#NAME?</v>
      </c>
      <c r="AM7" s="495" t="e">
        <f>IF($J7&lt;=IF($B$2="mil",1,0.0254)*125,"Pass",IF($B$2="mil",1,0.0254)*125-$J7)</f>
        <v>#REF!</v>
      </c>
      <c r="AN7" s="495" t="e">
        <f>IF($L7&lt;=IF($B$2="mil",1,0.0254)*125,"Pass",IF($B$2="mil",1,0.0254)*125-$L7)</f>
        <v>#REF!</v>
      </c>
      <c r="AO7" s="495" t="e">
        <f ca="1">CheckLength(IF($B$2="mil",1,0.0254)*1250, IF($B$2="mil",1,0.0254)*125-L7, IF($B$2="mil",1,0.0254)*150-N7, M7,L7,N7)</f>
        <v>#NAME?</v>
      </c>
      <c r="AP7" s="495" t="e">
        <f ca="1">CheckLength2(IF($B$2="mil",1,0.0254)*1400,$M7,$N7,0)</f>
        <v>#NAME?</v>
      </c>
      <c r="AQ7" s="495" t="e">
        <f>IF(AND($P7&gt;=IF($B$2="mil",1,0.0254)*500, $P7&lt;=IF($B$2="mil",1,0.0254)*4000),"Pass",IF($B$2="mil",1,0.0254)*4000-$P7)</f>
        <v>#REF!</v>
      </c>
      <c r="AR7" s="495" t="e">
        <f ca="1">IF(AND($Q7&gt;=IF($B$2="mil",1,0.0254)*500, $Q7&lt;=IF($B$2="mil",1,0.0254)*4500),"Pass",IF($B$2="mil",1,0.0254)*4500-$Q7)</f>
        <v>#REF!</v>
      </c>
      <c r="AS7" s="495" t="e">
        <f>IF(AND($Y7&gt;=IF($B$2="mil",1,0.0254)*500, $Y7&lt;=IF($B$2="mil",1,0.0254)*5000),"Pass",IF($B$2="mil",1,0.0254)*5000-$Y7)</f>
        <v>#REF!</v>
      </c>
      <c r="AT7" s="495" t="e">
        <f ca="1">IF(AND($Z7&gt;=IF($B$2="mil",1,0.0254)*500, $Z7&lt;=IF($B$2="mil",1,0.0254)*6000),"Pass",IF($B$2="mil",1,0.0254)*6000-$Z7)</f>
        <v>#REF!</v>
      </c>
      <c r="AU7" s="21"/>
      <c r="AV7" s="3" t="e">
        <f ca="1">IF(AND(AI7="Pass",AR7="Pass",AK7="Pass",AJ7="Pass",AQ7="Pass",V7="Pass",W7="Pass",AO7="Pass",AP7="Pass",AN7="Pass",AM7="Pass",AL7="Pass",AG7="Pass",AH7="Pass",AS7="Pass",AT7="Pass",AD7="Pass",AE7="Pass"),"Pass","Fail")</f>
        <v>#REF!</v>
      </c>
      <c r="AW7" s="3" t="e">
        <f ca="1">IF(AND(AV7="Pass",AV8="Pass",AV12="Pass",AV13="Pass",AV17="Pass",AV18="Pass",AV22="Pass",AV23="Pass",AV27="Pass",AV28="Pass",AV32="Pass",AV33="Pass",AV37="Pass",AV38="Pass",AV42="Pass",AV43="Pass"),"Pass","Fail")</f>
        <v>#REF!</v>
      </c>
    </row>
    <row r="8" spans="1:49" s="3" customFormat="1">
      <c r="A8" s="652" t="e">
        <f ca="1">Assign1x8(#REF!,"Name_P")</f>
        <v>#NAME?</v>
      </c>
      <c r="B8" s="652" t="e">
        <f ca="1">Assign1x8(#REF!,"Ball_P")</f>
        <v>#NAME?</v>
      </c>
      <c r="C8" s="652" t="e">
        <f ca="1">Assign1x8(#REF!,"Len_P")</f>
        <v>#NAME?</v>
      </c>
      <c r="D8" s="18"/>
      <c r="E8" s="277">
        <v>29.7</v>
      </c>
      <c r="F8" s="277">
        <v>0</v>
      </c>
      <c r="G8" s="305">
        <v>2200</v>
      </c>
      <c r="H8" s="305">
        <v>80.430000000000007</v>
      </c>
      <c r="I8" s="277">
        <v>0</v>
      </c>
      <c r="J8" s="305">
        <v>65.78</v>
      </c>
      <c r="K8" s="277">
        <v>40</v>
      </c>
      <c r="L8" s="305">
        <v>120</v>
      </c>
      <c r="M8" s="305">
        <v>723.24</v>
      </c>
      <c r="N8" s="305">
        <v>350</v>
      </c>
      <c r="O8" s="69"/>
      <c r="P8" s="489">
        <f xml:space="preserve"> E8+F8+G8+H8</f>
        <v>2310.1299999999997</v>
      </c>
      <c r="Q8" s="489" t="e">
        <f ca="1">P8+IF($B$2="mil",1,0.0254)*C8</f>
        <v>#REF!</v>
      </c>
      <c r="R8" s="597"/>
      <c r="S8" s="489" t="e">
        <f>MAX(S$5:T$5)+IF($B$2="mil",1,0.0254)*DDR2Specs!$B$2</f>
        <v>#REF!</v>
      </c>
      <c r="T8" s="489" t="e">
        <f>MIN(S$5:T$5)+IF($B$2="mil",1,0.0254)*DDR2Specs!$C$2</f>
        <v>#REF!</v>
      </c>
      <c r="U8" s="597"/>
      <c r="V8" s="598" t="e">
        <f ca="1">IF($Q8&lt;$S8,$S8-$Q8,"Pass")</f>
        <v>#REF!</v>
      </c>
      <c r="W8" s="495" t="e">
        <f ca="1">IF($Q8&gt;$T8,$Q8-$T8,"Pass")</f>
        <v>#REF!</v>
      </c>
      <c r="X8" s="21"/>
      <c r="Y8" s="489">
        <f>SUM(E8:G8,I8:N8)</f>
        <v>3528.7200000000003</v>
      </c>
      <c r="Z8" s="489" t="e">
        <f ca="1">Y8+IF($B$2="mil",1,0.0254)*$C8</f>
        <v>#REF!</v>
      </c>
      <c r="AA8" s="489" t="e">
        <f>MAX(AA$5:AB$5)+IF($B$2="mil",1,0.0254)*DDR2Specs!$E$2</f>
        <v>#REF!</v>
      </c>
      <c r="AB8" s="489" t="e">
        <f>MIN(AA$5:AB$5)+IF($B$2="mil",1,0.0254)*DDR2Specs!$F$2</f>
        <v>#REF!</v>
      </c>
      <c r="AC8" s="21"/>
      <c r="AD8" s="598" t="e">
        <f ca="1">IF($Z8&lt;$AA8,$AA8-$Z8,"Pass")</f>
        <v>#REF!</v>
      </c>
      <c r="AE8" s="495" t="e">
        <f ca="1">IF($Z8&gt;$AB8,$Z8-$AB8,"Pass")</f>
        <v>#REF!</v>
      </c>
      <c r="AF8" s="21"/>
      <c r="AG8" s="495" t="e">
        <f ca="1">IF((ABS($Q8-$Q7)&lt;=IF($B$2="mil",1,0.0254)*5),"Pass",ABS($Q8-$Q7))</f>
        <v>#REF!</v>
      </c>
      <c r="AH8" s="495" t="e">
        <f ca="1">IF((ABS($Z8-$Z7)&lt;=IF($B$2="mil",1,0.0254)*5),"Pass",ABS($Z8-$Z7))</f>
        <v>#REF!</v>
      </c>
      <c r="AI8" s="495" t="e">
        <f>IF($E8&lt;=IF($B$2="mil",1,0.0254)*50,"Pass",IF($B$2="mil",1,0.0254)*50-$E8)</f>
        <v>#REF!</v>
      </c>
      <c r="AJ8" s="495" t="e">
        <f>IF($F8&lt;=IF($B$2="mil",1,0.0254)*500,"Pass",IF($B$2="mil",1,0.0254)*500-$F8)</f>
        <v>#REF!</v>
      </c>
      <c r="AK8" s="495" t="e">
        <f>IF($H8&lt;=IF($B$2="mil",1,0.0254)*250,"Pass",IF($B$2="mil",1,0.0254)*250-$H8)</f>
        <v>#REF!</v>
      </c>
      <c r="AL8" s="495" t="e">
        <f ca="1">CheckLength(IF($B$2="mil",1,0.0254)*1125, IF($B$2="mil",1,0.0254)*125-J8, 0, I8,J8,0)</f>
        <v>#NAME?</v>
      </c>
      <c r="AM8" s="495" t="e">
        <f>IF($J8&lt;=IF($B$2="mil",1,0.0254)*125,"Pass",IF($B$2="mil",1,0.0254)*125-$J8)</f>
        <v>#REF!</v>
      </c>
      <c r="AN8" s="495" t="e">
        <f>IF($L8&lt;=IF($B$2="mil",1,0.0254)*125,"Pass",IF($B$2="mil",1,0.0254)*125-$L8)</f>
        <v>#REF!</v>
      </c>
      <c r="AO8" s="495" t="e">
        <f ca="1">CheckLength(IF($B$2="mil",1,0.0254)*1250, IF($B$2="mil",1,0.0254)*125-L8, IF($B$2="mil",1,0.0254)*150-N8, M8,L8,N8)</f>
        <v>#NAME?</v>
      </c>
      <c r="AP8" s="495" t="e">
        <f ca="1">CheckLength2(IF($B$2="mil",1,0.0254)*1400,$M8,$N8,0)</f>
        <v>#NAME?</v>
      </c>
      <c r="AQ8" s="495" t="e">
        <f>IF(AND($P8&gt;=IF($B$2="mil",1,0.0254)*500, $P8&lt;=IF($B$2="mil",1,0.0254)*4000),"Pass",IF($B$2="mil",1,0.0254)*4000-$P8)</f>
        <v>#REF!</v>
      </c>
      <c r="AR8" s="495" t="e">
        <f ca="1">IF(AND($Q8&gt;=IF($B$2="mil",1,0.0254)*500, $Q8&lt;=IF($B$2="mil",1,0.0254)*4500),"Pass",IF($B$2="mil",1,0.0254)*4500-$Q8)</f>
        <v>#REF!</v>
      </c>
      <c r="AS8" s="495" t="e">
        <f>IF(AND($Y8&gt;=IF($B$2="mil",1,0.0254)*500, $Y8&lt;=IF($B$2="mil",1,0.0254)*5000),"Pass",IF($B$2="mil",1,0.0254)*5000-$Y8)</f>
        <v>#REF!</v>
      </c>
      <c r="AT8" s="495" t="e">
        <f ca="1">IF(AND($Z8&gt;=IF($B$2="mil",1,0.0254)*500, $Z8&lt;=IF($B$2="mil",1,0.0254)*6000),"Pass",IF($B$2="mil",1,0.0254)*6000-$Z8)</f>
        <v>#REF!</v>
      </c>
      <c r="AU8" s="21"/>
      <c r="AV8" s="3" t="e">
        <f ca="1">IF(AND(AI8="Pass",AR8="Pass",AK8="Pass",AJ8="Pass",AQ8="Pass",V8="Pass",W8="Pass",AO8="Pass",AP8="Pass",AN8="Pass",AM8="Pass",AL8="Pass",AG8="Pass",AH8="Pass",AS8="Pass",AT8="Pass",AD8="Pass",AE8="Pass"),"Pass","Fail")</f>
        <v>#REF!</v>
      </c>
    </row>
    <row r="9" spans="1:49" s="3" customFormat="1">
      <c r="A9" s="8" t="s">
        <v>249</v>
      </c>
      <c r="B9" s="631"/>
      <c r="C9" s="632"/>
      <c r="D9" s="10"/>
      <c r="E9" s="288"/>
      <c r="F9" s="288"/>
      <c r="G9" s="288"/>
      <c r="H9" s="288"/>
      <c r="I9" s="288"/>
      <c r="J9" s="292"/>
      <c r="K9" s="10"/>
      <c r="L9" s="292"/>
      <c r="M9" s="292"/>
      <c r="N9" s="292"/>
      <c r="O9" s="10"/>
      <c r="P9" s="9"/>
      <c r="Q9" s="51"/>
      <c r="R9" s="10"/>
      <c r="S9" s="10"/>
      <c r="T9" s="10"/>
      <c r="U9" s="10"/>
      <c r="V9" s="10"/>
      <c r="W9" s="10"/>
      <c r="X9" s="10"/>
      <c r="Y9" s="9"/>
      <c r="Z9" s="51"/>
      <c r="AA9" s="10"/>
      <c r="AB9" s="15"/>
      <c r="AC9" s="10"/>
      <c r="AD9" s="15"/>
      <c r="AE9" s="15"/>
      <c r="AF9" s="10"/>
      <c r="AG9" s="15"/>
      <c r="AH9" s="15"/>
      <c r="AI9" s="15"/>
      <c r="AJ9" s="15"/>
      <c r="AK9" s="15"/>
      <c r="AL9" s="10"/>
      <c r="AM9" s="10"/>
      <c r="AN9" s="10"/>
      <c r="AO9" s="10"/>
      <c r="AP9" s="10"/>
      <c r="AQ9" s="10"/>
      <c r="AR9" s="10"/>
      <c r="AS9" s="10"/>
      <c r="AT9" s="10"/>
      <c r="AU9" s="12"/>
    </row>
    <row r="10" spans="1:49" s="3" customFormat="1">
      <c r="A10" s="653" t="s">
        <v>24</v>
      </c>
      <c r="B10" s="654"/>
      <c r="C10" s="648"/>
      <c r="D10" s="53"/>
      <c r="E10" s="289"/>
      <c r="F10" s="289"/>
      <c r="G10" s="289"/>
      <c r="H10" s="289"/>
      <c r="I10" s="289"/>
      <c r="J10" s="293"/>
      <c r="K10" s="52"/>
      <c r="L10" s="293"/>
      <c r="M10" s="293"/>
      <c r="N10" s="293"/>
      <c r="O10" s="52"/>
      <c r="P10" s="81"/>
      <c r="Q10" s="65"/>
      <c r="R10" s="540"/>
      <c r="S10" s="168"/>
      <c r="T10" s="541"/>
      <c r="U10" s="53"/>
      <c r="V10" s="65"/>
      <c r="W10" s="65"/>
      <c r="X10" s="540"/>
      <c r="Y10" s="81"/>
      <c r="Z10" s="540" t="s">
        <v>284</v>
      </c>
      <c r="AA10" s="542" t="e">
        <f>MIN('DDR2 Clocks - 4L'!$O$7:$O$8)</f>
        <v>#REF!</v>
      </c>
      <c r="AB10" s="541" t="e">
        <f>MAX('DDR2 Clocks - 4L'!$O$7:$O$8)</f>
        <v>#REF!</v>
      </c>
      <c r="AC10" s="65"/>
      <c r="AD10" s="65"/>
      <c r="AE10" s="65"/>
      <c r="AF10" s="540"/>
      <c r="AG10" s="65"/>
      <c r="AH10" s="65"/>
      <c r="AI10" s="65"/>
      <c r="AJ10" s="52"/>
      <c r="AK10" s="52"/>
      <c r="AL10" s="52"/>
      <c r="AM10" s="52"/>
      <c r="AN10" s="52"/>
      <c r="AO10" s="52"/>
      <c r="AP10" s="52"/>
      <c r="AQ10" s="52"/>
      <c r="AR10" s="52"/>
      <c r="AS10" s="52"/>
      <c r="AT10" s="52"/>
      <c r="AU10" s="58"/>
    </row>
    <row r="11" spans="1:49" s="3" customFormat="1">
      <c r="A11" s="8" t="s">
        <v>250</v>
      </c>
      <c r="B11" s="655"/>
      <c r="C11" s="649"/>
      <c r="D11" s="62"/>
      <c r="E11" s="290"/>
      <c r="F11" s="290"/>
      <c r="G11" s="290"/>
      <c r="H11" s="290"/>
      <c r="I11" s="290"/>
      <c r="J11" s="294"/>
      <c r="K11" s="54"/>
      <c r="L11" s="294"/>
      <c r="M11" s="294"/>
      <c r="N11" s="294"/>
      <c r="O11" s="54"/>
      <c r="P11" s="54"/>
      <c r="Q11" s="54"/>
      <c r="R11" s="54"/>
      <c r="S11" s="54"/>
      <c r="T11" s="66"/>
      <c r="U11" s="54"/>
      <c r="V11" s="66"/>
      <c r="W11" s="66"/>
      <c r="X11" s="66"/>
      <c r="Y11" s="54"/>
      <c r="Z11" s="54"/>
      <c r="AA11" s="66"/>
      <c r="AB11" s="67"/>
      <c r="AC11" s="66"/>
      <c r="AD11" s="54"/>
      <c r="AE11" s="54"/>
      <c r="AF11" s="66"/>
      <c r="AG11" s="54"/>
      <c r="AH11" s="54"/>
      <c r="AI11" s="54"/>
      <c r="AJ11" s="66"/>
      <c r="AK11" s="66"/>
      <c r="AL11" s="66"/>
      <c r="AM11" s="66"/>
      <c r="AN11" s="66"/>
      <c r="AO11" s="66"/>
      <c r="AP11" s="66"/>
      <c r="AQ11" s="66"/>
      <c r="AR11" s="66"/>
      <c r="AS11" s="66"/>
      <c r="AT11" s="66"/>
      <c r="AU11" s="68"/>
    </row>
    <row r="12" spans="1:49" s="3" customFormat="1">
      <c r="A12" s="652" t="e">
        <f ca="1">Assign1x8(#REF!,"Name")</f>
        <v>#NAME?</v>
      </c>
      <c r="B12" s="652" t="e">
        <f ca="1">Assign1x8(#REF!,"Ball")</f>
        <v>#NAME?</v>
      </c>
      <c r="C12" s="652" t="e">
        <f ca="1">Assign1x8(#REF!,"Len")</f>
        <v>#NAME?</v>
      </c>
      <c r="D12" s="18"/>
      <c r="E12" s="277">
        <v>29.7</v>
      </c>
      <c r="F12" s="277">
        <v>0</v>
      </c>
      <c r="G12" s="305">
        <v>2022.95</v>
      </c>
      <c r="H12" s="305">
        <v>79.39</v>
      </c>
      <c r="I12" s="277">
        <v>0</v>
      </c>
      <c r="J12" s="305">
        <v>57.5</v>
      </c>
      <c r="K12" s="277">
        <v>40</v>
      </c>
      <c r="L12" s="305">
        <v>120</v>
      </c>
      <c r="M12" s="305">
        <v>793.08</v>
      </c>
      <c r="N12" s="305">
        <v>340</v>
      </c>
      <c r="O12" s="69"/>
      <c r="P12" s="489">
        <f xml:space="preserve"> E12+F12+G12+H12</f>
        <v>2132.04</v>
      </c>
      <c r="Q12" s="489" t="e">
        <f ca="1">P12+IF($B$2="mil",1,0.0254)*C12</f>
        <v>#REF!</v>
      </c>
      <c r="R12" s="597"/>
      <c r="S12" s="489" t="e">
        <f>MAX(S$5:T$5)+IF($B$2="mil",1,0.0254)*DDR2Specs!$B$2</f>
        <v>#REF!</v>
      </c>
      <c r="T12" s="489" t="e">
        <f>MIN(S$5:T$5)+IF($B$2="mil",1,0.0254)*DDR2Specs!$C$2</f>
        <v>#REF!</v>
      </c>
      <c r="U12" s="597"/>
      <c r="V12" s="598" t="e">
        <f ca="1">IF($Q12&lt;$S12,$S12-$Q12,"Pass")</f>
        <v>#REF!</v>
      </c>
      <c r="W12" s="495" t="e">
        <f ca="1">IF($Q12&gt;$T12,$Q12-$T12,"Pass")</f>
        <v>#REF!</v>
      </c>
      <c r="X12" s="21"/>
      <c r="Y12" s="489">
        <f>SUM(E12:G12,I12:N12)</f>
        <v>3403.23</v>
      </c>
      <c r="Z12" s="489" t="e">
        <f ca="1">Y12+IF($B$2="mil",1,0.0254)*$C12</f>
        <v>#REF!</v>
      </c>
      <c r="AA12" s="489" t="e">
        <f>MAX(AA$10:AB$10)+IF($B$2="mil",1,0.0254)*DDR2Specs!$E$2</f>
        <v>#REF!</v>
      </c>
      <c r="AB12" s="489" t="e">
        <f>MIN(AA$10:AB$10)+IF($B$2="mil",1,0.0254)*DDR2Specs!$F$2</f>
        <v>#REF!</v>
      </c>
      <c r="AC12" s="21"/>
      <c r="AD12" s="598" t="e">
        <f ca="1">IF($Z12&lt;$AA12,$AA12-$Z12,"Pass")</f>
        <v>#REF!</v>
      </c>
      <c r="AE12" s="495" t="e">
        <f ca="1">IF($Z12&gt;$AB12,$Z12-$AB12,"Pass")</f>
        <v>#REF!</v>
      </c>
      <c r="AF12" s="21"/>
      <c r="AG12" s="495" t="e">
        <f ca="1">IF((ABS($Q12-$Q13)&lt;=IF($B$2="mil",1,0.0254)*5),"Pass",ABS($Q12-$Q13))</f>
        <v>#REF!</v>
      </c>
      <c r="AH12" s="495" t="e">
        <f ca="1">IF((ABS($Z12-$Z13)&lt;=IF($B$2="mil",1,0.0254)*5),"Pass",ABS($Z12-$Z13))</f>
        <v>#REF!</v>
      </c>
      <c r="AI12" s="495" t="e">
        <f>IF($E12&lt;=IF($B$2="mil",1,0.0254)*50,"Pass",IF($B$2="mil",1,0.0254)*50-$E12)</f>
        <v>#REF!</v>
      </c>
      <c r="AJ12" s="495" t="e">
        <f>IF($F12&lt;=IF($B$2="mil",1,0.0254)*500,"Pass",IF($B$2="mil",1,0.0254)*500-$F12)</f>
        <v>#REF!</v>
      </c>
      <c r="AK12" s="495" t="e">
        <f>IF($H12&lt;=IF($B$2="mil",1,0.0254)*250,"Pass",IF($B$2="mil",1,0.0254)*250-$H12)</f>
        <v>#REF!</v>
      </c>
      <c r="AL12" s="495" t="e">
        <f ca="1">CheckLength(IF($B$2="mil",1,0.0254)*1125, IF($B$2="mil",1,0.0254)*125-J12, 0, I12,J12,0)</f>
        <v>#NAME?</v>
      </c>
      <c r="AM12" s="495" t="e">
        <f>IF($J12&lt;=IF($B$2="mil",1,0.0254)*125,"Pass",IF($B$2="mil",1,0.0254)*125-$J12)</f>
        <v>#REF!</v>
      </c>
      <c r="AN12" s="495" t="e">
        <f>IF($L12&lt;=IF($B$2="mil",1,0.0254)*125,"Pass",IF($B$2="mil",1,0.0254)*125-$L12)</f>
        <v>#REF!</v>
      </c>
      <c r="AO12" s="495" t="e">
        <f ca="1">CheckLength(IF($B$2="mil",1,0.0254)*1250, IF($B$2="mil",1,0.0254)*125-L12, IF($B$2="mil",1,0.0254)*150-N12, M12,L12,N12)</f>
        <v>#NAME?</v>
      </c>
      <c r="AP12" s="495" t="e">
        <f ca="1">CheckLength2(IF($B$2="mil",1,0.0254)*1400,$M12,$N12,0)</f>
        <v>#NAME?</v>
      </c>
      <c r="AQ12" s="495" t="e">
        <f>IF(AND($P12&gt;=IF($B$2="mil",1,0.0254)*500, $P12&lt;=IF($B$2="mil",1,0.0254)*4000),"Pass",IF($B$2="mil",1,0.0254)*4000-$P12)</f>
        <v>#REF!</v>
      </c>
      <c r="AR12" s="495" t="e">
        <f ca="1">IF(AND($Q12&gt;=IF($B$2="mil",1,0.0254)*500, $Q12&lt;=IF($B$2="mil",1,0.0254)*4500),"Pass",IF($B$2="mil",1,0.0254)*4500-$Q12)</f>
        <v>#REF!</v>
      </c>
      <c r="AS12" s="495" t="e">
        <f>IF(AND($Y12&gt;=IF($B$2="mil",1,0.0254)*500, $Y12&lt;=IF($B$2="mil",1,0.0254)*5000),"Pass",IF($B$2="mil",1,0.0254)*5000-$Y12)</f>
        <v>#REF!</v>
      </c>
      <c r="AT12" s="495" t="e">
        <f ca="1">IF(AND($Z12&gt;=IF($B$2="mil",1,0.0254)*500, $Z12&lt;=IF($B$2="mil",1,0.0254)*6000),"Pass",IF($B$2="mil",1,0.0254)*6000-$Z12)</f>
        <v>#REF!</v>
      </c>
      <c r="AU12" s="21"/>
      <c r="AV12" s="3" t="e">
        <f ca="1">IF(AND(AI12="Pass",AR12="Pass",AK12="Pass",AJ12="Pass",AQ12="Pass",V12="Pass",W12="Pass",AO12="Pass",AP12="Pass",AN12="Pass",AM12="Pass",AL12="Pass",AG12="Pass",AH12="Pass",AS12="Pass",AT12="Pass",AD12="Pass",AE12="Pass"),"Pass","Fail")</f>
        <v>#REF!</v>
      </c>
    </row>
    <row r="13" spans="1:49" s="3" customFormat="1">
      <c r="A13" s="652" t="e">
        <f ca="1">Assign1x8(#REF!,"Name_P")</f>
        <v>#NAME?</v>
      </c>
      <c r="B13" s="652" t="e">
        <f ca="1">Assign1x8(#REF!,"Ball_P")</f>
        <v>#NAME?</v>
      </c>
      <c r="C13" s="652" t="e">
        <f ca="1">Assign1x8(#REF!,"Len_P")</f>
        <v>#NAME?</v>
      </c>
      <c r="D13" s="18"/>
      <c r="E13" s="277">
        <v>29.7</v>
      </c>
      <c r="F13" s="277">
        <v>0</v>
      </c>
      <c r="G13" s="305">
        <v>2020.82</v>
      </c>
      <c r="H13" s="305">
        <v>81.5</v>
      </c>
      <c r="I13" s="277">
        <v>0</v>
      </c>
      <c r="J13" s="305">
        <v>61.64</v>
      </c>
      <c r="K13" s="277">
        <v>40</v>
      </c>
      <c r="L13" s="305">
        <v>120</v>
      </c>
      <c r="M13" s="305">
        <v>792.48</v>
      </c>
      <c r="N13" s="305">
        <v>340</v>
      </c>
      <c r="O13" s="69"/>
      <c r="P13" s="489">
        <f xml:space="preserve"> E13+F13+G13+H13</f>
        <v>2132.02</v>
      </c>
      <c r="Q13" s="489" t="e">
        <f ca="1">P13+IF($B$2="mil",1,0.0254)*C13</f>
        <v>#REF!</v>
      </c>
      <c r="R13" s="597"/>
      <c r="S13" s="489" t="e">
        <f>MAX(S$5:T$5)+IF($B$2="mil",1,0.0254)*DDR2Specs!$B$2</f>
        <v>#REF!</v>
      </c>
      <c r="T13" s="489" t="e">
        <f>MIN(S$5:T$5)+IF($B$2="mil",1,0.0254)*DDR2Specs!$C$2</f>
        <v>#REF!</v>
      </c>
      <c r="U13" s="597"/>
      <c r="V13" s="598" t="e">
        <f ca="1">IF($Q13&lt;$S13,$S13-$Q13,"Pass")</f>
        <v>#REF!</v>
      </c>
      <c r="W13" s="495" t="e">
        <f ca="1">IF($Q13&gt;$T13,$Q13-$T13,"Pass")</f>
        <v>#REF!</v>
      </c>
      <c r="X13" s="21"/>
      <c r="Y13" s="489">
        <f>SUM(E13:G13,I13:N13)</f>
        <v>3404.64</v>
      </c>
      <c r="Z13" s="489" t="e">
        <f ca="1">Y13+IF($B$2="mil",1,0.0254)*$C13</f>
        <v>#REF!</v>
      </c>
      <c r="AA13" s="489" t="e">
        <f>MAX(AA$10:AB$10)+IF($B$2="mil",1,0.0254)*DDR2Specs!$E$2</f>
        <v>#REF!</v>
      </c>
      <c r="AB13" s="489" t="e">
        <f>MIN(AA$10:AB$10)+IF($B$2="mil",1,0.0254)*DDR2Specs!$F$2</f>
        <v>#REF!</v>
      </c>
      <c r="AC13" s="21"/>
      <c r="AD13" s="598" t="e">
        <f ca="1">IF($Z13&lt;$AA13,$AA13-$Z13,"Pass")</f>
        <v>#REF!</v>
      </c>
      <c r="AE13" s="495" t="e">
        <f ca="1">IF($Z13&gt;$AB13,$Z13-$AB13,"Pass")</f>
        <v>#REF!</v>
      </c>
      <c r="AF13" s="21"/>
      <c r="AG13" s="495" t="e">
        <f ca="1">IF((ABS($Q13-$Q12)&lt;=IF($B$2="mil",1,0.0254)*5),"Pass",ABS($Q13-$Q12))</f>
        <v>#REF!</v>
      </c>
      <c r="AH13" s="495" t="e">
        <f ca="1">IF((ABS($Z13-$Z12)&lt;=IF($B$2="mil",1,0.0254)*5),"Pass",ABS($Z13-$Z12))</f>
        <v>#REF!</v>
      </c>
      <c r="AI13" s="495" t="e">
        <f>IF($E13&lt;=IF($B$2="mil",1,0.0254)*50,"Pass",IF($B$2="mil",1,0.0254)*50-$E13)</f>
        <v>#REF!</v>
      </c>
      <c r="AJ13" s="495" t="e">
        <f>IF($F13&lt;=IF($B$2="mil",1,0.0254)*500,"Pass",IF($B$2="mil",1,0.0254)*500-$F13)</f>
        <v>#REF!</v>
      </c>
      <c r="AK13" s="495" t="e">
        <f>IF($H13&lt;=IF($B$2="mil",1,0.0254)*250,"Pass",IF($B$2="mil",1,0.0254)*250-$H13)</f>
        <v>#REF!</v>
      </c>
      <c r="AL13" s="495" t="e">
        <f ca="1">CheckLength(IF($B$2="mil",1,0.0254)*1125, IF($B$2="mil",1,0.0254)*125-J13, 0, I13,J13,0)</f>
        <v>#NAME?</v>
      </c>
      <c r="AM13" s="495" t="e">
        <f>IF($J13&lt;=IF($B$2="mil",1,0.0254)*125,"Pass",IF($B$2="mil",1,0.0254)*125-$J13)</f>
        <v>#REF!</v>
      </c>
      <c r="AN13" s="495" t="e">
        <f>IF($L13&lt;=IF($B$2="mil",1,0.0254)*125,"Pass",IF($B$2="mil",1,0.0254)*125-$L13)</f>
        <v>#REF!</v>
      </c>
      <c r="AO13" s="495" t="e">
        <f ca="1">CheckLength(IF($B$2="mil",1,0.0254)*1250, IF($B$2="mil",1,0.0254)*125-L13, IF($B$2="mil",1,0.0254)*150-N13, M13,L13,N13)</f>
        <v>#NAME?</v>
      </c>
      <c r="AP13" s="495" t="e">
        <f ca="1">CheckLength2(IF($B$2="mil",1,0.0254)*1400,$M13,$N13,0)</f>
        <v>#NAME?</v>
      </c>
      <c r="AQ13" s="495" t="e">
        <f>IF(AND($P13&gt;=IF($B$2="mil",1,0.0254)*500, $P13&lt;=IF($B$2="mil",1,0.0254)*4000),"Pass",IF($B$2="mil",1,0.0254)*4000-$P13)</f>
        <v>#REF!</v>
      </c>
      <c r="AR13" s="495" t="e">
        <f ca="1">IF(AND($Q13&gt;=IF($B$2="mil",1,0.0254)*500, $Q13&lt;=IF($B$2="mil",1,0.0254)*4500),"Pass",IF($B$2="mil",1,0.0254)*4500-$Q13)</f>
        <v>#REF!</v>
      </c>
      <c r="AS13" s="495" t="e">
        <f>IF(AND($Y13&gt;=IF($B$2="mil",1,0.0254)*500, $Y13&lt;=IF($B$2="mil",1,0.0254)*5000),"Pass",IF($B$2="mil",1,0.0254)*5000-$Y13)</f>
        <v>#REF!</v>
      </c>
      <c r="AT13" s="495" t="e">
        <f ca="1">IF(AND($Z13&gt;=IF($B$2="mil",1,0.0254)*500, $Z13&lt;=IF($B$2="mil",1,0.0254)*6000),"Pass",IF($B$2="mil",1,0.0254)*6000-$Z13)</f>
        <v>#REF!</v>
      </c>
      <c r="AU13" s="21"/>
      <c r="AV13" s="3" t="e">
        <f ca="1">IF(AND(AI13="Pass",AR13="Pass",AK13="Pass",AJ13="Pass",AQ13="Pass",V13="Pass",W13="Pass",AO13="Pass",AP13="Pass",AN13="Pass",AM13="Pass",AL13="Pass",AG13="Pass",AH13="Pass",AS13="Pass",AT13="Pass",AD13="Pass",AE13="Pass"),"Pass","Fail")</f>
        <v>#REF!</v>
      </c>
    </row>
    <row r="14" spans="1:49" s="3" customFormat="1">
      <c r="A14" s="8" t="s">
        <v>249</v>
      </c>
      <c r="B14" s="631"/>
      <c r="C14" s="632"/>
      <c r="D14" s="10"/>
      <c r="E14" s="288"/>
      <c r="F14" s="288"/>
      <c r="G14" s="288"/>
      <c r="H14" s="288"/>
      <c r="I14" s="288"/>
      <c r="J14" s="292"/>
      <c r="K14" s="10"/>
      <c r="L14" s="292"/>
      <c r="M14" s="292"/>
      <c r="N14" s="292"/>
      <c r="O14" s="10"/>
      <c r="P14" s="9"/>
      <c r="Q14" s="51"/>
      <c r="R14" s="10"/>
      <c r="S14" s="10"/>
      <c r="T14" s="10"/>
      <c r="U14" s="10"/>
      <c r="V14" s="10"/>
      <c r="W14" s="10"/>
      <c r="X14" s="10"/>
      <c r="Y14" s="9"/>
      <c r="Z14" s="51"/>
      <c r="AA14" s="10"/>
      <c r="AB14" s="15"/>
      <c r="AC14" s="10"/>
      <c r="AD14" s="15"/>
      <c r="AE14" s="15"/>
      <c r="AF14" s="10"/>
      <c r="AG14" s="15"/>
      <c r="AH14" s="15"/>
      <c r="AI14" s="15"/>
      <c r="AJ14" s="15"/>
      <c r="AK14" s="15"/>
      <c r="AL14" s="10"/>
      <c r="AM14" s="10"/>
      <c r="AN14" s="10"/>
      <c r="AO14" s="10"/>
      <c r="AP14" s="10"/>
      <c r="AQ14" s="10"/>
      <c r="AR14" s="10"/>
      <c r="AS14" s="10"/>
      <c r="AT14" s="10"/>
      <c r="AU14" s="12"/>
    </row>
    <row r="15" spans="1:49" s="3" customFormat="1">
      <c r="A15" s="653" t="s">
        <v>24</v>
      </c>
      <c r="B15" s="654"/>
      <c r="C15" s="648"/>
      <c r="D15" s="53"/>
      <c r="E15" s="289"/>
      <c r="F15" s="289"/>
      <c r="G15" s="289"/>
      <c r="H15" s="289"/>
      <c r="I15" s="289"/>
      <c r="J15" s="293"/>
      <c r="K15" s="52"/>
      <c r="L15" s="293"/>
      <c r="M15" s="293"/>
      <c r="N15" s="293"/>
      <c r="O15" s="52"/>
      <c r="P15" s="81"/>
      <c r="Q15" s="65"/>
      <c r="R15" s="540"/>
      <c r="S15" s="168"/>
      <c r="T15" s="541"/>
      <c r="U15" s="53"/>
      <c r="V15" s="65"/>
      <c r="W15" s="65"/>
      <c r="X15" s="540"/>
      <c r="Y15" s="81"/>
      <c r="Z15" s="540" t="s">
        <v>227</v>
      </c>
      <c r="AA15" s="542" t="e">
        <f>MIN('DDR2 Clocks - 4L'!$O$9:$O$10)</f>
        <v>#REF!</v>
      </c>
      <c r="AB15" s="541" t="e">
        <f>MAX('DDR2 Clocks - 4L'!$O$9:$O$10)</f>
        <v>#REF!</v>
      </c>
      <c r="AC15" s="65"/>
      <c r="AD15" s="65"/>
      <c r="AE15" s="65"/>
      <c r="AF15" s="540"/>
      <c r="AG15" s="65"/>
      <c r="AH15" s="65"/>
      <c r="AI15" s="65"/>
      <c r="AJ15" s="52"/>
      <c r="AK15" s="52"/>
      <c r="AL15" s="52"/>
      <c r="AM15" s="52"/>
      <c r="AN15" s="52"/>
      <c r="AO15" s="52"/>
      <c r="AP15" s="52"/>
      <c r="AQ15" s="52"/>
      <c r="AR15" s="52"/>
      <c r="AS15" s="52"/>
      <c r="AT15" s="52"/>
      <c r="AU15" s="58"/>
    </row>
    <row r="16" spans="1:49" s="3" customFormat="1">
      <c r="A16" s="8" t="s">
        <v>250</v>
      </c>
      <c r="B16" s="655"/>
      <c r="C16" s="649"/>
      <c r="D16" s="62"/>
      <c r="E16" s="290"/>
      <c r="F16" s="290"/>
      <c r="G16" s="290"/>
      <c r="H16" s="290"/>
      <c r="I16" s="290"/>
      <c r="J16" s="294"/>
      <c r="K16" s="54"/>
      <c r="L16" s="294"/>
      <c r="M16" s="294"/>
      <c r="N16" s="294"/>
      <c r="O16" s="54"/>
      <c r="P16" s="54"/>
      <c r="Q16" s="54"/>
      <c r="R16" s="54"/>
      <c r="S16" s="54"/>
      <c r="T16" s="66"/>
      <c r="U16" s="54"/>
      <c r="V16" s="66"/>
      <c r="W16" s="66"/>
      <c r="X16" s="66"/>
      <c r="Y16" s="54"/>
      <c r="Z16" s="54"/>
      <c r="AA16" s="66"/>
      <c r="AB16" s="67"/>
      <c r="AC16" s="66"/>
      <c r="AD16" s="54"/>
      <c r="AE16" s="54"/>
      <c r="AF16" s="66"/>
      <c r="AG16" s="54"/>
      <c r="AH16" s="54"/>
      <c r="AI16" s="54"/>
      <c r="AJ16" s="66"/>
      <c r="AK16" s="66"/>
      <c r="AL16" s="66"/>
      <c r="AM16" s="66"/>
      <c r="AN16" s="66"/>
      <c r="AO16" s="66"/>
      <c r="AP16" s="66"/>
      <c r="AQ16" s="66"/>
      <c r="AR16" s="66"/>
      <c r="AS16" s="66"/>
      <c r="AT16" s="66"/>
      <c r="AU16" s="68"/>
    </row>
    <row r="17" spans="1:48" s="3" customFormat="1">
      <c r="A17" s="652" t="e">
        <f ca="1">Assign1x8(#REF!,"Name")</f>
        <v>#NAME?</v>
      </c>
      <c r="B17" s="652" t="e">
        <f ca="1">Assign1x8(#REF!,"Ball")</f>
        <v>#NAME?</v>
      </c>
      <c r="C17" s="652" t="e">
        <f ca="1">Assign1x8(#REF!,"Len")</f>
        <v>#NAME?</v>
      </c>
      <c r="D17" s="18"/>
      <c r="E17" s="277">
        <v>29.7</v>
      </c>
      <c r="F17" s="277">
        <v>0</v>
      </c>
      <c r="G17" s="305">
        <v>2022.95</v>
      </c>
      <c r="H17" s="305">
        <v>73.19</v>
      </c>
      <c r="I17" s="277">
        <v>0</v>
      </c>
      <c r="J17" s="305">
        <v>57.5</v>
      </c>
      <c r="K17" s="277">
        <v>40</v>
      </c>
      <c r="L17" s="305">
        <v>77.83</v>
      </c>
      <c r="M17" s="305">
        <v>699.76</v>
      </c>
      <c r="N17" s="305">
        <v>350</v>
      </c>
      <c r="O17" s="69"/>
      <c r="P17" s="489">
        <f xml:space="preserve"> E17+F17+G17+H17</f>
        <v>2125.84</v>
      </c>
      <c r="Q17" s="489" t="e">
        <f ca="1">P17+IF($B$2="mil",1,0.0254)*C17</f>
        <v>#REF!</v>
      </c>
      <c r="R17" s="597"/>
      <c r="S17" s="489" t="e">
        <f>MAX(S$5:T$5)+IF($B$2="mil",1,0.0254)*DDR2Specs!$B$2</f>
        <v>#REF!</v>
      </c>
      <c r="T17" s="489" t="e">
        <f>MIN(S$5:T$5)+IF($B$2="mil",1,0.0254)*DDR2Specs!$C$2</f>
        <v>#REF!</v>
      </c>
      <c r="U17" s="597"/>
      <c r="V17" s="598" t="e">
        <f ca="1">IF($Q17&lt;$S17,$S17-$Q17,"Pass")</f>
        <v>#REF!</v>
      </c>
      <c r="W17" s="495" t="e">
        <f ca="1">IF($Q17&gt;$T17,$Q17-$T17,"Pass")</f>
        <v>#REF!</v>
      </c>
      <c r="X17" s="21"/>
      <c r="Y17" s="489">
        <f>SUM(E17:G17,I17:N17)</f>
        <v>3277.74</v>
      </c>
      <c r="Z17" s="489" t="e">
        <f ca="1">Y17+IF($B$2="mil",1,0.0254)*$C17</f>
        <v>#REF!</v>
      </c>
      <c r="AA17" s="489" t="e">
        <f>MAX(AA$15:AB$15)+IF($B$2="mil",1,0.0254)*DDR2Specs!$E$2</f>
        <v>#REF!</v>
      </c>
      <c r="AB17" s="489" t="e">
        <f>MIN(AA$15:AB$15)+IF($B$2="mil",1,0.0254)*DDR2Specs!$F$2</f>
        <v>#REF!</v>
      </c>
      <c r="AC17" s="21"/>
      <c r="AD17" s="598" t="e">
        <f ca="1">IF($Z17&lt;$AA17,$AA17-$Z17,"Pass")</f>
        <v>#REF!</v>
      </c>
      <c r="AE17" s="495" t="e">
        <f ca="1">IF($Z17&gt;$AB17,$Z17-$AB17,"Pass")</f>
        <v>#REF!</v>
      </c>
      <c r="AF17" s="21"/>
      <c r="AG17" s="495" t="e">
        <f ca="1">IF((ABS($Q17-$Q18)&lt;=IF($B$2="mil",1,0.0254)*5),"Pass",ABS($Q17-$Q18))</f>
        <v>#REF!</v>
      </c>
      <c r="AH17" s="495" t="e">
        <f ca="1">IF((ABS($Z17-$Z18)&lt;=IF($B$2="mil",1,0.0254)*5),"Pass",ABS($Z17-$Z18))</f>
        <v>#REF!</v>
      </c>
      <c r="AI17" s="495" t="e">
        <f>IF($E17&lt;=IF($B$2="mil",1,0.0254)*50,"Pass",IF($B$2="mil",1,0.0254)*50-$E17)</f>
        <v>#REF!</v>
      </c>
      <c r="AJ17" s="495" t="e">
        <f>IF($F17&lt;=IF($B$2="mil",1,0.0254)*500,"Pass",IF($B$2="mil",1,0.0254)*500-$F17)</f>
        <v>#REF!</v>
      </c>
      <c r="AK17" s="495" t="e">
        <f>IF($H17&lt;=IF($B$2="mil",1,0.0254)*250,"Pass",IF($B$2="mil",1,0.0254)*250-$H17)</f>
        <v>#REF!</v>
      </c>
      <c r="AL17" s="495" t="e">
        <f ca="1">CheckLength(IF($B$2="mil",1,0.0254)*1125, IF($B$2="mil",1,0.0254)*125-J17, 0, I17,J17,0)</f>
        <v>#NAME?</v>
      </c>
      <c r="AM17" s="495" t="e">
        <f>IF($J17&lt;=IF($B$2="mil",1,0.0254)*125,"Pass",IF($B$2="mil",1,0.0254)*125-$J17)</f>
        <v>#REF!</v>
      </c>
      <c r="AN17" s="495" t="e">
        <f>IF($L17&lt;=IF($B$2="mil",1,0.0254)*125,"Pass",IF($B$2="mil",1,0.0254)*125-$L17)</f>
        <v>#REF!</v>
      </c>
      <c r="AO17" s="495" t="e">
        <f ca="1">CheckLength(IF($B$2="mil",1,0.0254)*1250, IF($B$2="mil",1,0.0254)*125-L17, IF($B$2="mil",1,0.0254)*150-N17, M17,L17,N17)</f>
        <v>#NAME?</v>
      </c>
      <c r="AP17" s="495" t="e">
        <f ca="1">CheckLength2(IF($B$2="mil",1,0.0254)*1400,$M17,$N17,0)</f>
        <v>#NAME?</v>
      </c>
      <c r="AQ17" s="495" t="e">
        <f>IF(AND($P17&gt;=IF($B$2="mil",1,0.0254)*500, $P17&lt;=IF($B$2="mil",1,0.0254)*4000),"Pass",IF($B$2="mil",1,0.0254)*4000-$P17)</f>
        <v>#REF!</v>
      </c>
      <c r="AR17" s="495" t="e">
        <f ca="1">IF(AND($Q17&gt;=IF($B$2="mil",1,0.0254)*500, $Q17&lt;=IF($B$2="mil",1,0.0254)*4500),"Pass",IF($B$2="mil",1,0.0254)*4500-$Q17)</f>
        <v>#REF!</v>
      </c>
      <c r="AS17" s="495" t="e">
        <f>IF(AND($Y17&gt;=IF($B$2="mil",1,0.0254)*500, $Y17&lt;=IF($B$2="mil",1,0.0254)*5000),"Pass",IF($B$2="mil",1,0.0254)*5000-$Y17)</f>
        <v>#REF!</v>
      </c>
      <c r="AT17" s="495" t="e">
        <f ca="1">IF(AND($Z17&gt;=IF($B$2="mil",1,0.0254)*500, $Z17&lt;=IF($B$2="mil",1,0.0254)*6000),"Pass",IF($B$2="mil",1,0.0254)*6000-$Z17)</f>
        <v>#REF!</v>
      </c>
      <c r="AU17" s="21"/>
      <c r="AV17" s="3" t="e">
        <f ca="1">IF(AND(AI17="Pass",AR17="Pass",AK17="Pass",AJ17="Pass",AQ17="Pass",V17="Pass",W17="Pass",AO17="Pass",AP17="Pass",AN17="Pass",AM17="Pass",AL17="Pass",AG17="Pass",AH17="Pass",AS17="Pass",AT17="Pass",AD17="Pass",AE17="Pass"),"Pass","Fail")</f>
        <v>#REF!</v>
      </c>
    </row>
    <row r="18" spans="1:48" s="3" customFormat="1">
      <c r="A18" s="652" t="e">
        <f ca="1">Assign1x8(#REF!,"Name_P")</f>
        <v>#NAME?</v>
      </c>
      <c r="B18" s="652" t="e">
        <f ca="1">Assign1x8(#REF!,"Ball_P")</f>
        <v>#NAME?</v>
      </c>
      <c r="C18" s="652" t="e">
        <f ca="1">Assign1x8(#REF!,"Len_P")</f>
        <v>#NAME?</v>
      </c>
      <c r="D18" s="18"/>
      <c r="E18" s="277">
        <v>29.7</v>
      </c>
      <c r="F18" s="277">
        <v>0</v>
      </c>
      <c r="G18" s="305">
        <v>2020.82</v>
      </c>
      <c r="H18" s="305">
        <v>71.53</v>
      </c>
      <c r="I18" s="277">
        <v>0</v>
      </c>
      <c r="J18" s="305">
        <v>61.64</v>
      </c>
      <c r="K18" s="277">
        <v>40</v>
      </c>
      <c r="L18" s="305">
        <v>74.17</v>
      </c>
      <c r="M18" s="305">
        <v>697.27</v>
      </c>
      <c r="N18" s="305">
        <v>350</v>
      </c>
      <c r="O18" s="69"/>
      <c r="P18" s="489">
        <f xml:space="preserve"> E18+F18+G18+H18</f>
        <v>2122.0500000000002</v>
      </c>
      <c r="Q18" s="489" t="e">
        <f ca="1">P18+IF($B$2="mil",1,0.0254)*C18</f>
        <v>#REF!</v>
      </c>
      <c r="R18" s="597"/>
      <c r="S18" s="489" t="e">
        <f>MAX(S$5:T$5)+IF($B$2="mil",1,0.0254)*DDR2Specs!$B$2</f>
        <v>#REF!</v>
      </c>
      <c r="T18" s="489" t="e">
        <f>MIN(S$5:T$5)+IF($B$2="mil",1,0.0254)*DDR2Specs!$C$2</f>
        <v>#REF!</v>
      </c>
      <c r="U18" s="597"/>
      <c r="V18" s="598" t="e">
        <f ca="1">IF($Q18&lt;$S18,$S18-$Q18,"Pass")</f>
        <v>#REF!</v>
      </c>
      <c r="W18" s="495" t="e">
        <f ca="1">IF($Q18&gt;$T18,$Q18-$T18,"Pass")</f>
        <v>#REF!</v>
      </c>
      <c r="X18" s="21"/>
      <c r="Y18" s="489">
        <f>SUM(E18:G18,I18:N18)</f>
        <v>3273.6</v>
      </c>
      <c r="Z18" s="489" t="e">
        <f ca="1">Y18+IF($B$2="mil",1,0.0254)*$C18</f>
        <v>#REF!</v>
      </c>
      <c r="AA18" s="489" t="e">
        <f>MAX(AA$15:AB$15)+IF($B$2="mil",1,0.0254)*DDR2Specs!$E$2</f>
        <v>#REF!</v>
      </c>
      <c r="AB18" s="489" t="e">
        <f>MIN(AA$15:AB$15)+IF($B$2="mil",1,0.0254)*DDR2Specs!$F$2</f>
        <v>#REF!</v>
      </c>
      <c r="AC18" s="21"/>
      <c r="AD18" s="598" t="e">
        <f ca="1">IF($Z18&lt;$AA18,$AA18-$Z18,"Pass")</f>
        <v>#REF!</v>
      </c>
      <c r="AE18" s="495" t="e">
        <f ca="1">IF($Z18&gt;$AB18,$Z18-$AB18,"Pass")</f>
        <v>#REF!</v>
      </c>
      <c r="AF18" s="21"/>
      <c r="AG18" s="495" t="e">
        <f ca="1">IF((ABS($Q18-$Q17)&lt;=IF($B$2="mil",1,0.0254)*5),"Pass",ABS($Q18-$Q17))</f>
        <v>#REF!</v>
      </c>
      <c r="AH18" s="495" t="e">
        <f ca="1">IF((ABS($Z18-$Z17)&lt;=IF($B$2="mil",1,0.0254)*5),"Pass",ABS($Z18-$Z17))</f>
        <v>#REF!</v>
      </c>
      <c r="AI18" s="495" t="e">
        <f>IF($E18&lt;=IF($B$2="mil",1,0.0254)*50,"Pass",IF($B$2="mil",1,0.0254)*50-$E18)</f>
        <v>#REF!</v>
      </c>
      <c r="AJ18" s="495" t="e">
        <f>IF($F18&lt;=IF($B$2="mil",1,0.0254)*500,"Pass",IF($B$2="mil",1,0.0254)*500-$F18)</f>
        <v>#REF!</v>
      </c>
      <c r="AK18" s="495" t="e">
        <f>IF($H18&lt;=IF($B$2="mil",1,0.0254)*250,"Pass",IF($B$2="mil",1,0.0254)*250-$H18)</f>
        <v>#REF!</v>
      </c>
      <c r="AL18" s="495" t="e">
        <f ca="1">CheckLength(IF($B$2="mil",1,0.0254)*1125, IF($B$2="mil",1,0.0254)*125-J18, 0, I18,J18,0)</f>
        <v>#NAME?</v>
      </c>
      <c r="AM18" s="495" t="e">
        <f>IF($J18&lt;=IF($B$2="mil",1,0.0254)*125,"Pass",IF($B$2="mil",1,0.0254)*125-$J18)</f>
        <v>#REF!</v>
      </c>
      <c r="AN18" s="495" t="e">
        <f>IF($L18&lt;=IF($B$2="mil",1,0.0254)*125,"Pass",IF($B$2="mil",1,0.0254)*125-$L18)</f>
        <v>#REF!</v>
      </c>
      <c r="AO18" s="495" t="e">
        <f ca="1">CheckLength(IF($B$2="mil",1,0.0254)*1250, IF($B$2="mil",1,0.0254)*125-L18, IF($B$2="mil",1,0.0254)*150-N18, M18,L18,N18)</f>
        <v>#NAME?</v>
      </c>
      <c r="AP18" s="495" t="e">
        <f ca="1">CheckLength2(IF($B$2="mil",1,0.0254)*1400,$M18,$N18,0)</f>
        <v>#NAME?</v>
      </c>
      <c r="AQ18" s="495" t="e">
        <f>IF(AND($P18&gt;=IF($B$2="mil",1,0.0254)*500, $P18&lt;=IF($B$2="mil",1,0.0254)*4000),"Pass",IF($B$2="mil",1,0.0254)*4000-$P18)</f>
        <v>#REF!</v>
      </c>
      <c r="AR18" s="495" t="e">
        <f ca="1">IF(AND($Q18&gt;=IF($B$2="mil",1,0.0254)*500, $Q18&lt;=IF($B$2="mil",1,0.0254)*4500),"Pass",IF($B$2="mil",1,0.0254)*4500-$Q18)</f>
        <v>#REF!</v>
      </c>
      <c r="AS18" s="495" t="e">
        <f>IF(AND($Y18&gt;=IF($B$2="mil",1,0.0254)*500, $Y18&lt;=IF($B$2="mil",1,0.0254)*5000),"Pass",IF($B$2="mil",1,0.0254)*5000-$Y18)</f>
        <v>#REF!</v>
      </c>
      <c r="AT18" s="495" t="e">
        <f ca="1">IF(AND($Z18&gt;=IF($B$2="mil",1,0.0254)*500, $Z18&lt;=IF($B$2="mil",1,0.0254)*6000),"Pass",IF($B$2="mil",1,0.0254)*6000-$Z18)</f>
        <v>#REF!</v>
      </c>
      <c r="AU18" s="21"/>
      <c r="AV18" s="3" t="e">
        <f ca="1">IF(AND(AI18="Pass",AR18="Pass",AK18="Pass",AJ18="Pass",AQ18="Pass",V18="Pass",W18="Pass",AO18="Pass",AP18="Pass",AN18="Pass",AM18="Pass",AL18="Pass",AG18="Pass",AH18="Pass",AS18="Pass",AT18="Pass",AD18="Pass",AE18="Pass"),"Pass","Fail")</f>
        <v>#REF!</v>
      </c>
    </row>
    <row r="19" spans="1:48" s="3" customFormat="1">
      <c r="A19" s="8" t="s">
        <v>249</v>
      </c>
      <c r="B19" s="631"/>
      <c r="C19" s="632"/>
      <c r="D19" s="10"/>
      <c r="E19" s="288"/>
      <c r="F19" s="288"/>
      <c r="G19" s="288"/>
      <c r="H19" s="288"/>
      <c r="I19" s="288"/>
      <c r="J19" s="292"/>
      <c r="K19" s="10"/>
      <c r="L19" s="292"/>
      <c r="M19" s="292"/>
      <c r="N19" s="292"/>
      <c r="O19" s="10"/>
      <c r="P19" s="9"/>
      <c r="Q19" s="51"/>
      <c r="R19" s="10"/>
      <c r="S19" s="10"/>
      <c r="T19" s="10"/>
      <c r="U19" s="10"/>
      <c r="V19" s="10"/>
      <c r="W19" s="10"/>
      <c r="X19" s="10"/>
      <c r="Y19" s="9"/>
      <c r="Z19" s="51"/>
      <c r="AA19" s="10"/>
      <c r="AB19" s="15"/>
      <c r="AC19" s="10"/>
      <c r="AD19" s="15"/>
      <c r="AE19" s="15"/>
      <c r="AF19" s="10"/>
      <c r="AG19" s="15"/>
      <c r="AH19" s="15"/>
      <c r="AI19" s="15"/>
      <c r="AJ19" s="15"/>
      <c r="AK19" s="15"/>
      <c r="AL19" s="10"/>
      <c r="AM19" s="10"/>
      <c r="AN19" s="10"/>
      <c r="AO19" s="10"/>
      <c r="AP19" s="10"/>
      <c r="AQ19" s="10"/>
      <c r="AR19" s="10"/>
      <c r="AS19" s="10"/>
      <c r="AT19" s="10"/>
      <c r="AU19" s="12"/>
    </row>
    <row r="20" spans="1:48" s="3" customFormat="1">
      <c r="A20" s="653" t="s">
        <v>24</v>
      </c>
      <c r="B20" s="654"/>
      <c r="C20" s="648"/>
      <c r="D20" s="53"/>
      <c r="E20" s="289"/>
      <c r="F20" s="289"/>
      <c r="G20" s="289"/>
      <c r="H20" s="289"/>
      <c r="I20" s="289"/>
      <c r="J20" s="293"/>
      <c r="K20" s="52"/>
      <c r="L20" s="293"/>
      <c r="M20" s="293"/>
      <c r="N20" s="293"/>
      <c r="O20" s="52"/>
      <c r="P20" s="81"/>
      <c r="Q20" s="65"/>
      <c r="R20" s="540"/>
      <c r="S20" s="168"/>
      <c r="T20" s="541"/>
      <c r="U20" s="53"/>
      <c r="V20" s="65"/>
      <c r="W20" s="65"/>
      <c r="X20" s="540"/>
      <c r="Y20" s="81"/>
      <c r="Z20" s="540" t="s">
        <v>285</v>
      </c>
      <c r="AA20" s="542" t="e">
        <f>MIN('DDR2 Clocks - 4L'!$O$11:$O$12)</f>
        <v>#REF!</v>
      </c>
      <c r="AB20" s="541" t="e">
        <f>MAX('DDR2 Clocks - 4L'!$O$11:$O$12)</f>
        <v>#REF!</v>
      </c>
      <c r="AC20" s="65"/>
      <c r="AD20" s="65"/>
      <c r="AE20" s="65"/>
      <c r="AF20" s="540"/>
      <c r="AG20" s="65"/>
      <c r="AH20" s="65"/>
      <c r="AI20" s="65"/>
      <c r="AJ20" s="52"/>
      <c r="AK20" s="52"/>
      <c r="AL20" s="52"/>
      <c r="AM20" s="52"/>
      <c r="AN20" s="52"/>
      <c r="AO20" s="52"/>
      <c r="AP20" s="52"/>
      <c r="AQ20" s="52"/>
      <c r="AR20" s="52"/>
      <c r="AS20" s="52"/>
      <c r="AT20" s="52"/>
      <c r="AU20" s="58"/>
    </row>
    <row r="21" spans="1:48" s="3" customFormat="1">
      <c r="A21" s="8" t="s">
        <v>250</v>
      </c>
      <c r="B21" s="655"/>
      <c r="C21" s="649"/>
      <c r="D21" s="62"/>
      <c r="E21" s="290"/>
      <c r="F21" s="290"/>
      <c r="G21" s="290"/>
      <c r="H21" s="290"/>
      <c r="I21" s="290"/>
      <c r="J21" s="294"/>
      <c r="K21" s="54"/>
      <c r="L21" s="294"/>
      <c r="M21" s="294"/>
      <c r="N21" s="294"/>
      <c r="O21" s="54"/>
      <c r="P21" s="54"/>
      <c r="Q21" s="54"/>
      <c r="R21" s="54"/>
      <c r="S21" s="54"/>
      <c r="T21" s="66"/>
      <c r="U21" s="54"/>
      <c r="V21" s="66"/>
      <c r="W21" s="66"/>
      <c r="X21" s="66"/>
      <c r="Y21" s="54"/>
      <c r="Z21" s="54"/>
      <c r="AA21" s="66"/>
      <c r="AB21" s="67"/>
      <c r="AC21" s="66"/>
      <c r="AD21" s="54"/>
      <c r="AE21" s="54"/>
      <c r="AF21" s="66"/>
      <c r="AG21" s="54"/>
      <c r="AH21" s="54"/>
      <c r="AI21" s="54"/>
      <c r="AJ21" s="66"/>
      <c r="AK21" s="66"/>
      <c r="AL21" s="66"/>
      <c r="AM21" s="66"/>
      <c r="AN21" s="66"/>
      <c r="AO21" s="66"/>
      <c r="AP21" s="66"/>
      <c r="AQ21" s="66"/>
      <c r="AR21" s="66"/>
      <c r="AS21" s="66"/>
      <c r="AT21" s="66"/>
      <c r="AU21" s="68"/>
    </row>
    <row r="22" spans="1:48" s="3" customFormat="1">
      <c r="A22" s="652" t="e">
        <f ca="1">Assign1x8(#REF!,"Name")</f>
        <v>#NAME?</v>
      </c>
      <c r="B22" s="652" t="e">
        <f ca="1">Assign1x8(#REF!,"Ball")</f>
        <v>#NAME?</v>
      </c>
      <c r="C22" s="652" t="e">
        <f ca="1">Assign1x8(#REF!,"Len")</f>
        <v>#NAME?</v>
      </c>
      <c r="D22" s="18"/>
      <c r="E22" s="277">
        <v>29.7</v>
      </c>
      <c r="F22" s="277">
        <v>0</v>
      </c>
      <c r="G22" s="305">
        <v>2107.41</v>
      </c>
      <c r="H22" s="305">
        <v>73.19</v>
      </c>
      <c r="I22" s="277">
        <v>0</v>
      </c>
      <c r="J22" s="305">
        <v>83.71</v>
      </c>
      <c r="K22" s="277">
        <v>40</v>
      </c>
      <c r="L22" s="305">
        <v>93</v>
      </c>
      <c r="M22" s="305">
        <v>696.57</v>
      </c>
      <c r="N22" s="305">
        <v>350</v>
      </c>
      <c r="O22" s="69"/>
      <c r="P22" s="489">
        <f xml:space="preserve"> E22+F22+G22+H22</f>
        <v>2210.2999999999997</v>
      </c>
      <c r="Q22" s="489" t="e">
        <f ca="1">P22+IF($B$2="mil",1,0.0254)*C22</f>
        <v>#REF!</v>
      </c>
      <c r="R22" s="597"/>
      <c r="S22" s="489" t="e">
        <f>MAX(S$5:T$5)+IF($B$2="mil",1,0.0254)*DDR2Specs!$B$2</f>
        <v>#REF!</v>
      </c>
      <c r="T22" s="489" t="e">
        <f>MIN(S$5:T$5)+IF($B$2="mil",1,0.0254)*DDR2Specs!$C$2</f>
        <v>#REF!</v>
      </c>
      <c r="U22" s="597"/>
      <c r="V22" s="598" t="e">
        <f ca="1">IF($Q22&lt;$S22,$S22-$Q22,"Pass")</f>
        <v>#REF!</v>
      </c>
      <c r="W22" s="495" t="e">
        <f ca="1">IF($Q22&gt;$T22,$Q22-$T22,"Pass")</f>
        <v>#REF!</v>
      </c>
      <c r="X22" s="21"/>
      <c r="Y22" s="489">
        <f>SUM(E22:G22,I22:N22)</f>
        <v>3400.39</v>
      </c>
      <c r="Z22" s="489" t="e">
        <f ca="1">Y22+IF($B$2="mil",1,0.0254)*$C22</f>
        <v>#REF!</v>
      </c>
      <c r="AA22" s="489" t="e">
        <f>MAX(AA$20:AB$20)+IF($B$2="mil",1,0.0254)*DDR2Specs!$E$2</f>
        <v>#REF!</v>
      </c>
      <c r="AB22" s="489" t="e">
        <f>MIN(AA$20:AB$20)+IF($B$2="mil",1,0.0254)*DDR2Specs!$F$2</f>
        <v>#REF!</v>
      </c>
      <c r="AC22" s="21"/>
      <c r="AD22" s="598" t="e">
        <f ca="1">IF($Z22&lt;$AA22,$AA22-$Z22,"Pass")</f>
        <v>#REF!</v>
      </c>
      <c r="AE22" s="495" t="e">
        <f ca="1">IF($Z22&gt;$AB22,$Z22-$AB22,"Pass")</f>
        <v>#REF!</v>
      </c>
      <c r="AF22" s="21"/>
      <c r="AG22" s="495" t="e">
        <f ca="1">IF((ABS($Q22-$Q23)&lt;=IF($B$2="mil",1,0.0254)*5),"Pass",ABS($Q22-$Q23))</f>
        <v>#REF!</v>
      </c>
      <c r="AH22" s="495" t="e">
        <f ca="1">IF((ABS($Z22-$Z23)&lt;=IF($B$2="mil",1,0.0254)*5),"Pass",ABS($Z22-$Z23))</f>
        <v>#REF!</v>
      </c>
      <c r="AI22" s="495" t="e">
        <f>IF($E22&lt;=IF($B$2="mil",1,0.0254)*50,"Pass",IF($B$2="mil",1,0.0254)*50-$E22)</f>
        <v>#REF!</v>
      </c>
      <c r="AJ22" s="495" t="e">
        <f>IF($F22&lt;=IF($B$2="mil",1,0.0254)*500,"Pass",IF($B$2="mil",1,0.0254)*500-$F22)</f>
        <v>#REF!</v>
      </c>
      <c r="AK22" s="495" t="e">
        <f>IF($H22&lt;=IF($B$2="mil",1,0.0254)*250,"Pass",IF($B$2="mil",1,0.0254)*250-$H22)</f>
        <v>#REF!</v>
      </c>
      <c r="AL22" s="495" t="e">
        <f ca="1">CheckLength(IF($B$2="mil",1,0.0254)*1125, IF($B$2="mil",1,0.0254)*125-J22, 0, I22,J22,0)</f>
        <v>#NAME?</v>
      </c>
      <c r="AM22" s="495" t="e">
        <f>IF($J22&lt;=IF($B$2="mil",1,0.0254)*125,"Pass",IF($B$2="mil",1,0.0254)*125-$J22)</f>
        <v>#REF!</v>
      </c>
      <c r="AN22" s="495" t="e">
        <f>IF($L22&lt;=IF($B$2="mil",1,0.0254)*125,"Pass",IF($B$2="mil",1,0.0254)*125-$L22)</f>
        <v>#REF!</v>
      </c>
      <c r="AO22" s="495" t="e">
        <f ca="1">CheckLength(IF($B$2="mil",1,0.0254)*1250, IF($B$2="mil",1,0.0254)*125-L22, IF($B$2="mil",1,0.0254)*150-N22, M22,L22,N22)</f>
        <v>#NAME?</v>
      </c>
      <c r="AP22" s="495" t="e">
        <f ca="1">CheckLength2(IF($B$2="mil",1,0.0254)*1400,$M22,$N22,0)</f>
        <v>#NAME?</v>
      </c>
      <c r="AQ22" s="495" t="e">
        <f>IF(AND($P22&gt;=IF($B$2="mil",1,0.0254)*500, $P22&lt;=IF($B$2="mil",1,0.0254)*4000),"Pass",IF($B$2="mil",1,0.0254)*4000-$P22)</f>
        <v>#REF!</v>
      </c>
      <c r="AR22" s="495" t="e">
        <f ca="1">IF(AND($Q22&gt;=IF($B$2="mil",1,0.0254)*500, $Q22&lt;=IF($B$2="mil",1,0.0254)*4500),"Pass",IF($B$2="mil",1,0.0254)*4500-$Q22)</f>
        <v>#REF!</v>
      </c>
      <c r="AS22" s="495" t="e">
        <f>IF(AND($Y22&gt;=IF($B$2="mil",1,0.0254)*500, $Y22&lt;=IF($B$2="mil",1,0.0254)*5000),"Pass",IF($B$2="mil",1,0.0254)*5000-$Y22)</f>
        <v>#REF!</v>
      </c>
      <c r="AT22" s="495" t="e">
        <f ca="1">IF(AND($Z22&gt;=IF($B$2="mil",1,0.0254)*500, $Z22&lt;=IF($B$2="mil",1,0.0254)*6000),"Pass",IF($B$2="mil",1,0.0254)*6000-$Z22)</f>
        <v>#REF!</v>
      </c>
      <c r="AU22" s="21"/>
      <c r="AV22" s="3" t="e">
        <f ca="1">IF(AND(AI22="Pass",AR22="Pass",AK22="Pass",AJ22="Pass",AQ22="Pass",V22="Pass",W22="Pass",AO22="Pass",AP22="Pass",AN22="Pass",AM22="Pass",AL22="Pass",AG22="Pass",AH22="Pass",AS22="Pass",AT22="Pass",AD22="Pass",AE22="Pass"),"Pass","Fail")</f>
        <v>#REF!</v>
      </c>
    </row>
    <row r="23" spans="1:48" s="3" customFormat="1">
      <c r="A23" s="652" t="e">
        <f ca="1">Assign1x8(#REF!,"Name_P")</f>
        <v>#NAME?</v>
      </c>
      <c r="B23" s="652" t="e">
        <f ca="1">Assign1x8(#REF!,"Ball_P")</f>
        <v>#NAME?</v>
      </c>
      <c r="C23" s="652" t="e">
        <f ca="1">Assign1x8(#REF!,"Len_P")</f>
        <v>#NAME?</v>
      </c>
      <c r="D23" s="18"/>
      <c r="E23" s="277">
        <v>29.7</v>
      </c>
      <c r="F23" s="277">
        <v>0</v>
      </c>
      <c r="G23" s="305">
        <v>2111.3000000000002</v>
      </c>
      <c r="H23" s="305">
        <v>71.53</v>
      </c>
      <c r="I23" s="277">
        <v>0</v>
      </c>
      <c r="J23" s="305">
        <v>80.64</v>
      </c>
      <c r="K23" s="277">
        <v>40</v>
      </c>
      <c r="L23" s="305">
        <v>101.44</v>
      </c>
      <c r="M23" s="305">
        <v>685.9</v>
      </c>
      <c r="N23" s="305">
        <v>350</v>
      </c>
      <c r="O23" s="69"/>
      <c r="P23" s="489">
        <f xml:space="preserve"> E23+F23+G23+H23</f>
        <v>2212.5300000000002</v>
      </c>
      <c r="Q23" s="489" t="e">
        <f ca="1">P23+IF($B$2="mil",1,0.0254)*C23</f>
        <v>#REF!</v>
      </c>
      <c r="R23" s="597"/>
      <c r="S23" s="489" t="e">
        <f>MAX(S$5:T$5)+IF($B$2="mil",1,0.0254)*DDR2Specs!$B$2</f>
        <v>#REF!</v>
      </c>
      <c r="T23" s="489" t="e">
        <f>MIN(S$5:T$5)+IF($B$2="mil",1,0.0254)*DDR2Specs!$C$2</f>
        <v>#REF!</v>
      </c>
      <c r="U23" s="597"/>
      <c r="V23" s="598" t="e">
        <f ca="1">IF($Q23&lt;$S23,$S23-$Q23,"Pass")</f>
        <v>#REF!</v>
      </c>
      <c r="W23" s="495" t="e">
        <f ca="1">IF($Q23&gt;$T23,$Q23-$T23,"Pass")</f>
        <v>#REF!</v>
      </c>
      <c r="X23" s="21"/>
      <c r="Y23" s="489">
        <f>SUM(E23:G23,I23:N23)</f>
        <v>3398.98</v>
      </c>
      <c r="Z23" s="489" t="e">
        <f ca="1">Y23+IF($B$2="mil",1,0.0254)*$C23</f>
        <v>#REF!</v>
      </c>
      <c r="AA23" s="489" t="e">
        <f>MAX(AA$20:AB$20)+IF($B$2="mil",1,0.0254)*DDR2Specs!$E$2</f>
        <v>#REF!</v>
      </c>
      <c r="AB23" s="489" t="e">
        <f>MIN(AA$20:AB$20)+IF($B$2="mil",1,0.0254)*DDR2Specs!$F$2</f>
        <v>#REF!</v>
      </c>
      <c r="AC23" s="21"/>
      <c r="AD23" s="598" t="e">
        <f ca="1">IF($Z23&lt;$AA23,$AA23-$Z23,"Pass")</f>
        <v>#REF!</v>
      </c>
      <c r="AE23" s="495" t="e">
        <f ca="1">IF($Z23&gt;$AB23,$Z23-$AB23,"Pass")</f>
        <v>#REF!</v>
      </c>
      <c r="AF23" s="21"/>
      <c r="AG23" s="495" t="e">
        <f ca="1">IF((ABS($Q23-$Q22)&lt;=IF($B$2="mil",1,0.0254)*5),"Pass",ABS($Q23-$Q22))</f>
        <v>#REF!</v>
      </c>
      <c r="AH23" s="495" t="e">
        <f ca="1">IF((ABS($Z23-$Z22)&lt;=IF($B$2="mil",1,0.0254)*5),"Pass",ABS($Z23-$Z22))</f>
        <v>#REF!</v>
      </c>
      <c r="AI23" s="495" t="e">
        <f>IF($E23&lt;=IF($B$2="mil",1,0.0254)*50,"Pass",IF($B$2="mil",1,0.0254)*50-$E23)</f>
        <v>#REF!</v>
      </c>
      <c r="AJ23" s="495" t="e">
        <f>IF($F23&lt;=IF($B$2="mil",1,0.0254)*500,"Pass",IF($B$2="mil",1,0.0254)*500-$F23)</f>
        <v>#REF!</v>
      </c>
      <c r="AK23" s="495" t="e">
        <f>IF($H23&lt;=IF($B$2="mil",1,0.0254)*250,"Pass",IF($B$2="mil",1,0.0254)*250-$H23)</f>
        <v>#REF!</v>
      </c>
      <c r="AL23" s="495" t="e">
        <f ca="1">CheckLength(IF($B$2="mil",1,0.0254)*1125, IF($B$2="mil",1,0.0254)*125-J23, 0, I23,J23,0)</f>
        <v>#NAME?</v>
      </c>
      <c r="AM23" s="495" t="e">
        <f>IF($J23&lt;=IF($B$2="mil",1,0.0254)*125,"Pass",IF($B$2="mil",1,0.0254)*125-$J23)</f>
        <v>#REF!</v>
      </c>
      <c r="AN23" s="495" t="e">
        <f>IF($L23&lt;=IF($B$2="mil",1,0.0254)*125,"Pass",IF($B$2="mil",1,0.0254)*125-$L23)</f>
        <v>#REF!</v>
      </c>
      <c r="AO23" s="495" t="e">
        <f ca="1">CheckLength(IF($B$2="mil",1,0.0254)*1250, IF($B$2="mil",1,0.0254)*125-L23, IF($B$2="mil",1,0.0254)*150-N23, M23,L23,N23)</f>
        <v>#NAME?</v>
      </c>
      <c r="AP23" s="495" t="e">
        <f ca="1">CheckLength2(IF($B$2="mil",1,0.0254)*1400,$M23,$N23,0)</f>
        <v>#NAME?</v>
      </c>
      <c r="AQ23" s="495" t="e">
        <f>IF(AND($P23&gt;=IF($B$2="mil",1,0.0254)*500, $P23&lt;=IF($B$2="mil",1,0.0254)*4000),"Pass",IF($B$2="mil",1,0.0254)*4000-$P23)</f>
        <v>#REF!</v>
      </c>
      <c r="AR23" s="495" t="e">
        <f ca="1">IF(AND($Q23&gt;=IF($B$2="mil",1,0.0254)*500, $Q23&lt;=IF($B$2="mil",1,0.0254)*4500),"Pass",IF($B$2="mil",1,0.0254)*4500-$Q23)</f>
        <v>#REF!</v>
      </c>
      <c r="AS23" s="495" t="e">
        <f>IF(AND($Y23&gt;=IF($B$2="mil",1,0.0254)*500, $Y23&lt;=IF($B$2="mil",1,0.0254)*5000),"Pass",IF($B$2="mil",1,0.0254)*5000-$Y23)</f>
        <v>#REF!</v>
      </c>
      <c r="AT23" s="495" t="e">
        <f ca="1">IF(AND($Z23&gt;=IF($B$2="mil",1,0.0254)*500, $Z23&lt;=IF($B$2="mil",1,0.0254)*6000),"Pass",IF($B$2="mil",1,0.0254)*6000-$Z23)</f>
        <v>#REF!</v>
      </c>
      <c r="AU23" s="21"/>
      <c r="AV23" s="3" t="e">
        <f ca="1">IF(AND(AI23="Pass",AR23="Pass",AK23="Pass",AJ23="Pass",AQ23="Pass",V23="Pass",W23="Pass",AO23="Pass",AP23="Pass",AN23="Pass",AM23="Pass",AL23="Pass",AG23="Pass",AH23="Pass",AS23="Pass",AT23="Pass",AD23="Pass",AE23="Pass"),"Pass","Fail")</f>
        <v>#REF!</v>
      </c>
    </row>
    <row r="24" spans="1:48" s="3" customFormat="1">
      <c r="A24" s="8" t="s">
        <v>249</v>
      </c>
      <c r="B24" s="631"/>
      <c r="C24" s="632"/>
      <c r="D24" s="10"/>
      <c r="E24" s="288"/>
      <c r="F24" s="288"/>
      <c r="G24" s="288"/>
      <c r="H24" s="288"/>
      <c r="I24" s="288"/>
      <c r="J24" s="292"/>
      <c r="K24" s="10"/>
      <c r="L24" s="292"/>
      <c r="M24" s="292"/>
      <c r="N24" s="292"/>
      <c r="O24" s="10"/>
      <c r="P24" s="9"/>
      <c r="Q24" s="51"/>
      <c r="R24" s="10"/>
      <c r="S24" s="10"/>
      <c r="T24" s="10"/>
      <c r="U24" s="10"/>
      <c r="V24" s="10"/>
      <c r="W24" s="10"/>
      <c r="X24" s="10"/>
      <c r="Y24" s="9"/>
      <c r="Z24" s="51"/>
      <c r="AA24" s="10"/>
      <c r="AB24" s="15"/>
      <c r="AC24" s="10"/>
      <c r="AD24" s="15"/>
      <c r="AE24" s="15"/>
      <c r="AF24" s="10"/>
      <c r="AG24" s="15"/>
      <c r="AH24" s="15"/>
      <c r="AI24" s="15"/>
      <c r="AJ24" s="15"/>
      <c r="AK24" s="15"/>
      <c r="AL24" s="10"/>
      <c r="AM24" s="10"/>
      <c r="AN24" s="10"/>
      <c r="AO24" s="10"/>
      <c r="AP24" s="10"/>
      <c r="AQ24" s="10"/>
      <c r="AR24" s="10"/>
      <c r="AS24" s="10"/>
      <c r="AT24" s="10"/>
      <c r="AU24" s="12"/>
    </row>
    <row r="25" spans="1:48" s="3" customFormat="1">
      <c r="A25" s="653" t="s">
        <v>24</v>
      </c>
      <c r="B25" s="654"/>
      <c r="C25" s="648"/>
      <c r="D25" s="53"/>
      <c r="E25" s="289"/>
      <c r="F25" s="289"/>
      <c r="G25" s="289"/>
      <c r="H25" s="289"/>
      <c r="I25" s="289"/>
      <c r="J25" s="293"/>
      <c r="K25" s="52"/>
      <c r="L25" s="293"/>
      <c r="M25" s="293"/>
      <c r="N25" s="293"/>
      <c r="O25" s="52"/>
      <c r="P25" s="81"/>
      <c r="Q25" s="65"/>
      <c r="R25" s="540"/>
      <c r="S25" s="168"/>
      <c r="T25" s="541"/>
      <c r="U25" s="53"/>
      <c r="V25" s="65"/>
      <c r="W25" s="65"/>
      <c r="X25" s="540"/>
      <c r="Y25" s="81"/>
      <c r="Z25" s="540" t="s">
        <v>226</v>
      </c>
      <c r="AA25" s="542" t="e">
        <f>MIN('DDR2 Clocks - 4L'!$O$13:$O$14)</f>
        <v>#REF!</v>
      </c>
      <c r="AB25" s="541" t="e">
        <f>MAX('DDR2 Clocks - 4L'!$O$13:$O$14)</f>
        <v>#REF!</v>
      </c>
      <c r="AC25" s="65"/>
      <c r="AD25" s="65"/>
      <c r="AE25" s="65"/>
      <c r="AF25" s="540"/>
      <c r="AG25" s="65"/>
      <c r="AH25" s="65"/>
      <c r="AI25" s="65"/>
      <c r="AJ25" s="52"/>
      <c r="AK25" s="52"/>
      <c r="AL25" s="52"/>
      <c r="AM25" s="52"/>
      <c r="AN25" s="52"/>
      <c r="AO25" s="52"/>
      <c r="AP25" s="52"/>
      <c r="AQ25" s="52"/>
      <c r="AR25" s="52"/>
      <c r="AS25" s="52"/>
      <c r="AT25" s="52"/>
      <c r="AU25" s="58"/>
    </row>
    <row r="26" spans="1:48" s="3" customFormat="1">
      <c r="A26" s="8" t="s">
        <v>250</v>
      </c>
      <c r="B26" s="655"/>
      <c r="C26" s="649"/>
      <c r="D26" s="62"/>
      <c r="E26" s="290"/>
      <c r="F26" s="290"/>
      <c r="G26" s="290"/>
      <c r="H26" s="290"/>
      <c r="I26" s="290"/>
      <c r="J26" s="294"/>
      <c r="K26" s="54"/>
      <c r="L26" s="294"/>
      <c r="M26" s="294"/>
      <c r="N26" s="294"/>
      <c r="O26" s="54"/>
      <c r="P26" s="54"/>
      <c r="Q26" s="54"/>
      <c r="R26" s="54"/>
      <c r="S26" s="54"/>
      <c r="T26" s="66"/>
      <c r="U26" s="54"/>
      <c r="V26" s="66"/>
      <c r="W26" s="66"/>
      <c r="X26" s="66"/>
      <c r="Y26" s="54"/>
      <c r="Z26" s="54"/>
      <c r="AA26" s="66"/>
      <c r="AB26" s="67"/>
      <c r="AC26" s="66"/>
      <c r="AD26" s="54"/>
      <c r="AE26" s="54"/>
      <c r="AF26" s="66"/>
      <c r="AG26" s="54"/>
      <c r="AH26" s="54"/>
      <c r="AI26" s="54"/>
      <c r="AJ26" s="66"/>
      <c r="AK26" s="66"/>
      <c r="AL26" s="66"/>
      <c r="AM26" s="66"/>
      <c r="AN26" s="66"/>
      <c r="AO26" s="66"/>
      <c r="AP26" s="66"/>
      <c r="AQ26" s="66"/>
      <c r="AR26" s="66"/>
      <c r="AS26" s="66"/>
      <c r="AT26" s="66"/>
      <c r="AU26" s="68"/>
    </row>
    <row r="27" spans="1:48" s="3" customFormat="1">
      <c r="A27" s="652" t="e">
        <f ca="1">Assign1x8(#REF!,"Name")</f>
        <v>#NAME?</v>
      </c>
      <c r="B27" s="652" t="e">
        <f ca="1">Assign1x8(#REF!,"Ball")</f>
        <v>#NAME?</v>
      </c>
      <c r="C27" s="652" t="e">
        <f ca="1">Assign1x8(#REF!,"Len")</f>
        <v>#NAME?</v>
      </c>
      <c r="D27" s="18"/>
      <c r="E27" s="277">
        <v>29.7</v>
      </c>
      <c r="F27" s="277">
        <v>0</v>
      </c>
      <c r="G27" s="305">
        <v>2077.58</v>
      </c>
      <c r="H27" s="305">
        <v>82.13</v>
      </c>
      <c r="I27" s="277">
        <v>0</v>
      </c>
      <c r="J27" s="305">
        <v>55.54</v>
      </c>
      <c r="K27" s="277">
        <v>40</v>
      </c>
      <c r="L27" s="305">
        <v>92.86</v>
      </c>
      <c r="M27" s="305">
        <v>802.33</v>
      </c>
      <c r="N27" s="305">
        <v>330</v>
      </c>
      <c r="O27" s="69"/>
      <c r="P27" s="489">
        <f xml:space="preserve"> E27+F27+G27+H27</f>
        <v>2189.41</v>
      </c>
      <c r="Q27" s="489" t="e">
        <f ca="1">P27+IF($B$2="mil",1,0.0254)*C27</f>
        <v>#REF!</v>
      </c>
      <c r="R27" s="597"/>
      <c r="S27" s="489" t="e">
        <f>MAX(S$5:T$5)+IF($B$2="mil",1,0.0254)*DDR2Specs!$B$2</f>
        <v>#REF!</v>
      </c>
      <c r="T27" s="489" t="e">
        <f>MIN(S$5:T$5)+IF($B$2="mil",1,0.0254)*DDR2Specs!$C$2</f>
        <v>#REF!</v>
      </c>
      <c r="U27" s="597"/>
      <c r="V27" s="598" t="e">
        <f ca="1">IF($Q27&lt;$S27,$S27-$Q27,"Pass")</f>
        <v>#REF!</v>
      </c>
      <c r="W27" s="495" t="e">
        <f ca="1">IF($Q27&gt;$T27,$Q27-$T27,"Pass")</f>
        <v>#REF!</v>
      </c>
      <c r="X27" s="21"/>
      <c r="Y27" s="489">
        <f>SUM(E27:G27,I27:N27)</f>
        <v>3428.0099999999998</v>
      </c>
      <c r="Z27" s="489" t="e">
        <f ca="1">Y27+IF($B$2="mil",1,0.0254)*$C27</f>
        <v>#REF!</v>
      </c>
      <c r="AA27" s="489" t="e">
        <f>MAX(AA$25:AB$25)+IF($B$2="mil",1,0.0254)*DDR2Specs!$E$2</f>
        <v>#REF!</v>
      </c>
      <c r="AB27" s="489" t="e">
        <f>MIN(AA$25:AB$25)+IF($B$2="mil",1,0.0254)*DDR2Specs!$F$2</f>
        <v>#REF!</v>
      </c>
      <c r="AC27" s="21"/>
      <c r="AD27" s="598" t="e">
        <f ca="1">IF($Z27&lt;$AA27,$AA27-$Z27,"Pass")</f>
        <v>#REF!</v>
      </c>
      <c r="AE27" s="495" t="e">
        <f ca="1">IF($Z27&gt;$AB27,$Z27-$AB27,"Pass")</f>
        <v>#REF!</v>
      </c>
      <c r="AF27" s="21"/>
      <c r="AG27" s="495" t="e">
        <f ca="1">IF((ABS($Q27-$Q28)&lt;=IF($B$2="mil",1,0.0254)*5),"Pass",ABS($Q27-$Q28))</f>
        <v>#REF!</v>
      </c>
      <c r="AH27" s="495" t="e">
        <f ca="1">IF((ABS($Z27-$Z28)&lt;=IF($B$2="mil",1,0.0254)*5),"Pass",ABS($Z27-$Z28))</f>
        <v>#REF!</v>
      </c>
      <c r="AI27" s="495" t="e">
        <f>IF($E27&lt;=IF($B$2="mil",1,0.0254)*50,"Pass",IF($B$2="mil",1,0.0254)*50-$E27)</f>
        <v>#REF!</v>
      </c>
      <c r="AJ27" s="495" t="e">
        <f>IF($F27&lt;=IF($B$2="mil",1,0.0254)*500,"Pass",IF($B$2="mil",1,0.0254)*500-$F27)</f>
        <v>#REF!</v>
      </c>
      <c r="AK27" s="495" t="e">
        <f>IF($H27&lt;=IF($B$2="mil",1,0.0254)*250,"Pass",IF($B$2="mil",1,0.0254)*250-$H27)</f>
        <v>#REF!</v>
      </c>
      <c r="AL27" s="495" t="e">
        <f ca="1">CheckLength(IF($B$2="mil",1,0.0254)*1125, IF($B$2="mil",1,0.0254)*125-J27, 0, I27,J27,0)</f>
        <v>#NAME?</v>
      </c>
      <c r="AM27" s="495" t="e">
        <f>IF($J27&lt;=IF($B$2="mil",1,0.0254)*125,"Pass",IF($B$2="mil",1,0.0254)*125-$J27)</f>
        <v>#REF!</v>
      </c>
      <c r="AN27" s="495" t="e">
        <f>IF($L27&lt;=IF($B$2="mil",1,0.0254)*125,"Pass",IF($B$2="mil",1,0.0254)*125-$L27)</f>
        <v>#REF!</v>
      </c>
      <c r="AO27" s="495" t="e">
        <f ca="1">CheckLength(IF($B$2="mil",1,0.0254)*1250, IF($B$2="mil",1,0.0254)*125-L27, IF($B$2="mil",1,0.0254)*150-N27, M27,L27,N27)</f>
        <v>#NAME?</v>
      </c>
      <c r="AP27" s="495" t="e">
        <f ca="1">CheckLength2(IF($B$2="mil",1,0.0254)*1400,$M27,$N27,0)</f>
        <v>#NAME?</v>
      </c>
      <c r="AQ27" s="495" t="e">
        <f>IF(AND($P27&gt;=IF($B$2="mil",1,0.0254)*500, $P27&lt;=IF($B$2="mil",1,0.0254)*4000),"Pass",IF($B$2="mil",1,0.0254)*4000-$P27)</f>
        <v>#REF!</v>
      </c>
      <c r="AR27" s="495" t="e">
        <f ca="1">IF(AND($Q27&gt;=IF($B$2="mil",1,0.0254)*500, $Q27&lt;=IF($B$2="mil",1,0.0254)*4500),"Pass",IF($B$2="mil",1,0.0254)*4500-$Q27)</f>
        <v>#REF!</v>
      </c>
      <c r="AS27" s="495" t="e">
        <f>IF(AND($Y27&gt;=IF($B$2="mil",1,0.0254)*500, $Y27&lt;=IF($B$2="mil",1,0.0254)*5000),"Pass",IF($B$2="mil",1,0.0254)*5000-$Y27)</f>
        <v>#REF!</v>
      </c>
      <c r="AT27" s="495" t="e">
        <f ca="1">IF(AND($Z27&gt;=IF($B$2="mil",1,0.0254)*500, $Z27&lt;=IF($B$2="mil",1,0.0254)*6000),"Pass",IF($B$2="mil",1,0.0254)*6000-$Z27)</f>
        <v>#REF!</v>
      </c>
      <c r="AU27" s="21"/>
      <c r="AV27" s="3" t="e">
        <f ca="1">IF(AND(AI27="Pass",AR27="Pass",AK27="Pass",AJ27="Pass",AQ27="Pass",V27="Pass",W27="Pass",AO27="Pass",AP27="Pass",AN27="Pass",AM27="Pass",AL27="Pass",AG27="Pass",AH27="Pass",AS27="Pass",AT27="Pass",AD27="Pass",AE27="Pass"),"Pass","Fail")</f>
        <v>#REF!</v>
      </c>
    </row>
    <row r="28" spans="1:48" s="3" customFormat="1">
      <c r="A28" s="652" t="e">
        <f ca="1">Assign1x8(#REF!,"Name_P")</f>
        <v>#NAME?</v>
      </c>
      <c r="B28" s="652" t="e">
        <f ca="1">Assign1x8(#REF!,"Ball_P")</f>
        <v>#NAME?</v>
      </c>
      <c r="C28" s="652" t="e">
        <f ca="1">Assign1x8(#REF!,"Len_P")</f>
        <v>#NAME?</v>
      </c>
      <c r="D28" s="18"/>
      <c r="E28" s="277">
        <v>29.7</v>
      </c>
      <c r="F28" s="277">
        <v>0</v>
      </c>
      <c r="G28" s="305">
        <v>2094.7399999999998</v>
      </c>
      <c r="H28" s="305">
        <v>68.650000000000006</v>
      </c>
      <c r="I28" s="277">
        <v>0</v>
      </c>
      <c r="J28" s="305">
        <v>58.86</v>
      </c>
      <c r="K28" s="277">
        <v>40</v>
      </c>
      <c r="L28" s="305">
        <v>95.15</v>
      </c>
      <c r="M28" s="305">
        <v>779.5</v>
      </c>
      <c r="N28" s="305">
        <v>330</v>
      </c>
      <c r="O28" s="69"/>
      <c r="P28" s="489">
        <f xml:space="preserve"> E28+F28+G28+H28</f>
        <v>2193.0899999999997</v>
      </c>
      <c r="Q28" s="489" t="e">
        <f ca="1">P28+IF($B$2="mil",1,0.0254)*C28</f>
        <v>#REF!</v>
      </c>
      <c r="R28" s="597"/>
      <c r="S28" s="489" t="e">
        <f>MAX(S$5:T$5)+IF($B$2="mil",1,0.0254)*DDR2Specs!$B$2</f>
        <v>#REF!</v>
      </c>
      <c r="T28" s="489" t="e">
        <f>MIN(S$5:T$5)+IF($B$2="mil",1,0.0254)*DDR2Specs!$C$2</f>
        <v>#REF!</v>
      </c>
      <c r="U28" s="597"/>
      <c r="V28" s="598" t="e">
        <f ca="1">IF($Q28&lt;$S28,$S28-$Q28,"Pass")</f>
        <v>#REF!</v>
      </c>
      <c r="W28" s="495" t="e">
        <f ca="1">IF($Q28&gt;$T28,$Q28-$T28,"Pass")</f>
        <v>#REF!</v>
      </c>
      <c r="X28" s="21"/>
      <c r="Y28" s="489">
        <f>SUM(E28:G28,I28:N28)</f>
        <v>3427.95</v>
      </c>
      <c r="Z28" s="489" t="e">
        <f ca="1">Y28+IF($B$2="mil",1,0.0254)*$C28</f>
        <v>#REF!</v>
      </c>
      <c r="AA28" s="489" t="e">
        <f>MAX(AA$25:AB$25)+IF($B$2="mil",1,0.0254)*DDR2Specs!$E$2</f>
        <v>#REF!</v>
      </c>
      <c r="AB28" s="489" t="e">
        <f>MIN(AA$25:AB$25)+IF($B$2="mil",1,0.0254)*DDR2Specs!$F$2</f>
        <v>#REF!</v>
      </c>
      <c r="AC28" s="21"/>
      <c r="AD28" s="598" t="e">
        <f ca="1">IF($Z28&lt;$AA28,$AA28-$Z28,"Pass")</f>
        <v>#REF!</v>
      </c>
      <c r="AE28" s="495" t="e">
        <f ca="1">IF($Z28&gt;$AB28,$Z28-$AB28,"Pass")</f>
        <v>#REF!</v>
      </c>
      <c r="AF28" s="21"/>
      <c r="AG28" s="495" t="e">
        <f ca="1">IF((ABS($Q28-$Q27)&lt;=IF($B$2="mil",1,0.0254)*5),"Pass",ABS($Q28-$Q27))</f>
        <v>#REF!</v>
      </c>
      <c r="AH28" s="495" t="e">
        <f ca="1">IF((ABS($Z28-$Z27)&lt;=IF($B$2="mil",1,0.0254)*5),"Pass",ABS($Z28-$Z27))</f>
        <v>#REF!</v>
      </c>
      <c r="AI28" s="495" t="e">
        <f>IF($E28&lt;=IF($B$2="mil",1,0.0254)*50,"Pass",IF($B$2="mil",1,0.0254)*50-$E28)</f>
        <v>#REF!</v>
      </c>
      <c r="AJ28" s="495" t="e">
        <f>IF($F28&lt;=IF($B$2="mil",1,0.0254)*500,"Pass",IF($B$2="mil",1,0.0254)*500-$F28)</f>
        <v>#REF!</v>
      </c>
      <c r="AK28" s="495" t="e">
        <f>IF($H28&lt;=IF($B$2="mil",1,0.0254)*250,"Pass",IF($B$2="mil",1,0.0254)*250-$H28)</f>
        <v>#REF!</v>
      </c>
      <c r="AL28" s="495" t="e">
        <f ca="1">CheckLength(IF($B$2="mil",1,0.0254)*1125, IF($B$2="mil",1,0.0254)*125-J28, 0, I28,J28,0)</f>
        <v>#NAME?</v>
      </c>
      <c r="AM28" s="495" t="e">
        <f>IF($J28&lt;=IF($B$2="mil",1,0.0254)*125,"Pass",IF($B$2="mil",1,0.0254)*125-$J28)</f>
        <v>#REF!</v>
      </c>
      <c r="AN28" s="495" t="e">
        <f>IF($L28&lt;=IF($B$2="mil",1,0.0254)*125,"Pass",IF($B$2="mil",1,0.0254)*125-$L28)</f>
        <v>#REF!</v>
      </c>
      <c r="AO28" s="495" t="e">
        <f ca="1">CheckLength(IF($B$2="mil",1,0.0254)*1250, IF($B$2="mil",1,0.0254)*125-L28, IF($B$2="mil",1,0.0254)*150-N28, M28,L28,N28)</f>
        <v>#NAME?</v>
      </c>
      <c r="AP28" s="495" t="e">
        <f ca="1">CheckLength2(IF($B$2="mil",1,0.0254)*1400,$M28,$N28,0)</f>
        <v>#NAME?</v>
      </c>
      <c r="AQ28" s="495" t="e">
        <f>IF(AND($P28&gt;=IF($B$2="mil",1,0.0254)*500, $P28&lt;=IF($B$2="mil",1,0.0254)*4000),"Pass",IF($B$2="mil",1,0.0254)*4000-$P28)</f>
        <v>#REF!</v>
      </c>
      <c r="AR28" s="495" t="e">
        <f ca="1">IF(AND($Q28&gt;=IF($B$2="mil",1,0.0254)*500, $Q28&lt;=IF($B$2="mil",1,0.0254)*4500),"Pass",IF($B$2="mil",1,0.0254)*4500-$Q28)</f>
        <v>#REF!</v>
      </c>
      <c r="AS28" s="495" t="e">
        <f>IF(AND($Y28&gt;=IF($B$2="mil",1,0.0254)*500, $Y28&lt;=IF($B$2="mil",1,0.0254)*5000),"Pass",IF($B$2="mil",1,0.0254)*5000-$Y28)</f>
        <v>#REF!</v>
      </c>
      <c r="AT28" s="495" t="e">
        <f ca="1">IF(AND($Z28&gt;=IF($B$2="mil",1,0.0254)*500, $Z28&lt;=IF($B$2="mil",1,0.0254)*6000),"Pass",IF($B$2="mil",1,0.0254)*6000-$Z28)</f>
        <v>#REF!</v>
      </c>
      <c r="AU28" s="21"/>
      <c r="AV28" s="3" t="e">
        <f ca="1">IF(AND(AI28="Pass",AR28="Pass",AK28="Pass",AJ28="Pass",AQ28="Pass",V28="Pass",W28="Pass",AO28="Pass",AP28="Pass",AN28="Pass",AM28="Pass",AL28="Pass",AG28="Pass",AH28="Pass",AS28="Pass",AT28="Pass",AD28="Pass",AE28="Pass"),"Pass","Fail")</f>
        <v>#REF!</v>
      </c>
    </row>
    <row r="29" spans="1:48" s="3" customFormat="1">
      <c r="A29" s="8" t="s">
        <v>249</v>
      </c>
      <c r="B29" s="631"/>
      <c r="C29" s="632"/>
      <c r="D29" s="10"/>
      <c r="E29" s="288"/>
      <c r="F29" s="288"/>
      <c r="G29" s="288"/>
      <c r="H29" s="288"/>
      <c r="I29" s="288"/>
      <c r="J29" s="292"/>
      <c r="K29" s="10"/>
      <c r="L29" s="292"/>
      <c r="M29" s="292"/>
      <c r="N29" s="292"/>
      <c r="O29" s="10"/>
      <c r="P29" s="9"/>
      <c r="Q29" s="51"/>
      <c r="R29" s="10"/>
      <c r="S29" s="10"/>
      <c r="T29" s="10"/>
      <c r="U29" s="10"/>
      <c r="V29" s="10"/>
      <c r="W29" s="10"/>
      <c r="X29" s="10"/>
      <c r="Y29" s="9"/>
      <c r="Z29" s="51"/>
      <c r="AA29" s="10"/>
      <c r="AB29" s="15"/>
      <c r="AC29" s="10"/>
      <c r="AD29" s="15"/>
      <c r="AE29" s="15"/>
      <c r="AF29" s="10"/>
      <c r="AG29" s="15"/>
      <c r="AH29" s="15"/>
      <c r="AI29" s="15"/>
      <c r="AJ29" s="15"/>
      <c r="AK29" s="15"/>
      <c r="AL29" s="10"/>
      <c r="AM29" s="10"/>
      <c r="AN29" s="10"/>
      <c r="AO29" s="10"/>
      <c r="AP29" s="10"/>
      <c r="AQ29" s="10"/>
      <c r="AR29" s="10"/>
      <c r="AS29" s="10"/>
      <c r="AT29" s="10"/>
      <c r="AU29" s="12"/>
    </row>
    <row r="30" spans="1:48" s="3" customFormat="1">
      <c r="A30" s="653" t="s">
        <v>24</v>
      </c>
      <c r="B30" s="654"/>
      <c r="C30" s="648"/>
      <c r="D30" s="53"/>
      <c r="E30" s="289"/>
      <c r="F30" s="289"/>
      <c r="G30" s="289"/>
      <c r="H30" s="289"/>
      <c r="I30" s="289"/>
      <c r="J30" s="293"/>
      <c r="K30" s="52"/>
      <c r="L30" s="293"/>
      <c r="M30" s="293"/>
      <c r="N30" s="293"/>
      <c r="O30" s="52"/>
      <c r="P30" s="81"/>
      <c r="Q30" s="65"/>
      <c r="R30" s="540"/>
      <c r="S30" s="168"/>
      <c r="T30" s="541"/>
      <c r="U30" s="53"/>
      <c r="V30" s="65"/>
      <c r="W30" s="65"/>
      <c r="X30" s="540"/>
      <c r="Y30" s="81"/>
      <c r="Z30" s="540" t="s">
        <v>286</v>
      </c>
      <c r="AA30" s="542" t="e">
        <f>MIN('DDR2 Clocks - 4L'!$O$15:$O$16)</f>
        <v>#REF!</v>
      </c>
      <c r="AB30" s="541" t="e">
        <f>MAX('DDR2 Clocks - 4L'!$O$15:$O$16)</f>
        <v>#REF!</v>
      </c>
      <c r="AC30" s="65"/>
      <c r="AD30" s="65"/>
      <c r="AE30" s="65"/>
      <c r="AF30" s="540"/>
      <c r="AG30" s="65"/>
      <c r="AH30" s="65"/>
      <c r="AI30" s="65"/>
      <c r="AJ30" s="52"/>
      <c r="AK30" s="52"/>
      <c r="AL30" s="52"/>
      <c r="AM30" s="52"/>
      <c r="AN30" s="52"/>
      <c r="AO30" s="52"/>
      <c r="AP30" s="52"/>
      <c r="AQ30" s="52"/>
      <c r="AR30" s="52"/>
      <c r="AS30" s="52"/>
      <c r="AT30" s="52"/>
      <c r="AU30" s="58"/>
    </row>
    <row r="31" spans="1:48" s="3" customFormat="1">
      <c r="A31" s="8" t="s">
        <v>250</v>
      </c>
      <c r="B31" s="655"/>
      <c r="C31" s="649"/>
      <c r="D31" s="62"/>
      <c r="E31" s="290"/>
      <c r="F31" s="290"/>
      <c r="G31" s="290"/>
      <c r="H31" s="290"/>
      <c r="I31" s="290"/>
      <c r="J31" s="294"/>
      <c r="K31" s="54"/>
      <c r="L31" s="294"/>
      <c r="M31" s="294"/>
      <c r="N31" s="294"/>
      <c r="O31" s="54"/>
      <c r="P31" s="54"/>
      <c r="Q31" s="54"/>
      <c r="R31" s="54"/>
      <c r="S31" s="54"/>
      <c r="T31" s="66"/>
      <c r="U31" s="54"/>
      <c r="V31" s="66"/>
      <c r="W31" s="66"/>
      <c r="X31" s="66"/>
      <c r="Y31" s="54"/>
      <c r="Z31" s="54"/>
      <c r="AA31" s="66"/>
      <c r="AB31" s="67"/>
      <c r="AC31" s="66"/>
      <c r="AD31" s="54"/>
      <c r="AE31" s="54"/>
      <c r="AF31" s="66"/>
      <c r="AG31" s="54"/>
      <c r="AH31" s="54"/>
      <c r="AI31" s="54"/>
      <c r="AJ31" s="66"/>
      <c r="AK31" s="66"/>
      <c r="AL31" s="66"/>
      <c r="AM31" s="66"/>
      <c r="AN31" s="66"/>
      <c r="AO31" s="66"/>
      <c r="AP31" s="66"/>
      <c r="AQ31" s="66"/>
      <c r="AR31" s="66"/>
      <c r="AS31" s="66"/>
      <c r="AT31" s="66"/>
      <c r="AU31" s="68"/>
    </row>
    <row r="32" spans="1:48" s="3" customFormat="1">
      <c r="A32" s="652" t="e">
        <f ca="1">Assign1x8(#REF!,"Name")</f>
        <v>#NAME?</v>
      </c>
      <c r="B32" s="652" t="e">
        <f ca="1">Assign1x8(#REF!,"Ball")</f>
        <v>#NAME?</v>
      </c>
      <c r="C32" s="652" t="e">
        <f ca="1">Assign1x8(#REF!,"Len")</f>
        <v>#NAME?</v>
      </c>
      <c r="D32" s="18"/>
      <c r="E32" s="277">
        <v>29.7</v>
      </c>
      <c r="F32" s="277">
        <v>0</v>
      </c>
      <c r="G32" s="305">
        <v>2350</v>
      </c>
      <c r="H32" s="305">
        <v>88.11</v>
      </c>
      <c r="I32" s="277">
        <v>0</v>
      </c>
      <c r="J32" s="305">
        <v>67.680000000000007</v>
      </c>
      <c r="K32" s="277">
        <v>40</v>
      </c>
      <c r="L32" s="305">
        <v>122.75</v>
      </c>
      <c r="M32" s="305">
        <v>803.3</v>
      </c>
      <c r="N32" s="305">
        <v>330</v>
      </c>
      <c r="O32" s="69"/>
      <c r="P32" s="489">
        <f xml:space="preserve"> E32+F32+G32+H32</f>
        <v>2467.81</v>
      </c>
      <c r="Q32" s="489" t="e">
        <f ca="1">P32+IF($B$2="mil",1,0.0254)*C32</f>
        <v>#REF!</v>
      </c>
      <c r="R32" s="597"/>
      <c r="S32" s="489" t="e">
        <f>MAX(S$5:T$5)+IF($B$2="mil",1,0.0254)*DDR2Specs!$B$2</f>
        <v>#REF!</v>
      </c>
      <c r="T32" s="489" t="e">
        <f>MIN(S$5:T$5)+IF($B$2="mil",1,0.0254)*DDR2Specs!$C$2</f>
        <v>#REF!</v>
      </c>
      <c r="U32" s="597"/>
      <c r="V32" s="598" t="e">
        <f ca="1">IF($Q32&lt;$S32,$S32-$Q32,"Pass")</f>
        <v>#REF!</v>
      </c>
      <c r="W32" s="495" t="e">
        <f ca="1">IF($Q32&gt;$T32,$Q32-$T32,"Pass")</f>
        <v>#REF!</v>
      </c>
      <c r="X32" s="21"/>
      <c r="Y32" s="489">
        <f>SUM(E32:G32,I32:N32)</f>
        <v>3743.4299999999994</v>
      </c>
      <c r="Z32" s="489" t="e">
        <f ca="1">Y32+IF($B$2="mil",1,0.0254)*$C32</f>
        <v>#REF!</v>
      </c>
      <c r="AA32" s="489" t="e">
        <f>MAX(AA$30:AB$30)+IF($B$2="mil",1,0.0254)*DDR2Specs!$E$2</f>
        <v>#REF!</v>
      </c>
      <c r="AB32" s="489" t="e">
        <f>MIN(AA$30:AB$30)+IF($B$2="mil",1,0.0254)*DDR2Specs!$F$2</f>
        <v>#REF!</v>
      </c>
      <c r="AC32" s="21"/>
      <c r="AD32" s="598" t="e">
        <f ca="1">IF($Z32&lt;$AA32,$AA32-$Z32,"Pass")</f>
        <v>#REF!</v>
      </c>
      <c r="AE32" s="495" t="e">
        <f ca="1">IF($Z32&gt;$AB32,$Z32-$AB32,"Pass")</f>
        <v>#REF!</v>
      </c>
      <c r="AF32" s="21"/>
      <c r="AG32" s="495" t="e">
        <f ca="1">IF((ABS($Q32-$Q33)&lt;=IF($B$2="mil",1,0.0254)*5),"Pass",ABS($Q32-$Q33))</f>
        <v>#REF!</v>
      </c>
      <c r="AH32" s="495" t="e">
        <f ca="1">IF((ABS($Z32-$Z33)&lt;=IF($B$2="mil",1,0.0254)*5),"Pass",ABS($Z32-$Z33))</f>
        <v>#REF!</v>
      </c>
      <c r="AI32" s="495" t="e">
        <f>IF($E32&lt;=IF($B$2="mil",1,0.0254)*50,"Pass",IF($B$2="mil",1,0.0254)*50-$E32)</f>
        <v>#REF!</v>
      </c>
      <c r="AJ32" s="495" t="e">
        <f>IF($F32&lt;=IF($B$2="mil",1,0.0254)*500,"Pass",IF($B$2="mil",1,0.0254)*500-$F32)</f>
        <v>#REF!</v>
      </c>
      <c r="AK32" s="495" t="e">
        <f>IF($H32&lt;=IF($B$2="mil",1,0.0254)*250,"Pass",IF($B$2="mil",1,0.0254)*250-$H32)</f>
        <v>#REF!</v>
      </c>
      <c r="AL32" s="495" t="e">
        <f ca="1">CheckLength(IF($B$2="mil",1,0.0254)*1125, IF($B$2="mil",1,0.0254)*125-J32, 0, I32,J32,0)</f>
        <v>#NAME?</v>
      </c>
      <c r="AM32" s="495" t="e">
        <f>IF($J32&lt;=IF($B$2="mil",1,0.0254)*125,"Pass",IF($B$2="mil",1,0.0254)*125-$J32)</f>
        <v>#REF!</v>
      </c>
      <c r="AN32" s="495" t="e">
        <f>IF($L32&lt;=IF($B$2="mil",1,0.0254)*125,"Pass",IF($B$2="mil",1,0.0254)*125-$L32)</f>
        <v>#REF!</v>
      </c>
      <c r="AO32" s="495" t="e">
        <f ca="1">CheckLength(IF($B$2="mil",1,0.0254)*1250, IF($B$2="mil",1,0.0254)*125-L32, IF($B$2="mil",1,0.0254)*150-N32, M32,L32,N32)</f>
        <v>#NAME?</v>
      </c>
      <c r="AP32" s="495" t="e">
        <f ca="1">CheckLength2(IF($B$2="mil",1,0.0254)*1400,$M32,$N32,0)</f>
        <v>#NAME?</v>
      </c>
      <c r="AQ32" s="495" t="e">
        <f>IF(AND($P32&gt;=IF($B$2="mil",1,0.0254)*500, $P32&lt;=IF($B$2="mil",1,0.0254)*4000),"Pass",IF($B$2="mil",1,0.0254)*4000-$P32)</f>
        <v>#REF!</v>
      </c>
      <c r="AR32" s="495" t="e">
        <f ca="1">IF(AND($Q32&gt;=IF($B$2="mil",1,0.0254)*500, $Q32&lt;=IF($B$2="mil",1,0.0254)*4500),"Pass",IF($B$2="mil",1,0.0254)*4500-$Q32)</f>
        <v>#REF!</v>
      </c>
      <c r="AS32" s="495" t="e">
        <f>IF(AND($Y32&gt;=IF($B$2="mil",1,0.0254)*500, $Y32&lt;=IF($B$2="mil",1,0.0254)*6250),"Pass",IF($B$2="mil",1,0.0254)*6250-$Y32)</f>
        <v>#REF!</v>
      </c>
      <c r="AT32" s="495" t="e">
        <f ca="1">IF(AND($Z32&gt;=IF($B$2="mil",1,0.0254)*500, $Z32&lt;=IF($B$2="mil",1,0.0254)*6000),"Pass",IF($B$2="mil",1,0.0254)*6000-$Z32)</f>
        <v>#REF!</v>
      </c>
      <c r="AU32" s="21"/>
      <c r="AV32" s="3" t="e">
        <f ca="1">IF(AND(AI32="Pass",AR32="Pass",AK32="Pass",AJ32="Pass",AQ32="Pass",V32="Pass",W32="Pass",AO32="Pass",AP32="Pass",AN32="Pass",AM32="Pass",AL32="Pass",AG32="Pass",AH32="Pass",AS32="Pass",AT32="Pass",AD32="Pass",AE32="Pass"),"Pass","Fail")</f>
        <v>#REF!</v>
      </c>
    </row>
    <row r="33" spans="1:58" s="3" customFormat="1">
      <c r="A33" s="652" t="e">
        <f ca="1">Assign1x8(#REF!,"Name_P")</f>
        <v>#NAME?</v>
      </c>
      <c r="B33" s="652" t="e">
        <f ca="1">Assign1x8(#REF!,"Ball_P")</f>
        <v>#NAME?</v>
      </c>
      <c r="C33" s="652" t="e">
        <f ca="1">Assign1x8(#REF!,"Len_P")</f>
        <v>#NAME?</v>
      </c>
      <c r="D33" s="18"/>
      <c r="E33" s="277">
        <v>29.7</v>
      </c>
      <c r="F33" s="277">
        <v>0</v>
      </c>
      <c r="G33" s="305">
        <v>2350</v>
      </c>
      <c r="H33" s="305">
        <v>85.59</v>
      </c>
      <c r="I33" s="277">
        <v>0</v>
      </c>
      <c r="J33" s="305">
        <v>66.03</v>
      </c>
      <c r="K33" s="277">
        <v>40</v>
      </c>
      <c r="L33" s="305">
        <v>124.97</v>
      </c>
      <c r="M33" s="305">
        <v>798.33</v>
      </c>
      <c r="N33" s="305">
        <v>330</v>
      </c>
      <c r="O33" s="69"/>
      <c r="P33" s="489">
        <f xml:space="preserve"> E33+F33+G33+H33</f>
        <v>2465.29</v>
      </c>
      <c r="Q33" s="489" t="e">
        <f ca="1">P33+IF($B$2="mil",1,0.0254)*C33</f>
        <v>#REF!</v>
      </c>
      <c r="R33" s="597"/>
      <c r="S33" s="489" t="e">
        <f>MAX(S$5:T$5)+IF($B$2="mil",1,0.0254)*DDR2Specs!$B$2</f>
        <v>#REF!</v>
      </c>
      <c r="T33" s="489" t="e">
        <f>MIN(S$5:T$5)+IF($B$2="mil",1,0.0254)*DDR2Specs!$C$2</f>
        <v>#REF!</v>
      </c>
      <c r="U33" s="597"/>
      <c r="V33" s="598" t="e">
        <f ca="1">IF($Q33&lt;$S33,$S33-$Q33,"Pass")</f>
        <v>#REF!</v>
      </c>
      <c r="W33" s="495" t="e">
        <f ca="1">IF($Q33&gt;$T33,$Q33-$T33,"Pass")</f>
        <v>#REF!</v>
      </c>
      <c r="X33" s="21"/>
      <c r="Y33" s="489">
        <f>SUM(E33:G33,I33:N33)</f>
        <v>3739.0299999999997</v>
      </c>
      <c r="Z33" s="489" t="e">
        <f ca="1">Y33+IF($B$2="mil",1,0.0254)*$C33</f>
        <v>#REF!</v>
      </c>
      <c r="AA33" s="489" t="e">
        <f>MAX(AA$30:AB$30)+IF($B$2="mil",1,0.0254)*DDR2Specs!$E$2</f>
        <v>#REF!</v>
      </c>
      <c r="AB33" s="489" t="e">
        <f>MIN(AA$30:AB$30)+IF($B$2="mil",1,0.0254)*DDR2Specs!$F$2</f>
        <v>#REF!</v>
      </c>
      <c r="AC33" s="21"/>
      <c r="AD33" s="598" t="e">
        <f ca="1">IF($Z33&lt;$AA33,$AA33-$Z33,"Pass")</f>
        <v>#REF!</v>
      </c>
      <c r="AE33" s="495" t="e">
        <f ca="1">IF($Z33&gt;$AB33,$Z33-$AB33,"Pass")</f>
        <v>#REF!</v>
      </c>
      <c r="AF33" s="21"/>
      <c r="AG33" s="495" t="e">
        <f ca="1">IF((ABS($Q33-$Q32)&lt;=IF($B$2="mil",1,0.0254)*5),"Pass",ABS($Q33-$Q32))</f>
        <v>#REF!</v>
      </c>
      <c r="AH33" s="495" t="e">
        <f ca="1">IF((ABS($Z33-$Z32)&lt;=IF($B$2="mil",1,0.0254)*5),"Pass",ABS($Z33-$Z32))</f>
        <v>#REF!</v>
      </c>
      <c r="AI33" s="495" t="e">
        <f>IF($E33&lt;=IF($B$2="mil",1,0.0254)*50,"Pass",IF($B$2="mil",1,0.0254)*50-$E33)</f>
        <v>#REF!</v>
      </c>
      <c r="AJ33" s="495" t="e">
        <f>IF($F33&lt;=IF($B$2="mil",1,0.0254)*500,"Pass",IF($B$2="mil",1,0.0254)*500-$F33)</f>
        <v>#REF!</v>
      </c>
      <c r="AK33" s="495" t="e">
        <f>IF($H33&lt;=IF($B$2="mil",1,0.0254)*250,"Pass",IF($B$2="mil",1,0.0254)*250-$H33)</f>
        <v>#REF!</v>
      </c>
      <c r="AL33" s="495" t="e">
        <f ca="1">CheckLength(IF($B$2="mil",1,0.0254)*1125, IF($B$2="mil",1,0.0254)*125-J33, 0, I33,J33,0)</f>
        <v>#NAME?</v>
      </c>
      <c r="AM33" s="495" t="e">
        <f>IF($J33&lt;=IF($B$2="mil",1,0.0254)*125,"Pass",IF($B$2="mil",1,0.0254)*125-$J33)</f>
        <v>#REF!</v>
      </c>
      <c r="AN33" s="495" t="e">
        <f>IF($L33&lt;=IF($B$2="mil",1,0.0254)*125,"Pass",IF($B$2="mil",1,0.0254)*125-$L33)</f>
        <v>#REF!</v>
      </c>
      <c r="AO33" s="495" t="e">
        <f ca="1">CheckLength(IF($B$2="mil",1,0.0254)*1250, IF($B$2="mil",1,0.0254)*125-L33, IF($B$2="mil",1,0.0254)*150-N33, M33,L33,N33)</f>
        <v>#NAME?</v>
      </c>
      <c r="AP33" s="495" t="e">
        <f ca="1">CheckLength2(IF($B$2="mil",1,0.0254)*1400,$M33,$N33,0)</f>
        <v>#NAME?</v>
      </c>
      <c r="AQ33" s="495" t="e">
        <f>IF(AND($P33&gt;=IF($B$2="mil",1,0.0254)*500, $P33&lt;=IF($B$2="mil",1,0.0254)*4000),"Pass",IF($B$2="mil",1,0.0254)*4000-$P33)</f>
        <v>#REF!</v>
      </c>
      <c r="AR33" s="495" t="e">
        <f ca="1">IF(AND($Q33&gt;=IF($B$2="mil",1,0.0254)*500, $Q33&lt;=IF($B$2="mil",1,0.0254)*4500),"Pass",IF($B$2="mil",1,0.0254)*4500-$Q33)</f>
        <v>#REF!</v>
      </c>
      <c r="AS33" s="495" t="e">
        <f>IF(AND($Y33&gt;=IF($B$2="mil",1,0.0254)*500, $Y33&lt;=IF($B$2="mil",1,0.0254)*6250),"Pass",IF($B$2="mil",1,0.0254)*6250-$Y33)</f>
        <v>#REF!</v>
      </c>
      <c r="AT33" s="495" t="e">
        <f ca="1">IF(AND($Z33&gt;=IF($B$2="mil",1,0.0254)*500, $Z33&lt;=IF($B$2="mil",1,0.0254)*6000),"Pass",IF($B$2="mil",1,0.0254)*6000-$Z33)</f>
        <v>#REF!</v>
      </c>
      <c r="AU33" s="21"/>
      <c r="AV33" s="3" t="e">
        <f ca="1">IF(AND(AI33="Pass",AR33="Pass",AK33="Pass",AJ33="Pass",AQ33="Pass",V33="Pass",W33="Pass",AO33="Pass",AP33="Pass",AN33="Pass",AM33="Pass",AL33="Pass",AG33="Pass",AH33="Pass",AS33="Pass",AT33="Pass",AD33="Pass",AE33="Pass"),"Pass","Fail")</f>
        <v>#REF!</v>
      </c>
    </row>
    <row r="34" spans="1:58" s="3" customFormat="1">
      <c r="A34" s="8" t="s">
        <v>249</v>
      </c>
      <c r="B34" s="631"/>
      <c r="C34" s="632"/>
      <c r="D34" s="10"/>
      <c r="E34" s="288"/>
      <c r="F34" s="288"/>
      <c r="G34" s="288"/>
      <c r="H34" s="288"/>
      <c r="I34" s="288"/>
      <c r="J34" s="292"/>
      <c r="K34" s="10"/>
      <c r="L34" s="292"/>
      <c r="M34" s="292"/>
      <c r="N34" s="292"/>
      <c r="O34" s="10"/>
      <c r="P34" s="9"/>
      <c r="Q34" s="51"/>
      <c r="R34" s="10"/>
      <c r="S34" s="10"/>
      <c r="T34" s="10"/>
      <c r="U34" s="10"/>
      <c r="V34" s="10"/>
      <c r="W34" s="10"/>
      <c r="X34" s="10"/>
      <c r="Y34" s="9"/>
      <c r="Z34" s="51"/>
      <c r="AA34" s="10"/>
      <c r="AB34" s="15"/>
      <c r="AC34" s="10"/>
      <c r="AD34" s="15"/>
      <c r="AE34" s="15"/>
      <c r="AF34" s="10"/>
      <c r="AG34" s="15"/>
      <c r="AH34" s="15"/>
      <c r="AI34" s="15"/>
      <c r="AJ34" s="15"/>
      <c r="AK34" s="15"/>
      <c r="AL34" s="10"/>
      <c r="AM34" s="10"/>
      <c r="AN34" s="10"/>
      <c r="AO34" s="10"/>
      <c r="AP34" s="10"/>
      <c r="AQ34" s="10"/>
      <c r="AR34" s="10"/>
      <c r="AS34" s="10"/>
      <c r="AT34" s="10"/>
      <c r="AU34" s="12"/>
    </row>
    <row r="35" spans="1:58" s="3" customFormat="1">
      <c r="A35" s="653" t="s">
        <v>24</v>
      </c>
      <c r="B35" s="654"/>
      <c r="C35" s="648"/>
      <c r="D35" s="53"/>
      <c r="E35" s="289"/>
      <c r="F35" s="289"/>
      <c r="G35" s="289"/>
      <c r="H35" s="289"/>
      <c r="I35" s="289"/>
      <c r="J35" s="293"/>
      <c r="K35" s="52"/>
      <c r="L35" s="293"/>
      <c r="M35" s="293"/>
      <c r="N35" s="293"/>
      <c r="O35" s="52"/>
      <c r="P35" s="81"/>
      <c r="Q35" s="65"/>
      <c r="R35" s="540"/>
      <c r="S35" s="168"/>
      <c r="T35" s="541"/>
      <c r="U35" s="53"/>
      <c r="V35" s="65"/>
      <c r="W35" s="65"/>
      <c r="X35" s="540"/>
      <c r="Y35" s="81"/>
      <c r="Z35" s="540" t="s">
        <v>225</v>
      </c>
      <c r="AA35" s="542" t="e">
        <f>MIN('DDR2 Clocks - 4L'!$O$17:$O$18)</f>
        <v>#REF!</v>
      </c>
      <c r="AB35" s="541" t="e">
        <f>MAX('DDR2 Clocks - 4L'!$O$17:$O$18)</f>
        <v>#REF!</v>
      </c>
      <c r="AC35" s="65"/>
      <c r="AD35" s="65"/>
      <c r="AE35" s="65"/>
      <c r="AF35" s="540"/>
      <c r="AG35" s="65"/>
      <c r="AH35" s="65"/>
      <c r="AI35" s="65"/>
      <c r="AJ35" s="52"/>
      <c r="AK35" s="52"/>
      <c r="AL35" s="52"/>
      <c r="AM35" s="52"/>
      <c r="AN35" s="52"/>
      <c r="AO35" s="52"/>
      <c r="AP35" s="52"/>
      <c r="AQ35" s="52"/>
      <c r="AR35" s="52"/>
      <c r="AS35" s="52"/>
      <c r="AT35" s="52"/>
      <c r="AU35" s="58"/>
    </row>
    <row r="36" spans="1:58" s="3" customFormat="1">
      <c r="A36" s="8" t="s">
        <v>250</v>
      </c>
      <c r="B36" s="657"/>
      <c r="C36" s="649"/>
      <c r="D36" s="62"/>
      <c r="E36" s="290"/>
      <c r="F36" s="290"/>
      <c r="G36" s="290"/>
      <c r="H36" s="290"/>
      <c r="I36" s="290"/>
      <c r="J36" s="294"/>
      <c r="K36" s="54"/>
      <c r="L36" s="294"/>
      <c r="M36" s="294"/>
      <c r="N36" s="294"/>
      <c r="O36" s="54"/>
      <c r="P36" s="54"/>
      <c r="Q36" s="54"/>
      <c r="R36" s="54"/>
      <c r="S36" s="54"/>
      <c r="T36" s="66"/>
      <c r="U36" s="54"/>
      <c r="V36" s="66"/>
      <c r="W36" s="66"/>
      <c r="X36" s="66"/>
      <c r="Y36" s="54"/>
      <c r="Z36" s="54"/>
      <c r="AA36" s="66"/>
      <c r="AB36" s="67"/>
      <c r="AC36" s="66"/>
      <c r="AD36" s="54"/>
      <c r="AE36" s="54"/>
      <c r="AF36" s="66"/>
      <c r="AG36" s="54"/>
      <c r="AH36" s="54"/>
      <c r="AI36" s="54"/>
      <c r="AJ36" s="66"/>
      <c r="AK36" s="66"/>
      <c r="AL36" s="66"/>
      <c r="AM36" s="66"/>
      <c r="AN36" s="66"/>
      <c r="AO36" s="66"/>
      <c r="AP36" s="66"/>
      <c r="AQ36" s="66"/>
      <c r="AR36" s="66"/>
      <c r="AS36" s="66"/>
      <c r="AT36" s="66"/>
      <c r="AU36" s="68"/>
    </row>
    <row r="37" spans="1:58" s="3" customFormat="1">
      <c r="A37" s="652" t="e">
        <f ca="1">Assign1x8(#REF!,"Name")</f>
        <v>#NAME?</v>
      </c>
      <c r="B37" s="652" t="e">
        <f ca="1">Assign1x8(#REF!,"Ball")</f>
        <v>#NAME?</v>
      </c>
      <c r="C37" s="652" t="e">
        <f ca="1">Assign1x8(#REF!,"Len")</f>
        <v>#NAME?</v>
      </c>
      <c r="D37" s="18"/>
      <c r="E37" s="277">
        <v>29.7</v>
      </c>
      <c r="F37" s="277">
        <v>0</v>
      </c>
      <c r="G37" s="305">
        <v>2210</v>
      </c>
      <c r="H37" s="305">
        <v>65</v>
      </c>
      <c r="I37" s="277">
        <v>0</v>
      </c>
      <c r="J37" s="305">
        <v>47.5</v>
      </c>
      <c r="K37" s="277">
        <v>40</v>
      </c>
      <c r="L37" s="305">
        <v>112.71</v>
      </c>
      <c r="M37" s="305">
        <v>799.27</v>
      </c>
      <c r="N37" s="305">
        <v>330</v>
      </c>
      <c r="O37" s="69"/>
      <c r="P37" s="489">
        <f xml:space="preserve"> E37+F37+G37+H37</f>
        <v>2304.6999999999998</v>
      </c>
      <c r="Q37" s="489" t="e">
        <f ca="1">P37+IF($B$2="mil",1,0.0254)*C37</f>
        <v>#REF!</v>
      </c>
      <c r="R37" s="597"/>
      <c r="S37" s="489" t="e">
        <f>MAX(S$5:T$5)+IF($B$2="mil",1,0.0254)*DDR2Specs!$B$2</f>
        <v>#REF!</v>
      </c>
      <c r="T37" s="489" t="e">
        <f>MIN(S$5:T$5)+IF($B$2="mil",1,0.0254)*DDR2Specs!$C$2</f>
        <v>#REF!</v>
      </c>
      <c r="U37" s="597"/>
      <c r="V37" s="598" t="e">
        <f ca="1">IF($Q37&lt;$S37,$S37-$Q37,"Pass")</f>
        <v>#REF!</v>
      </c>
      <c r="W37" s="495" t="e">
        <f ca="1">IF($Q37&gt;$T37,$Q37-$T37,"Pass")</f>
        <v>#REF!</v>
      </c>
      <c r="X37" s="21"/>
      <c r="Y37" s="489">
        <f>SUM(E37:G37,I37:N37)</f>
        <v>3569.18</v>
      </c>
      <c r="Z37" s="489" t="e">
        <f ca="1">Y37+IF($B$2="mil",1,0.0254)*$C37</f>
        <v>#REF!</v>
      </c>
      <c r="AA37" s="489" t="e">
        <f>MAX(AA$35:AB$35)+IF($B$2="mil",1,0.0254)*DDR2Specs!$E$2</f>
        <v>#REF!</v>
      </c>
      <c r="AB37" s="489" t="e">
        <f>MIN(AA$35:AB$35)+IF($B$2="mil",1,0.0254)*DDR2Specs!$F$2</f>
        <v>#REF!</v>
      </c>
      <c r="AC37" s="21"/>
      <c r="AD37" s="598" t="e">
        <f ca="1">IF($Z37&lt;$AA37,$AA37-$Z37,"Pass")</f>
        <v>#REF!</v>
      </c>
      <c r="AE37" s="495" t="e">
        <f ca="1">IF($Z37&gt;$AB37,$Z37-$AB37,"Pass")</f>
        <v>#REF!</v>
      </c>
      <c r="AF37" s="21"/>
      <c r="AG37" s="495" t="e">
        <f ca="1">IF((ABS($Q37-$Q38)&lt;=IF($B$2="mil",1,0.0254)*5),"Pass",ABS($Q37-$Q38))</f>
        <v>#REF!</v>
      </c>
      <c r="AH37" s="495" t="e">
        <f ca="1">IF((ABS($Z37-$Z38)&lt;=IF($B$2="mil",1,0.0254)*5),"Pass",ABS($Z37-$Z38))</f>
        <v>#REF!</v>
      </c>
      <c r="AI37" s="495" t="e">
        <f>IF($E37&lt;=IF($B$2="mil",1,0.0254)*50,"Pass",IF($B$2="mil",1,0.0254)*50-$E37)</f>
        <v>#REF!</v>
      </c>
      <c r="AJ37" s="495" t="e">
        <f>IF($F37&lt;=IF($B$2="mil",1,0.0254)*500,"Pass",IF($B$2="mil",1,0.0254)*500-$F37)</f>
        <v>#REF!</v>
      </c>
      <c r="AK37" s="495" t="e">
        <f>IF($H37&lt;=IF($B$2="mil",1,0.0254)*250,"Pass",IF($B$2="mil",1,0.0254)*250-$H37)</f>
        <v>#REF!</v>
      </c>
      <c r="AL37" s="495" t="e">
        <f ca="1">CheckLength(IF($B$2="mil",1,0.0254)*1125, IF($B$2="mil",1,0.0254)*125-J37, 0, I37,J37,0)</f>
        <v>#NAME?</v>
      </c>
      <c r="AM37" s="495" t="e">
        <f>IF($J37&lt;=IF($B$2="mil",1,0.0254)*125,"Pass",IF($B$2="mil",1,0.0254)*125-$J37)</f>
        <v>#REF!</v>
      </c>
      <c r="AN37" s="495" t="e">
        <f>IF($L37&lt;=IF($B$2="mil",1,0.0254)*125,"Pass",IF($B$2="mil",1,0.0254)*125-$L37)</f>
        <v>#REF!</v>
      </c>
      <c r="AO37" s="495" t="e">
        <f ca="1">CheckLength(IF($B$2="mil",1,0.0254)*1250, IF($B$2="mil",1,0.0254)*125-L37, IF($B$2="mil",1,0.0254)*150-N37, M37,L37,N37)</f>
        <v>#NAME?</v>
      </c>
      <c r="AP37" s="495" t="e">
        <f ca="1">CheckLength2(IF($B$2="mil",1,0.0254)*1400,$M37,$N37,0)</f>
        <v>#NAME?</v>
      </c>
      <c r="AQ37" s="495" t="e">
        <f>IF(AND($P37&gt;=IF($B$2="mil",1,0.0254)*500, $P37&lt;=IF($B$2="mil",1,0.0254)*4000),"Pass",IF($B$2="mil",1,0.0254)*4000-$P37)</f>
        <v>#REF!</v>
      </c>
      <c r="AR37" s="495" t="e">
        <f ca="1">IF(AND($Q37&gt;=IF($B$2="mil",1,0.0254)*500, $Q37&lt;=IF($B$2="mil",1,0.0254)*4500),"Pass",IF($B$2="mil",1,0.0254)*4500-$Q37)</f>
        <v>#REF!</v>
      </c>
      <c r="AS37" s="495" t="e">
        <f>IF(AND($Y37&gt;=IF($B$2="mil",1,0.0254)*500, $Y37&lt;=IF($B$2="mil",1,0.0254)*6250),"Pass",IF($B$2="mil",1,0.0254)*6250-$Y37)</f>
        <v>#REF!</v>
      </c>
      <c r="AT37" s="495" t="e">
        <f ca="1">IF(AND($Z37&gt;=IF($B$2="mil",1,0.0254)*500, $Z37&lt;=IF($B$2="mil",1,0.0254)*6000),"Pass",IF($B$2="mil",1,0.0254)*6000-$Z37)</f>
        <v>#REF!</v>
      </c>
      <c r="AU37" s="21"/>
      <c r="AV37" s="3" t="e">
        <f ca="1">IF(AND(AI37="Pass",AR37="Pass",AK37="Pass",AJ37="Pass",AQ37="Pass",V37="Pass",W37="Pass",AO37="Pass",AP37="Pass",AN37="Pass",AM37="Pass",AL37="Pass",AG37="Pass",AH37="Pass",AS37="Pass",AT37="Pass",AD37="Pass",AE37="Pass"),"Pass","Fail")</f>
        <v>#REF!</v>
      </c>
    </row>
    <row r="38" spans="1:58" s="3" customFormat="1">
      <c r="A38" s="652" t="e">
        <f ca="1">Assign1x8(#REF!,"Name_P")</f>
        <v>#NAME?</v>
      </c>
      <c r="B38" s="652" t="e">
        <f ca="1">Assign1x8(#REF!,"Ball_P")</f>
        <v>#NAME?</v>
      </c>
      <c r="C38" s="652" t="e">
        <f ca="1">Assign1x8(#REF!,"Len_P")</f>
        <v>#NAME?</v>
      </c>
      <c r="D38" s="18"/>
      <c r="E38" s="277">
        <v>29.7</v>
      </c>
      <c r="F38" s="277">
        <v>0</v>
      </c>
      <c r="G38" s="305">
        <v>2190</v>
      </c>
      <c r="H38" s="305">
        <v>85.59</v>
      </c>
      <c r="I38" s="277">
        <v>0</v>
      </c>
      <c r="J38" s="305">
        <v>99.07</v>
      </c>
      <c r="K38" s="277">
        <v>40</v>
      </c>
      <c r="L38" s="305">
        <v>95.68</v>
      </c>
      <c r="M38" s="305">
        <v>782.45</v>
      </c>
      <c r="N38" s="305">
        <v>330</v>
      </c>
      <c r="O38" s="69"/>
      <c r="P38" s="489">
        <f xml:space="preserve"> E38+F38+G38+H38</f>
        <v>2305.29</v>
      </c>
      <c r="Q38" s="489" t="e">
        <f ca="1">P38+IF($B$2="mil",1,0.0254)*C38</f>
        <v>#REF!</v>
      </c>
      <c r="R38" s="597"/>
      <c r="S38" s="489" t="e">
        <f>MAX(S$5:T$5)+IF($B$2="mil",1,0.0254)*DDR2Specs!$B$2</f>
        <v>#REF!</v>
      </c>
      <c r="T38" s="489" t="e">
        <f>MIN(S$5:T$5)+IF($B$2="mil",1,0.0254)*DDR2Specs!$C$2</f>
        <v>#REF!</v>
      </c>
      <c r="U38" s="597"/>
      <c r="V38" s="598" t="e">
        <f ca="1">IF($Q38&lt;$S38,$S38-$Q38,"Pass")</f>
        <v>#REF!</v>
      </c>
      <c r="W38" s="495" t="e">
        <f ca="1">IF($Q38&gt;$T38,$Q38-$T38,"Pass")</f>
        <v>#REF!</v>
      </c>
      <c r="X38" s="21"/>
      <c r="Y38" s="489">
        <f>SUM(E38:G38,I38:N38)</f>
        <v>3566.8999999999996</v>
      </c>
      <c r="Z38" s="489" t="e">
        <f ca="1">Y38+IF($B$2="mil",1,0.0254)*$C38</f>
        <v>#REF!</v>
      </c>
      <c r="AA38" s="489" t="e">
        <f>MAX(AA$35:AB$35)+IF($B$2="mil",1,0.0254)*DDR2Specs!$E$2</f>
        <v>#REF!</v>
      </c>
      <c r="AB38" s="489" t="e">
        <f>MIN(AA$35:AB$35)+IF($B$2="mil",1,0.0254)*DDR2Specs!$F$2</f>
        <v>#REF!</v>
      </c>
      <c r="AC38" s="21"/>
      <c r="AD38" s="598" t="e">
        <f ca="1">IF($Z38&lt;$AA38,$AA38-$Z38,"Pass")</f>
        <v>#REF!</v>
      </c>
      <c r="AE38" s="495" t="e">
        <f ca="1">IF($Z38&gt;$AB38,$Z38-$AB38,"Pass")</f>
        <v>#REF!</v>
      </c>
      <c r="AF38" s="21"/>
      <c r="AG38" s="495" t="e">
        <f ca="1">IF((ABS($Q38-$Q37)&lt;=IF($B$2="mil",1,0.0254)*5),"Pass",ABS($Q38-$Q37))</f>
        <v>#REF!</v>
      </c>
      <c r="AH38" s="495" t="e">
        <f ca="1">IF((ABS($Z38-$Z37)&lt;=IF($B$2="mil",1,0.0254)*5),"Pass",ABS($Z38-$Z37))</f>
        <v>#REF!</v>
      </c>
      <c r="AI38" s="495" t="e">
        <f>IF($E38&lt;=IF($B$2="mil",1,0.0254)*50,"Pass",IF($B$2="mil",1,0.0254)*50-$E38)</f>
        <v>#REF!</v>
      </c>
      <c r="AJ38" s="495" t="e">
        <f>IF($F38&lt;=IF($B$2="mil",1,0.0254)*500,"Pass",IF($B$2="mil",1,0.0254)*500-$F38)</f>
        <v>#REF!</v>
      </c>
      <c r="AK38" s="495" t="e">
        <f>IF($H38&lt;=IF($B$2="mil",1,0.0254)*250,"Pass",IF($B$2="mil",1,0.0254)*250-$H38)</f>
        <v>#REF!</v>
      </c>
      <c r="AL38" s="495" t="e">
        <f ca="1">CheckLength(IF($B$2="mil",1,0.0254)*1125, IF($B$2="mil",1,0.0254)*125-J38, 0, I38,J38,0)</f>
        <v>#NAME?</v>
      </c>
      <c r="AM38" s="495" t="e">
        <f>IF($J38&lt;=IF($B$2="mil",1,0.0254)*125,"Pass",IF($B$2="mil",1,0.0254)*125-$J38)</f>
        <v>#REF!</v>
      </c>
      <c r="AN38" s="495" t="e">
        <f>IF($L38&lt;=IF($B$2="mil",1,0.0254)*125,"Pass",IF($B$2="mil",1,0.0254)*125-$L38)</f>
        <v>#REF!</v>
      </c>
      <c r="AO38" s="495" t="e">
        <f ca="1">CheckLength(IF($B$2="mil",1,0.0254)*1250, IF($B$2="mil",1,0.0254)*125-L38, IF($B$2="mil",1,0.0254)*150-N38, M38,L38,N38)</f>
        <v>#NAME?</v>
      </c>
      <c r="AP38" s="495" t="e">
        <f ca="1">CheckLength2(IF($B$2="mil",1,0.0254)*1400,$M38,$N38,0)</f>
        <v>#NAME?</v>
      </c>
      <c r="AQ38" s="495" t="e">
        <f>IF(AND($P38&gt;=IF($B$2="mil",1,0.0254)*500, $P38&lt;=IF($B$2="mil",1,0.0254)*4000),"Pass",IF($B$2="mil",1,0.0254)*4000-$P38)</f>
        <v>#REF!</v>
      </c>
      <c r="AR38" s="495" t="e">
        <f ca="1">IF(AND($Q38&gt;=IF($B$2="mil",1,0.0254)*500, $Q38&lt;=IF($B$2="mil",1,0.0254)*4500),"Pass",IF($B$2="mil",1,0.0254)*4500-$Q38)</f>
        <v>#REF!</v>
      </c>
      <c r="AS38" s="495" t="e">
        <f>IF(AND($Y38&gt;=IF($B$2="mil",1,0.0254)*500, $Y38&lt;=IF($B$2="mil",1,0.0254)*6250),"Pass",IF($B$2="mil",1,0.0254)*6250-$Y38)</f>
        <v>#REF!</v>
      </c>
      <c r="AT38" s="495" t="e">
        <f ca="1">IF(AND($Z38&gt;=IF($B$2="mil",1,0.0254)*500, $Z38&lt;=IF($B$2="mil",1,0.0254)*6000),"Pass",IF($B$2="mil",1,0.0254)*6000-$Z38)</f>
        <v>#REF!</v>
      </c>
      <c r="AU38" s="21"/>
      <c r="AV38" s="3" t="e">
        <f ca="1">IF(AND(AI38="Pass",AR38="Pass",AK38="Pass",AJ38="Pass",AQ38="Pass",V38="Pass",W38="Pass",AO38="Pass",AP38="Pass",AN38="Pass",AM38="Pass",AL38="Pass",AG38="Pass",AH38="Pass",AS38="Pass",AT38="Pass",AD38="Pass",AE38="Pass"),"Pass","Fail")</f>
        <v>#REF!</v>
      </c>
    </row>
    <row r="39" spans="1:58" s="3" customFormat="1">
      <c r="A39" s="8" t="s">
        <v>249</v>
      </c>
      <c r="B39" s="631"/>
      <c r="C39" s="632"/>
      <c r="D39" s="10"/>
      <c r="E39" s="288"/>
      <c r="F39" s="288"/>
      <c r="G39" s="288"/>
      <c r="H39" s="288"/>
      <c r="I39" s="288"/>
      <c r="J39" s="292"/>
      <c r="K39" s="10"/>
      <c r="L39" s="292"/>
      <c r="M39" s="292"/>
      <c r="N39" s="292"/>
      <c r="O39" s="10"/>
      <c r="P39" s="9"/>
      <c r="Q39" s="51"/>
      <c r="R39" s="10"/>
      <c r="S39" s="10"/>
      <c r="T39" s="10"/>
      <c r="U39" s="10"/>
      <c r="V39" s="10"/>
      <c r="W39" s="10"/>
      <c r="X39" s="10"/>
      <c r="Y39" s="9"/>
      <c r="Z39" s="51"/>
      <c r="AA39" s="10"/>
      <c r="AB39" s="15"/>
      <c r="AC39" s="10"/>
      <c r="AD39" s="15"/>
      <c r="AE39" s="15"/>
      <c r="AF39" s="10"/>
      <c r="AG39" s="15"/>
      <c r="AH39" s="15"/>
      <c r="AI39" s="15"/>
      <c r="AJ39" s="15"/>
      <c r="AK39" s="15"/>
      <c r="AL39" s="10"/>
      <c r="AM39" s="10"/>
      <c r="AN39" s="10"/>
      <c r="AO39" s="10"/>
      <c r="AP39" s="10"/>
      <c r="AQ39" s="10"/>
      <c r="AR39" s="10"/>
      <c r="AS39" s="10"/>
      <c r="AT39" s="10"/>
      <c r="AU39" s="12"/>
    </row>
    <row r="40" spans="1:58" s="3" customFormat="1">
      <c r="A40" s="653" t="s">
        <v>24</v>
      </c>
      <c r="B40" s="654"/>
      <c r="C40" s="648"/>
      <c r="D40" s="53"/>
      <c r="E40" s="289"/>
      <c r="F40" s="289"/>
      <c r="G40" s="289"/>
      <c r="H40" s="289"/>
      <c r="I40" s="289"/>
      <c r="J40" s="293"/>
      <c r="K40" s="52"/>
      <c r="L40" s="293"/>
      <c r="M40" s="293"/>
      <c r="N40" s="293"/>
      <c r="O40" s="52"/>
      <c r="P40" s="81"/>
      <c r="Q40" s="65"/>
      <c r="R40" s="540"/>
      <c r="S40" s="168"/>
      <c r="T40" s="541"/>
      <c r="U40" s="53"/>
      <c r="V40" s="65"/>
      <c r="W40" s="65"/>
      <c r="X40" s="540"/>
      <c r="Y40" s="81"/>
      <c r="Z40" s="540" t="s">
        <v>287</v>
      </c>
      <c r="AA40" s="542" t="e">
        <f>MIN('DDR2 Clocks - 4L'!$O$19:$O$20)</f>
        <v>#REF!</v>
      </c>
      <c r="AB40" s="541" t="e">
        <f>MAX('DDR2 Clocks - 4L'!$O$19:$O$20)</f>
        <v>#REF!</v>
      </c>
      <c r="AC40" s="65"/>
      <c r="AD40" s="65"/>
      <c r="AE40" s="65"/>
      <c r="AF40" s="540"/>
      <c r="AG40" s="65"/>
      <c r="AH40" s="65"/>
      <c r="AI40" s="65"/>
      <c r="AJ40" s="52"/>
      <c r="AK40" s="52"/>
      <c r="AL40" s="52"/>
      <c r="AM40" s="52"/>
      <c r="AN40" s="52"/>
      <c r="AO40" s="52"/>
      <c r="AP40" s="52"/>
      <c r="AQ40" s="52"/>
      <c r="AR40" s="52"/>
      <c r="AS40" s="52"/>
      <c r="AT40" s="52"/>
      <c r="AU40" s="58"/>
    </row>
    <row r="41" spans="1:58" s="3" customFormat="1">
      <c r="A41" s="8" t="s">
        <v>250</v>
      </c>
      <c r="B41" s="655"/>
      <c r="C41" s="649"/>
      <c r="D41" s="62"/>
      <c r="E41" s="290"/>
      <c r="F41" s="290"/>
      <c r="G41" s="290"/>
      <c r="H41" s="290"/>
      <c r="I41" s="290"/>
      <c r="J41" s="294"/>
      <c r="K41" s="54"/>
      <c r="L41" s="294"/>
      <c r="M41" s="294"/>
      <c r="N41" s="294"/>
      <c r="O41" s="54"/>
      <c r="P41" s="54"/>
      <c r="Q41" s="54"/>
      <c r="R41" s="54"/>
      <c r="S41" s="54"/>
      <c r="T41" s="66"/>
      <c r="U41" s="54"/>
      <c r="V41" s="66"/>
      <c r="W41" s="66"/>
      <c r="X41" s="66"/>
      <c r="Y41" s="54"/>
      <c r="Z41" s="54"/>
      <c r="AA41" s="66"/>
      <c r="AB41" s="67"/>
      <c r="AC41" s="66"/>
      <c r="AD41" s="54"/>
      <c r="AE41" s="54"/>
      <c r="AF41" s="66"/>
      <c r="AG41" s="54"/>
      <c r="AH41" s="54"/>
      <c r="AI41" s="54"/>
      <c r="AJ41" s="66"/>
      <c r="AK41" s="66"/>
      <c r="AL41" s="66"/>
      <c r="AM41" s="66"/>
      <c r="AN41" s="66"/>
      <c r="AO41" s="66"/>
      <c r="AP41" s="66"/>
      <c r="AQ41" s="66"/>
      <c r="AR41" s="66"/>
      <c r="AS41" s="66"/>
      <c r="AT41" s="66"/>
      <c r="AU41" s="68"/>
    </row>
    <row r="42" spans="1:58" s="3" customFormat="1">
      <c r="A42" s="652" t="e">
        <f ca="1">Assign1x8(#REF!,"Name")</f>
        <v>#NAME?</v>
      </c>
      <c r="B42" s="652" t="e">
        <f ca="1">Assign1x8(#REF!,"Ball")</f>
        <v>#NAME?</v>
      </c>
      <c r="C42" s="652" t="e">
        <f ca="1">Assign1x8(#REF!,"Len")</f>
        <v>#NAME?</v>
      </c>
      <c r="D42" s="18"/>
      <c r="E42" s="277">
        <v>29.7</v>
      </c>
      <c r="F42" s="277">
        <v>0</v>
      </c>
      <c r="G42" s="305">
        <v>2355</v>
      </c>
      <c r="H42" s="305">
        <v>57</v>
      </c>
      <c r="I42" s="277">
        <v>0</v>
      </c>
      <c r="J42" s="305">
        <v>56.64</v>
      </c>
      <c r="K42" s="277">
        <v>40</v>
      </c>
      <c r="L42" s="305">
        <v>125</v>
      </c>
      <c r="M42" s="305">
        <v>726.29</v>
      </c>
      <c r="N42" s="305">
        <v>350</v>
      </c>
      <c r="O42" s="69"/>
      <c r="P42" s="489">
        <f xml:space="preserve"> E42+F42+G42+H42</f>
        <v>2441.6999999999998</v>
      </c>
      <c r="Q42" s="489" t="e">
        <f ca="1">P42+IF($B$2="mil",1,0.0254)*C42</f>
        <v>#REF!</v>
      </c>
      <c r="R42" s="597"/>
      <c r="S42" s="489" t="e">
        <f>MAX(S$5:T$5)+IF($B$2="mil",1,0.0254)*DDR2Specs!$B$2</f>
        <v>#REF!</v>
      </c>
      <c r="T42" s="489" t="e">
        <f>MIN(S$5:T$5)+IF($B$2="mil",1,0.0254)*DDR2Specs!$C$2</f>
        <v>#REF!</v>
      </c>
      <c r="U42" s="597"/>
      <c r="V42" s="598" t="e">
        <f ca="1">IF($Q42&lt;$S42,$S42-$Q42,"Pass")</f>
        <v>#REF!</v>
      </c>
      <c r="W42" s="495" t="e">
        <f ca="1">IF($Q42&gt;$T42,$Q42-$T42,"Pass")</f>
        <v>#REF!</v>
      </c>
      <c r="X42" s="21"/>
      <c r="Y42" s="489">
        <f>SUM(E42:G42,I42:N42)</f>
        <v>3682.6299999999997</v>
      </c>
      <c r="Z42" s="489" t="e">
        <f ca="1">Y42+IF($B$2="mil",1,0.0254)*$C42</f>
        <v>#REF!</v>
      </c>
      <c r="AA42" s="489" t="e">
        <f>MAX(AA$40:AB$40)+IF($B$2="mil",1,0.0254)*DDR2Specs!$E$2</f>
        <v>#REF!</v>
      </c>
      <c r="AB42" s="489" t="e">
        <f>MIN(AA$40:AB$40)+IF($B$2="mil",1,0.0254)*DDR2Specs!$F$2</f>
        <v>#REF!</v>
      </c>
      <c r="AC42" s="21"/>
      <c r="AD42" s="598" t="e">
        <f ca="1">IF($Z42&lt;$AA42,$AA42-$Z42,"Pass")</f>
        <v>#REF!</v>
      </c>
      <c r="AE42" s="495" t="e">
        <f ca="1">IF($Z42&gt;$AB42,$Z42-$AB42,"Pass")</f>
        <v>#REF!</v>
      </c>
      <c r="AF42" s="21"/>
      <c r="AG42" s="495" t="e">
        <f ca="1">IF((ABS($Q42-$Q43)&lt;=IF($B$2="mil",1,0.0254)*5),"Pass",ABS($Q42-$Q43))</f>
        <v>#REF!</v>
      </c>
      <c r="AH42" s="495" t="e">
        <f ca="1">IF((ABS($Z42-$Z43)&lt;=IF($B$2="mil",1,0.0254)*5),"Pass",ABS($Z42-$Z43))</f>
        <v>#REF!</v>
      </c>
      <c r="AI42" s="495" t="e">
        <f>IF($E42&lt;=IF($B$2="mil",1,0.0254)*50,"Pass",IF($B$2="mil",1,0.0254)*50-$E42)</f>
        <v>#REF!</v>
      </c>
      <c r="AJ42" s="495" t="e">
        <f>IF($F42&lt;=IF($B$2="mil",1,0.0254)*500,"Pass",IF($B$2="mil",1,0.0254)*500-$F42)</f>
        <v>#REF!</v>
      </c>
      <c r="AK42" s="495" t="e">
        <f>IF($H42&lt;=IF($B$2="mil",1,0.0254)*250,"Pass",IF($B$2="mil",1,0.0254)*250-$H42)</f>
        <v>#REF!</v>
      </c>
      <c r="AL42" s="495" t="e">
        <f ca="1">CheckLength(IF($B$2="mil",1,0.0254)*1125, IF($B$2="mil",1,0.0254)*125-J42, 0, I42,J42,0)</f>
        <v>#NAME?</v>
      </c>
      <c r="AM42" s="495" t="e">
        <f>IF($J42&lt;=IF($B$2="mil",1,0.0254)*125,"Pass",IF($B$2="mil",1,0.0254)*125-$J42)</f>
        <v>#REF!</v>
      </c>
      <c r="AN42" s="495" t="e">
        <f>IF($L42&lt;=IF($B$2="mil",1,0.0254)*125,"Pass",IF($B$2="mil",1,0.0254)*125-$L42)</f>
        <v>#REF!</v>
      </c>
      <c r="AO42" s="495" t="e">
        <f ca="1">CheckLength(IF($B$2="mil",1,0.0254)*1250, IF($B$2="mil",1,0.0254)*125-L42, IF($B$2="mil",1,0.0254)*150-N42, M42,L42,N42)</f>
        <v>#NAME?</v>
      </c>
      <c r="AP42" s="495" t="e">
        <f ca="1">CheckLength2(IF($B$2="mil",1,0.0254)*1400,$M42,$N42,0)</f>
        <v>#NAME?</v>
      </c>
      <c r="AQ42" s="495" t="e">
        <f>IF(AND($P42&gt;=IF($B$2="mil",1,0.0254)*500, $P42&lt;=IF($B$2="mil",1,0.0254)*4000),"Pass",IF($B$2="mil",1,0.0254)*4000-$P42)</f>
        <v>#REF!</v>
      </c>
      <c r="AR42" s="495" t="e">
        <f ca="1">IF(AND($Q42&gt;=IF($B$2="mil",1,0.0254)*500, $Q42&lt;=IF($B$2="mil",1,0.0254)*4500),"Pass",IF($B$2="mil",1,0.0254)*4500-$Q42)</f>
        <v>#REF!</v>
      </c>
      <c r="AS42" s="495" t="e">
        <f>IF(AND($Y42&gt;=IF($B$2="mil",1,0.0254)*500, $Y42&lt;=IF($B$2="mil",1,0.0254)*6250),"Pass",IF($B$2="mil",1,0.0254)*6250-$Y42)</f>
        <v>#REF!</v>
      </c>
      <c r="AT42" s="495" t="e">
        <f ca="1">IF(AND($Z42&gt;=IF($B$2="mil",1,0.0254)*500, $Z42&lt;=IF($B$2="mil",1,0.0254)*6000),"Pass",IF($B$2="mil",1,0.0254)*6000-$Z42)</f>
        <v>#REF!</v>
      </c>
      <c r="AU42" s="21"/>
      <c r="AV42" s="3" t="e">
        <f ca="1">IF(AND(AI42="Pass",AR42="Pass",AK42="Pass",AJ42="Pass",AQ42="Pass",V42="Pass",W42="Pass",AO42="Pass",AP42="Pass",AN42="Pass",AM42="Pass",AL42="Pass",AG42="Pass",AH42="Pass",AS42="Pass",AT42="Pass",AD42="Pass",AE42="Pass"),"Pass","Fail")</f>
        <v>#REF!</v>
      </c>
    </row>
    <row r="43" spans="1:58" s="3" customFormat="1">
      <c r="A43" s="652" t="e">
        <f ca="1">Assign1x8(#REF!,"Name_P")</f>
        <v>#NAME?</v>
      </c>
      <c r="B43" s="652" t="e">
        <f ca="1">Assign1x8(#REF!,"Ball_P")</f>
        <v>#NAME?</v>
      </c>
      <c r="C43" s="652" t="e">
        <f ca="1">Assign1x8(#REF!,"Len_P")</f>
        <v>#NAME?</v>
      </c>
      <c r="D43" s="18"/>
      <c r="E43" s="277">
        <v>29.7</v>
      </c>
      <c r="F43" s="277">
        <v>0</v>
      </c>
      <c r="G43" s="305">
        <v>2356</v>
      </c>
      <c r="H43" s="305">
        <v>57</v>
      </c>
      <c r="I43" s="277">
        <v>0</v>
      </c>
      <c r="J43" s="305">
        <v>58.71</v>
      </c>
      <c r="K43" s="277">
        <v>40</v>
      </c>
      <c r="L43" s="305">
        <v>125</v>
      </c>
      <c r="M43" s="305">
        <v>722.79</v>
      </c>
      <c r="N43" s="305">
        <v>350</v>
      </c>
      <c r="O43" s="69"/>
      <c r="P43" s="489">
        <f xml:space="preserve"> E43+F43+G43+H43</f>
        <v>2442.6999999999998</v>
      </c>
      <c r="Q43" s="489" t="e">
        <f ca="1">P43+IF($B$2="mil",1,0.0254)*C43</f>
        <v>#REF!</v>
      </c>
      <c r="R43" s="597"/>
      <c r="S43" s="489" t="e">
        <f>MAX(S$5:T$5)+IF($B$2="mil",1,0.0254)*DDR2Specs!$B$2</f>
        <v>#REF!</v>
      </c>
      <c r="T43" s="489" t="e">
        <f>MIN(S$5:T$5)+IF($B$2="mil",1,0.0254)*DDR2Specs!$C$2</f>
        <v>#REF!</v>
      </c>
      <c r="U43" s="597"/>
      <c r="V43" s="598" t="e">
        <f ca="1">IF($Q43&lt;$S43,$S43-$Q43,"Pass")</f>
        <v>#REF!</v>
      </c>
      <c r="W43" s="495" t="e">
        <f ca="1">IF($Q43&gt;$T43,$Q43-$T43,"Pass")</f>
        <v>#REF!</v>
      </c>
      <c r="X43" s="21"/>
      <c r="Y43" s="489">
        <f>SUM(E43:G43,I43:N43)</f>
        <v>3682.2</v>
      </c>
      <c r="Z43" s="489" t="e">
        <f ca="1">Y43+IF($B$2="mil",1,0.0254)*$C43</f>
        <v>#REF!</v>
      </c>
      <c r="AA43" s="489" t="e">
        <f>MAX(AA$40:AB$40)+IF($B$2="mil",1,0.0254)*DDR2Specs!$E$2</f>
        <v>#REF!</v>
      </c>
      <c r="AB43" s="489" t="e">
        <f>MIN(AA$40:AB$40)+IF($B$2="mil",1,0.0254)*DDR2Specs!$F$2</f>
        <v>#REF!</v>
      </c>
      <c r="AC43" s="21"/>
      <c r="AD43" s="598" t="e">
        <f ca="1">IF($Z43&lt;$AA43,$AA43-$Z43,"Pass")</f>
        <v>#REF!</v>
      </c>
      <c r="AE43" s="495" t="e">
        <f ca="1">IF($Z43&gt;$AB43,$Z43-$AB43,"Pass")</f>
        <v>#REF!</v>
      </c>
      <c r="AF43" s="21"/>
      <c r="AG43" s="495" t="e">
        <f ca="1">IF((ABS($Q43-$Q42)&lt;=IF($B$2="mil",1,0.0254)*5),"Pass",ABS($Q43-$Q42))</f>
        <v>#REF!</v>
      </c>
      <c r="AH43" s="495" t="e">
        <f ca="1">IF((ABS($Z43-$Z42)&lt;=IF($B$2="mil",1,0.0254)*5),"Pass",ABS($Z43-$Z42))</f>
        <v>#REF!</v>
      </c>
      <c r="AI43" s="495" t="e">
        <f>IF($E43&lt;=IF($B$2="mil",1,0.0254)*50,"Pass",IF($B$2="mil",1,0.0254)*50-$E43)</f>
        <v>#REF!</v>
      </c>
      <c r="AJ43" s="495" t="e">
        <f>IF($F43&lt;=IF($B$2="mil",1,0.0254)*500,"Pass",IF($B$2="mil",1,0.0254)*500-$F43)</f>
        <v>#REF!</v>
      </c>
      <c r="AK43" s="495" t="e">
        <f>IF($H43&lt;=IF($B$2="mil",1,0.0254)*250,"Pass",IF($B$2="mil",1,0.0254)*250-$H43)</f>
        <v>#REF!</v>
      </c>
      <c r="AL43" s="495" t="e">
        <f ca="1">CheckLength(IF($B$2="mil",1,0.0254)*1125, IF($B$2="mil",1,0.0254)*125-J43, 0, I43,J43,0)</f>
        <v>#NAME?</v>
      </c>
      <c r="AM43" s="495" t="e">
        <f>IF($J43&lt;=IF($B$2="mil",1,0.0254)*125,"Pass",IF($B$2="mil",1,0.0254)*125-$J43)</f>
        <v>#REF!</v>
      </c>
      <c r="AN43" s="495" t="e">
        <f>IF($L43&lt;=IF($B$2="mil",1,0.0254)*125,"Pass",IF($B$2="mil",1,0.0254)*125-$L43)</f>
        <v>#REF!</v>
      </c>
      <c r="AO43" s="495" t="e">
        <f ca="1">CheckLength(IF($B$2="mil",1,0.0254)*1250, IF($B$2="mil",1,0.0254)*125-L43, IF($B$2="mil",1,0.0254)*150-N43, M43,L43,N43)</f>
        <v>#NAME?</v>
      </c>
      <c r="AP43" s="495" t="e">
        <f ca="1">CheckLength2(IF($B$2="mil",1,0.0254)*1400,$M43,$N43,0)</f>
        <v>#NAME?</v>
      </c>
      <c r="AQ43" s="495" t="e">
        <f>IF(AND($P43&gt;=IF($B$2="mil",1,0.0254)*500, $P43&lt;=IF($B$2="mil",1,0.0254)*4000),"Pass",IF($B$2="mil",1,0.0254)*4000-$P43)</f>
        <v>#REF!</v>
      </c>
      <c r="AR43" s="495" t="e">
        <f ca="1">IF(AND($Q43&gt;=IF($B$2="mil",1,0.0254)*500, $Q43&lt;=IF($B$2="mil",1,0.0254)*4500),"Pass",IF($B$2="mil",1,0.0254)*4500-$Q43)</f>
        <v>#REF!</v>
      </c>
      <c r="AS43" s="495" t="e">
        <f>IF(AND($Y43&gt;=IF($B$2="mil",1,0.0254)*500, $Y43&lt;=IF($B$2="mil",1,0.0254)*6250),"Pass",IF($B$2="mil",1,0.0254)*6250-$Y43)</f>
        <v>#REF!</v>
      </c>
      <c r="AT43" s="495" t="e">
        <f ca="1">IF(AND($Z43&gt;=IF($B$2="mil",1,0.0254)*500, $Z43&lt;=IF($B$2="mil",1,0.0254)*6000),"Pass",IF($B$2="mil",1,0.0254)*6000-$Z43)</f>
        <v>#REF!</v>
      </c>
      <c r="AU43" s="21"/>
      <c r="AV43" s="3" t="e">
        <f ca="1">IF(AND(AI43="Pass",AR43="Pass",AK43="Pass",AJ43="Pass",AQ43="Pass",V43="Pass",W43="Pass",AO43="Pass",AP43="Pass",AN43="Pass",AM43="Pass",AL43="Pass",AG43="Pass",AH43="Pass",AS43="Pass",AT43="Pass",AD43="Pass",AE43="Pass"),"Pass","Fail")</f>
        <v>#REF!</v>
      </c>
    </row>
    <row r="44" spans="1:58"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478"/>
      <c r="AV44" s="3"/>
    </row>
    <row r="45" spans="1:58" s="3" customFormat="1" ht="25.5">
      <c r="A45" s="48" t="s">
        <v>9</v>
      </c>
      <c r="B45" s="24"/>
      <c r="C45" s="26"/>
      <c r="D45" s="26"/>
      <c r="E45" s="24"/>
      <c r="F45" s="24"/>
      <c r="G45" s="26"/>
      <c r="H45" s="24"/>
      <c r="I45" s="24"/>
      <c r="J45" s="24"/>
      <c r="K45" s="24"/>
      <c r="L45" s="24"/>
      <c r="M45" s="24"/>
      <c r="N45" s="24"/>
      <c r="O45" s="24"/>
      <c r="P45" s="24"/>
      <c r="Q45" s="24"/>
      <c r="R45" s="24"/>
      <c r="S45" s="24"/>
      <c r="T45" s="24"/>
      <c r="U45" s="24"/>
      <c r="V45" s="24"/>
      <c r="W45" s="24"/>
      <c r="X45" s="24"/>
      <c r="Y45" s="24"/>
      <c r="Z45" s="24"/>
      <c r="AA45" s="26"/>
      <c r="AB45" s="26"/>
      <c r="AC45" s="24"/>
      <c r="AD45" s="26"/>
      <c r="AE45" s="26"/>
      <c r="AF45" s="24"/>
      <c r="AG45" s="26"/>
      <c r="AH45" s="26"/>
      <c r="AI45" s="26"/>
      <c r="AJ45" s="72"/>
      <c r="AK45" s="72"/>
      <c r="AL45" s="72"/>
      <c r="AM45" s="72"/>
      <c r="AN45" s="72"/>
      <c r="AO45" s="72"/>
      <c r="AP45" s="72"/>
      <c r="AQ45" s="72"/>
      <c r="AR45" s="72"/>
      <c r="AS45" s="72"/>
      <c r="AT45" s="72"/>
      <c r="AU45" s="24"/>
      <c r="AV45" s="24"/>
      <c r="AW45" s="24"/>
      <c r="AY45" s="55"/>
      <c r="AZ45" s="55"/>
      <c r="BA45" s="55"/>
      <c r="BB45" s="55"/>
      <c r="BC45" s="55"/>
      <c r="BD45" s="55"/>
      <c r="BF45" s="73"/>
    </row>
    <row r="46" spans="1:58" s="3" customFormat="1">
      <c r="A46" s="24"/>
      <c r="B46" s="26"/>
      <c r="C46" s="26"/>
      <c r="D46" s="26"/>
      <c r="E46" s="24"/>
      <c r="F46" s="24"/>
      <c r="G46" s="26"/>
      <c r="H46" s="24"/>
      <c r="I46" s="24"/>
      <c r="J46" s="24"/>
      <c r="K46" s="24"/>
      <c r="L46" s="24"/>
      <c r="M46" s="24"/>
      <c r="N46" s="24"/>
      <c r="O46" s="24"/>
      <c r="P46" s="24"/>
      <c r="Q46" s="24"/>
      <c r="R46" s="24"/>
      <c r="S46" s="24"/>
      <c r="T46" s="24"/>
      <c r="U46" s="24"/>
      <c r="V46" s="24"/>
      <c r="W46" s="24"/>
      <c r="X46" s="24"/>
      <c r="Y46" s="24"/>
      <c r="Z46" s="24"/>
      <c r="AA46" s="26"/>
      <c r="AB46" s="26"/>
      <c r="AC46" s="24"/>
      <c r="AD46" s="26"/>
      <c r="AE46" s="26"/>
      <c r="AF46" s="24"/>
      <c r="AG46" s="26"/>
      <c r="AH46" s="26"/>
      <c r="AI46" s="26"/>
      <c r="AJ46" s="72"/>
      <c r="AK46" s="72"/>
      <c r="AL46" s="72"/>
      <c r="AM46" s="72"/>
      <c r="AN46" s="72"/>
      <c r="AO46" s="72"/>
      <c r="AP46" s="72"/>
      <c r="AQ46" s="72"/>
      <c r="AR46" s="72"/>
      <c r="AS46" s="72"/>
      <c r="AT46" s="72"/>
      <c r="AU46" s="24"/>
      <c r="AV46" s="24"/>
      <c r="AW46" s="24"/>
    </row>
    <row r="47" spans="1:58" s="3" customFormat="1">
      <c r="A47" s="6"/>
      <c r="B47" s="75"/>
      <c r="C47" s="5"/>
      <c r="D47" s="5"/>
      <c r="E47" s="77"/>
      <c r="F47" s="6"/>
      <c r="G47" s="5"/>
      <c r="H47" s="6"/>
      <c r="I47" s="6"/>
      <c r="J47" s="6"/>
      <c r="K47" s="6"/>
      <c r="L47" s="6"/>
      <c r="M47" s="6"/>
      <c r="N47" s="6"/>
      <c r="O47" s="6"/>
      <c r="P47" s="6"/>
      <c r="Q47" s="6"/>
      <c r="R47" s="6"/>
      <c r="S47" s="6"/>
      <c r="T47" s="6"/>
      <c r="U47" s="6"/>
      <c r="V47" s="6"/>
      <c r="W47" s="6"/>
      <c r="X47" s="6"/>
      <c r="Y47" s="6"/>
      <c r="Z47" s="6"/>
      <c r="AA47" s="5"/>
      <c r="AB47" s="5"/>
      <c r="AC47" s="6"/>
      <c r="AD47" s="5"/>
      <c r="AE47" s="5"/>
      <c r="AF47" s="6"/>
      <c r="AG47" s="5"/>
      <c r="AH47" s="5"/>
      <c r="AI47" s="5"/>
      <c r="AJ47" s="78"/>
      <c r="AK47" s="5"/>
      <c r="AL47" s="5"/>
      <c r="AM47" s="5"/>
      <c r="AN47" s="5"/>
      <c r="AO47" s="5"/>
      <c r="AP47" s="5"/>
      <c r="AQ47" s="5"/>
      <c r="AR47" s="5"/>
      <c r="AS47" s="5"/>
      <c r="AT47" s="74"/>
      <c r="AU47" s="6"/>
      <c r="AV47" s="77"/>
      <c r="AW47" s="77"/>
      <c r="AZ47" s="78"/>
    </row>
    <row r="48" spans="1:58" s="3" customFormat="1">
      <c r="A48" s="6"/>
      <c r="B48" s="75"/>
      <c r="C48" s="5"/>
      <c r="D48" s="5"/>
      <c r="E48" s="6"/>
      <c r="F48" s="6"/>
      <c r="G48" s="5"/>
      <c r="P48" s="6"/>
      <c r="Q48" s="6"/>
      <c r="R48" s="6"/>
      <c r="S48" s="6"/>
      <c r="T48" s="6"/>
      <c r="U48" s="6"/>
      <c r="V48" s="6"/>
      <c r="W48" s="6"/>
      <c r="X48" s="6"/>
      <c r="Y48" s="6"/>
      <c r="Z48" s="6"/>
      <c r="AA48" s="5"/>
      <c r="AB48" s="5"/>
      <c r="AC48" s="6"/>
      <c r="AD48" s="5"/>
      <c r="AE48" s="5"/>
      <c r="AF48" s="6"/>
      <c r="AG48" s="5"/>
      <c r="AH48" s="5"/>
      <c r="AI48" s="5"/>
      <c r="AJ48" s="5"/>
      <c r="AK48" s="5"/>
      <c r="AL48" s="5"/>
      <c r="AM48" s="5"/>
      <c r="AN48" s="5"/>
      <c r="AO48" s="5"/>
      <c r="AP48" s="5"/>
      <c r="AQ48" s="5"/>
      <c r="AR48" s="5"/>
      <c r="AS48" s="5"/>
      <c r="AT48" s="5"/>
      <c r="AU48" s="6"/>
      <c r="AV48" s="6"/>
      <c r="AW48" s="6"/>
    </row>
    <row r="49" spans="1:49" s="3" customFormat="1">
      <c r="A49" s="6"/>
      <c r="B49" s="75"/>
      <c r="C49" s="5"/>
      <c r="D49" s="5"/>
      <c r="E49" s="6"/>
      <c r="F49" s="6"/>
      <c r="G49" s="5"/>
      <c r="H49" s="6"/>
      <c r="I49" s="6"/>
      <c r="J49" s="6"/>
      <c r="K49" s="6"/>
      <c r="L49" s="6"/>
      <c r="M49" s="6"/>
      <c r="N49" s="6"/>
      <c r="O49" s="6"/>
      <c r="P49" s="6"/>
      <c r="Q49" s="6"/>
      <c r="R49" s="6"/>
      <c r="S49" s="6"/>
      <c r="T49" s="6"/>
      <c r="U49" s="6"/>
      <c r="V49" s="6"/>
      <c r="W49" s="6"/>
      <c r="X49" s="6"/>
      <c r="Y49" s="6"/>
      <c r="Z49" s="6"/>
      <c r="AA49" s="5"/>
      <c r="AB49" s="5" t="s">
        <v>107</v>
      </c>
      <c r="AC49" s="6"/>
      <c r="AD49" s="5"/>
      <c r="AE49" s="5"/>
      <c r="AF49" s="6"/>
      <c r="AG49" s="5"/>
      <c r="AH49" s="5"/>
      <c r="AI49" s="5"/>
      <c r="AJ49" s="5"/>
      <c r="AK49" s="5"/>
      <c r="AL49" s="5"/>
      <c r="AM49" s="5"/>
      <c r="AN49" s="5"/>
      <c r="AO49" s="5"/>
      <c r="AP49" s="5"/>
      <c r="AQ49" s="5"/>
      <c r="AR49" s="5"/>
      <c r="AS49" s="5"/>
      <c r="AT49" s="5"/>
      <c r="AU49" s="6"/>
      <c r="AV49" s="6"/>
      <c r="AW49" s="6"/>
    </row>
    <row r="50" spans="1:49" s="3" customFormat="1">
      <c r="A50" s="6"/>
      <c r="B50" s="75"/>
      <c r="C50" s="5"/>
      <c r="D50" s="5"/>
      <c r="E50" s="6"/>
      <c r="F50" s="6"/>
      <c r="G50" s="5"/>
      <c r="H50" s="6"/>
      <c r="I50" s="6"/>
      <c r="J50" s="6"/>
      <c r="K50" s="6"/>
      <c r="L50" s="6"/>
      <c r="M50" s="6"/>
      <c r="N50" s="6"/>
      <c r="O50" s="6"/>
      <c r="P50" s="6"/>
      <c r="Q50" s="6"/>
      <c r="R50" s="75"/>
      <c r="S50" s="75"/>
      <c r="T50" s="75"/>
      <c r="U50" s="75"/>
      <c r="V50" s="75"/>
      <c r="W50" s="75"/>
      <c r="X50" s="75"/>
      <c r="Y50" s="6"/>
      <c r="Z50" s="6"/>
      <c r="AA50" s="4"/>
      <c r="AB50" s="4"/>
      <c r="AC50" s="75"/>
      <c r="AD50" s="4"/>
      <c r="AE50" s="4"/>
      <c r="AF50" s="75"/>
      <c r="AG50" s="4"/>
      <c r="AH50" s="4"/>
      <c r="AI50" s="4"/>
      <c r="AJ50" s="5"/>
      <c r="AK50" s="5"/>
      <c r="AL50" s="5"/>
      <c r="AM50" s="5"/>
      <c r="AN50" s="5"/>
      <c r="AO50" s="5"/>
      <c r="AP50" s="5"/>
      <c r="AQ50" s="5"/>
      <c r="AR50" s="5"/>
      <c r="AS50" s="5"/>
      <c r="AT50" s="5"/>
      <c r="AU50" s="6"/>
      <c r="AV50" s="6"/>
      <c r="AW50" s="6"/>
    </row>
    <row r="51" spans="1:49" s="3" customFormat="1">
      <c r="A51" s="6"/>
      <c r="B51" s="75"/>
      <c r="C51" s="5"/>
      <c r="D51" s="5"/>
      <c r="E51" s="6"/>
      <c r="F51" s="6"/>
      <c r="G51" s="5"/>
      <c r="H51" s="6"/>
      <c r="I51" s="6"/>
      <c r="J51" s="6"/>
      <c r="K51" s="6"/>
      <c r="L51" s="6"/>
      <c r="M51" s="6"/>
      <c r="N51" s="6"/>
      <c r="O51" s="6"/>
      <c r="P51" s="6"/>
      <c r="Q51" s="6"/>
      <c r="R51" s="75"/>
      <c r="S51" s="75"/>
      <c r="T51" s="75"/>
      <c r="U51" s="75"/>
      <c r="V51" s="75"/>
      <c r="W51" s="75"/>
      <c r="X51" s="75"/>
      <c r="Y51" s="6"/>
      <c r="Z51" s="6"/>
      <c r="AA51" s="4"/>
      <c r="AB51" s="4"/>
      <c r="AC51" s="75"/>
      <c r="AD51" s="4"/>
      <c r="AE51" s="4"/>
      <c r="AF51" s="75"/>
      <c r="AG51" s="4"/>
      <c r="AH51" s="4"/>
      <c r="AI51" s="4"/>
      <c r="AJ51" s="5"/>
      <c r="AK51" s="5"/>
      <c r="AL51" s="5"/>
      <c r="AM51" s="5"/>
      <c r="AN51" s="5"/>
      <c r="AO51" s="5"/>
      <c r="AP51" s="5"/>
      <c r="AQ51" s="5"/>
      <c r="AR51" s="5"/>
      <c r="AS51" s="5"/>
      <c r="AT51" s="5"/>
      <c r="AU51" s="6"/>
      <c r="AV51" s="6"/>
      <c r="AW51" s="6"/>
    </row>
    <row r="52" spans="1:49" s="3" customFormat="1">
      <c r="A52" s="6"/>
      <c r="B52" s="75"/>
      <c r="C52" s="5"/>
      <c r="D52" s="5"/>
      <c r="E52" s="6"/>
      <c r="F52" s="6"/>
      <c r="G52" s="5"/>
      <c r="H52" s="6"/>
      <c r="I52" s="6"/>
      <c r="J52" s="6"/>
      <c r="K52" s="6"/>
      <c r="L52" s="6"/>
      <c r="M52" s="6"/>
      <c r="N52" s="6"/>
      <c r="O52" s="6"/>
      <c r="P52" s="6"/>
      <c r="Q52" s="6"/>
      <c r="R52" s="75"/>
      <c r="S52" s="75"/>
      <c r="T52" s="75"/>
      <c r="U52" s="75"/>
      <c r="V52" s="75"/>
      <c r="W52" s="75"/>
      <c r="X52" s="75"/>
      <c r="Y52" s="6"/>
      <c r="Z52" s="6"/>
      <c r="AA52" s="4"/>
      <c r="AB52" s="4"/>
      <c r="AC52" s="75"/>
      <c r="AD52" s="4"/>
      <c r="AE52" s="4"/>
      <c r="AF52" s="75"/>
      <c r="AG52" s="4"/>
      <c r="AH52" s="4"/>
      <c r="AI52" s="4"/>
      <c r="AJ52" s="5"/>
      <c r="AK52" s="5"/>
      <c r="AL52" s="5"/>
      <c r="AM52" s="5"/>
      <c r="AN52" s="5"/>
      <c r="AO52" s="5"/>
      <c r="AP52" s="5"/>
      <c r="AQ52" s="5"/>
      <c r="AR52" s="5"/>
      <c r="AS52" s="5"/>
      <c r="AT52" s="5"/>
      <c r="AU52" s="6"/>
      <c r="AV52" s="6"/>
      <c r="AW52" s="6"/>
    </row>
    <row r="53" spans="1:49" s="3" customFormat="1">
      <c r="A53" s="6"/>
      <c r="B53" s="75"/>
      <c r="C53" s="5"/>
      <c r="D53" s="5"/>
      <c r="E53" s="6"/>
      <c r="F53" s="6"/>
      <c r="G53" s="5"/>
      <c r="H53" s="6"/>
      <c r="K53" s="6"/>
      <c r="L53" s="6"/>
      <c r="M53" s="6"/>
      <c r="N53" s="6"/>
      <c r="O53" s="6"/>
      <c r="P53" s="6"/>
      <c r="Q53" s="6"/>
      <c r="R53" s="75"/>
      <c r="S53" s="75"/>
      <c r="T53" s="75"/>
      <c r="U53" s="75"/>
      <c r="V53" s="75"/>
      <c r="W53" s="75"/>
      <c r="X53" s="75"/>
      <c r="Y53" s="6"/>
      <c r="Z53" s="6"/>
      <c r="AA53" s="4"/>
      <c r="AB53" s="4"/>
      <c r="AC53" s="75"/>
      <c r="AD53" s="4"/>
      <c r="AE53" s="4"/>
      <c r="AF53" s="75"/>
      <c r="AG53" s="4"/>
      <c r="AH53" s="4"/>
      <c r="AI53" s="4"/>
      <c r="AJ53" s="5"/>
      <c r="AK53" s="5"/>
      <c r="AL53" s="5"/>
      <c r="AM53" s="5"/>
      <c r="AN53" s="5"/>
      <c r="AO53" s="5"/>
      <c r="AP53" s="5"/>
      <c r="AQ53" s="5"/>
      <c r="AR53" s="5"/>
      <c r="AS53" s="5"/>
      <c r="AT53" s="5"/>
      <c r="AU53" s="6"/>
      <c r="AV53" s="6"/>
      <c r="AW53" s="6"/>
    </row>
    <row r="54" spans="1:49" s="3" customFormat="1">
      <c r="A54" s="6"/>
      <c r="B54" s="75"/>
      <c r="C54" s="5"/>
      <c r="D54" s="5"/>
      <c r="E54" s="6"/>
      <c r="F54" s="6"/>
      <c r="G54" s="5"/>
      <c r="H54" s="6"/>
      <c r="K54" s="6"/>
      <c r="L54" s="6"/>
      <c r="M54" s="6"/>
      <c r="N54" s="6"/>
      <c r="O54" s="6"/>
      <c r="P54" s="6"/>
      <c r="Q54" s="6"/>
      <c r="R54" s="75"/>
      <c r="S54" s="55"/>
      <c r="T54" s="75"/>
      <c r="U54" s="75"/>
      <c r="V54" s="75"/>
      <c r="W54" s="75"/>
      <c r="X54" s="75"/>
      <c r="Y54" s="6"/>
      <c r="Z54" s="6"/>
      <c r="AA54" s="4"/>
      <c r="AB54" s="4"/>
      <c r="AC54" s="75"/>
      <c r="AD54" s="4"/>
      <c r="AE54" s="4"/>
      <c r="AF54" s="75"/>
      <c r="AG54" s="4"/>
      <c r="AH54" s="4"/>
      <c r="AI54" s="4"/>
      <c r="AJ54" s="5"/>
      <c r="AK54" s="5"/>
      <c r="AL54" s="5"/>
      <c r="AM54" s="5"/>
      <c r="AN54" s="5"/>
      <c r="AO54" s="5"/>
      <c r="AP54" s="5"/>
      <c r="AQ54" s="5"/>
      <c r="AR54" s="5"/>
      <c r="AS54" s="5"/>
      <c r="AT54" s="5"/>
      <c r="AU54" s="6"/>
      <c r="AV54" s="6"/>
      <c r="AW54" s="6"/>
    </row>
    <row r="55" spans="1:49" s="3" customFormat="1">
      <c r="A55" s="6"/>
      <c r="B55" s="75"/>
      <c r="C55" s="5"/>
      <c r="D55" s="5"/>
      <c r="E55" s="6"/>
      <c r="F55" s="6"/>
      <c r="G55" s="5"/>
      <c r="H55" s="6"/>
      <c r="K55" s="6"/>
      <c r="L55" s="6"/>
      <c r="M55" s="6"/>
      <c r="N55" s="6"/>
      <c r="O55" s="6"/>
      <c r="P55" s="6"/>
      <c r="Q55" s="6"/>
      <c r="R55" s="75"/>
      <c r="S55" s="75"/>
      <c r="T55" s="75"/>
      <c r="U55" s="75"/>
      <c r="V55" s="75"/>
      <c r="W55" s="75"/>
      <c r="X55" s="75"/>
      <c r="Y55" s="6"/>
      <c r="Z55" s="6"/>
      <c r="AA55" s="4"/>
      <c r="AB55" s="4"/>
      <c r="AC55" s="75"/>
      <c r="AD55" s="4"/>
      <c r="AE55" s="4"/>
      <c r="AF55" s="75"/>
      <c r="AG55" s="4"/>
      <c r="AH55" s="4"/>
      <c r="AI55" s="4"/>
      <c r="AJ55" s="5"/>
      <c r="AK55" s="5"/>
      <c r="AL55" s="5"/>
      <c r="AM55" s="5"/>
      <c r="AN55" s="5"/>
      <c r="AO55" s="5"/>
      <c r="AP55" s="5"/>
      <c r="AQ55" s="5"/>
      <c r="AR55" s="5"/>
      <c r="AS55" s="5"/>
      <c r="AT55" s="5"/>
      <c r="AU55" s="6"/>
      <c r="AV55" s="6"/>
      <c r="AW55" s="6"/>
    </row>
    <row r="56" spans="1:49" s="3" customFormat="1">
      <c r="A56" s="6"/>
      <c r="B56" s="75"/>
      <c r="C56" s="5"/>
      <c r="D56" s="5"/>
      <c r="E56" s="6"/>
      <c r="F56" s="6"/>
      <c r="G56" s="5"/>
      <c r="H56" s="6"/>
      <c r="K56" s="6"/>
      <c r="L56" s="6"/>
      <c r="M56" s="6"/>
      <c r="N56" s="6"/>
      <c r="O56" s="6"/>
      <c r="P56" s="6"/>
      <c r="Q56" s="6"/>
      <c r="R56" s="75"/>
      <c r="S56" s="75"/>
      <c r="T56" s="75"/>
      <c r="U56" s="75"/>
      <c r="V56" s="75"/>
      <c r="W56" s="75"/>
      <c r="X56" s="75"/>
      <c r="Y56" s="6"/>
      <c r="Z56" s="6"/>
      <c r="AA56" s="4"/>
      <c r="AB56" s="4"/>
      <c r="AC56" s="75"/>
      <c r="AD56" s="4"/>
      <c r="AE56" s="4"/>
      <c r="AF56" s="75"/>
      <c r="AG56" s="4"/>
      <c r="AH56" s="4"/>
      <c r="AI56" s="4"/>
      <c r="AJ56" s="5"/>
      <c r="AK56" s="5"/>
      <c r="AL56" s="5"/>
      <c r="AM56" s="5"/>
      <c r="AN56" s="5"/>
      <c r="AO56" s="5"/>
      <c r="AP56" s="5"/>
      <c r="AQ56" s="5"/>
      <c r="AR56" s="5"/>
      <c r="AS56" s="5"/>
      <c r="AT56" s="5"/>
      <c r="AU56" s="6"/>
      <c r="AV56" s="6"/>
      <c r="AW56" s="6"/>
    </row>
    <row r="57" spans="1:49" s="3" customFormat="1">
      <c r="A57" s="6"/>
      <c r="B57" s="75"/>
      <c r="C57" s="5"/>
      <c r="D57" s="5"/>
      <c r="E57" s="6"/>
      <c r="F57" s="6"/>
      <c r="G57" s="5"/>
      <c r="H57" s="6"/>
      <c r="K57" s="6"/>
      <c r="L57" s="6"/>
      <c r="M57" s="6"/>
      <c r="N57" s="6"/>
      <c r="O57" s="6"/>
      <c r="P57" s="6"/>
      <c r="Q57" s="6"/>
      <c r="R57" s="75"/>
      <c r="S57" s="75"/>
      <c r="T57" s="75"/>
      <c r="U57" s="75"/>
      <c r="V57" s="75"/>
      <c r="W57" s="75"/>
      <c r="X57" s="75"/>
      <c r="Y57" s="6"/>
      <c r="Z57" s="6"/>
      <c r="AA57" s="4"/>
      <c r="AB57" s="4"/>
      <c r="AC57" s="75"/>
      <c r="AD57" s="4"/>
      <c r="AE57" s="4"/>
      <c r="AF57" s="75"/>
      <c r="AG57" s="4"/>
      <c r="AH57" s="4"/>
      <c r="AI57" s="4"/>
      <c r="AJ57" s="5"/>
      <c r="AK57" s="5"/>
      <c r="AL57" s="5"/>
      <c r="AM57" s="5"/>
      <c r="AN57" s="5"/>
      <c r="AO57" s="5"/>
      <c r="AP57" s="5"/>
      <c r="AQ57" s="5"/>
      <c r="AR57" s="5"/>
      <c r="AS57" s="5"/>
      <c r="AT57" s="5"/>
      <c r="AU57" s="6"/>
      <c r="AV57" s="6"/>
      <c r="AW57" s="6"/>
    </row>
    <row r="58" spans="1:49" s="3" customFormat="1">
      <c r="A58" s="6"/>
      <c r="B58" s="75"/>
      <c r="C58" s="5"/>
      <c r="D58" s="5"/>
      <c r="E58" s="6"/>
      <c r="F58" s="6"/>
      <c r="G58" s="5"/>
      <c r="H58" s="6"/>
      <c r="K58" s="6"/>
      <c r="L58" s="6"/>
      <c r="M58" s="6"/>
      <c r="N58" s="6"/>
      <c r="O58" s="6"/>
      <c r="P58" s="6"/>
      <c r="Q58" s="6"/>
      <c r="R58" s="75"/>
      <c r="S58" s="75"/>
      <c r="T58" s="75"/>
      <c r="U58" s="75"/>
      <c r="V58" s="75"/>
      <c r="W58" s="75"/>
      <c r="X58" s="75"/>
      <c r="Y58" s="6"/>
      <c r="Z58" s="6"/>
      <c r="AA58" s="4"/>
      <c r="AB58" s="4"/>
      <c r="AC58" s="75"/>
      <c r="AD58" s="4"/>
      <c r="AE58" s="4"/>
      <c r="AF58" s="75"/>
      <c r="AG58" s="4"/>
      <c r="AH58" s="4"/>
      <c r="AI58" s="4"/>
      <c r="AJ58" s="5"/>
      <c r="AK58" s="5"/>
      <c r="AL58" s="5"/>
      <c r="AM58" s="5"/>
      <c r="AN58" s="5"/>
      <c r="AO58" s="5"/>
      <c r="AP58" s="5"/>
      <c r="AQ58" s="5"/>
      <c r="AR58" s="5"/>
      <c r="AS58" s="5"/>
      <c r="AT58" s="5"/>
      <c r="AU58" s="6"/>
      <c r="AV58" s="6"/>
      <c r="AW58" s="6"/>
    </row>
    <row r="59" spans="1:49" s="3" customFormat="1">
      <c r="A59" s="6"/>
      <c r="B59" s="75"/>
      <c r="C59" s="5"/>
      <c r="D59" s="5"/>
      <c r="E59" s="6"/>
      <c r="F59" s="6"/>
      <c r="G59" s="5"/>
      <c r="H59" s="6"/>
      <c r="K59" s="6"/>
      <c r="L59" s="6"/>
      <c r="M59" s="6"/>
      <c r="N59" s="6"/>
      <c r="O59" s="6"/>
      <c r="P59" s="76"/>
      <c r="Q59" s="6"/>
      <c r="R59" s="75"/>
      <c r="S59" s="75"/>
      <c r="T59" s="75"/>
      <c r="U59" s="75"/>
      <c r="V59" s="75"/>
      <c r="W59" s="75"/>
      <c r="X59" s="75"/>
      <c r="Y59" s="76"/>
      <c r="Z59" s="6"/>
      <c r="AA59" s="4"/>
      <c r="AB59" s="4"/>
      <c r="AC59" s="75"/>
      <c r="AD59" s="4"/>
      <c r="AE59" s="4"/>
      <c r="AF59" s="75"/>
      <c r="AG59" s="4"/>
      <c r="AH59" s="4"/>
      <c r="AI59" s="4"/>
      <c r="AJ59" s="5"/>
      <c r="AK59" s="5"/>
      <c r="AL59" s="5"/>
      <c r="AM59" s="5"/>
      <c r="AN59" s="5"/>
      <c r="AO59" s="5"/>
      <c r="AP59" s="5"/>
      <c r="AQ59" s="5"/>
      <c r="AR59" s="5"/>
      <c r="AS59" s="5"/>
      <c r="AT59" s="5"/>
      <c r="AU59" s="6"/>
      <c r="AV59" s="6"/>
      <c r="AW59" s="6"/>
    </row>
    <row r="60" spans="1:49" s="3" customFormat="1">
      <c r="A60" s="6"/>
      <c r="B60" s="75"/>
      <c r="C60" s="5"/>
      <c r="D60" s="5"/>
      <c r="E60" s="6"/>
      <c r="F60" s="6"/>
      <c r="G60" s="5"/>
      <c r="H60" s="6"/>
      <c r="K60" s="6"/>
      <c r="L60" s="6"/>
      <c r="M60" s="6"/>
      <c r="N60" s="6"/>
      <c r="O60" s="6"/>
      <c r="P60" s="76"/>
      <c r="Q60" s="6"/>
      <c r="R60" s="75"/>
      <c r="S60" s="75"/>
      <c r="T60" s="75"/>
      <c r="U60" s="75"/>
      <c r="V60" s="75"/>
      <c r="W60" s="75"/>
      <c r="X60" s="75"/>
      <c r="Y60" s="76"/>
      <c r="Z60" s="6"/>
      <c r="AA60" s="4"/>
      <c r="AB60" s="4"/>
      <c r="AC60" s="75"/>
      <c r="AD60" s="4"/>
      <c r="AE60" s="4"/>
      <c r="AF60" s="75"/>
      <c r="AG60" s="4"/>
      <c r="AH60" s="4"/>
      <c r="AI60" s="4"/>
      <c r="AJ60" s="5"/>
      <c r="AK60" s="5"/>
      <c r="AL60" s="5"/>
      <c r="AM60" s="5"/>
      <c r="AN60" s="5"/>
      <c r="AO60" s="5"/>
      <c r="AP60" s="5"/>
      <c r="AQ60" s="5"/>
      <c r="AR60" s="5"/>
      <c r="AS60" s="5"/>
      <c r="AT60" s="5"/>
      <c r="AU60" s="6"/>
      <c r="AV60" s="6"/>
      <c r="AW60" s="6"/>
    </row>
    <row r="61" spans="1:49" s="3" customFormat="1">
      <c r="A61" s="6"/>
      <c r="B61" s="75"/>
      <c r="C61" s="5"/>
      <c r="D61" s="5"/>
      <c r="E61" s="6"/>
      <c r="F61" s="6"/>
      <c r="G61" s="5"/>
      <c r="H61" s="6"/>
      <c r="K61" s="6"/>
      <c r="L61" s="6"/>
      <c r="M61" s="6"/>
      <c r="N61" s="6"/>
      <c r="O61" s="6"/>
      <c r="P61" s="6"/>
      <c r="Q61" s="6"/>
      <c r="R61" s="75"/>
      <c r="S61" s="75"/>
      <c r="T61" s="75"/>
      <c r="U61" s="75"/>
      <c r="V61" s="75"/>
      <c r="W61" s="75"/>
      <c r="X61" s="75"/>
      <c r="Y61" s="6"/>
      <c r="Z61" s="6"/>
      <c r="AA61" s="4"/>
      <c r="AB61" s="4"/>
      <c r="AC61" s="75"/>
      <c r="AD61" s="4"/>
      <c r="AE61" s="4"/>
      <c r="AF61" s="75"/>
      <c r="AG61" s="4"/>
      <c r="AH61" s="4"/>
      <c r="AI61" s="4"/>
      <c r="AJ61" s="5"/>
      <c r="AK61" s="5"/>
      <c r="AL61" s="5"/>
      <c r="AM61" s="5"/>
      <c r="AN61" s="5"/>
      <c r="AO61" s="5"/>
      <c r="AP61" s="5"/>
      <c r="AQ61" s="5"/>
      <c r="AR61" s="5"/>
      <c r="AS61" s="5"/>
      <c r="AT61" s="5"/>
      <c r="AU61" s="6"/>
      <c r="AV61" s="6"/>
      <c r="AW61" s="6"/>
    </row>
    <row r="62" spans="1:49" s="3" customFormat="1">
      <c r="A62" s="6"/>
      <c r="B62" s="75"/>
      <c r="C62" s="5"/>
      <c r="D62" s="5"/>
      <c r="E62" s="6"/>
      <c r="F62" s="6"/>
      <c r="G62" s="5"/>
      <c r="H62" s="6"/>
      <c r="I62" s="6"/>
      <c r="J62" s="6"/>
      <c r="K62" s="6"/>
      <c r="L62" s="6" t="s">
        <v>288</v>
      </c>
      <c r="M62" s="6"/>
      <c r="N62" s="6"/>
      <c r="O62" s="6"/>
      <c r="P62" s="6"/>
      <c r="Q62" s="6"/>
      <c r="R62" s="75"/>
      <c r="S62" s="75"/>
      <c r="T62" s="75"/>
      <c r="U62" s="75"/>
      <c r="V62" s="75"/>
      <c r="W62" s="75"/>
      <c r="X62" s="75"/>
      <c r="Y62" s="6"/>
      <c r="Z62" s="6"/>
      <c r="AA62" s="4"/>
      <c r="AB62" s="4"/>
      <c r="AC62" s="75"/>
      <c r="AD62" s="4"/>
      <c r="AE62" s="4"/>
      <c r="AF62" s="75"/>
      <c r="AG62" s="4"/>
      <c r="AH62" s="4"/>
      <c r="AI62" s="4"/>
      <c r="AJ62" s="5"/>
      <c r="AK62" s="5"/>
      <c r="AL62" s="5"/>
      <c r="AM62" s="5"/>
      <c r="AN62" s="5"/>
      <c r="AO62" s="5"/>
      <c r="AP62" s="5"/>
      <c r="AQ62" s="5"/>
      <c r="AR62" s="5"/>
      <c r="AS62" s="5"/>
      <c r="AT62" s="5"/>
      <c r="AU62" s="6"/>
      <c r="AV62" s="6"/>
      <c r="AW62" s="6"/>
    </row>
    <row r="63" spans="1:49">
      <c r="K63" s="6" t="s">
        <v>289</v>
      </c>
      <c r="L63" s="6" t="e">
        <f>#REF!</f>
        <v>#REF!</v>
      </c>
    </row>
    <row r="64" spans="1:49">
      <c r="K64" s="6" t="s">
        <v>290</v>
      </c>
      <c r="L64" s="6" t="e">
        <f>#REF!</f>
        <v>#REF!</v>
      </c>
    </row>
    <row r="65" spans="11:12">
      <c r="K65" s="6" t="s">
        <v>291</v>
      </c>
      <c r="L65" s="6" t="e">
        <f>#REF!</f>
        <v>#REF!</v>
      </c>
    </row>
    <row r="66" spans="11:12">
      <c r="K66" s="6" t="s">
        <v>292</v>
      </c>
      <c r="L66" s="6" t="e">
        <f>#REF!</f>
        <v>#REF!</v>
      </c>
    </row>
    <row r="67" spans="11:12">
      <c r="K67" s="6" t="s">
        <v>293</v>
      </c>
      <c r="L67" s="6" t="e">
        <f>#REF!</f>
        <v>#REF!</v>
      </c>
    </row>
    <row r="68" spans="11:12">
      <c r="K68" s="6" t="s">
        <v>294</v>
      </c>
      <c r="L68" s="6" t="e">
        <f>#REF!</f>
        <v>#REF!</v>
      </c>
    </row>
    <row r="69" spans="11:12">
      <c r="K69" s="6" t="s">
        <v>295</v>
      </c>
      <c r="L69" s="6" t="e">
        <f>#REF!</f>
        <v>#REF!</v>
      </c>
    </row>
    <row r="70" spans="11:12">
      <c r="K70" s="6" t="s">
        <v>296</v>
      </c>
      <c r="L70" s="6" t="e">
        <f>#REF!</f>
        <v>#REF!</v>
      </c>
    </row>
  </sheetData>
  <protectedRanges>
    <protectedRange sqref="E42:O43 E7:O8 E32:O33 E17:O18 E12:O13 E22:O23 E27:O28 E37:O38" name="DDR2StrobesA"/>
  </protectedRanges>
  <mergeCells count="1">
    <mergeCell ref="A1:D1"/>
  </mergeCells>
  <phoneticPr fontId="25" type="noConversion"/>
  <conditionalFormatting sqref="AG27:AT28 AG17:AT18 AG32:AT33 AG22:AT23 AG12:AT13 AG37:AT38 AG7:AT8 AG42:AT43">
    <cfRule type="cellIs" dxfId="31" priority="1" stopIfTrue="1" operator="equal">
      <formula>"Pass"</formula>
    </cfRule>
    <cfRule type="cellIs" dxfId="30" priority="2" stopIfTrue="1" operator="notEqual">
      <formula>"Pass"</formula>
    </cfRule>
  </conditionalFormatting>
  <conditionalFormatting sqref="Z22:Z23 Z12:Z13 Z37:Z38 Z7:Z8 Z17:Z18 Z27:Z28 Z32:Z33 Z42:Z43">
    <cfRule type="cellIs" dxfId="29" priority="3" stopIfTrue="1" operator="greaterThan">
      <formula>6250</formula>
    </cfRule>
    <cfRule type="cellIs" dxfId="28" priority="4" stopIfTrue="1" operator="lessThan">
      <formula>6250</formula>
    </cfRule>
  </conditionalFormatting>
  <conditionalFormatting sqref="V42:W43 AD22:AE23 V32:W33 V22:W23 V12:W13 AD12:AE13 AD7:AE8 V7:W8 AD17:AE18 AD27:AE28 V17:W18 V27:W28 AD37:AE38 V37:W38 AD42:AE43 AD32:AE33">
    <cfRule type="cellIs" priority="5" stopIfTrue="1" operator="equal">
      <formula>"Pass"</formula>
    </cfRule>
    <cfRule type="cellIs" dxfId="27" priority="6" stopIfTrue="1" operator="notEqual">
      <formula>"Pass"</formula>
    </cfRule>
  </conditionalFormatting>
  <conditionalFormatting sqref="Q32:Q33 Q22:Q23 Q12:Q13 Q7:Q8 Q17:Q18 Q27:Q28 Q37:Q38 Q42:Q43">
    <cfRule type="cellIs" dxfId="26" priority="7" stopIfTrue="1" operator="greaterThan">
      <formula>4750</formula>
    </cfRule>
    <cfRule type="cellIs" dxfId="25" priority="8" stopIfTrue="1" operator="lessThan">
      <formula>4750</formula>
    </cfRule>
  </conditionalFormatting>
  <conditionalFormatting sqref="A1:AU1">
    <cfRule type="expression" dxfId="24" priority="9" stopIfTrue="1">
      <formula>$E$1 = "Fail"</formula>
    </cfRule>
    <cfRule type="expression" dxfId="23" priority="10" stopIfTrue="1">
      <formula>$E$1 = "Pass"</formula>
    </cfRule>
  </conditionalFormatting>
  <pageMargins left="0.75" right="0.75" top="1" bottom="1" header="0.5" footer="0.5"/>
  <pageSetup paperSize="8" scale="85" orientation="landscape" verticalDpi="0" r:id="rId1"/>
  <headerFooter alignWithMargins="0"/>
  <drawing r:id="rId2"/>
  <legacyDrawing r:id="rId3"/>
  <oleObjects>
    <mc:AlternateContent xmlns:mc="http://schemas.openxmlformats.org/markup-compatibility/2006">
      <mc:Choice Requires="x14">
        <oleObject progId="Visio.Drawing.11" shapeId="23556" r:id="rId4">
          <objectPr defaultSize="0" autoPict="0" r:id="rId5">
            <anchor moveWithCells="1">
              <from>
                <xdr:col>1</xdr:col>
                <xdr:colOff>0</xdr:colOff>
                <xdr:row>46</xdr:row>
                <xdr:rowOff>0</xdr:rowOff>
              </from>
              <to>
                <xdr:col>15</xdr:col>
                <xdr:colOff>180975</xdr:colOff>
                <xdr:row>59</xdr:row>
                <xdr:rowOff>161925</xdr:rowOff>
              </to>
            </anchor>
          </objectPr>
        </oleObject>
      </mc:Choice>
      <mc:Fallback>
        <oleObject progId="Visio.Drawing.11" shapeId="23556" r:id="rId4"/>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1:BJ457"/>
  <sheetViews>
    <sheetView zoomScale="75" workbookViewId="0">
      <selection activeCell="AS27" sqref="AS27"/>
    </sheetView>
  </sheetViews>
  <sheetFormatPr defaultColWidth="9.140625"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4" width="11.140625" style="5" customWidth="1"/>
    <col min="15" max="15" width="0.85546875" style="6" customWidth="1"/>
    <col min="16" max="16" width="15.5703125" style="5" customWidth="1"/>
    <col min="17" max="17" width="17.42578125" style="5" customWidth="1"/>
    <col min="18" max="18" width="0.85546875" style="31" customWidth="1"/>
    <col min="19" max="20" width="18.140625" style="31" customWidth="1"/>
    <col min="21" max="21" width="0.85546875" style="31" customWidth="1"/>
    <col min="22" max="22" width="11.85546875" style="6" customWidth="1"/>
    <col min="23" max="23" width="12.140625" style="6" customWidth="1"/>
    <col min="24" max="24" width="1" style="6" customWidth="1"/>
    <col min="25" max="25" width="13.7109375" style="5" customWidth="1"/>
    <col min="26" max="26" width="12.28515625" style="5" customWidth="1"/>
    <col min="27" max="27" width="2" style="6" customWidth="1"/>
    <col min="28" max="28" width="11.140625" style="6" customWidth="1"/>
    <col min="29" max="29" width="13.5703125" style="6" customWidth="1"/>
    <col min="30" max="30" width="1" style="6" customWidth="1"/>
    <col min="31" max="31" width="13.7109375" style="5" customWidth="1"/>
    <col min="32" max="32" width="14.28515625" style="5" customWidth="1"/>
    <col min="33" max="33" width="14.28515625" style="6" customWidth="1"/>
    <col min="34" max="34" width="13.7109375" style="6" customWidth="1"/>
    <col min="35" max="40" width="14.28515625" style="79" customWidth="1"/>
    <col min="41" max="41" width="19" style="79" customWidth="1"/>
    <col min="42" max="44" width="19.42578125" style="79" customWidth="1"/>
    <col min="45" max="45" width="0.85546875" style="79" customWidth="1"/>
    <col min="46" max="46" width="17.85546875" style="79" customWidth="1"/>
    <col min="47" max="47" width="21.140625" style="79" customWidth="1"/>
    <col min="48" max="48" width="2.140625" style="6" customWidth="1"/>
    <col min="49" max="49" width="11.42578125" style="79" customWidth="1"/>
    <col min="50" max="50" width="11.28515625" style="79" customWidth="1"/>
    <col min="51" max="51" width="16.28515625" style="79" customWidth="1"/>
    <col min="52" max="52" width="11.42578125" style="79" customWidth="1"/>
    <col min="53" max="53" width="11.28515625" style="79" customWidth="1"/>
    <col min="54" max="54" width="16.28515625" style="79" customWidth="1"/>
    <col min="55" max="55" width="11.85546875" style="6" customWidth="1"/>
    <col min="56" max="56" width="11.28515625" style="79" customWidth="1"/>
    <col min="57" max="57" width="11.42578125" style="79" customWidth="1"/>
    <col min="58" max="58" width="16.28515625" style="79" customWidth="1"/>
    <col min="59" max="59" width="12.85546875" style="6" customWidth="1"/>
    <col min="60" max="60" width="11.28515625" style="79" customWidth="1"/>
    <col min="61" max="61" width="11.42578125" style="79" customWidth="1"/>
    <col min="62" max="62" width="16.28515625" style="79" customWidth="1"/>
    <col min="63" max="16384" width="9.140625" style="3"/>
  </cols>
  <sheetData>
    <row r="1" spans="1:62" ht="26.25">
      <c r="A1" s="1322" t="s">
        <v>108</v>
      </c>
      <c r="B1" s="1324"/>
      <c r="C1" s="1324"/>
      <c r="D1" s="1324"/>
      <c r="E1" s="1323" t="e">
        <f ca="1">IF(AND(AU7="Pass",AU19="Pass",AU31="Pass",AU43="Pass",AU55="Pass",AU67="Pass",AU79="Pass",AU91="Pass"),"Pass","Fail")</f>
        <v>#REF!</v>
      </c>
      <c r="F1" s="1323"/>
      <c r="G1" s="3"/>
      <c r="H1" s="3"/>
      <c r="I1" s="3"/>
      <c r="J1" s="3"/>
      <c r="K1" s="3"/>
      <c r="L1" s="3"/>
      <c r="M1" s="3"/>
      <c r="N1" s="3"/>
      <c r="O1" s="3"/>
      <c r="AV1" s="79"/>
      <c r="AW1" s="3"/>
      <c r="AX1" s="3"/>
      <c r="AY1" s="3"/>
      <c r="AZ1" s="3"/>
      <c r="BA1" s="3"/>
      <c r="BB1" s="3"/>
      <c r="BC1" s="3"/>
      <c r="BD1" s="3"/>
      <c r="BE1" s="3"/>
      <c r="BF1" s="3"/>
      <c r="BG1" s="3"/>
      <c r="BH1" s="3"/>
      <c r="BI1" s="3"/>
      <c r="BJ1" s="3"/>
    </row>
    <row r="2" spans="1:62" customFormat="1" ht="18">
      <c r="A2" s="96" t="s">
        <v>10</v>
      </c>
      <c r="B2" s="299" t="e">
        <f>'DDR2 Clocks - 2L'!B2</f>
        <v>#REF!</v>
      </c>
      <c r="C2" s="100"/>
      <c r="D2" s="100"/>
      <c r="E2" s="100"/>
      <c r="F2" s="100"/>
      <c r="G2" s="100"/>
      <c r="H2" s="100"/>
      <c r="I2" s="100"/>
      <c r="J2" s="100"/>
      <c r="K2" s="100"/>
      <c r="L2" s="100"/>
      <c r="M2" s="100"/>
      <c r="N2" s="100"/>
      <c r="O2" s="1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577"/>
      <c r="AU2" s="577"/>
      <c r="AV2" s="577"/>
    </row>
    <row r="3" spans="1:62" s="50" customFormat="1" ht="87.75" customHeight="1">
      <c r="A3" s="101" t="s">
        <v>457</v>
      </c>
      <c r="B3" s="101" t="s">
        <v>474</v>
      </c>
      <c r="C3" s="103" t="s">
        <v>475</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SODIMM["&amp;$B$2&amp;"]"</f>
        <v>#REF!</v>
      </c>
      <c r="W3" s="7" t="e">
        <f>"Target Max Length to SODIMM ["&amp;$B$2&amp;"]"</f>
        <v>#REF!</v>
      </c>
      <c r="X3" s="7"/>
      <c r="Y3" s="7" t="e">
        <f>"Length to SODIMM Routed Too Short  ["&amp;$B$2&amp;"]"</f>
        <v>#REF!</v>
      </c>
      <c r="Z3" s="7" t="e">
        <f>"Length to SODIMM Routed Too Long  ["&amp;$B$2&amp;"]"</f>
        <v>#REF!</v>
      </c>
      <c r="AA3" s="7"/>
      <c r="AB3" s="7" t="e">
        <f>"Target Min Length to SDRAM["&amp;$B$2&amp;"]"</f>
        <v>#REF!</v>
      </c>
      <c r="AC3" s="7" t="e">
        <f>"Target Max Length to SDRAM ["&amp;$B$2&amp;"]"</f>
        <v>#REF!</v>
      </c>
      <c r="AD3" s="7"/>
      <c r="AE3" s="7" t="e">
        <f>"Length to SDRAM Routed Too Short  ["&amp;$B$2&amp;"]"</f>
        <v>#REF!</v>
      </c>
      <c r="AF3" s="7" t="e">
        <f>"Length to SDRAM Routed Too Long  ["&amp;$B$2&amp;"]"</f>
        <v>#REF!</v>
      </c>
      <c r="AG3" s="7" t="e">
        <f>"L0 Length Test (&lt;="&amp;IF($B$2="mil",1,0.0254)*50&amp;$B$2&amp;")"</f>
        <v>#REF!</v>
      </c>
      <c r="AH3" s="7" t="e">
        <f>"L1 Length Test (&lt;="&amp;IF($B$2="mil",1,0.0254)*500&amp;$B$2&amp;")"</f>
        <v>#REF!</v>
      </c>
      <c r="AI3" s="7" t="e">
        <f>"S1 Length Test (&lt;="&amp;IF($B$2="mil",1,0.0254)*250&amp;$B$2&amp;")"</f>
        <v>#REF!</v>
      </c>
      <c r="AJ3" s="7" t="e">
        <f>"L3 Length Test (&lt;="&amp;IF($B$2="mil",1,0.0254)*1000&amp;$B$2&amp;" or L3 + L4 &lt;="&amp; IF($B$2="mil",1,0.0254)*1125&amp;$B$2&amp;")"</f>
        <v>#REF!</v>
      </c>
      <c r="AK3" s="7" t="e">
        <f>"L4 Length Test (&lt;="&amp;IF($B$2="mil",1,0.0254)*125&amp;$B$2&amp;")"</f>
        <v>#REF!</v>
      </c>
      <c r="AL3" s="7" t="e">
        <f>"L5 Length Test (&lt;="&amp;IF($B$2="mil",1,0.0254)*125&amp;$B$2&amp;")"</f>
        <v>#REF!</v>
      </c>
      <c r="AM3" s="7" t="e">
        <f>"L6 Length Test (&lt;="&amp;IF($B$2="mil",1,0.0254)*1250&amp;$B$2&amp;" or L5+L6+L7 &lt;= "&amp;IF($B$2="mil",1,0.0254)*1525&amp;$B$2&amp;")"</f>
        <v>#REF!</v>
      </c>
      <c r="AN3" s="7" t="e">
        <f>"L7 Length Test (&lt;="&amp;IF($B$2="mil",1,0.0254)*150&amp;$B$2&amp;") or (L6+L7 &lt;= "&amp;IF($B$2="mil",1,0.0254)*1400&amp;$B$2&amp;")"</f>
        <v>#REF!</v>
      </c>
      <c r="AO3" s="7" t="e">
        <f>"Total MB Length to SODIMM (L0+L1+L2+S1) Test "&amp;IF($B$2="mil","(500-4000mil)","(12.7-114.3mm)")</f>
        <v>#REF!</v>
      </c>
      <c r="AP3" s="7" t="e">
        <f>"Total Length to SODIMM (P0+L0+L1+L2+S1) Test (&lt;="&amp; IF($B$2="mil","4500mil","127mm")&amp;")"</f>
        <v>#REF!</v>
      </c>
      <c r="AQ3" s="7" t="e">
        <f>"Total MB Length to SDRAM (L0+L1+L2+L3+L4+Rs+L5+L6+L7) Test "&amp;IF($B$2="mil","(500-5500mil)","(12.7-114.3mm)")</f>
        <v>#REF!</v>
      </c>
      <c r="AR3" s="7" t="e">
        <f>"Total Length to SDRAM (P0+L0+L1+L2+L3+L4+Rs+L5+L6+L7) Test (&lt;="&amp; IF($B$2="mil","6000mil","127mm")&amp;")"</f>
        <v>#REF!</v>
      </c>
      <c r="AS3" s="7"/>
      <c r="AT3" s="596"/>
      <c r="AU3" s="596"/>
      <c r="AV3" s="596"/>
    </row>
    <row r="4" spans="1:62">
      <c r="A4" s="109" t="s">
        <v>197</v>
      </c>
      <c r="B4" s="485"/>
      <c r="C4" s="126"/>
      <c r="D4" s="10"/>
      <c r="E4" s="10"/>
      <c r="F4" s="23"/>
      <c r="G4" s="9"/>
      <c r="H4" s="9"/>
      <c r="I4" s="9"/>
      <c r="J4" s="9"/>
      <c r="K4" s="9"/>
      <c r="L4" s="9"/>
      <c r="M4" s="9"/>
      <c r="N4" s="10"/>
      <c r="O4" s="10"/>
      <c r="P4" s="9"/>
      <c r="Q4" s="9"/>
      <c r="R4" s="10"/>
      <c r="S4" s="10"/>
      <c r="T4" s="10"/>
      <c r="U4" s="10"/>
      <c r="V4" s="51"/>
      <c r="W4" s="10"/>
      <c r="X4" s="10"/>
      <c r="Y4" s="15"/>
      <c r="Z4" s="17"/>
      <c r="AA4" s="10"/>
      <c r="AB4" s="51"/>
      <c r="AC4" s="10"/>
      <c r="AD4" s="10"/>
      <c r="AE4" s="15"/>
      <c r="AF4" s="17"/>
      <c r="AG4" s="17"/>
      <c r="AH4" s="17"/>
      <c r="AI4" s="16"/>
      <c r="AJ4" s="16"/>
      <c r="AK4" s="16"/>
      <c r="AL4" s="16"/>
      <c r="AM4" s="16"/>
      <c r="AN4" s="16"/>
      <c r="AO4" s="16"/>
      <c r="AP4" s="16"/>
      <c r="AQ4" s="16"/>
      <c r="AR4" s="16"/>
      <c r="AS4" s="12"/>
      <c r="AT4" s="554"/>
      <c r="AU4" s="554"/>
      <c r="AV4" s="554"/>
      <c r="AW4" s="3"/>
      <c r="AX4" s="3"/>
      <c r="AY4" s="3"/>
      <c r="AZ4" s="3"/>
      <c r="BA4" s="3"/>
      <c r="BB4" s="3"/>
      <c r="BC4" s="3"/>
      <c r="BD4" s="3"/>
      <c r="BE4" s="3"/>
      <c r="BF4" s="3"/>
      <c r="BG4" s="3"/>
      <c r="BH4" s="3"/>
      <c r="BI4" s="3"/>
      <c r="BJ4" s="3"/>
    </row>
    <row r="5" spans="1:62">
      <c r="A5" s="118" t="str">
        <f>'DDR2 Strobes - 1x16'!$A$7</f>
        <v>SA_DQS0</v>
      </c>
      <c r="B5" s="130" t="str">
        <f>'DDR2 Strobes - 1x16'!$B$7</f>
        <v>Y25</v>
      </c>
      <c r="C5" s="127"/>
      <c r="D5" s="53"/>
      <c r="E5" s="80"/>
      <c r="F5" s="80"/>
      <c r="G5" s="81"/>
      <c r="H5" s="81"/>
      <c r="I5" s="81"/>
      <c r="J5" s="81"/>
      <c r="K5" s="81"/>
      <c r="L5" s="81"/>
      <c r="M5" s="81"/>
      <c r="N5" s="81"/>
      <c r="O5" s="81"/>
      <c r="P5" s="81"/>
      <c r="Q5" s="81"/>
      <c r="R5" s="81"/>
      <c r="S5" s="58"/>
      <c r="T5" s="58"/>
      <c r="U5" s="58"/>
      <c r="V5" s="58" t="e">
        <f>'DDR2 Strobes - 1x16'!$S$7</f>
        <v>#REF!</v>
      </c>
      <c r="W5" s="58"/>
      <c r="X5" s="58"/>
      <c r="Y5" s="58"/>
      <c r="Z5" s="601"/>
      <c r="AA5" s="58"/>
      <c r="AB5" s="58" t="e">
        <f>'DDR2 Strobes - 1x16'!$T$7</f>
        <v>#REF!</v>
      </c>
      <c r="AC5" s="58"/>
      <c r="AD5" s="58"/>
      <c r="AE5" s="58"/>
      <c r="AF5" s="601"/>
      <c r="AG5" s="601"/>
      <c r="AH5" s="601"/>
      <c r="AI5" s="601"/>
      <c r="AJ5" s="601"/>
      <c r="AK5" s="601"/>
      <c r="AL5" s="601"/>
      <c r="AM5" s="601"/>
      <c r="AN5" s="601"/>
      <c r="AO5" s="601"/>
      <c r="AP5" s="601"/>
      <c r="AQ5" s="601"/>
      <c r="AR5" s="601"/>
      <c r="AS5" s="58"/>
      <c r="AT5" s="554"/>
      <c r="AU5" s="554"/>
      <c r="AV5" s="554"/>
      <c r="AW5" s="3"/>
      <c r="AX5" s="3"/>
      <c r="AY5" s="3"/>
      <c r="AZ5" s="3"/>
      <c r="BA5" s="3"/>
      <c r="BB5" s="3"/>
      <c r="BC5" s="3"/>
      <c r="BD5" s="3"/>
      <c r="BE5" s="3"/>
      <c r="BF5" s="3"/>
      <c r="BG5" s="3"/>
      <c r="BH5" s="3"/>
      <c r="BI5" s="3"/>
      <c r="BJ5" s="3"/>
    </row>
    <row r="6" spans="1:62">
      <c r="A6" s="118" t="str">
        <f>'DDR2 Strobes - 1x16'!$A$8</f>
        <v>SA_DQS0#</v>
      </c>
      <c r="B6" s="130" t="str">
        <f>'DDR2 Strobes - 1x16'!$B$8</f>
        <v>W24</v>
      </c>
      <c r="C6" s="127"/>
      <c r="D6" s="53"/>
      <c r="E6" s="80"/>
      <c r="F6" s="80"/>
      <c r="G6" s="291"/>
      <c r="H6" s="291"/>
      <c r="I6" s="81"/>
      <c r="J6" s="81"/>
      <c r="K6" s="81"/>
      <c r="L6" s="81"/>
      <c r="M6" s="81"/>
      <c r="N6" s="81"/>
      <c r="O6" s="81"/>
      <c r="P6" s="81"/>
      <c r="Q6" s="602"/>
      <c r="R6" s="602"/>
      <c r="S6" s="603"/>
      <c r="T6" s="603"/>
      <c r="U6" s="58"/>
      <c r="V6" s="58" t="e">
        <f>'DDR2 Strobes - 1x16'!$S$8</f>
        <v>#REF!</v>
      </c>
      <c r="W6" s="58"/>
      <c r="X6" s="58"/>
      <c r="Y6" s="58"/>
      <c r="Z6" s="601"/>
      <c r="AA6" s="58"/>
      <c r="AB6" s="58" t="e">
        <f>'DDR2 Strobes - 1x16'!$T$8</f>
        <v>#REF!</v>
      </c>
      <c r="AC6" s="58"/>
      <c r="AD6" s="58"/>
      <c r="AE6" s="58"/>
      <c r="AF6" s="601"/>
      <c r="AG6" s="601"/>
      <c r="AH6" s="601"/>
      <c r="AI6" s="604"/>
      <c r="AJ6" s="604"/>
      <c r="AK6" s="604"/>
      <c r="AL6" s="604"/>
      <c r="AM6" s="604"/>
      <c r="AN6" s="604"/>
      <c r="AO6" s="604"/>
      <c r="AP6" s="604"/>
      <c r="AQ6" s="604"/>
      <c r="AR6" s="604"/>
      <c r="AS6" s="58"/>
      <c r="AT6" s="554"/>
      <c r="AU6" s="554"/>
      <c r="AV6" s="554"/>
      <c r="AW6" s="3"/>
      <c r="AX6" s="3"/>
      <c r="AY6" s="3"/>
      <c r="AZ6" s="3"/>
      <c r="BA6" s="3"/>
      <c r="BB6" s="3"/>
      <c r="BC6" s="3"/>
      <c r="BD6" s="3"/>
      <c r="BE6" s="3"/>
      <c r="BF6" s="3"/>
      <c r="BG6" s="3"/>
      <c r="BH6" s="3"/>
      <c r="BI6" s="3"/>
      <c r="BJ6" s="3"/>
    </row>
    <row r="7" spans="1:62">
      <c r="A7" s="107" t="s">
        <v>121</v>
      </c>
      <c r="B7" s="480" t="s">
        <v>513</v>
      </c>
      <c r="C7" s="658">
        <v>385.1968503937008</v>
      </c>
      <c r="D7" s="18"/>
      <c r="E7" s="277">
        <v>29.7</v>
      </c>
      <c r="F7" s="277">
        <v>0</v>
      </c>
      <c r="G7" s="305">
        <v>1970</v>
      </c>
      <c r="H7" s="305">
        <v>10</v>
      </c>
      <c r="I7" s="277">
        <v>0</v>
      </c>
      <c r="J7" s="305">
        <v>57.5</v>
      </c>
      <c r="K7" s="277">
        <v>40</v>
      </c>
      <c r="L7" s="305">
        <v>52.37</v>
      </c>
      <c r="M7" s="305">
        <v>1056</v>
      </c>
      <c r="N7" s="305">
        <v>76</v>
      </c>
      <c r="O7" s="69"/>
      <c r="P7" s="489">
        <f xml:space="preserve"> E7+F7+G7+H7</f>
        <v>2009.7</v>
      </c>
      <c r="Q7" s="489">
        <f t="shared" ref="Q7:Q14" si="0">SUM(E7:G7,I7:N7)</f>
        <v>3281.5699999999997</v>
      </c>
      <c r="R7" s="597"/>
      <c r="S7" s="489" t="e">
        <f>P7+IF($B$2="mil",1,0.0254)*C7</f>
        <v>#REF!</v>
      </c>
      <c r="T7" s="489" t="e">
        <f>Q7+IF($B$2="mil",1,0.0254)*C7</f>
        <v>#REF!</v>
      </c>
      <c r="U7" s="597"/>
      <c r="V7" s="489" t="e">
        <f>MAX(V$5:V$6)+IF($B$2="mil",1,0.0254)*DDR2Specs!$B$3</f>
        <v>#REF!</v>
      </c>
      <c r="W7" s="489" t="e">
        <f>MIN(V$5:V$6)+IF($B$2="mil",1,0.0254)*DDR2Specs!$C$3</f>
        <v>#REF!</v>
      </c>
      <c r="X7" s="21"/>
      <c r="Y7" s="598" t="e">
        <f>IF($S7&lt;$V7,$V7-$S7,"Pass")</f>
        <v>#REF!</v>
      </c>
      <c r="Z7" s="495" t="e">
        <f>IF($S7&gt;$W7,$S7-$W7,"Pass")</f>
        <v>#REF!</v>
      </c>
      <c r="AA7" s="21"/>
      <c r="AB7" s="489" t="e">
        <f>MAX(AB$5:AB$6)+IF($B$2="mil",1,0.0254)*DDR2Specs!$E$3</f>
        <v>#REF!</v>
      </c>
      <c r="AC7" s="489" t="e">
        <f>MIN(AB$5:AB$6)+IF($B$2="mil",1,0.0254)*DDR2Specs!$F$3</f>
        <v>#REF!</v>
      </c>
      <c r="AD7" s="21"/>
      <c r="AE7" s="598" t="e">
        <f t="shared" ref="AE7:AE15" si="1">IF($T7&lt;$AB7,$AB7-$T7,"Pass")</f>
        <v>#REF!</v>
      </c>
      <c r="AF7" s="495" t="e">
        <f t="shared" ref="AF7:AF15" si="2">IF($T7&gt;$AC7,$T7-$AC7,"Pass")</f>
        <v>#REF!</v>
      </c>
      <c r="AG7" s="495" t="e">
        <f>IF($E7&lt;=IF($B$2="mil",1,0.0254)*50,"Pass",IF($B$2="mil",1,0.0254)*50-$E7)</f>
        <v>#REF!</v>
      </c>
      <c r="AH7" s="495" t="e">
        <f>IF($F7&lt;=IF($B$2="mil",1,0.0254)*500,"Pass",IF($B$2="mil",1,0.0254)*500-$F7)</f>
        <v>#REF!</v>
      </c>
      <c r="AI7" s="495" t="e">
        <f t="shared" ref="AI7:AI15" si="3">IF($H7&lt;=IF($B$2="mil",1,0.0254)*250,"Pass",IF($B$2="mil",1,0.0254)*250-$H7)</f>
        <v>#REF!</v>
      </c>
      <c r="AJ7" s="495" t="e">
        <f ca="1">CheckLength(IF($B$2="mil",1,0.0254)*1125, IF($B$2="mil",1,0.0254)*125-J7, 0, I7,J7,0)</f>
        <v>#NAME?</v>
      </c>
      <c r="AK7" s="495" t="e">
        <f>IF($J7&lt;=IF($B$2="mil",1,0.0254)*125,"Pass",IF($B$2="mil",1,0.0254)*125-$J7)</f>
        <v>#REF!</v>
      </c>
      <c r="AL7" s="495" t="e">
        <f>IF($L7&lt;=IF($B$2="mil",1,0.0254)*125,"Pass",IF($B$2="mil",1,0.0254)*125-$L7)</f>
        <v>#REF!</v>
      </c>
      <c r="AM7" s="495" t="e">
        <f ca="1">CheckLength(IF($B$2="mil",1,0.0254)*1525, IF($B$2="mil",1,0.0254)*125-L7, IF($B$2="mil",1,0.0254)*150-N7, M7,L7,N7)</f>
        <v>#NAME?</v>
      </c>
      <c r="AN7" s="495" t="e">
        <f ca="1">CheckLength2(IF($B$2="mil",1,0.0254)*1400,M7,N7,0)</f>
        <v>#NAME?</v>
      </c>
      <c r="AO7" s="495" t="e">
        <f>IF(AND($P7&gt;=IF($B$2="mil",1,0.0254)*500, $P7&lt;=IF($B$2="mil",1,0.0254)*4000),"Pass",IF($B$2="mil",1,0.0254)*4000-$P7)</f>
        <v>#REF!</v>
      </c>
      <c r="AP7" s="495" t="e">
        <f>IF(AND($S7&gt;=IF($B$2="mil",1,0.0254)*500, $S7&lt;=IF($B$2="mil",1,0.0254)*4500),"Pass",IF($B$2="mil",1,0.0254)*4500-$S7)</f>
        <v>#REF!</v>
      </c>
      <c r="AQ7" s="495" t="e">
        <f>IF(AND($Q7&gt;=IF($B$2="mil",1,0.0254)*500, $Q7&lt;=IF($B$2="mil",1,0.0254)*5500),"Pass",IF($B$2="mil",1,0.0254)*5500-$Q7)</f>
        <v>#REF!</v>
      </c>
      <c r="AR7" s="495" t="e">
        <f>IF(AND($T7&gt;=IF($B$2="mil",1,0.0254)*500, $T7&lt;=IF($B$2="mil",1,0.0254)*6000),"Pass",IF($B$2="mil",1,0.0254)*6000-$T7)</f>
        <v>#REF!</v>
      </c>
      <c r="AS7" s="21"/>
      <c r="AT7" s="554" t="e">
        <f t="shared" ref="AT7:AT15" ca="1" si="4">IF(AND(AG7="Pass",AP7="Pass",AI7="Pass",AH7="Pass",AO7="Pass",Y7="Pass",Z7="Pass",AN7="Pass",AM7="Pass",AL7="Pass",AK7="Pass",AJ7="Pass",AE7="Pass",AF7="Pass",AQ7="Pass",AR7="Pass"),"Pass","Fail")</f>
        <v>#REF!</v>
      </c>
      <c r="AU7" s="554" t="e">
        <f ca="1">IF(AND(AT7="Pass",AT8="Pass",AT9="Pass",AT10="Pass",AT11="Pass",AT12="Pass",AT13="Pass",AT14="Pass",AT15="Pass"),"Pass","Fail")</f>
        <v>#REF!</v>
      </c>
      <c r="AV7" s="554"/>
      <c r="AW7" s="3"/>
      <c r="AX7" s="3"/>
      <c r="AY7" s="3"/>
      <c r="AZ7" s="3"/>
      <c r="BA7" s="3"/>
      <c r="BB7" s="3"/>
      <c r="BC7" s="3"/>
      <c r="BD7" s="3"/>
      <c r="BE7" s="3"/>
      <c r="BF7" s="3"/>
      <c r="BG7" s="3"/>
      <c r="BH7" s="3"/>
      <c r="BI7" s="3"/>
      <c r="BJ7" s="3"/>
    </row>
    <row r="8" spans="1:62">
      <c r="A8" s="107" t="s">
        <v>122</v>
      </c>
      <c r="B8" s="480" t="s">
        <v>514</v>
      </c>
      <c r="C8" s="658">
        <v>406.77165354330714</v>
      </c>
      <c r="D8" s="18"/>
      <c r="E8" s="277">
        <v>29.7</v>
      </c>
      <c r="F8" s="277">
        <v>0</v>
      </c>
      <c r="G8" s="305">
        <v>1958.93</v>
      </c>
      <c r="H8" s="305">
        <v>10</v>
      </c>
      <c r="I8" s="277">
        <v>0</v>
      </c>
      <c r="J8" s="305">
        <v>61.64</v>
      </c>
      <c r="K8" s="277">
        <v>40</v>
      </c>
      <c r="L8" s="305">
        <v>113.2</v>
      </c>
      <c r="M8" s="305">
        <v>990</v>
      </c>
      <c r="N8" s="305">
        <v>79</v>
      </c>
      <c r="O8" s="69"/>
      <c r="P8" s="489">
        <f t="shared" ref="P8:P15" si="5" xml:space="preserve"> E8+F8+G8+H8</f>
        <v>1998.63</v>
      </c>
      <c r="Q8" s="489">
        <f t="shared" si="0"/>
        <v>3272.47</v>
      </c>
      <c r="R8" s="597"/>
      <c r="S8" s="489" t="e">
        <f t="shared" ref="S8:S15" si="6">P8+IF($B$2="mil",1,0.0254)*C8</f>
        <v>#REF!</v>
      </c>
      <c r="T8" s="489" t="e">
        <f t="shared" ref="T8:T15" si="7">Q8+IF($B$2="mil",1,0.0254)*C8</f>
        <v>#REF!</v>
      </c>
      <c r="U8" s="597"/>
      <c r="V8" s="489" t="e">
        <f>MAX(V$5:V$6)+IF($B$2="mil",1,0.0254)*DDR2Specs!$B$3</f>
        <v>#REF!</v>
      </c>
      <c r="W8" s="489" t="e">
        <f>MIN(V$5:V$6)+IF($B$2="mil",1,0.0254)*DDR2Specs!$C$3</f>
        <v>#REF!</v>
      </c>
      <c r="X8" s="21"/>
      <c r="Y8" s="598" t="e">
        <f t="shared" ref="Y8:Y15" si="8">IF($S8&lt;$V8,$V8-$S8,"Pass")</f>
        <v>#REF!</v>
      </c>
      <c r="Z8" s="495" t="e">
        <f t="shared" ref="Z8:Z15" si="9">IF($S8&gt;$W8,$S8-$W8,"Pass")</f>
        <v>#REF!</v>
      </c>
      <c r="AA8" s="21"/>
      <c r="AB8" s="489" t="e">
        <f>MAX(AB$5:AB$6)+IF($B$2="mil",1,0.0254)*DDR2Specs!$E$3</f>
        <v>#REF!</v>
      </c>
      <c r="AC8" s="489" t="e">
        <f>MIN(AB$5:AB$6)+IF($B$2="mil",1,0.0254)*DDR2Specs!$F$3</f>
        <v>#REF!</v>
      </c>
      <c r="AD8" s="21"/>
      <c r="AE8" s="598" t="e">
        <f t="shared" si="1"/>
        <v>#REF!</v>
      </c>
      <c r="AF8" s="495" t="e">
        <f t="shared" si="2"/>
        <v>#REF!</v>
      </c>
      <c r="AG8" s="495" t="e">
        <f t="shared" ref="AG8:AG15" si="10">IF($E8&lt;=IF($B$2="mil",1,0.0254)*50,"Pass",IF($B$2="mil",1,0.0254)*50-$E8)</f>
        <v>#REF!</v>
      </c>
      <c r="AH8" s="495" t="e">
        <f t="shared" ref="AH8:AH15" si="11">IF($F8&lt;=IF($B$2="mil",1,0.0254)*500,"Pass",IF($B$2="mil",1,0.0254)*500-$F8)</f>
        <v>#REF!</v>
      </c>
      <c r="AI8" s="495" t="e">
        <f t="shared" si="3"/>
        <v>#REF!</v>
      </c>
      <c r="AJ8" s="495" t="e">
        <f t="shared" ref="AJ8:AJ15" ca="1" si="12">CheckLength(IF($B$2="mil",1,0.0254)*1125, IF($B$2="mil",1,0.0254)*125-J8, 0, I8,J8,0)</f>
        <v>#NAME?</v>
      </c>
      <c r="AK8" s="495" t="e">
        <f t="shared" ref="AK8:AK15" si="13">IF($J8&lt;=IF($B$2="mil",1,0.0254)*125,"Pass",IF($B$2="mil",1,0.0254)*125-$J8)</f>
        <v>#REF!</v>
      </c>
      <c r="AL8" s="495" t="e">
        <f t="shared" ref="AL8:AL14" si="14">IF($L8&lt;=IF($B$2="mil",1,0.0254)*125,"Pass",IF($B$2="mil",1,0.0254)*125-$L8)</f>
        <v>#REF!</v>
      </c>
      <c r="AM8" s="495" t="e">
        <f t="shared" ref="AM8:AM15" ca="1" si="15">CheckLength(IF($B$2="mil",1,0.0254)*1525, IF($B$2="mil",1,0.0254)*125-L8, IF($B$2="mil",1,0.0254)*150-N8, M8,L8,N8)</f>
        <v>#NAME?</v>
      </c>
      <c r="AN8" s="495" t="e">
        <f t="shared" ref="AN8:AN15" ca="1" si="16">CheckLength2(IF($B$2="mil",1,0.0254)*1400,M8,N8,0)</f>
        <v>#NAME?</v>
      </c>
      <c r="AO8" s="495" t="e">
        <f t="shared" ref="AO8:AO15" si="17">IF(AND($P8&gt;=IF($B$2="mil",1,0.0254)*500, $P8&lt;=IF($B$2="mil",1,0.0254)*4000),"Pass",IF($B$2="mil",1,0.0254)*4000-$P8)</f>
        <v>#REF!</v>
      </c>
      <c r="AP8" s="495" t="e">
        <f t="shared" ref="AP8:AP15" si="18">IF(AND($S8&gt;=IF($B$2="mil",1,0.0254)*500, $S8&lt;=IF($B$2="mil",1,0.0254)*4500),"Pass",IF($B$2="mil",1,0.0254)*4500-$S8)</f>
        <v>#REF!</v>
      </c>
      <c r="AQ8" s="495" t="e">
        <f t="shared" ref="AQ8:AQ15" si="19">IF(AND($Q8&gt;=IF($B$2="mil",1,0.0254)*500, $Q8&lt;=IF($B$2="mil",1,0.0254)*5500),"Pass",IF($B$2="mil",1,0.0254)*5500-$Q8)</f>
        <v>#REF!</v>
      </c>
      <c r="AR8" s="495" t="e">
        <f t="shared" ref="AR8:AR15" si="20">IF(AND($T8&gt;=IF($B$2="mil",1,0.0254)*500, $T8&lt;=IF($B$2="mil",1,0.0254)*6000),"Pass",IF($B$2="mil",1,0.0254)*6000-$T8)</f>
        <v>#REF!</v>
      </c>
      <c r="AS8" s="21"/>
      <c r="AT8" s="554" t="e">
        <f t="shared" ca="1" si="4"/>
        <v>#REF!</v>
      </c>
      <c r="AU8" s="554"/>
      <c r="AV8" s="554"/>
      <c r="AW8" s="3"/>
      <c r="AX8" s="3"/>
      <c r="AY8" s="3"/>
      <c r="AZ8" s="3"/>
      <c r="BA8" s="3"/>
      <c r="BB8" s="3"/>
      <c r="BC8" s="3"/>
      <c r="BD8" s="3"/>
      <c r="BE8" s="3"/>
      <c r="BF8" s="3"/>
      <c r="BG8" s="3"/>
      <c r="BH8" s="3"/>
      <c r="BI8" s="3"/>
      <c r="BJ8" s="3"/>
    </row>
    <row r="9" spans="1:62">
      <c r="A9" s="107" t="s">
        <v>123</v>
      </c>
      <c r="B9" s="480" t="s">
        <v>515</v>
      </c>
      <c r="C9" s="658">
        <v>432.40157480314963</v>
      </c>
      <c r="D9" s="18"/>
      <c r="E9" s="277">
        <v>29.7</v>
      </c>
      <c r="F9" s="277">
        <v>0</v>
      </c>
      <c r="G9" s="305">
        <v>1933</v>
      </c>
      <c r="H9" s="305">
        <v>10</v>
      </c>
      <c r="I9" s="277">
        <v>0</v>
      </c>
      <c r="J9" s="305">
        <v>103.2</v>
      </c>
      <c r="K9" s="277">
        <v>40</v>
      </c>
      <c r="L9" s="305">
        <v>94.07</v>
      </c>
      <c r="M9" s="305">
        <v>1007</v>
      </c>
      <c r="N9" s="305">
        <v>28.01</v>
      </c>
      <c r="O9" s="69"/>
      <c r="P9" s="489">
        <f t="shared" si="5"/>
        <v>1972.7</v>
      </c>
      <c r="Q9" s="489">
        <f t="shared" si="0"/>
        <v>3234.9800000000005</v>
      </c>
      <c r="R9" s="597"/>
      <c r="S9" s="489" t="e">
        <f t="shared" si="6"/>
        <v>#REF!</v>
      </c>
      <c r="T9" s="489" t="e">
        <f t="shared" si="7"/>
        <v>#REF!</v>
      </c>
      <c r="U9" s="597"/>
      <c r="V9" s="489" t="e">
        <f>MAX(V$5:V$6)+IF($B$2="mil",1,0.0254)*DDR2Specs!$B$3</f>
        <v>#REF!</v>
      </c>
      <c r="W9" s="489" t="e">
        <f>MIN(V$5:V$6)+IF($B$2="mil",1,0.0254)*DDR2Specs!$C$3</f>
        <v>#REF!</v>
      </c>
      <c r="X9" s="21"/>
      <c r="Y9" s="598" t="e">
        <f t="shared" si="8"/>
        <v>#REF!</v>
      </c>
      <c r="Z9" s="495" t="e">
        <f t="shared" si="9"/>
        <v>#REF!</v>
      </c>
      <c r="AA9" s="21"/>
      <c r="AB9" s="489" t="e">
        <f>MAX(AB$5:AB$6)+IF($B$2="mil",1,0.0254)*DDR2Specs!$E$3</f>
        <v>#REF!</v>
      </c>
      <c r="AC9" s="489" t="e">
        <f>MIN(AB$5:AB$6)+IF($B$2="mil",1,0.0254)*DDR2Specs!$F$3</f>
        <v>#REF!</v>
      </c>
      <c r="AD9" s="21"/>
      <c r="AE9" s="598" t="e">
        <f t="shared" si="1"/>
        <v>#REF!</v>
      </c>
      <c r="AF9" s="495" t="e">
        <f t="shared" si="2"/>
        <v>#REF!</v>
      </c>
      <c r="AG9" s="495" t="e">
        <f t="shared" si="10"/>
        <v>#REF!</v>
      </c>
      <c r="AH9" s="495" t="e">
        <f t="shared" si="11"/>
        <v>#REF!</v>
      </c>
      <c r="AI9" s="495" t="e">
        <f t="shared" si="3"/>
        <v>#REF!</v>
      </c>
      <c r="AJ9" s="495" t="e">
        <f t="shared" ca="1" si="12"/>
        <v>#NAME?</v>
      </c>
      <c r="AK9" s="495" t="e">
        <f t="shared" si="13"/>
        <v>#REF!</v>
      </c>
      <c r="AL9" s="495" t="e">
        <f t="shared" si="14"/>
        <v>#REF!</v>
      </c>
      <c r="AM9" s="495" t="e">
        <f t="shared" ca="1" si="15"/>
        <v>#NAME?</v>
      </c>
      <c r="AN9" s="495" t="e">
        <f t="shared" ca="1" si="16"/>
        <v>#NAME?</v>
      </c>
      <c r="AO9" s="495" t="e">
        <f t="shared" si="17"/>
        <v>#REF!</v>
      </c>
      <c r="AP9" s="495" t="e">
        <f t="shared" si="18"/>
        <v>#REF!</v>
      </c>
      <c r="AQ9" s="495" t="e">
        <f t="shared" si="19"/>
        <v>#REF!</v>
      </c>
      <c r="AR9" s="495" t="e">
        <f t="shared" si="20"/>
        <v>#REF!</v>
      </c>
      <c r="AS9" s="21"/>
      <c r="AT9" s="554" t="e">
        <f t="shared" ca="1" si="4"/>
        <v>#REF!</v>
      </c>
      <c r="AU9" s="554"/>
      <c r="AV9" s="554"/>
      <c r="AW9" s="3"/>
      <c r="AX9" s="3"/>
      <c r="AY9" s="3"/>
      <c r="AZ9" s="3"/>
      <c r="BA9" s="3"/>
      <c r="BB9" s="3"/>
      <c r="BC9" s="3"/>
      <c r="BD9" s="3"/>
      <c r="BE9" s="3"/>
      <c r="BF9" s="3"/>
      <c r="BG9" s="3"/>
      <c r="BH9" s="3"/>
      <c r="BI9" s="3"/>
      <c r="BJ9" s="3"/>
    </row>
    <row r="10" spans="1:62">
      <c r="A10" s="107" t="s">
        <v>124</v>
      </c>
      <c r="B10" s="480" t="s">
        <v>511</v>
      </c>
      <c r="C10" s="658">
        <v>395.82677165354335</v>
      </c>
      <c r="D10" s="18"/>
      <c r="E10" s="277">
        <v>29.7</v>
      </c>
      <c r="F10" s="277">
        <v>0</v>
      </c>
      <c r="G10" s="305">
        <v>1961.55</v>
      </c>
      <c r="H10" s="305">
        <v>10</v>
      </c>
      <c r="I10" s="277">
        <v>0</v>
      </c>
      <c r="J10" s="305">
        <v>57.5</v>
      </c>
      <c r="K10" s="277">
        <v>40</v>
      </c>
      <c r="L10" s="305">
        <v>124.07</v>
      </c>
      <c r="M10" s="305">
        <v>1024</v>
      </c>
      <c r="N10" s="305">
        <v>34.5</v>
      </c>
      <c r="O10" s="69"/>
      <c r="P10" s="489">
        <f t="shared" si="5"/>
        <v>2001.25</v>
      </c>
      <c r="Q10" s="489">
        <f t="shared" si="0"/>
        <v>3271.32</v>
      </c>
      <c r="R10" s="597"/>
      <c r="S10" s="489" t="e">
        <f t="shared" si="6"/>
        <v>#REF!</v>
      </c>
      <c r="T10" s="489" t="e">
        <f t="shared" si="7"/>
        <v>#REF!</v>
      </c>
      <c r="U10" s="597"/>
      <c r="V10" s="489" t="e">
        <f>MAX(V$5:V$6)+IF($B$2="mil",1,0.0254)*DDR2Specs!$B$3</f>
        <v>#REF!</v>
      </c>
      <c r="W10" s="489" t="e">
        <f>MIN(V$5:V$6)+IF($B$2="mil",1,0.0254)*DDR2Specs!$C$3</f>
        <v>#REF!</v>
      </c>
      <c r="X10" s="21"/>
      <c r="Y10" s="598" t="e">
        <f t="shared" si="8"/>
        <v>#REF!</v>
      </c>
      <c r="Z10" s="495" t="e">
        <f t="shared" si="9"/>
        <v>#REF!</v>
      </c>
      <c r="AA10" s="21"/>
      <c r="AB10" s="489" t="e">
        <f>MAX(AB$5:AB$6)+IF($B$2="mil",1,0.0254)*DDR2Specs!$E$3</f>
        <v>#REF!</v>
      </c>
      <c r="AC10" s="489" t="e">
        <f>MIN(AB$5:AB$6)+IF($B$2="mil",1,0.0254)*DDR2Specs!$F$3</f>
        <v>#REF!</v>
      </c>
      <c r="AD10" s="21"/>
      <c r="AE10" s="598" t="e">
        <f t="shared" si="1"/>
        <v>#REF!</v>
      </c>
      <c r="AF10" s="495" t="e">
        <f t="shared" si="2"/>
        <v>#REF!</v>
      </c>
      <c r="AG10" s="495" t="e">
        <f t="shared" si="10"/>
        <v>#REF!</v>
      </c>
      <c r="AH10" s="495" t="e">
        <f t="shared" si="11"/>
        <v>#REF!</v>
      </c>
      <c r="AI10" s="495" t="e">
        <f t="shared" si="3"/>
        <v>#REF!</v>
      </c>
      <c r="AJ10" s="495" t="e">
        <f t="shared" ca="1" si="12"/>
        <v>#NAME?</v>
      </c>
      <c r="AK10" s="495" t="e">
        <f t="shared" si="13"/>
        <v>#REF!</v>
      </c>
      <c r="AL10" s="495" t="e">
        <f t="shared" si="14"/>
        <v>#REF!</v>
      </c>
      <c r="AM10" s="495" t="e">
        <f t="shared" ca="1" si="15"/>
        <v>#NAME?</v>
      </c>
      <c r="AN10" s="495" t="e">
        <f t="shared" ca="1" si="16"/>
        <v>#NAME?</v>
      </c>
      <c r="AO10" s="495" t="e">
        <f t="shared" si="17"/>
        <v>#REF!</v>
      </c>
      <c r="AP10" s="495" t="e">
        <f t="shared" si="18"/>
        <v>#REF!</v>
      </c>
      <c r="AQ10" s="495" t="e">
        <f t="shared" si="19"/>
        <v>#REF!</v>
      </c>
      <c r="AR10" s="495" t="e">
        <f t="shared" si="20"/>
        <v>#REF!</v>
      </c>
      <c r="AS10" s="21"/>
      <c r="AT10" s="554" t="e">
        <f t="shared" ca="1" si="4"/>
        <v>#REF!</v>
      </c>
      <c r="AU10" s="554"/>
      <c r="AV10" s="554"/>
      <c r="AW10" s="3"/>
      <c r="AX10" s="3"/>
      <c r="AY10" s="3"/>
      <c r="AZ10" s="3"/>
      <c r="BA10" s="3"/>
      <c r="BB10" s="3"/>
      <c r="BC10" s="3"/>
      <c r="BD10" s="3"/>
      <c r="BE10" s="3"/>
      <c r="BF10" s="3"/>
      <c r="BG10" s="3"/>
      <c r="BH10" s="3"/>
      <c r="BI10" s="3"/>
      <c r="BJ10" s="3"/>
    </row>
    <row r="11" spans="1:62">
      <c r="A11" s="107" t="s">
        <v>125</v>
      </c>
      <c r="B11" s="480" t="s">
        <v>512</v>
      </c>
      <c r="C11" s="658">
        <v>371.81102362204729</v>
      </c>
      <c r="D11" s="18"/>
      <c r="E11" s="277">
        <v>29.7</v>
      </c>
      <c r="F11" s="277">
        <v>0</v>
      </c>
      <c r="G11" s="305">
        <v>1990</v>
      </c>
      <c r="H11" s="305">
        <v>10</v>
      </c>
      <c r="I11" s="277">
        <v>0</v>
      </c>
      <c r="J11" s="305">
        <v>47.5</v>
      </c>
      <c r="K11" s="277">
        <v>40</v>
      </c>
      <c r="L11" s="305">
        <v>52.5</v>
      </c>
      <c r="M11" s="305">
        <v>1060</v>
      </c>
      <c r="N11" s="305">
        <v>76.09</v>
      </c>
      <c r="O11" s="69"/>
      <c r="P11" s="489">
        <f t="shared" si="5"/>
        <v>2029.7</v>
      </c>
      <c r="Q11" s="489">
        <f t="shared" si="0"/>
        <v>3295.79</v>
      </c>
      <c r="R11" s="597"/>
      <c r="S11" s="489" t="e">
        <f t="shared" si="6"/>
        <v>#REF!</v>
      </c>
      <c r="T11" s="489" t="e">
        <f t="shared" si="7"/>
        <v>#REF!</v>
      </c>
      <c r="U11" s="597"/>
      <c r="V11" s="489" t="e">
        <f>MAX(V$5:V$6)+IF($B$2="mil",1,0.0254)*DDR2Specs!$B$3</f>
        <v>#REF!</v>
      </c>
      <c r="W11" s="489" t="e">
        <f>MIN(V$5:V$6)+IF($B$2="mil",1,0.0254)*DDR2Specs!$C$3</f>
        <v>#REF!</v>
      </c>
      <c r="X11" s="21"/>
      <c r="Y11" s="598" t="e">
        <f t="shared" si="8"/>
        <v>#REF!</v>
      </c>
      <c r="Z11" s="495" t="e">
        <f t="shared" si="9"/>
        <v>#REF!</v>
      </c>
      <c r="AA11" s="21"/>
      <c r="AB11" s="489" t="e">
        <f>MAX(AB$5:AB$6)+IF($B$2="mil",1,0.0254)*DDR2Specs!$E$3</f>
        <v>#REF!</v>
      </c>
      <c r="AC11" s="489" t="e">
        <f>MIN(AB$5:AB$6)+IF($B$2="mil",1,0.0254)*DDR2Specs!$F$3</f>
        <v>#REF!</v>
      </c>
      <c r="AD11" s="21"/>
      <c r="AE11" s="598" t="e">
        <f t="shared" si="1"/>
        <v>#REF!</v>
      </c>
      <c r="AF11" s="495" t="e">
        <f t="shared" si="2"/>
        <v>#REF!</v>
      </c>
      <c r="AG11" s="495" t="e">
        <f t="shared" si="10"/>
        <v>#REF!</v>
      </c>
      <c r="AH11" s="495" t="e">
        <f t="shared" si="11"/>
        <v>#REF!</v>
      </c>
      <c r="AI11" s="495" t="e">
        <f t="shared" si="3"/>
        <v>#REF!</v>
      </c>
      <c r="AJ11" s="495" t="e">
        <f t="shared" ca="1" si="12"/>
        <v>#NAME?</v>
      </c>
      <c r="AK11" s="495" t="e">
        <f t="shared" si="13"/>
        <v>#REF!</v>
      </c>
      <c r="AL11" s="495" t="e">
        <f t="shared" si="14"/>
        <v>#REF!</v>
      </c>
      <c r="AM11" s="495" t="e">
        <f t="shared" ca="1" si="15"/>
        <v>#NAME?</v>
      </c>
      <c r="AN11" s="495" t="e">
        <f t="shared" ca="1" si="16"/>
        <v>#NAME?</v>
      </c>
      <c r="AO11" s="495" t="e">
        <f t="shared" si="17"/>
        <v>#REF!</v>
      </c>
      <c r="AP11" s="495" t="e">
        <f t="shared" si="18"/>
        <v>#REF!</v>
      </c>
      <c r="AQ11" s="495" t="e">
        <f t="shared" si="19"/>
        <v>#REF!</v>
      </c>
      <c r="AR11" s="495" t="e">
        <f t="shared" si="20"/>
        <v>#REF!</v>
      </c>
      <c r="AS11" s="21"/>
      <c r="AT11" s="554" t="e">
        <f t="shared" ca="1" si="4"/>
        <v>#REF!</v>
      </c>
      <c r="AU11" s="554"/>
      <c r="AV11" s="554"/>
      <c r="AW11" s="3"/>
      <c r="AX11" s="3"/>
      <c r="AY11" s="3"/>
      <c r="AZ11" s="3"/>
      <c r="BA11" s="3"/>
      <c r="BB11" s="3"/>
      <c r="BC11" s="3"/>
      <c r="BD11" s="3"/>
      <c r="BE11" s="3"/>
      <c r="BF11" s="3"/>
      <c r="BG11" s="3"/>
      <c r="BH11" s="3"/>
      <c r="BI11" s="3"/>
      <c r="BJ11" s="3"/>
    </row>
    <row r="12" spans="1:62">
      <c r="A12" s="107" t="s">
        <v>126</v>
      </c>
      <c r="B12" s="480" t="s">
        <v>510</v>
      </c>
      <c r="C12" s="658">
        <v>392.75590551181108</v>
      </c>
      <c r="D12" s="18"/>
      <c r="E12" s="277">
        <v>29.7</v>
      </c>
      <c r="F12" s="277">
        <v>0</v>
      </c>
      <c r="G12" s="305">
        <v>1970</v>
      </c>
      <c r="H12" s="305">
        <v>10</v>
      </c>
      <c r="I12" s="277">
        <v>0</v>
      </c>
      <c r="J12" s="305">
        <v>51.64</v>
      </c>
      <c r="K12" s="277">
        <v>40</v>
      </c>
      <c r="L12" s="305">
        <v>46.64</v>
      </c>
      <c r="M12" s="305">
        <v>1056</v>
      </c>
      <c r="N12" s="305">
        <v>86.37</v>
      </c>
      <c r="O12" s="69"/>
      <c r="P12" s="489">
        <f t="shared" si="5"/>
        <v>2009.7</v>
      </c>
      <c r="Q12" s="489">
        <f t="shared" si="0"/>
        <v>3280.35</v>
      </c>
      <c r="R12" s="597"/>
      <c r="S12" s="489" t="e">
        <f t="shared" si="6"/>
        <v>#REF!</v>
      </c>
      <c r="T12" s="489" t="e">
        <f t="shared" si="7"/>
        <v>#REF!</v>
      </c>
      <c r="U12" s="597"/>
      <c r="V12" s="489" t="e">
        <f>MAX(V$5:V$6)+IF($B$2="mil",1,0.0254)*DDR2Specs!$B$3</f>
        <v>#REF!</v>
      </c>
      <c r="W12" s="489" t="e">
        <f>MIN(V$5:V$6)+IF($B$2="mil",1,0.0254)*DDR2Specs!$C$3</f>
        <v>#REF!</v>
      </c>
      <c r="X12" s="21"/>
      <c r="Y12" s="598" t="e">
        <f t="shared" si="8"/>
        <v>#REF!</v>
      </c>
      <c r="Z12" s="495" t="e">
        <f t="shared" si="9"/>
        <v>#REF!</v>
      </c>
      <c r="AA12" s="21"/>
      <c r="AB12" s="489" t="e">
        <f>MAX(AB$5:AB$6)+IF($B$2="mil",1,0.0254)*DDR2Specs!$E$3</f>
        <v>#REF!</v>
      </c>
      <c r="AC12" s="489" t="e">
        <f>MIN(AB$5:AB$6)+IF($B$2="mil",1,0.0254)*DDR2Specs!$F$3</f>
        <v>#REF!</v>
      </c>
      <c r="AD12" s="21"/>
      <c r="AE12" s="598" t="e">
        <f t="shared" si="1"/>
        <v>#REF!</v>
      </c>
      <c r="AF12" s="495" t="e">
        <f t="shared" si="2"/>
        <v>#REF!</v>
      </c>
      <c r="AG12" s="495" t="e">
        <f t="shared" si="10"/>
        <v>#REF!</v>
      </c>
      <c r="AH12" s="495" t="e">
        <f t="shared" si="11"/>
        <v>#REF!</v>
      </c>
      <c r="AI12" s="495" t="e">
        <f t="shared" si="3"/>
        <v>#REF!</v>
      </c>
      <c r="AJ12" s="495" t="e">
        <f t="shared" ca="1" si="12"/>
        <v>#NAME?</v>
      </c>
      <c r="AK12" s="495" t="e">
        <f t="shared" si="13"/>
        <v>#REF!</v>
      </c>
      <c r="AL12" s="495" t="e">
        <f t="shared" si="14"/>
        <v>#REF!</v>
      </c>
      <c r="AM12" s="495" t="e">
        <f t="shared" ca="1" si="15"/>
        <v>#NAME?</v>
      </c>
      <c r="AN12" s="495" t="e">
        <f t="shared" ca="1" si="16"/>
        <v>#NAME?</v>
      </c>
      <c r="AO12" s="495" t="e">
        <f t="shared" si="17"/>
        <v>#REF!</v>
      </c>
      <c r="AP12" s="495" t="e">
        <f t="shared" si="18"/>
        <v>#REF!</v>
      </c>
      <c r="AQ12" s="495" t="e">
        <f t="shared" si="19"/>
        <v>#REF!</v>
      </c>
      <c r="AR12" s="495" t="e">
        <f t="shared" si="20"/>
        <v>#REF!</v>
      </c>
      <c r="AS12" s="21"/>
      <c r="AT12" s="554" t="e">
        <f t="shared" ca="1" si="4"/>
        <v>#REF!</v>
      </c>
      <c r="AU12" s="554"/>
      <c r="AV12" s="554"/>
      <c r="AW12" s="3"/>
      <c r="AX12" s="3"/>
      <c r="AY12" s="3"/>
      <c r="AZ12" s="3"/>
      <c r="BA12" s="3"/>
      <c r="BB12" s="3"/>
      <c r="BC12" s="3"/>
      <c r="BD12" s="3"/>
      <c r="BE12" s="3"/>
      <c r="BF12" s="3"/>
      <c r="BG12" s="3"/>
      <c r="BH12" s="3"/>
      <c r="BI12" s="3"/>
      <c r="BJ12" s="3"/>
    </row>
    <row r="13" spans="1:62">
      <c r="A13" s="107" t="s">
        <v>127</v>
      </c>
      <c r="B13" s="480" t="s">
        <v>343</v>
      </c>
      <c r="C13" s="658">
        <v>348.07086614173227</v>
      </c>
      <c r="D13" s="18"/>
      <c r="E13" s="277">
        <v>29.7</v>
      </c>
      <c r="F13" s="277">
        <v>0</v>
      </c>
      <c r="G13" s="305">
        <v>2015</v>
      </c>
      <c r="H13" s="305">
        <v>10</v>
      </c>
      <c r="I13" s="277">
        <v>0</v>
      </c>
      <c r="J13" s="305">
        <v>84.78</v>
      </c>
      <c r="K13" s="277">
        <v>40</v>
      </c>
      <c r="L13" s="305">
        <v>102</v>
      </c>
      <c r="M13" s="305">
        <v>990</v>
      </c>
      <c r="N13" s="305">
        <v>76.09</v>
      </c>
      <c r="O13" s="69"/>
      <c r="P13" s="489">
        <f t="shared" si="5"/>
        <v>2054.6999999999998</v>
      </c>
      <c r="Q13" s="489">
        <f t="shared" si="0"/>
        <v>3337.57</v>
      </c>
      <c r="R13" s="597"/>
      <c r="S13" s="489" t="e">
        <f t="shared" si="6"/>
        <v>#REF!</v>
      </c>
      <c r="T13" s="489" t="e">
        <f t="shared" si="7"/>
        <v>#REF!</v>
      </c>
      <c r="U13" s="597"/>
      <c r="V13" s="489" t="e">
        <f>MAX(V$5:V$6)+IF($B$2="mil",1,0.0254)*DDR2Specs!$B$3</f>
        <v>#REF!</v>
      </c>
      <c r="W13" s="489" t="e">
        <f>MIN(V$5:V$6)+IF($B$2="mil",1,0.0254)*DDR2Specs!$C$3</f>
        <v>#REF!</v>
      </c>
      <c r="X13" s="21"/>
      <c r="Y13" s="598" t="e">
        <f t="shared" si="8"/>
        <v>#REF!</v>
      </c>
      <c r="Z13" s="495" t="e">
        <f t="shared" si="9"/>
        <v>#REF!</v>
      </c>
      <c r="AA13" s="21"/>
      <c r="AB13" s="489" t="e">
        <f>MAX(AB$5:AB$6)+IF($B$2="mil",1,0.0254)*DDR2Specs!$E$3</f>
        <v>#REF!</v>
      </c>
      <c r="AC13" s="489" t="e">
        <f>MIN(AB$5:AB$6)+IF($B$2="mil",1,0.0254)*DDR2Specs!$F$3</f>
        <v>#REF!</v>
      </c>
      <c r="AD13" s="21"/>
      <c r="AE13" s="598" t="e">
        <f t="shared" si="1"/>
        <v>#REF!</v>
      </c>
      <c r="AF13" s="495" t="e">
        <f t="shared" si="2"/>
        <v>#REF!</v>
      </c>
      <c r="AG13" s="495" t="e">
        <f t="shared" si="10"/>
        <v>#REF!</v>
      </c>
      <c r="AH13" s="495" t="e">
        <f t="shared" si="11"/>
        <v>#REF!</v>
      </c>
      <c r="AI13" s="495" t="e">
        <f t="shared" si="3"/>
        <v>#REF!</v>
      </c>
      <c r="AJ13" s="495" t="e">
        <f t="shared" ca="1" si="12"/>
        <v>#NAME?</v>
      </c>
      <c r="AK13" s="495" t="e">
        <f t="shared" si="13"/>
        <v>#REF!</v>
      </c>
      <c r="AL13" s="495" t="e">
        <f t="shared" si="14"/>
        <v>#REF!</v>
      </c>
      <c r="AM13" s="495" t="e">
        <f t="shared" ca="1" si="15"/>
        <v>#NAME?</v>
      </c>
      <c r="AN13" s="495" t="e">
        <f t="shared" ca="1" si="16"/>
        <v>#NAME?</v>
      </c>
      <c r="AO13" s="495" t="e">
        <f t="shared" si="17"/>
        <v>#REF!</v>
      </c>
      <c r="AP13" s="495" t="e">
        <f t="shared" si="18"/>
        <v>#REF!</v>
      </c>
      <c r="AQ13" s="495" t="e">
        <f t="shared" si="19"/>
        <v>#REF!</v>
      </c>
      <c r="AR13" s="495" t="e">
        <f t="shared" si="20"/>
        <v>#REF!</v>
      </c>
      <c r="AS13" s="21"/>
      <c r="AT13" s="554" t="e">
        <f t="shared" ca="1" si="4"/>
        <v>#REF!</v>
      </c>
      <c r="AU13" s="554"/>
      <c r="AV13" s="554"/>
      <c r="AW13" s="3"/>
      <c r="AX13" s="3"/>
      <c r="AY13" s="3"/>
      <c r="AZ13" s="3"/>
      <c r="BA13" s="3"/>
      <c r="BB13" s="3"/>
      <c r="BC13" s="3"/>
      <c r="BD13" s="3"/>
      <c r="BE13" s="3"/>
      <c r="BF13" s="3"/>
      <c r="BG13" s="3"/>
      <c r="BH13" s="3"/>
      <c r="BI13" s="3"/>
      <c r="BJ13" s="3"/>
    </row>
    <row r="14" spans="1:62">
      <c r="A14" s="107" t="s">
        <v>128</v>
      </c>
      <c r="B14" s="480" t="s">
        <v>509</v>
      </c>
      <c r="C14" s="658">
        <v>531.10236220472439</v>
      </c>
      <c r="D14" s="18"/>
      <c r="E14" s="277">
        <v>29.7</v>
      </c>
      <c r="F14" s="277">
        <v>0</v>
      </c>
      <c r="G14" s="305">
        <v>1833</v>
      </c>
      <c r="H14" s="305">
        <v>10</v>
      </c>
      <c r="I14" s="277">
        <v>0</v>
      </c>
      <c r="J14" s="305">
        <v>49.81</v>
      </c>
      <c r="K14" s="277">
        <v>40</v>
      </c>
      <c r="L14" s="305">
        <v>52.5</v>
      </c>
      <c r="M14" s="305">
        <v>1056</v>
      </c>
      <c r="N14" s="305">
        <v>76.06</v>
      </c>
      <c r="O14" s="69"/>
      <c r="P14" s="489">
        <f t="shared" si="5"/>
        <v>1872.7</v>
      </c>
      <c r="Q14" s="489">
        <f t="shared" si="0"/>
        <v>3137.07</v>
      </c>
      <c r="R14" s="597"/>
      <c r="S14" s="489" t="e">
        <f t="shared" si="6"/>
        <v>#REF!</v>
      </c>
      <c r="T14" s="489" t="e">
        <f t="shared" si="7"/>
        <v>#REF!</v>
      </c>
      <c r="U14" s="597"/>
      <c r="V14" s="489" t="e">
        <f>MAX(V$5:V$6)+IF($B$2="mil",1,0.0254)*DDR2Specs!$B$3</f>
        <v>#REF!</v>
      </c>
      <c r="W14" s="489" t="e">
        <f>MIN(V$5:V$6)+IF($B$2="mil",1,0.0254)*DDR2Specs!$C$3</f>
        <v>#REF!</v>
      </c>
      <c r="X14" s="21"/>
      <c r="Y14" s="598" t="e">
        <f t="shared" si="8"/>
        <v>#REF!</v>
      </c>
      <c r="Z14" s="495" t="e">
        <f t="shared" si="9"/>
        <v>#REF!</v>
      </c>
      <c r="AA14" s="21"/>
      <c r="AB14" s="489" t="e">
        <f>MAX(AB$5:AB$6)+IF($B$2="mil",1,0.0254)*DDR2Specs!$E$3</f>
        <v>#REF!</v>
      </c>
      <c r="AC14" s="489" t="e">
        <f>MIN(AB$5:AB$6)+IF($B$2="mil",1,0.0254)*DDR2Specs!$F$3</f>
        <v>#REF!</v>
      </c>
      <c r="AD14" s="21"/>
      <c r="AE14" s="598" t="e">
        <f t="shared" si="1"/>
        <v>#REF!</v>
      </c>
      <c r="AF14" s="495" t="e">
        <f t="shared" si="2"/>
        <v>#REF!</v>
      </c>
      <c r="AG14" s="495" t="e">
        <f t="shared" si="10"/>
        <v>#REF!</v>
      </c>
      <c r="AH14" s="495" t="e">
        <f t="shared" si="11"/>
        <v>#REF!</v>
      </c>
      <c r="AI14" s="495" t="e">
        <f t="shared" si="3"/>
        <v>#REF!</v>
      </c>
      <c r="AJ14" s="495" t="e">
        <f t="shared" ca="1" si="12"/>
        <v>#NAME?</v>
      </c>
      <c r="AK14" s="495" t="e">
        <f t="shared" si="13"/>
        <v>#REF!</v>
      </c>
      <c r="AL14" s="495" t="e">
        <f t="shared" si="14"/>
        <v>#REF!</v>
      </c>
      <c r="AM14" s="495" t="e">
        <f t="shared" ca="1" si="15"/>
        <v>#NAME?</v>
      </c>
      <c r="AN14" s="495" t="e">
        <f t="shared" ca="1" si="16"/>
        <v>#NAME?</v>
      </c>
      <c r="AO14" s="495" t="e">
        <f t="shared" si="17"/>
        <v>#REF!</v>
      </c>
      <c r="AP14" s="495" t="e">
        <f t="shared" si="18"/>
        <v>#REF!</v>
      </c>
      <c r="AQ14" s="495" t="e">
        <f t="shared" si="19"/>
        <v>#REF!</v>
      </c>
      <c r="AR14" s="495" t="e">
        <f t="shared" si="20"/>
        <v>#REF!</v>
      </c>
      <c r="AS14" s="21"/>
      <c r="AT14" s="554" t="e">
        <f t="shared" ca="1" si="4"/>
        <v>#REF!</v>
      </c>
      <c r="AU14" s="554"/>
      <c r="AV14" s="554"/>
      <c r="AW14" s="3"/>
      <c r="AX14" s="3"/>
      <c r="AY14" s="3"/>
      <c r="AZ14" s="3"/>
      <c r="BA14" s="3"/>
      <c r="BB14" s="3"/>
      <c r="BC14" s="3"/>
      <c r="BD14" s="3"/>
      <c r="BE14" s="3"/>
      <c r="BF14" s="3"/>
      <c r="BG14" s="3"/>
      <c r="BH14" s="3"/>
      <c r="BI14" s="3"/>
      <c r="BJ14" s="3"/>
    </row>
    <row r="15" spans="1:62">
      <c r="A15" s="128" t="s">
        <v>129</v>
      </c>
      <c r="B15" s="484" t="s">
        <v>516</v>
      </c>
      <c r="C15" s="658">
        <v>364.88188976377955</v>
      </c>
      <c r="D15" s="18"/>
      <c r="E15" s="277">
        <v>29.7</v>
      </c>
      <c r="F15" s="277">
        <v>0</v>
      </c>
      <c r="G15" s="305">
        <v>2000</v>
      </c>
      <c r="H15" s="305">
        <v>10</v>
      </c>
      <c r="I15" s="277">
        <v>0</v>
      </c>
      <c r="J15" s="305">
        <v>55.78</v>
      </c>
      <c r="K15" s="277">
        <v>40</v>
      </c>
      <c r="L15" s="305">
        <v>54.57</v>
      </c>
      <c r="M15" s="305">
        <v>1092</v>
      </c>
      <c r="N15" s="305">
        <v>31.49</v>
      </c>
      <c r="O15" s="69"/>
      <c r="P15" s="489">
        <f t="shared" si="5"/>
        <v>2039.7</v>
      </c>
      <c r="Q15" s="489">
        <f>SUM(E15:G15,I15:N15)</f>
        <v>3303.54</v>
      </c>
      <c r="R15" s="597"/>
      <c r="S15" s="489" t="e">
        <f t="shared" si="6"/>
        <v>#REF!</v>
      </c>
      <c r="T15" s="489" t="e">
        <f t="shared" si="7"/>
        <v>#REF!</v>
      </c>
      <c r="U15" s="597"/>
      <c r="V15" s="489" t="e">
        <f>MAX(V$5:V$6)+IF($B$2="mil",1,0.0254)*DDR2Specs!$B$3</f>
        <v>#REF!</v>
      </c>
      <c r="W15" s="489" t="e">
        <f>MIN(V$5:V$6)+IF($B$2="mil",1,0.0254)*DDR2Specs!$C$3</f>
        <v>#REF!</v>
      </c>
      <c r="X15" s="21"/>
      <c r="Y15" s="598" t="e">
        <f t="shared" si="8"/>
        <v>#REF!</v>
      </c>
      <c r="Z15" s="495" t="e">
        <f t="shared" si="9"/>
        <v>#REF!</v>
      </c>
      <c r="AA15" s="21"/>
      <c r="AB15" s="489" t="e">
        <f>MAX(AB$5:AB$6)+IF($B$2="mil",1,0.0254)*DDR2Specs!$E$3</f>
        <v>#REF!</v>
      </c>
      <c r="AC15" s="489" t="e">
        <f>MIN(AB$5:AB$6)+IF($B$2="mil",1,0.0254)*DDR2Specs!$F$3</f>
        <v>#REF!</v>
      </c>
      <c r="AD15" s="21"/>
      <c r="AE15" s="598" t="e">
        <f t="shared" si="1"/>
        <v>#REF!</v>
      </c>
      <c r="AF15" s="495" t="e">
        <f t="shared" si="2"/>
        <v>#REF!</v>
      </c>
      <c r="AG15" s="495" t="e">
        <f t="shared" si="10"/>
        <v>#REF!</v>
      </c>
      <c r="AH15" s="495" t="e">
        <f t="shared" si="11"/>
        <v>#REF!</v>
      </c>
      <c r="AI15" s="495" t="e">
        <f t="shared" si="3"/>
        <v>#REF!</v>
      </c>
      <c r="AJ15" s="495" t="e">
        <f t="shared" ca="1" si="12"/>
        <v>#NAME?</v>
      </c>
      <c r="AK15" s="495" t="e">
        <f t="shared" si="13"/>
        <v>#REF!</v>
      </c>
      <c r="AL15" s="495" t="e">
        <f>IF($L15&lt;=IF($B$2="mil",1,0.0254)*125,"Pass",IF($B$2="mil",1,0.0254)*125-$L15)</f>
        <v>#REF!</v>
      </c>
      <c r="AM15" s="495" t="e">
        <f t="shared" ca="1" si="15"/>
        <v>#NAME?</v>
      </c>
      <c r="AN15" s="495" t="e">
        <f t="shared" ca="1" si="16"/>
        <v>#NAME?</v>
      </c>
      <c r="AO15" s="495" t="e">
        <f t="shared" si="17"/>
        <v>#REF!</v>
      </c>
      <c r="AP15" s="495" t="e">
        <f t="shared" si="18"/>
        <v>#REF!</v>
      </c>
      <c r="AQ15" s="495" t="e">
        <f t="shared" si="19"/>
        <v>#REF!</v>
      </c>
      <c r="AR15" s="495" t="e">
        <f t="shared" si="20"/>
        <v>#REF!</v>
      </c>
      <c r="AS15" s="21"/>
      <c r="AT15" s="554" t="e">
        <f t="shared" ca="1" si="4"/>
        <v>#REF!</v>
      </c>
      <c r="AU15" s="554"/>
      <c r="AV15" s="554"/>
      <c r="AW15" s="3"/>
      <c r="AX15" s="3"/>
      <c r="AY15" s="3"/>
      <c r="AZ15" s="3"/>
      <c r="BA15" s="3"/>
      <c r="BB15" s="3"/>
      <c r="BC15" s="3"/>
      <c r="BD15" s="3"/>
      <c r="BE15" s="3"/>
      <c r="BF15" s="3"/>
      <c r="BG15" s="3"/>
      <c r="BH15" s="3"/>
      <c r="BI15" s="3"/>
      <c r="BJ15" s="3"/>
    </row>
    <row r="16" spans="1:62">
      <c r="A16" s="109" t="s">
        <v>198</v>
      </c>
      <c r="B16" s="485"/>
      <c r="C16" s="659"/>
      <c r="D16" s="62"/>
      <c r="E16" s="82" t="s">
        <v>21</v>
      </c>
      <c r="F16" s="82"/>
      <c r="G16" s="295"/>
      <c r="H16" s="295"/>
      <c r="I16" s="295"/>
      <c r="J16" s="295"/>
      <c r="K16" s="295"/>
      <c r="L16" s="295"/>
      <c r="M16" s="295"/>
      <c r="N16" s="295"/>
      <c r="O16" s="10"/>
      <c r="P16" s="82"/>
      <c r="Q16" s="82"/>
      <c r="R16" s="82"/>
      <c r="S16" s="605"/>
      <c r="T16" s="605"/>
      <c r="U16" s="605"/>
      <c r="V16" s="605"/>
      <c r="W16" s="606"/>
      <c r="X16" s="606"/>
      <c r="Y16" s="607"/>
      <c r="Z16" s="17"/>
      <c r="AA16" s="606"/>
      <c r="AB16" s="605"/>
      <c r="AC16" s="606"/>
      <c r="AD16" s="606"/>
      <c r="AE16" s="607"/>
      <c r="AF16" s="17"/>
      <c r="AG16" s="17"/>
      <c r="AH16" s="17"/>
      <c r="AI16" s="16"/>
      <c r="AJ16" s="16"/>
      <c r="AK16" s="16"/>
      <c r="AL16" s="16"/>
      <c r="AM16" s="16"/>
      <c r="AN16" s="16"/>
      <c r="AO16" s="16"/>
      <c r="AP16" s="16"/>
      <c r="AQ16" s="16"/>
      <c r="AR16" s="16"/>
      <c r="AS16" s="83"/>
      <c r="AT16" s="554"/>
      <c r="AU16" s="554"/>
      <c r="AV16" s="554"/>
      <c r="AW16" s="3"/>
      <c r="AX16" s="3"/>
      <c r="AY16" s="3"/>
      <c r="AZ16" s="3"/>
      <c r="BA16" s="3"/>
      <c r="BB16" s="3"/>
      <c r="BC16" s="3"/>
      <c r="BD16" s="3"/>
      <c r="BE16" s="3"/>
      <c r="BF16" s="3"/>
      <c r="BG16" s="3"/>
      <c r="BH16" s="3"/>
      <c r="BI16" s="3"/>
      <c r="BJ16" s="3"/>
    </row>
    <row r="17" spans="1:62">
      <c r="A17" s="118" t="str">
        <f>'DDR2 Strobes - 1x16'!$A$9</f>
        <v>SA_DQS1</v>
      </c>
      <c r="B17" s="130" t="str">
        <f>'DDR2 Strobes - 1x16'!$B$9</f>
        <v>Y24</v>
      </c>
      <c r="C17" s="660"/>
      <c r="D17" s="53"/>
      <c r="E17" s="81"/>
      <c r="F17" s="81"/>
      <c r="G17" s="296"/>
      <c r="H17" s="296"/>
      <c r="I17" s="296"/>
      <c r="J17" s="296"/>
      <c r="K17" s="296"/>
      <c r="L17" s="296"/>
      <c r="M17" s="296"/>
      <c r="N17" s="296"/>
      <c r="O17" s="81"/>
      <c r="P17" s="81"/>
      <c r="Q17" s="81"/>
      <c r="R17" s="81"/>
      <c r="S17" s="58"/>
      <c r="T17" s="58"/>
      <c r="U17" s="58"/>
      <c r="V17" s="58" t="e">
        <f>'DDR2 Strobes - 1x16'!$S$9</f>
        <v>#REF!</v>
      </c>
      <c r="W17" s="58"/>
      <c r="X17" s="58"/>
      <c r="Y17" s="58"/>
      <c r="Z17" s="608"/>
      <c r="AA17" s="58"/>
      <c r="AB17" s="58" t="e">
        <f>'DDR2 Strobes - 1x16'!$T$9</f>
        <v>#REF!</v>
      </c>
      <c r="AC17" s="58"/>
      <c r="AD17" s="58"/>
      <c r="AE17" s="58"/>
      <c r="AF17" s="608"/>
      <c r="AG17" s="608"/>
      <c r="AH17" s="608"/>
      <c r="AI17" s="608"/>
      <c r="AJ17" s="608"/>
      <c r="AK17" s="608"/>
      <c r="AL17" s="608"/>
      <c r="AM17" s="608"/>
      <c r="AN17" s="608"/>
      <c r="AO17" s="608"/>
      <c r="AP17" s="608"/>
      <c r="AQ17" s="608"/>
      <c r="AR17" s="608"/>
      <c r="AS17" s="58"/>
      <c r="AT17" s="554"/>
      <c r="AU17" s="554"/>
      <c r="AV17" s="554"/>
      <c r="AW17" s="3"/>
      <c r="AX17" s="3"/>
      <c r="AY17" s="3"/>
      <c r="AZ17" s="3"/>
      <c r="BA17" s="3"/>
      <c r="BB17" s="3"/>
      <c r="BC17" s="3"/>
      <c r="BD17" s="3"/>
      <c r="BE17" s="3"/>
      <c r="BF17" s="3"/>
      <c r="BG17" s="3"/>
      <c r="BH17" s="3"/>
      <c r="BI17" s="3"/>
      <c r="BJ17" s="3"/>
    </row>
    <row r="18" spans="1:62">
      <c r="A18" s="118" t="str">
        <f>'DDR2 Strobes - 1x16'!$A$10</f>
        <v>SA_DQS1#</v>
      </c>
      <c r="B18" s="130" t="str">
        <f>'DDR2 Strobes - 1x16'!$B$10</f>
        <v>AA24</v>
      </c>
      <c r="C18" s="660"/>
      <c r="D18" s="53"/>
      <c r="E18" s="81"/>
      <c r="F18" s="81"/>
      <c r="G18" s="296"/>
      <c r="H18" s="296"/>
      <c r="I18" s="296"/>
      <c r="J18" s="296"/>
      <c r="K18" s="296"/>
      <c r="L18" s="296"/>
      <c r="M18" s="296"/>
      <c r="N18" s="296"/>
      <c r="O18" s="81"/>
      <c r="P18" s="81"/>
      <c r="Q18" s="602"/>
      <c r="R18" s="602"/>
      <c r="S18" s="603"/>
      <c r="T18" s="603"/>
      <c r="U18" s="58"/>
      <c r="V18" s="58" t="e">
        <f>'DDR2 Strobes - 1x16'!$S$10</f>
        <v>#REF!</v>
      </c>
      <c r="W18" s="58"/>
      <c r="X18" s="58"/>
      <c r="Y18" s="58"/>
      <c r="Z18" s="608"/>
      <c r="AA18" s="58"/>
      <c r="AB18" s="58" t="e">
        <f>'DDR2 Strobes - 1x16'!$T$10</f>
        <v>#REF!</v>
      </c>
      <c r="AC18" s="58"/>
      <c r="AD18" s="58"/>
      <c r="AE18" s="58"/>
      <c r="AF18" s="608"/>
      <c r="AG18" s="608"/>
      <c r="AH18" s="608"/>
      <c r="AI18" s="609"/>
      <c r="AJ18" s="609"/>
      <c r="AK18" s="609"/>
      <c r="AL18" s="609"/>
      <c r="AM18" s="609"/>
      <c r="AN18" s="609"/>
      <c r="AO18" s="609"/>
      <c r="AP18" s="609"/>
      <c r="AQ18" s="609"/>
      <c r="AR18" s="609"/>
      <c r="AS18" s="58"/>
      <c r="AT18" s="554"/>
      <c r="AU18" s="554"/>
      <c r="AV18" s="554"/>
      <c r="AW18" s="3"/>
      <c r="AX18" s="3"/>
      <c r="AY18" s="3"/>
      <c r="AZ18" s="3"/>
      <c r="BA18" s="3"/>
      <c r="BB18" s="3"/>
      <c r="BC18" s="3"/>
      <c r="BD18" s="3"/>
      <c r="BE18" s="3"/>
      <c r="BF18" s="3"/>
      <c r="BG18" s="3"/>
      <c r="BH18" s="3"/>
      <c r="BI18" s="3"/>
      <c r="BJ18" s="3"/>
    </row>
    <row r="19" spans="1:62">
      <c r="A19" s="107" t="s">
        <v>130</v>
      </c>
      <c r="B19" s="480" t="s">
        <v>507</v>
      </c>
      <c r="C19" s="658">
        <v>612.67716535433067</v>
      </c>
      <c r="D19" s="18"/>
      <c r="E19" s="277">
        <v>29.7</v>
      </c>
      <c r="F19" s="277">
        <v>0</v>
      </c>
      <c r="G19" s="438">
        <v>1812.89</v>
      </c>
      <c r="H19" s="305">
        <v>77.03</v>
      </c>
      <c r="I19" s="277">
        <v>0</v>
      </c>
      <c r="J19" s="305">
        <v>61.64</v>
      </c>
      <c r="K19" s="277">
        <v>40</v>
      </c>
      <c r="L19" s="305">
        <v>89.93</v>
      </c>
      <c r="M19" s="305">
        <v>1055</v>
      </c>
      <c r="N19" s="305">
        <v>79</v>
      </c>
      <c r="O19" s="69"/>
      <c r="P19" s="489">
        <f xml:space="preserve"> E19+F19+G19+H19</f>
        <v>1919.6200000000001</v>
      </c>
      <c r="Q19" s="489">
        <f t="shared" ref="Q19:Q26" si="21">SUM(E19:G19,I19:N19)</f>
        <v>3168.1600000000003</v>
      </c>
      <c r="R19" s="597"/>
      <c r="S19" s="489" t="e">
        <f>P19+IF($B$2="mil",1,0.0254)*C19</f>
        <v>#REF!</v>
      </c>
      <c r="T19" s="489" t="e">
        <f>Q19+IF($B$2="mil",1,0.0254)*C19</f>
        <v>#REF!</v>
      </c>
      <c r="U19" s="597"/>
      <c r="V19" s="489" t="e">
        <f>MAX(V$17:V$18)+IF($B$2="mil",1,0.0254)*DDR2Specs!$B$3</f>
        <v>#REF!</v>
      </c>
      <c r="W19" s="489" t="e">
        <f>MIN(V$17:V$18)+IF($B$2="mil",1,0.0254)*DDR2Specs!$C$3</f>
        <v>#REF!</v>
      </c>
      <c r="X19" s="21"/>
      <c r="Y19" s="598" t="e">
        <f>IF($S19&lt;$V19,$V19-$S19,"Pass")</f>
        <v>#REF!</v>
      </c>
      <c r="Z19" s="495" t="e">
        <f>IF($S19&gt;$W19,$S19-$W19,"Pass")</f>
        <v>#REF!</v>
      </c>
      <c r="AA19" s="21"/>
      <c r="AB19" s="489" t="e">
        <f>MAX(AB$17:AB$18)+IF($B$2="mil",1,0.0254)*DDR2Specs!$E$3</f>
        <v>#REF!</v>
      </c>
      <c r="AC19" s="489" t="e">
        <f>MIN(AB$17:AB$18)+IF($B$2="mil",1,0.0254)*DDR2Specs!$F$3</f>
        <v>#REF!</v>
      </c>
      <c r="AD19" s="21"/>
      <c r="AE19" s="598" t="e">
        <f t="shared" ref="AE19:AE27" si="22">IF($T19&lt;$AB19,$AB19-$T19,"Pass")</f>
        <v>#REF!</v>
      </c>
      <c r="AF19" s="495" t="e">
        <f t="shared" ref="AF19:AF27" si="23">IF($T19&gt;$AC19,$T19-$AC19,"Pass")</f>
        <v>#REF!</v>
      </c>
      <c r="AG19" s="495" t="e">
        <f t="shared" ref="AG19:AG27" si="24">IF($E19&lt;=IF($B$2="mil",1,0.0254)*50,"Pass",IF($B$2="mil",1,0.0254)*50-$E19)</f>
        <v>#REF!</v>
      </c>
      <c r="AH19" s="495" t="e">
        <f t="shared" ref="AH19:AH27" si="25">IF($F19&lt;=IF($B$2="mil",1,0.0254)*500,"Pass",IF($B$2="mil",1,0.0254)*500-$F19)</f>
        <v>#REF!</v>
      </c>
      <c r="AI19" s="495" t="e">
        <f t="shared" ref="AI19:AI27" si="26">IF($H19&lt;=IF($B$2="mil",1,0.0254)*250,"Pass",IF($B$2="mil",1,0.0254)*250-$H19)</f>
        <v>#REF!</v>
      </c>
      <c r="AJ19" s="495" t="e">
        <f t="shared" ref="AJ19:AJ27" ca="1" si="27">CheckLength(IF($B$2="mil",1,0.0254)*1125, IF($B$2="mil",1,0.0254)*125-J19, 0, I19,J19,0)</f>
        <v>#NAME?</v>
      </c>
      <c r="AK19" s="495" t="e">
        <f>IF($J19&lt;=IF($B$2="mil",1,0.0254)*125,"Pass",IF($B$2="mil",1,0.0254)*125-$J19)</f>
        <v>#REF!</v>
      </c>
      <c r="AL19" s="495" t="e">
        <f>IF($L19&lt;=IF($B$2="mil",1,0.0254)*125,"Pass",IF($B$2="mil",1,0.0254)*125-$L19)</f>
        <v>#REF!</v>
      </c>
      <c r="AM19" s="495" t="e">
        <f t="shared" ref="AM19:AM27" ca="1" si="28">CheckLength(IF($B$2="mil",1,0.0254)*1525, IF($B$2="mil",1,0.0254)*125-L19, IF($B$2="mil",1,0.0254)*150-N19, M19,L19,N19)</f>
        <v>#NAME?</v>
      </c>
      <c r="AN19" s="495" t="e">
        <f t="shared" ref="AN19:AN27" ca="1" si="29">CheckLength2(IF($B$2="mil",1,0.0254)*1400,M19,N19,0)</f>
        <v>#NAME?</v>
      </c>
      <c r="AO19" s="495" t="e">
        <f t="shared" ref="AO19:AO27" si="30">IF(AND($P19&gt;=IF($B$2="mil",1,0.0254)*500, $P19&lt;=IF($B$2="mil",1,0.0254)*4000),"Pass",IF($B$2="mil",1,0.0254)*4000-$P19)</f>
        <v>#REF!</v>
      </c>
      <c r="AP19" s="495" t="e">
        <f t="shared" ref="AP19:AP27" si="31">IF(AND($S19&gt;=IF($B$2="mil",1,0.0254)*500, $S19&lt;=IF($B$2="mil",1,0.0254)*4500),"Pass",IF($B$2="mil",1,0.0254)*4500-$S19)</f>
        <v>#REF!</v>
      </c>
      <c r="AQ19" s="495" t="e">
        <f t="shared" ref="AQ19:AQ27" si="32">IF(AND($Q19&gt;=IF($B$2="mil",1,0.0254)*500, $Q19&lt;=IF($B$2="mil",1,0.0254)*5500),"Pass",IF($B$2="mil",1,0.0254)*5500-$Q19)</f>
        <v>#REF!</v>
      </c>
      <c r="AR19" s="495" t="e">
        <f t="shared" ref="AR19:AR27" si="33">IF(AND($T19&gt;=IF($B$2="mil",1,0.0254)*500, $T19&lt;=IF($B$2="mil",1,0.0254)*6000),"Pass",IF($B$2="mil",1,0.0254)*6000-$T19)</f>
        <v>#REF!</v>
      </c>
      <c r="AS19" s="21"/>
      <c r="AT19" s="554" t="e">
        <f t="shared" ref="AT19:AT27" ca="1" si="34">IF(AND(AG19="Pass",AP19="Pass",AI19="Pass",AH19="Pass",AO19="Pass",Y19="Pass",Z19="Pass",AN19="Pass",AM19="Pass",AL19="Pass",AK19="Pass",AJ19="Pass",AE19="Pass",AF19="Pass",AQ19="Pass",AR19="Pass"),"Pass","Fail")</f>
        <v>#REF!</v>
      </c>
      <c r="AU19" s="554" t="e">
        <f ca="1">IF(AND(AT19="Pass",AT20="Pass",AT21="Pass",AT22="Pass",AT23="Pass",AT24="Pass",AT25="Pass",AT26="Pass",AT27="Pass"),"Pass","Fail")</f>
        <v>#REF!</v>
      </c>
      <c r="AV19" s="554"/>
      <c r="AW19" s="3"/>
      <c r="AX19" s="3"/>
      <c r="AY19" s="3"/>
      <c r="AZ19" s="3"/>
      <c r="BA19" s="3"/>
      <c r="BB19" s="3"/>
      <c r="BC19" s="3"/>
      <c r="BD19" s="3"/>
      <c r="BE19" s="3"/>
      <c r="BF19" s="3"/>
      <c r="BG19" s="3"/>
      <c r="BH19" s="3"/>
      <c r="BI19" s="3"/>
      <c r="BJ19" s="3"/>
    </row>
    <row r="20" spans="1:62">
      <c r="A20" s="107" t="s">
        <v>131</v>
      </c>
      <c r="B20" s="480" t="s">
        <v>508</v>
      </c>
      <c r="C20" s="658">
        <v>627.75590551181108</v>
      </c>
      <c r="D20" s="18"/>
      <c r="E20" s="277">
        <v>29.7</v>
      </c>
      <c r="F20" s="277">
        <v>0</v>
      </c>
      <c r="G20" s="438">
        <v>1768.11</v>
      </c>
      <c r="H20" s="305">
        <v>121.81</v>
      </c>
      <c r="I20" s="277">
        <v>0</v>
      </c>
      <c r="J20" s="305">
        <v>104.93</v>
      </c>
      <c r="K20" s="277">
        <v>40</v>
      </c>
      <c r="L20" s="305">
        <v>120.8</v>
      </c>
      <c r="M20" s="305">
        <v>990</v>
      </c>
      <c r="N20" s="305">
        <v>90</v>
      </c>
      <c r="O20" s="69"/>
      <c r="P20" s="489">
        <f t="shared" ref="P20:P27" si="35" xml:space="preserve"> E20+F20+G20+H20</f>
        <v>1919.62</v>
      </c>
      <c r="Q20" s="489">
        <f t="shared" si="21"/>
        <v>3143.54</v>
      </c>
      <c r="R20" s="597"/>
      <c r="S20" s="489" t="e">
        <f t="shared" ref="S20:S27" si="36">P20+IF($B$2="mil",1,0.0254)*C20</f>
        <v>#REF!</v>
      </c>
      <c r="T20" s="489" t="e">
        <f t="shared" ref="T20:T27" si="37">Q20+IF($B$2="mil",1,0.0254)*C20</f>
        <v>#REF!</v>
      </c>
      <c r="U20" s="597"/>
      <c r="V20" s="489" t="e">
        <f>MAX(V$17:V$18)+IF($B$2="mil",1,0.0254)*DDR2Specs!$B$3</f>
        <v>#REF!</v>
      </c>
      <c r="W20" s="489" t="e">
        <f>MIN(V$17:V$18)+IF($B$2="mil",1,0.0254)*DDR2Specs!$C$3</f>
        <v>#REF!</v>
      </c>
      <c r="X20" s="21"/>
      <c r="Y20" s="598" t="e">
        <f t="shared" ref="Y20:Y27" si="38">IF($S20&lt;$V20,$V20-$S20,"Pass")</f>
        <v>#REF!</v>
      </c>
      <c r="Z20" s="495" t="e">
        <f t="shared" ref="Z20:Z27" si="39">IF($S20&gt;$W20,$S20-$W20,"Pass")</f>
        <v>#REF!</v>
      </c>
      <c r="AA20" s="21"/>
      <c r="AB20" s="489" t="e">
        <f>MAX(AB$17:AB$18)+IF($B$2="mil",1,0.0254)*DDR2Specs!$E$3</f>
        <v>#REF!</v>
      </c>
      <c r="AC20" s="489" t="e">
        <f>MIN(AB$17:AB$18)+IF($B$2="mil",1,0.0254)*DDR2Specs!$F$3</f>
        <v>#REF!</v>
      </c>
      <c r="AD20" s="21"/>
      <c r="AE20" s="598" t="e">
        <f t="shared" si="22"/>
        <v>#REF!</v>
      </c>
      <c r="AF20" s="495" t="e">
        <f t="shared" si="23"/>
        <v>#REF!</v>
      </c>
      <c r="AG20" s="495" t="e">
        <f t="shared" si="24"/>
        <v>#REF!</v>
      </c>
      <c r="AH20" s="495" t="e">
        <f t="shared" si="25"/>
        <v>#REF!</v>
      </c>
      <c r="AI20" s="495" t="e">
        <f t="shared" si="26"/>
        <v>#REF!</v>
      </c>
      <c r="AJ20" s="495" t="e">
        <f t="shared" ca="1" si="27"/>
        <v>#NAME?</v>
      </c>
      <c r="AK20" s="495" t="e">
        <f t="shared" ref="AK20:AK27" si="40">IF($J20&lt;=IF($B$2="mil",1,0.0254)*125,"Pass",IF($B$2="mil",1,0.0254)*125-$J20)</f>
        <v>#REF!</v>
      </c>
      <c r="AL20" s="495" t="e">
        <f t="shared" ref="AL20:AL27" si="41">IF($L20&lt;=IF($B$2="mil",1,0.0254)*125,"Pass",IF($B$2="mil",1,0.0254)*125-$L20)</f>
        <v>#REF!</v>
      </c>
      <c r="AM20" s="495" t="e">
        <f t="shared" ca="1" si="28"/>
        <v>#NAME?</v>
      </c>
      <c r="AN20" s="495" t="e">
        <f t="shared" ca="1" si="29"/>
        <v>#NAME?</v>
      </c>
      <c r="AO20" s="495" t="e">
        <f t="shared" si="30"/>
        <v>#REF!</v>
      </c>
      <c r="AP20" s="495" t="e">
        <f t="shared" si="31"/>
        <v>#REF!</v>
      </c>
      <c r="AQ20" s="495" t="e">
        <f t="shared" si="32"/>
        <v>#REF!</v>
      </c>
      <c r="AR20" s="495" t="e">
        <f t="shared" si="33"/>
        <v>#REF!</v>
      </c>
      <c r="AS20" s="21"/>
      <c r="AT20" s="554" t="e">
        <f t="shared" ca="1" si="34"/>
        <v>#REF!</v>
      </c>
      <c r="AU20" s="554"/>
      <c r="AV20" s="554"/>
      <c r="AW20" s="3"/>
      <c r="AX20" s="3"/>
      <c r="AY20" s="3"/>
      <c r="AZ20" s="3"/>
      <c r="BA20" s="3"/>
      <c r="BB20" s="3"/>
      <c r="BC20" s="3"/>
      <c r="BD20" s="3"/>
      <c r="BE20" s="3"/>
      <c r="BF20" s="3"/>
      <c r="BG20" s="3"/>
      <c r="BH20" s="3"/>
      <c r="BI20" s="3"/>
      <c r="BJ20" s="3"/>
    </row>
    <row r="21" spans="1:62">
      <c r="A21" s="107" t="s">
        <v>132</v>
      </c>
      <c r="B21" s="482" t="s">
        <v>109</v>
      </c>
      <c r="C21" s="658">
        <v>625.43307086614175</v>
      </c>
      <c r="D21" s="18"/>
      <c r="E21" s="277">
        <v>29.7</v>
      </c>
      <c r="F21" s="277">
        <v>0</v>
      </c>
      <c r="G21" s="438">
        <v>1760</v>
      </c>
      <c r="H21" s="305">
        <v>82.62</v>
      </c>
      <c r="I21" s="277">
        <v>0</v>
      </c>
      <c r="J21" s="305">
        <v>63.71</v>
      </c>
      <c r="K21" s="277">
        <v>40</v>
      </c>
      <c r="L21" s="305">
        <v>87.68</v>
      </c>
      <c r="M21" s="305">
        <v>1210</v>
      </c>
      <c r="N21" s="305">
        <v>34</v>
      </c>
      <c r="O21" s="69"/>
      <c r="P21" s="489">
        <f t="shared" si="35"/>
        <v>1872.3200000000002</v>
      </c>
      <c r="Q21" s="489">
        <f t="shared" si="21"/>
        <v>3225.09</v>
      </c>
      <c r="R21" s="597"/>
      <c r="S21" s="489" t="e">
        <f t="shared" si="36"/>
        <v>#REF!</v>
      </c>
      <c r="T21" s="489" t="e">
        <f t="shared" si="37"/>
        <v>#REF!</v>
      </c>
      <c r="U21" s="597"/>
      <c r="V21" s="489" t="e">
        <f>MAX(V$17:V$18)+IF($B$2="mil",1,0.0254)*DDR2Specs!$B$3</f>
        <v>#REF!</v>
      </c>
      <c r="W21" s="489" t="e">
        <f>MIN(V$17:V$18)+IF($B$2="mil",1,0.0254)*DDR2Specs!$C$3</f>
        <v>#REF!</v>
      </c>
      <c r="X21" s="21"/>
      <c r="Y21" s="598" t="e">
        <f t="shared" si="38"/>
        <v>#REF!</v>
      </c>
      <c r="Z21" s="495" t="e">
        <f t="shared" si="39"/>
        <v>#REF!</v>
      </c>
      <c r="AA21" s="21"/>
      <c r="AB21" s="489" t="e">
        <f>MAX(AB$17:AB$18)+IF($B$2="mil",1,0.0254)*DDR2Specs!$E$3</f>
        <v>#REF!</v>
      </c>
      <c r="AC21" s="489" t="e">
        <f>MIN(AB$17:AB$18)+IF($B$2="mil",1,0.0254)*DDR2Specs!$F$3</f>
        <v>#REF!</v>
      </c>
      <c r="AD21" s="21"/>
      <c r="AE21" s="598" t="e">
        <f t="shared" si="22"/>
        <v>#REF!</v>
      </c>
      <c r="AF21" s="495" t="e">
        <f t="shared" si="23"/>
        <v>#REF!</v>
      </c>
      <c r="AG21" s="495" t="e">
        <f t="shared" si="24"/>
        <v>#REF!</v>
      </c>
      <c r="AH21" s="495" t="e">
        <f t="shared" si="25"/>
        <v>#REF!</v>
      </c>
      <c r="AI21" s="495" t="e">
        <f t="shared" si="26"/>
        <v>#REF!</v>
      </c>
      <c r="AJ21" s="495" t="e">
        <f t="shared" ca="1" si="27"/>
        <v>#NAME?</v>
      </c>
      <c r="AK21" s="495" t="e">
        <f t="shared" si="40"/>
        <v>#REF!</v>
      </c>
      <c r="AL21" s="495" t="e">
        <f t="shared" si="41"/>
        <v>#REF!</v>
      </c>
      <c r="AM21" s="495" t="e">
        <f t="shared" ca="1" si="28"/>
        <v>#NAME?</v>
      </c>
      <c r="AN21" s="495" t="e">
        <f t="shared" ca="1" si="29"/>
        <v>#NAME?</v>
      </c>
      <c r="AO21" s="495" t="e">
        <f t="shared" si="30"/>
        <v>#REF!</v>
      </c>
      <c r="AP21" s="495" t="e">
        <f t="shared" si="31"/>
        <v>#REF!</v>
      </c>
      <c r="AQ21" s="495" t="e">
        <f t="shared" si="32"/>
        <v>#REF!</v>
      </c>
      <c r="AR21" s="495" t="e">
        <f t="shared" si="33"/>
        <v>#REF!</v>
      </c>
      <c r="AS21" s="21"/>
      <c r="AT21" s="554" t="e">
        <f t="shared" ca="1" si="34"/>
        <v>#REF!</v>
      </c>
      <c r="AU21" s="554"/>
      <c r="AV21" s="554"/>
      <c r="AW21" s="3"/>
      <c r="AX21" s="3"/>
      <c r="AY21" s="3"/>
      <c r="AZ21" s="3"/>
      <c r="BA21" s="3"/>
      <c r="BB21" s="3"/>
      <c r="BC21" s="3"/>
      <c r="BD21" s="3"/>
      <c r="BE21" s="3"/>
      <c r="BF21" s="3"/>
      <c r="BG21" s="3"/>
      <c r="BH21" s="3"/>
      <c r="BI21" s="3"/>
      <c r="BJ21" s="3"/>
    </row>
    <row r="22" spans="1:62">
      <c r="A22" s="107" t="s">
        <v>133</v>
      </c>
      <c r="B22" s="482" t="s">
        <v>351</v>
      </c>
      <c r="C22" s="658">
        <v>667.04724409448829</v>
      </c>
      <c r="D22" s="18"/>
      <c r="E22" s="277">
        <v>29.7</v>
      </c>
      <c r="F22" s="277">
        <v>0</v>
      </c>
      <c r="G22" s="438">
        <v>1750</v>
      </c>
      <c r="H22" s="305">
        <v>124.41</v>
      </c>
      <c r="I22" s="277">
        <v>0</v>
      </c>
      <c r="J22" s="305">
        <v>102.86</v>
      </c>
      <c r="K22" s="277">
        <v>40</v>
      </c>
      <c r="L22" s="305">
        <v>120.25</v>
      </c>
      <c r="M22" s="305">
        <v>1042</v>
      </c>
      <c r="N22" s="305">
        <v>48</v>
      </c>
      <c r="O22" s="69"/>
      <c r="P22" s="489">
        <f t="shared" si="35"/>
        <v>1904.1100000000001</v>
      </c>
      <c r="Q22" s="489">
        <f t="shared" si="21"/>
        <v>3132.81</v>
      </c>
      <c r="R22" s="597"/>
      <c r="S22" s="489" t="e">
        <f t="shared" si="36"/>
        <v>#REF!</v>
      </c>
      <c r="T22" s="489" t="e">
        <f t="shared" si="37"/>
        <v>#REF!</v>
      </c>
      <c r="U22" s="597"/>
      <c r="V22" s="489" t="e">
        <f>MAX(V$17:V$18)+IF($B$2="mil",1,0.0254)*DDR2Specs!$B$3</f>
        <v>#REF!</v>
      </c>
      <c r="W22" s="489" t="e">
        <f>MIN(V$17:V$18)+IF($B$2="mil",1,0.0254)*DDR2Specs!$C$3</f>
        <v>#REF!</v>
      </c>
      <c r="X22" s="21"/>
      <c r="Y22" s="598" t="e">
        <f t="shared" si="38"/>
        <v>#REF!</v>
      </c>
      <c r="Z22" s="495" t="e">
        <f t="shared" si="39"/>
        <v>#REF!</v>
      </c>
      <c r="AA22" s="21"/>
      <c r="AB22" s="489" t="e">
        <f>MAX(AB$17:AB$18)+IF($B$2="mil",1,0.0254)*DDR2Specs!$E$3</f>
        <v>#REF!</v>
      </c>
      <c r="AC22" s="489" t="e">
        <f>MIN(AB$17:AB$18)+IF($B$2="mil",1,0.0254)*DDR2Specs!$F$3</f>
        <v>#REF!</v>
      </c>
      <c r="AD22" s="21"/>
      <c r="AE22" s="598" t="e">
        <f t="shared" si="22"/>
        <v>#REF!</v>
      </c>
      <c r="AF22" s="495" t="e">
        <f t="shared" si="23"/>
        <v>#REF!</v>
      </c>
      <c r="AG22" s="495" t="e">
        <f t="shared" si="24"/>
        <v>#REF!</v>
      </c>
      <c r="AH22" s="495" t="e">
        <f t="shared" si="25"/>
        <v>#REF!</v>
      </c>
      <c r="AI22" s="495" t="e">
        <f t="shared" si="26"/>
        <v>#REF!</v>
      </c>
      <c r="AJ22" s="495" t="e">
        <f t="shared" ca="1" si="27"/>
        <v>#NAME?</v>
      </c>
      <c r="AK22" s="495" t="e">
        <f t="shared" si="40"/>
        <v>#REF!</v>
      </c>
      <c r="AL22" s="495" t="e">
        <f t="shared" si="41"/>
        <v>#REF!</v>
      </c>
      <c r="AM22" s="495" t="e">
        <f t="shared" ca="1" si="28"/>
        <v>#NAME?</v>
      </c>
      <c r="AN22" s="495" t="e">
        <f t="shared" ca="1" si="29"/>
        <v>#NAME?</v>
      </c>
      <c r="AO22" s="495" t="e">
        <f t="shared" si="30"/>
        <v>#REF!</v>
      </c>
      <c r="AP22" s="495" t="e">
        <f t="shared" si="31"/>
        <v>#REF!</v>
      </c>
      <c r="AQ22" s="495" t="e">
        <f t="shared" si="32"/>
        <v>#REF!</v>
      </c>
      <c r="AR22" s="495" t="e">
        <f t="shared" si="33"/>
        <v>#REF!</v>
      </c>
      <c r="AS22" s="21"/>
      <c r="AT22" s="554" t="e">
        <f t="shared" ca="1" si="34"/>
        <v>#REF!</v>
      </c>
      <c r="AU22" s="554"/>
      <c r="AV22" s="554"/>
      <c r="AW22" s="3"/>
      <c r="AX22" s="3"/>
      <c r="AY22" s="3"/>
      <c r="AZ22" s="3"/>
      <c r="BA22" s="3"/>
      <c r="BB22" s="3"/>
      <c r="BC22" s="3"/>
      <c r="BD22" s="3"/>
      <c r="BE22" s="3"/>
      <c r="BF22" s="3"/>
      <c r="BG22" s="3"/>
      <c r="BH22" s="3"/>
      <c r="BI22" s="3"/>
      <c r="BJ22" s="3"/>
    </row>
    <row r="23" spans="1:62">
      <c r="A23" s="107" t="s">
        <v>134</v>
      </c>
      <c r="B23" s="480" t="s">
        <v>476</v>
      </c>
      <c r="C23" s="658">
        <v>600.07874015748041</v>
      </c>
      <c r="D23" s="18"/>
      <c r="E23" s="277">
        <v>29.7</v>
      </c>
      <c r="F23" s="277">
        <v>0</v>
      </c>
      <c r="G23" s="438">
        <v>1818.2685826771649</v>
      </c>
      <c r="H23" s="305">
        <v>62.39</v>
      </c>
      <c r="I23" s="277">
        <v>0</v>
      </c>
      <c r="J23" s="305">
        <v>47.73</v>
      </c>
      <c r="K23" s="277">
        <v>40</v>
      </c>
      <c r="L23" s="305">
        <v>56.64</v>
      </c>
      <c r="M23" s="305">
        <v>1099</v>
      </c>
      <c r="N23" s="305">
        <v>76.08</v>
      </c>
      <c r="O23" s="69"/>
      <c r="P23" s="489">
        <f t="shared" si="35"/>
        <v>1910.358582677165</v>
      </c>
      <c r="Q23" s="489">
        <f t="shared" si="21"/>
        <v>3167.418582677165</v>
      </c>
      <c r="R23" s="597"/>
      <c r="S23" s="489" t="e">
        <f t="shared" si="36"/>
        <v>#REF!</v>
      </c>
      <c r="T23" s="489" t="e">
        <f t="shared" si="37"/>
        <v>#REF!</v>
      </c>
      <c r="U23" s="597"/>
      <c r="V23" s="489" t="e">
        <f>MAX(V$17:V$18)+IF($B$2="mil",1,0.0254)*DDR2Specs!$B$3</f>
        <v>#REF!</v>
      </c>
      <c r="W23" s="489" t="e">
        <f>MIN(V$17:V$18)+IF($B$2="mil",1,0.0254)*DDR2Specs!$C$3</f>
        <v>#REF!</v>
      </c>
      <c r="X23" s="21"/>
      <c r="Y23" s="598" t="e">
        <f t="shared" si="38"/>
        <v>#REF!</v>
      </c>
      <c r="Z23" s="495" t="e">
        <f t="shared" si="39"/>
        <v>#REF!</v>
      </c>
      <c r="AA23" s="21"/>
      <c r="AB23" s="489" t="e">
        <f>MAX(AB$17:AB$18)+IF($B$2="mil",1,0.0254)*DDR2Specs!$E$3</f>
        <v>#REF!</v>
      </c>
      <c r="AC23" s="489" t="e">
        <f>MIN(AB$17:AB$18)+IF($B$2="mil",1,0.0254)*DDR2Specs!$F$3</f>
        <v>#REF!</v>
      </c>
      <c r="AD23" s="21"/>
      <c r="AE23" s="598" t="e">
        <f t="shared" si="22"/>
        <v>#REF!</v>
      </c>
      <c r="AF23" s="495" t="e">
        <f t="shared" si="23"/>
        <v>#REF!</v>
      </c>
      <c r="AG23" s="495" t="e">
        <f t="shared" si="24"/>
        <v>#REF!</v>
      </c>
      <c r="AH23" s="495" t="e">
        <f t="shared" si="25"/>
        <v>#REF!</v>
      </c>
      <c r="AI23" s="495" t="e">
        <f t="shared" si="26"/>
        <v>#REF!</v>
      </c>
      <c r="AJ23" s="495" t="e">
        <f t="shared" ca="1" si="27"/>
        <v>#NAME?</v>
      </c>
      <c r="AK23" s="495" t="e">
        <f t="shared" si="40"/>
        <v>#REF!</v>
      </c>
      <c r="AL23" s="495" t="e">
        <f t="shared" si="41"/>
        <v>#REF!</v>
      </c>
      <c r="AM23" s="495" t="e">
        <f t="shared" ca="1" si="28"/>
        <v>#NAME?</v>
      </c>
      <c r="AN23" s="495" t="e">
        <f t="shared" ca="1" si="29"/>
        <v>#NAME?</v>
      </c>
      <c r="AO23" s="495" t="e">
        <f t="shared" si="30"/>
        <v>#REF!</v>
      </c>
      <c r="AP23" s="495" t="e">
        <f t="shared" si="31"/>
        <v>#REF!</v>
      </c>
      <c r="AQ23" s="495" t="e">
        <f t="shared" si="32"/>
        <v>#REF!</v>
      </c>
      <c r="AR23" s="495" t="e">
        <f t="shared" si="33"/>
        <v>#REF!</v>
      </c>
      <c r="AS23" s="21"/>
      <c r="AT23" s="554" t="e">
        <f t="shared" ca="1" si="34"/>
        <v>#REF!</v>
      </c>
      <c r="AU23" s="554"/>
      <c r="AV23" s="554"/>
      <c r="AW23" s="3"/>
      <c r="AX23" s="3"/>
      <c r="AY23" s="3"/>
      <c r="AZ23" s="3"/>
      <c r="BA23" s="3"/>
      <c r="BB23" s="3"/>
      <c r="BC23" s="3"/>
      <c r="BD23" s="3"/>
      <c r="BE23" s="3"/>
      <c r="BF23" s="3"/>
      <c r="BG23" s="3"/>
      <c r="BH23" s="3"/>
      <c r="BI23" s="3"/>
      <c r="BJ23" s="3"/>
    </row>
    <row r="24" spans="1:62">
      <c r="A24" s="107" t="s">
        <v>135</v>
      </c>
      <c r="B24" s="483" t="s">
        <v>477</v>
      </c>
      <c r="C24" s="658">
        <v>655.98425196850394</v>
      </c>
      <c r="D24" s="18"/>
      <c r="E24" s="277">
        <v>29.7</v>
      </c>
      <c r="F24" s="277">
        <v>0</v>
      </c>
      <c r="G24" s="438">
        <v>1794.5713385826768</v>
      </c>
      <c r="H24" s="305">
        <v>89.04</v>
      </c>
      <c r="I24" s="277">
        <v>0</v>
      </c>
      <c r="J24" s="305">
        <v>79.47</v>
      </c>
      <c r="K24" s="277">
        <v>40</v>
      </c>
      <c r="L24" s="305">
        <v>99.93</v>
      </c>
      <c r="M24" s="305">
        <v>952</v>
      </c>
      <c r="N24" s="305">
        <v>116</v>
      </c>
      <c r="O24" s="69"/>
      <c r="P24" s="489">
        <f t="shared" si="35"/>
        <v>1913.3113385826769</v>
      </c>
      <c r="Q24" s="489">
        <f t="shared" si="21"/>
        <v>3111.671338582677</v>
      </c>
      <c r="R24" s="597"/>
      <c r="S24" s="489" t="e">
        <f t="shared" si="36"/>
        <v>#REF!</v>
      </c>
      <c r="T24" s="489" t="e">
        <f t="shared" si="37"/>
        <v>#REF!</v>
      </c>
      <c r="U24" s="597"/>
      <c r="V24" s="489" t="e">
        <f>MAX(V$17:V$18)+IF($B$2="mil",1,0.0254)*DDR2Specs!$B$3</f>
        <v>#REF!</v>
      </c>
      <c r="W24" s="489" t="e">
        <f>MIN(V$17:V$18)+IF($B$2="mil",1,0.0254)*DDR2Specs!$C$3</f>
        <v>#REF!</v>
      </c>
      <c r="X24" s="21"/>
      <c r="Y24" s="598" t="e">
        <f t="shared" si="38"/>
        <v>#REF!</v>
      </c>
      <c r="Z24" s="495" t="e">
        <f t="shared" si="39"/>
        <v>#REF!</v>
      </c>
      <c r="AA24" s="21"/>
      <c r="AB24" s="489" t="e">
        <f>MAX(AB$17:AB$18)+IF($B$2="mil",1,0.0254)*DDR2Specs!$E$3</f>
        <v>#REF!</v>
      </c>
      <c r="AC24" s="489" t="e">
        <f>MIN(AB$17:AB$18)+IF($B$2="mil",1,0.0254)*DDR2Specs!$F$3</f>
        <v>#REF!</v>
      </c>
      <c r="AD24" s="21"/>
      <c r="AE24" s="598" t="e">
        <f t="shared" si="22"/>
        <v>#REF!</v>
      </c>
      <c r="AF24" s="495" t="e">
        <f t="shared" si="23"/>
        <v>#REF!</v>
      </c>
      <c r="AG24" s="495" t="e">
        <f t="shared" si="24"/>
        <v>#REF!</v>
      </c>
      <c r="AH24" s="495" t="e">
        <f t="shared" si="25"/>
        <v>#REF!</v>
      </c>
      <c r="AI24" s="495" t="e">
        <f t="shared" si="26"/>
        <v>#REF!</v>
      </c>
      <c r="AJ24" s="495" t="e">
        <f t="shared" ca="1" si="27"/>
        <v>#NAME?</v>
      </c>
      <c r="AK24" s="495" t="e">
        <f t="shared" si="40"/>
        <v>#REF!</v>
      </c>
      <c r="AL24" s="495" t="e">
        <f t="shared" si="41"/>
        <v>#REF!</v>
      </c>
      <c r="AM24" s="495" t="e">
        <f t="shared" ca="1" si="28"/>
        <v>#NAME?</v>
      </c>
      <c r="AN24" s="495" t="e">
        <f t="shared" ca="1" si="29"/>
        <v>#NAME?</v>
      </c>
      <c r="AO24" s="495" t="e">
        <f t="shared" si="30"/>
        <v>#REF!</v>
      </c>
      <c r="AP24" s="495" t="e">
        <f t="shared" si="31"/>
        <v>#REF!</v>
      </c>
      <c r="AQ24" s="495" t="e">
        <f t="shared" si="32"/>
        <v>#REF!</v>
      </c>
      <c r="AR24" s="495" t="e">
        <f t="shared" si="33"/>
        <v>#REF!</v>
      </c>
      <c r="AS24" s="21"/>
      <c r="AT24" s="554" t="e">
        <f t="shared" ca="1" si="34"/>
        <v>#REF!</v>
      </c>
      <c r="AU24" s="554"/>
      <c r="AV24" s="554"/>
      <c r="AW24" s="3"/>
      <c r="AX24" s="3"/>
      <c r="AY24" s="3"/>
      <c r="AZ24" s="3"/>
      <c r="BA24" s="3"/>
      <c r="BB24" s="3"/>
      <c r="BC24" s="3"/>
      <c r="BD24" s="3"/>
      <c r="BE24" s="3"/>
      <c r="BF24" s="3"/>
      <c r="BG24" s="3"/>
      <c r="BH24" s="3"/>
      <c r="BI24" s="3"/>
      <c r="BJ24" s="3"/>
    </row>
    <row r="25" spans="1:62" s="29" customFormat="1">
      <c r="A25" s="107" t="s">
        <v>233</v>
      </c>
      <c r="B25" s="480" t="s">
        <v>478</v>
      </c>
      <c r="C25" s="658">
        <v>589.64566929133866</v>
      </c>
      <c r="D25" s="18"/>
      <c r="E25" s="277">
        <v>29.7</v>
      </c>
      <c r="F25" s="277">
        <v>0</v>
      </c>
      <c r="G25" s="438">
        <v>1777.0911023622048</v>
      </c>
      <c r="H25" s="305">
        <v>63.41</v>
      </c>
      <c r="I25" s="277">
        <v>0</v>
      </c>
      <c r="J25" s="305">
        <v>51.64</v>
      </c>
      <c r="K25" s="277">
        <v>40</v>
      </c>
      <c r="L25" s="305">
        <v>56.64</v>
      </c>
      <c r="M25" s="305">
        <v>1151</v>
      </c>
      <c r="N25" s="305">
        <v>72.19</v>
      </c>
      <c r="O25" s="69"/>
      <c r="P25" s="489">
        <f t="shared" si="35"/>
        <v>1870.2011023622049</v>
      </c>
      <c r="Q25" s="489">
        <f t="shared" si="21"/>
        <v>3178.2611023622053</v>
      </c>
      <c r="R25" s="597"/>
      <c r="S25" s="489" t="e">
        <f t="shared" si="36"/>
        <v>#REF!</v>
      </c>
      <c r="T25" s="489" t="e">
        <f t="shared" si="37"/>
        <v>#REF!</v>
      </c>
      <c r="U25" s="597"/>
      <c r="V25" s="489" t="e">
        <f>MAX(V$17:V$18)+IF($B$2="mil",1,0.0254)*DDR2Specs!$B$3</f>
        <v>#REF!</v>
      </c>
      <c r="W25" s="489" t="e">
        <f>MIN(V$17:V$18)+IF($B$2="mil",1,0.0254)*DDR2Specs!$C$3</f>
        <v>#REF!</v>
      </c>
      <c r="X25" s="21"/>
      <c r="Y25" s="598" t="e">
        <f t="shared" si="38"/>
        <v>#REF!</v>
      </c>
      <c r="Z25" s="495" t="e">
        <f t="shared" si="39"/>
        <v>#REF!</v>
      </c>
      <c r="AA25" s="21"/>
      <c r="AB25" s="489" t="e">
        <f>MAX(AB$17:AB$18)+IF($B$2="mil",1,0.0254)*DDR2Specs!$E$3</f>
        <v>#REF!</v>
      </c>
      <c r="AC25" s="489" t="e">
        <f>MIN(AB$17:AB$18)+IF($B$2="mil",1,0.0254)*DDR2Specs!$F$3</f>
        <v>#REF!</v>
      </c>
      <c r="AD25" s="21"/>
      <c r="AE25" s="598" t="e">
        <f t="shared" si="22"/>
        <v>#REF!</v>
      </c>
      <c r="AF25" s="495" t="e">
        <f t="shared" si="23"/>
        <v>#REF!</v>
      </c>
      <c r="AG25" s="495" t="e">
        <f t="shared" si="24"/>
        <v>#REF!</v>
      </c>
      <c r="AH25" s="495" t="e">
        <f t="shared" si="25"/>
        <v>#REF!</v>
      </c>
      <c r="AI25" s="495" t="e">
        <f t="shared" si="26"/>
        <v>#REF!</v>
      </c>
      <c r="AJ25" s="495" t="e">
        <f t="shared" ca="1" si="27"/>
        <v>#NAME?</v>
      </c>
      <c r="AK25" s="495" t="e">
        <f t="shared" si="40"/>
        <v>#REF!</v>
      </c>
      <c r="AL25" s="495" t="e">
        <f t="shared" si="41"/>
        <v>#REF!</v>
      </c>
      <c r="AM25" s="495" t="e">
        <f t="shared" ca="1" si="28"/>
        <v>#NAME?</v>
      </c>
      <c r="AN25" s="495" t="e">
        <f t="shared" ca="1" si="29"/>
        <v>#NAME?</v>
      </c>
      <c r="AO25" s="495" t="e">
        <f t="shared" si="30"/>
        <v>#REF!</v>
      </c>
      <c r="AP25" s="495" t="e">
        <f t="shared" si="31"/>
        <v>#REF!</v>
      </c>
      <c r="AQ25" s="495" t="e">
        <f t="shared" si="32"/>
        <v>#REF!</v>
      </c>
      <c r="AR25" s="495" t="e">
        <f t="shared" si="33"/>
        <v>#REF!</v>
      </c>
      <c r="AS25" s="21"/>
      <c r="AT25" s="610" t="e">
        <f t="shared" ca="1" si="34"/>
        <v>#REF!</v>
      </c>
      <c r="AU25" s="610"/>
      <c r="AV25" s="610"/>
    </row>
    <row r="26" spans="1:62">
      <c r="A26" s="107" t="s">
        <v>136</v>
      </c>
      <c r="B26" s="480" t="s">
        <v>479</v>
      </c>
      <c r="C26" s="658">
        <v>669.29133858267721</v>
      </c>
      <c r="D26" s="18"/>
      <c r="E26" s="277">
        <v>29.7</v>
      </c>
      <c r="F26" s="277">
        <v>0</v>
      </c>
      <c r="G26" s="438">
        <v>1693.7588976377949</v>
      </c>
      <c r="H26" s="305">
        <v>134.38</v>
      </c>
      <c r="I26" s="277">
        <v>0</v>
      </c>
      <c r="J26" s="305">
        <v>95.13</v>
      </c>
      <c r="K26" s="277">
        <v>40</v>
      </c>
      <c r="L26" s="305">
        <v>54.57</v>
      </c>
      <c r="M26" s="305">
        <v>1110</v>
      </c>
      <c r="N26" s="305">
        <v>76.05</v>
      </c>
      <c r="O26" s="69"/>
      <c r="P26" s="489">
        <f t="shared" si="35"/>
        <v>1857.8388976377951</v>
      </c>
      <c r="Q26" s="489">
        <f t="shared" si="21"/>
        <v>3099.2088976377954</v>
      </c>
      <c r="R26" s="597"/>
      <c r="S26" s="489" t="e">
        <f t="shared" si="36"/>
        <v>#REF!</v>
      </c>
      <c r="T26" s="489" t="e">
        <f t="shared" si="37"/>
        <v>#REF!</v>
      </c>
      <c r="U26" s="597"/>
      <c r="V26" s="489" t="e">
        <f>MAX(V$17:V$18)+IF($B$2="mil",1,0.0254)*DDR2Specs!$B$3</f>
        <v>#REF!</v>
      </c>
      <c r="W26" s="489" t="e">
        <f>MIN(V$17:V$18)+IF($B$2="mil",1,0.0254)*DDR2Specs!$C$3</f>
        <v>#REF!</v>
      </c>
      <c r="X26" s="21"/>
      <c r="Y26" s="598" t="e">
        <f t="shared" si="38"/>
        <v>#REF!</v>
      </c>
      <c r="Z26" s="495" t="e">
        <f t="shared" si="39"/>
        <v>#REF!</v>
      </c>
      <c r="AA26" s="21"/>
      <c r="AB26" s="489" t="e">
        <f>MAX(AB$17:AB$18)+IF($B$2="mil",1,0.0254)*DDR2Specs!$E$3</f>
        <v>#REF!</v>
      </c>
      <c r="AC26" s="489" t="e">
        <f>MIN(AB$17:AB$18)+IF($B$2="mil",1,0.0254)*DDR2Specs!$F$3</f>
        <v>#REF!</v>
      </c>
      <c r="AD26" s="21"/>
      <c r="AE26" s="598" t="e">
        <f t="shared" si="22"/>
        <v>#REF!</v>
      </c>
      <c r="AF26" s="495" t="e">
        <f t="shared" si="23"/>
        <v>#REF!</v>
      </c>
      <c r="AG26" s="495" t="e">
        <f t="shared" si="24"/>
        <v>#REF!</v>
      </c>
      <c r="AH26" s="495" t="e">
        <f t="shared" si="25"/>
        <v>#REF!</v>
      </c>
      <c r="AI26" s="495" t="e">
        <f t="shared" si="26"/>
        <v>#REF!</v>
      </c>
      <c r="AJ26" s="495" t="e">
        <f t="shared" ca="1" si="27"/>
        <v>#NAME?</v>
      </c>
      <c r="AK26" s="495" t="e">
        <f t="shared" si="40"/>
        <v>#REF!</v>
      </c>
      <c r="AL26" s="495" t="e">
        <f t="shared" si="41"/>
        <v>#REF!</v>
      </c>
      <c r="AM26" s="495" t="e">
        <f t="shared" ca="1" si="28"/>
        <v>#NAME?</v>
      </c>
      <c r="AN26" s="495" t="e">
        <f t="shared" ca="1" si="29"/>
        <v>#NAME?</v>
      </c>
      <c r="AO26" s="495" t="e">
        <f t="shared" si="30"/>
        <v>#REF!</v>
      </c>
      <c r="AP26" s="495" t="e">
        <f t="shared" si="31"/>
        <v>#REF!</v>
      </c>
      <c r="AQ26" s="495" t="e">
        <f t="shared" si="32"/>
        <v>#REF!</v>
      </c>
      <c r="AR26" s="495" t="e">
        <f t="shared" si="33"/>
        <v>#REF!</v>
      </c>
      <c r="AS26" s="21"/>
      <c r="AT26" s="554" t="e">
        <f t="shared" ca="1" si="34"/>
        <v>#REF!</v>
      </c>
      <c r="AU26" s="554"/>
      <c r="AV26" s="554"/>
      <c r="AW26" s="3"/>
      <c r="AX26" s="3"/>
      <c r="AY26" s="3"/>
      <c r="AZ26" s="3"/>
      <c r="BA26" s="3"/>
      <c r="BB26" s="3"/>
      <c r="BC26" s="3"/>
      <c r="BD26" s="3"/>
      <c r="BE26" s="3"/>
      <c r="BF26" s="3"/>
      <c r="BG26" s="3"/>
      <c r="BH26" s="3"/>
      <c r="BI26" s="3"/>
      <c r="BJ26" s="3"/>
    </row>
    <row r="27" spans="1:62">
      <c r="A27" s="128" t="s">
        <v>137</v>
      </c>
      <c r="B27" s="484" t="s">
        <v>517</v>
      </c>
      <c r="C27" s="658">
        <v>627.91338582677167</v>
      </c>
      <c r="D27" s="18"/>
      <c r="E27" s="277">
        <v>29.7</v>
      </c>
      <c r="F27" s="277">
        <v>0</v>
      </c>
      <c r="G27" s="438">
        <v>1828.8</v>
      </c>
      <c r="H27" s="305">
        <v>62.12</v>
      </c>
      <c r="I27" s="277">
        <v>0</v>
      </c>
      <c r="J27" s="305">
        <v>49.57</v>
      </c>
      <c r="K27" s="277">
        <v>40</v>
      </c>
      <c r="L27" s="305">
        <v>49.57</v>
      </c>
      <c r="M27" s="305">
        <v>1111</v>
      </c>
      <c r="N27" s="305">
        <v>34</v>
      </c>
      <c r="O27" s="69"/>
      <c r="P27" s="489">
        <f t="shared" si="35"/>
        <v>1920.62</v>
      </c>
      <c r="Q27" s="489">
        <f>SUM(E27:G27,I27:N27)</f>
        <v>3142.64</v>
      </c>
      <c r="R27" s="597"/>
      <c r="S27" s="489" t="e">
        <f t="shared" si="36"/>
        <v>#REF!</v>
      </c>
      <c r="T27" s="489" t="e">
        <f t="shared" si="37"/>
        <v>#REF!</v>
      </c>
      <c r="U27" s="597"/>
      <c r="V27" s="489" t="e">
        <f>MAX(V$17:V$18)+IF($B$2="mil",1,0.0254)*DDR2Specs!$B$3</f>
        <v>#REF!</v>
      </c>
      <c r="W27" s="489" t="e">
        <f>MIN(V$17:V$18)+IF($B$2="mil",1,0.0254)*DDR2Specs!$C$3</f>
        <v>#REF!</v>
      </c>
      <c r="X27" s="21"/>
      <c r="Y27" s="598" t="e">
        <f t="shared" si="38"/>
        <v>#REF!</v>
      </c>
      <c r="Z27" s="495" t="e">
        <f t="shared" si="39"/>
        <v>#REF!</v>
      </c>
      <c r="AA27" s="21"/>
      <c r="AB27" s="489" t="e">
        <f>MAX(AB$17:AB$18)+IF($B$2="mil",1,0.0254)*DDR2Specs!$E$3</f>
        <v>#REF!</v>
      </c>
      <c r="AC27" s="489" t="e">
        <f>MIN(AB$17:AB$18)+IF($B$2="mil",1,0.0254)*DDR2Specs!$F$3</f>
        <v>#REF!</v>
      </c>
      <c r="AD27" s="21"/>
      <c r="AE27" s="598" t="e">
        <f t="shared" si="22"/>
        <v>#REF!</v>
      </c>
      <c r="AF27" s="495" t="e">
        <f t="shared" si="23"/>
        <v>#REF!</v>
      </c>
      <c r="AG27" s="495" t="e">
        <f t="shared" si="24"/>
        <v>#REF!</v>
      </c>
      <c r="AH27" s="495" t="e">
        <f t="shared" si="25"/>
        <v>#REF!</v>
      </c>
      <c r="AI27" s="495" t="e">
        <f t="shared" si="26"/>
        <v>#REF!</v>
      </c>
      <c r="AJ27" s="495" t="e">
        <f t="shared" ca="1" si="27"/>
        <v>#NAME?</v>
      </c>
      <c r="AK27" s="495" t="e">
        <f t="shared" si="40"/>
        <v>#REF!</v>
      </c>
      <c r="AL27" s="495" t="e">
        <f t="shared" si="41"/>
        <v>#REF!</v>
      </c>
      <c r="AM27" s="495" t="e">
        <f t="shared" ca="1" si="28"/>
        <v>#NAME?</v>
      </c>
      <c r="AN27" s="495" t="e">
        <f t="shared" ca="1" si="29"/>
        <v>#NAME?</v>
      </c>
      <c r="AO27" s="495" t="e">
        <f t="shared" si="30"/>
        <v>#REF!</v>
      </c>
      <c r="AP27" s="495" t="e">
        <f t="shared" si="31"/>
        <v>#REF!</v>
      </c>
      <c r="AQ27" s="495" t="e">
        <f t="shared" si="32"/>
        <v>#REF!</v>
      </c>
      <c r="AR27" s="495" t="e">
        <f t="shared" si="33"/>
        <v>#REF!</v>
      </c>
      <c r="AS27" s="21"/>
      <c r="AT27" s="554" t="e">
        <f t="shared" ca="1" si="34"/>
        <v>#REF!</v>
      </c>
      <c r="AU27" s="554"/>
      <c r="AV27" s="554"/>
      <c r="AW27" s="3"/>
      <c r="AX27" s="3"/>
      <c r="AY27" s="3"/>
      <c r="AZ27" s="3"/>
      <c r="BA27" s="3"/>
      <c r="BB27" s="3"/>
      <c r="BC27" s="3"/>
      <c r="BD27" s="3"/>
      <c r="BE27" s="3"/>
      <c r="BF27" s="3"/>
      <c r="BG27" s="3"/>
      <c r="BH27" s="3"/>
      <c r="BI27" s="3"/>
      <c r="BJ27" s="3"/>
    </row>
    <row r="28" spans="1:62">
      <c r="A28" s="109" t="s">
        <v>199</v>
      </c>
      <c r="B28" s="485"/>
      <c r="C28" s="659"/>
      <c r="D28" s="62"/>
      <c r="E28" s="82"/>
      <c r="F28" s="82"/>
      <c r="G28" s="439"/>
      <c r="H28" s="295"/>
      <c r="I28" s="295"/>
      <c r="J28" s="295"/>
      <c r="K28" s="295"/>
      <c r="L28" s="295"/>
      <c r="M28" s="295"/>
      <c r="N28" s="295"/>
      <c r="O28" s="10"/>
      <c r="P28" s="82"/>
      <c r="Q28" s="82"/>
      <c r="R28" s="82"/>
      <c r="S28" s="605"/>
      <c r="T28" s="605"/>
      <c r="U28" s="605"/>
      <c r="V28" s="605"/>
      <c r="W28" s="606"/>
      <c r="X28" s="606"/>
      <c r="Y28" s="607"/>
      <c r="Z28" s="17"/>
      <c r="AA28" s="606"/>
      <c r="AB28" s="605"/>
      <c r="AC28" s="606"/>
      <c r="AD28" s="606"/>
      <c r="AE28" s="607"/>
      <c r="AF28" s="17"/>
      <c r="AG28" s="17"/>
      <c r="AH28" s="17"/>
      <c r="AI28" s="16"/>
      <c r="AJ28" s="16"/>
      <c r="AK28" s="16"/>
      <c r="AL28" s="16"/>
      <c r="AM28" s="16"/>
      <c r="AN28" s="16"/>
      <c r="AO28" s="16"/>
      <c r="AP28" s="16"/>
      <c r="AQ28" s="16"/>
      <c r="AR28" s="16"/>
      <c r="AS28" s="83"/>
      <c r="AT28" s="554"/>
      <c r="AU28" s="554"/>
      <c r="AV28" s="554"/>
      <c r="AW28" s="3"/>
      <c r="AX28" s="3"/>
      <c r="AY28" s="3"/>
      <c r="AZ28" s="3"/>
      <c r="BA28" s="3"/>
      <c r="BB28" s="3"/>
      <c r="BC28" s="3"/>
      <c r="BD28" s="3"/>
      <c r="BE28" s="3"/>
      <c r="BF28" s="3"/>
      <c r="BG28" s="3"/>
      <c r="BH28" s="3"/>
      <c r="BI28" s="3"/>
      <c r="BJ28" s="3"/>
    </row>
    <row r="29" spans="1:62">
      <c r="A29" s="118" t="str">
        <f>'DDR2 Strobes - 1x16'!$A$14</f>
        <v>SA_DQS2</v>
      </c>
      <c r="B29" s="130" t="str">
        <f>'DDR2 Strobes - 1x16'!$B$14</f>
        <v>AB24</v>
      </c>
      <c r="C29" s="660"/>
      <c r="D29" s="53"/>
      <c r="E29" s="81"/>
      <c r="F29" s="81"/>
      <c r="G29" s="440"/>
      <c r="H29" s="296"/>
      <c r="I29" s="296"/>
      <c r="J29" s="296"/>
      <c r="K29" s="296"/>
      <c r="L29" s="296"/>
      <c r="M29" s="296"/>
      <c r="N29" s="296"/>
      <c r="O29" s="81"/>
      <c r="P29" s="81"/>
      <c r="Q29" s="81"/>
      <c r="R29" s="81"/>
      <c r="S29" s="58"/>
      <c r="T29" s="58"/>
      <c r="U29" s="58"/>
      <c r="V29" s="58" t="e">
        <f>'DDR2 Strobes - 1x16'!$S$14</f>
        <v>#REF!</v>
      </c>
      <c r="W29" s="58"/>
      <c r="X29" s="58"/>
      <c r="Y29" s="58"/>
      <c r="Z29" s="608"/>
      <c r="AA29" s="58"/>
      <c r="AB29" s="58" t="e">
        <f>'DDR2 Strobes - 1x16'!$T$14</f>
        <v>#REF!</v>
      </c>
      <c r="AC29" s="58"/>
      <c r="AD29" s="58"/>
      <c r="AE29" s="58"/>
      <c r="AF29" s="608"/>
      <c r="AG29" s="608"/>
      <c r="AH29" s="608"/>
      <c r="AI29" s="608"/>
      <c r="AJ29" s="608"/>
      <c r="AK29" s="608"/>
      <c r="AL29" s="608"/>
      <c r="AM29" s="608"/>
      <c r="AN29" s="608"/>
      <c r="AO29" s="608"/>
      <c r="AP29" s="608"/>
      <c r="AQ29" s="608"/>
      <c r="AR29" s="608"/>
      <c r="AS29" s="58"/>
      <c r="AT29" s="554"/>
      <c r="AU29" s="554"/>
      <c r="AV29" s="554"/>
      <c r="AW29" s="3"/>
      <c r="AX29" s="3"/>
      <c r="AY29" s="3"/>
      <c r="AZ29" s="3"/>
      <c r="BA29" s="3"/>
      <c r="BB29" s="3"/>
      <c r="BC29" s="3"/>
      <c r="BD29" s="3"/>
      <c r="BE29" s="3"/>
      <c r="BF29" s="3"/>
      <c r="BG29" s="3"/>
      <c r="BH29" s="3"/>
      <c r="BI29" s="3"/>
      <c r="BJ29" s="3"/>
    </row>
    <row r="30" spans="1:62">
      <c r="A30" s="118" t="str">
        <f>'DDR2 Strobes - 1x16'!$A$15</f>
        <v>SA_DQS2#</v>
      </c>
      <c r="B30" s="486" t="str">
        <f>'DDR2 Strobes - 1x16'!$B$15</f>
        <v>AB22</v>
      </c>
      <c r="C30" s="660"/>
      <c r="D30" s="53"/>
      <c r="E30" s="81"/>
      <c r="F30" s="81"/>
      <c r="G30" s="440"/>
      <c r="H30" s="296"/>
      <c r="I30" s="296"/>
      <c r="J30" s="296"/>
      <c r="K30" s="296"/>
      <c r="L30" s="296"/>
      <c r="M30" s="296"/>
      <c r="N30" s="296"/>
      <c r="O30" s="81"/>
      <c r="P30" s="81"/>
      <c r="Q30" s="602"/>
      <c r="R30" s="602"/>
      <c r="S30" s="603"/>
      <c r="T30" s="603"/>
      <c r="U30" s="58"/>
      <c r="V30" s="58" t="e">
        <f>'DDR2 Strobes - 1x16'!$S$15</f>
        <v>#REF!</v>
      </c>
      <c r="W30" s="58"/>
      <c r="X30" s="58"/>
      <c r="Y30" s="58"/>
      <c r="Z30" s="608"/>
      <c r="AA30" s="58"/>
      <c r="AB30" s="58" t="e">
        <f>'DDR2 Strobes - 1x16'!$T$15</f>
        <v>#REF!</v>
      </c>
      <c r="AC30" s="58"/>
      <c r="AD30" s="58"/>
      <c r="AE30" s="58"/>
      <c r="AF30" s="608"/>
      <c r="AG30" s="608"/>
      <c r="AH30" s="608"/>
      <c r="AI30" s="609"/>
      <c r="AJ30" s="609"/>
      <c r="AK30" s="609"/>
      <c r="AL30" s="609"/>
      <c r="AM30" s="609"/>
      <c r="AN30" s="609"/>
      <c r="AO30" s="609"/>
      <c r="AP30" s="609"/>
      <c r="AQ30" s="609"/>
      <c r="AR30" s="609"/>
      <c r="AS30" s="58"/>
      <c r="AT30" s="554"/>
      <c r="AU30" s="554"/>
      <c r="AV30" s="554"/>
      <c r="AW30" s="3"/>
      <c r="AX30" s="3"/>
      <c r="AY30" s="3"/>
      <c r="AZ30" s="3"/>
      <c r="BA30" s="3"/>
      <c r="BB30" s="3"/>
      <c r="BC30" s="3"/>
      <c r="BD30" s="3"/>
      <c r="BE30" s="3"/>
      <c r="BF30" s="3"/>
      <c r="BG30" s="3"/>
      <c r="BH30" s="3"/>
      <c r="BI30" s="3"/>
      <c r="BJ30" s="3"/>
    </row>
    <row r="31" spans="1:62">
      <c r="A31" s="107" t="s">
        <v>138</v>
      </c>
      <c r="B31" s="480" t="s">
        <v>480</v>
      </c>
      <c r="C31" s="658">
        <v>532.63779527559052</v>
      </c>
      <c r="D31" s="18"/>
      <c r="E31" s="277">
        <v>29.7</v>
      </c>
      <c r="F31" s="277">
        <v>0</v>
      </c>
      <c r="G31" s="438">
        <v>1822.1436220472438</v>
      </c>
      <c r="H31" s="305">
        <v>82.37</v>
      </c>
      <c r="I31" s="277">
        <v>0</v>
      </c>
      <c r="J31" s="305">
        <v>59.57</v>
      </c>
      <c r="K31" s="277">
        <v>40</v>
      </c>
      <c r="L31" s="305">
        <v>62.17</v>
      </c>
      <c r="M31" s="305">
        <v>1040.69</v>
      </c>
      <c r="N31" s="305">
        <v>78</v>
      </c>
      <c r="O31" s="69"/>
      <c r="P31" s="489">
        <f xml:space="preserve"> E31+F31+G31+H31</f>
        <v>1934.2136220472439</v>
      </c>
      <c r="Q31" s="489">
        <f>SUM(E31:G31,I31:N31)</f>
        <v>3132.2736220472439</v>
      </c>
      <c r="R31" s="597"/>
      <c r="S31" s="489" t="e">
        <f>P31+IF($B$2="mil",1,0.0254)*C31</f>
        <v>#REF!</v>
      </c>
      <c r="T31" s="489" t="e">
        <f>Q31+IF($B$2="mil",1,0.0254)*C31</f>
        <v>#REF!</v>
      </c>
      <c r="U31" s="597"/>
      <c r="V31" s="489" t="e">
        <f>MAX(V$29:V$30)+IF($B$2="mil",1,0.0254)*DDR2Specs!$B$3</f>
        <v>#REF!</v>
      </c>
      <c r="W31" s="489" t="e">
        <f>MIN(V$29:V$30)+IF($B$2="mil",1,0.0254)*DDR2Specs!$C$3</f>
        <v>#REF!</v>
      </c>
      <c r="X31" s="21"/>
      <c r="Y31" s="598" t="e">
        <f>IF($S31&lt;$V31,$V31-$S31,"Pass")</f>
        <v>#REF!</v>
      </c>
      <c r="Z31" s="495" t="e">
        <f>IF($S31&gt;$W31,$S31-$W31,"Pass")</f>
        <v>#REF!</v>
      </c>
      <c r="AA31" s="21"/>
      <c r="AB31" s="489" t="e">
        <f>MAX(AB$29:AB$30)+IF($B$2="mil",1,0.0254)*DDR2Specs!$E$3</f>
        <v>#REF!</v>
      </c>
      <c r="AC31" s="489" t="e">
        <f>MIN(AB$29:AB$30)+IF($B$2="mil",1,0.0254)*DDR2Specs!$F$3</f>
        <v>#REF!</v>
      </c>
      <c r="AD31" s="21"/>
      <c r="AE31" s="598" t="e">
        <f t="shared" ref="AE31:AE39" si="42">IF($T31&lt;$AB31,$AB31-$T31,"Pass")</f>
        <v>#REF!</v>
      </c>
      <c r="AF31" s="495" t="e">
        <f t="shared" ref="AF31:AF39" si="43">IF($T31&gt;$AC31,$T31-$AC31,"Pass")</f>
        <v>#REF!</v>
      </c>
      <c r="AG31" s="495" t="e">
        <f t="shared" ref="AG31:AG39" si="44">IF($E31&lt;=IF($B$2="mil",1,0.0254)*50,"Pass",IF($B$2="mil",1,0.0254)*50-$E31)</f>
        <v>#REF!</v>
      </c>
      <c r="AH31" s="495" t="e">
        <f t="shared" ref="AH31:AH39" si="45">IF($F31&lt;=IF($B$2="mil",1,0.0254)*500,"Pass",IF($B$2="mil",1,0.0254)*500-$F31)</f>
        <v>#REF!</v>
      </c>
      <c r="AI31" s="495" t="e">
        <f t="shared" ref="AI31:AI39" si="46">IF($H31&lt;=IF($B$2="mil",1,0.0254)*250,"Pass",IF($B$2="mil",1,0.0254)*250-$H31)</f>
        <v>#REF!</v>
      </c>
      <c r="AJ31" s="495" t="e">
        <f t="shared" ref="AJ31:AJ39" ca="1" si="47">CheckLength(IF($B$2="mil",1,0.0254)*1125, IF($B$2="mil",1,0.0254)*125-J31, 0, I31,J31,0)</f>
        <v>#NAME?</v>
      </c>
      <c r="AK31" s="495" t="e">
        <f>IF($J31&lt;=IF($B$2="mil",1,0.0254)*125,"Pass",IF($B$2="mil",1,0.0254)*125-$J31)</f>
        <v>#REF!</v>
      </c>
      <c r="AL31" s="495" t="e">
        <f>IF($L31&lt;=IF($B$2="mil",1,0.0254)*125,"Pass",IF($B$2="mil",1,0.0254)*125-$L31)</f>
        <v>#REF!</v>
      </c>
      <c r="AM31" s="495" t="e">
        <f t="shared" ref="AM31:AM39" ca="1" si="48">CheckLength(IF($B$2="mil",1,0.0254)*1525, IF($B$2="mil",1,0.0254)*125-L31, IF($B$2="mil",1,0.0254)*150-N31, M31,L31,N31)</f>
        <v>#NAME?</v>
      </c>
      <c r="AN31" s="495" t="e">
        <f t="shared" ref="AN31:AN39" ca="1" si="49">CheckLength2(IF($B$2="mil",1,0.0254)*1400,M31,N31,0)</f>
        <v>#NAME?</v>
      </c>
      <c r="AO31" s="495" t="e">
        <f t="shared" ref="AO31:AO39" si="50">IF(AND($P31&gt;=IF($B$2="mil",1,0.0254)*500, $P31&lt;=IF($B$2="mil",1,0.0254)*4000),"Pass",IF($B$2="mil",1,0.0254)*4000-$P31)</f>
        <v>#REF!</v>
      </c>
      <c r="AP31" s="495" t="e">
        <f t="shared" ref="AP31:AP39" si="51">IF(AND($S31&gt;=IF($B$2="mil",1,0.0254)*500, $S31&lt;=IF($B$2="mil",1,0.0254)*4500),"Pass",IF($B$2="mil",1,0.0254)*4500-$S31)</f>
        <v>#REF!</v>
      </c>
      <c r="AQ31" s="495" t="e">
        <f t="shared" ref="AQ31:AQ39" si="52">IF(AND($Q31&gt;=IF($B$2="mil",1,0.0254)*500, $Q31&lt;=IF($B$2="mil",1,0.0254)*5500),"Pass",IF($B$2="mil",1,0.0254)*5500-$Q31)</f>
        <v>#REF!</v>
      </c>
      <c r="AR31" s="495" t="e">
        <f t="shared" ref="AR31:AR39" si="53">IF(AND($T31&gt;=IF($B$2="mil",1,0.0254)*500, $T31&lt;=IF($B$2="mil",1,0.0254)*6000),"Pass",IF($B$2="mil",1,0.0254)*6000-$T31)</f>
        <v>#REF!</v>
      </c>
      <c r="AS31" s="21"/>
      <c r="AT31" s="554" t="e">
        <f t="shared" ref="AT31:AT39" ca="1" si="54">IF(AND(AG31="Pass",AP31="Pass",AI31="Pass",AH31="Pass",AO31="Pass",Y31="Pass",Z31="Pass",AN31="Pass",AM31="Pass",AL31="Pass",AK31="Pass",AJ31="Pass",AE31="Pass",AF31="Pass",AQ31="Pass",AR31="Pass"),"Pass","Fail")</f>
        <v>#REF!</v>
      </c>
      <c r="AU31" s="554" t="e">
        <f ca="1">IF(AND(AT31="Pass",AT32="Pass",AT33="Pass",AT34="Pass",AT35="Pass",AT36="Pass",AT37="Pass",AT38="Pass",AT39="Pass"),"Pass","Fail")</f>
        <v>#REF!</v>
      </c>
      <c r="AV31" s="554"/>
      <c r="AW31" s="3"/>
      <c r="AX31" s="3"/>
      <c r="AY31" s="3"/>
      <c r="AZ31" s="3"/>
      <c r="BA31" s="3"/>
      <c r="BB31" s="3"/>
      <c r="BC31" s="3"/>
      <c r="BD31" s="3"/>
      <c r="BE31" s="3"/>
      <c r="BF31" s="3"/>
      <c r="BG31" s="3"/>
      <c r="BH31" s="3"/>
      <c r="BI31" s="3"/>
      <c r="BJ31" s="3"/>
    </row>
    <row r="32" spans="1:62">
      <c r="A32" s="107" t="s">
        <v>139</v>
      </c>
      <c r="B32" s="480" t="s">
        <v>481</v>
      </c>
      <c r="C32" s="658">
        <v>514.9212598425197</v>
      </c>
      <c r="D32" s="18"/>
      <c r="E32" s="277">
        <v>29.7</v>
      </c>
      <c r="F32" s="277">
        <v>0</v>
      </c>
      <c r="G32" s="438">
        <v>1788.937795275591</v>
      </c>
      <c r="H32" s="305">
        <v>127.19</v>
      </c>
      <c r="I32" s="277">
        <v>0</v>
      </c>
      <c r="J32" s="305">
        <v>111.43</v>
      </c>
      <c r="K32" s="277">
        <v>40</v>
      </c>
      <c r="L32" s="305">
        <v>66.900000000000006</v>
      </c>
      <c r="M32" s="305">
        <v>1041.8499999999999</v>
      </c>
      <c r="N32" s="305">
        <v>69.64</v>
      </c>
      <c r="O32" s="69"/>
      <c r="P32" s="489">
        <f t="shared" ref="P32:P39" si="55" xml:space="preserve"> E32+F32+G32+H32</f>
        <v>1945.8277952755911</v>
      </c>
      <c r="Q32" s="489">
        <f t="shared" ref="Q32:Q39" si="56">SUM(E32:G32,I32:N32)</f>
        <v>3148.4577952755913</v>
      </c>
      <c r="R32" s="597"/>
      <c r="S32" s="489" t="e">
        <f t="shared" ref="S32:S39" si="57">P32+IF($B$2="mil",1,0.0254)*C32</f>
        <v>#REF!</v>
      </c>
      <c r="T32" s="489" t="e">
        <f t="shared" ref="T32:T39" si="58">Q32+IF($B$2="mil",1,0.0254)*C32</f>
        <v>#REF!</v>
      </c>
      <c r="U32" s="597"/>
      <c r="V32" s="489" t="e">
        <f>MAX(V$29:V$30)+IF($B$2="mil",1,0.0254)*DDR2Specs!$B$3</f>
        <v>#REF!</v>
      </c>
      <c r="W32" s="489" t="e">
        <f>MIN(V$29:V$30)+IF($B$2="mil",1,0.0254)*DDR2Specs!$C$3</f>
        <v>#REF!</v>
      </c>
      <c r="X32" s="21"/>
      <c r="Y32" s="598" t="e">
        <f t="shared" ref="Y32:Y39" si="59">IF($S32&lt;$V32,$V32-$S32,"Pass")</f>
        <v>#REF!</v>
      </c>
      <c r="Z32" s="495" t="e">
        <f t="shared" ref="Z32:Z39" si="60">IF($S32&gt;$W32,$S32-$W32,"Pass")</f>
        <v>#REF!</v>
      </c>
      <c r="AA32" s="21"/>
      <c r="AB32" s="489" t="e">
        <f>MAX(AB$29:AB$30)+IF($B$2="mil",1,0.0254)*DDR2Specs!$E$3</f>
        <v>#REF!</v>
      </c>
      <c r="AC32" s="489" t="e">
        <f>MIN(AB$29:AB$30)+IF($B$2="mil",1,0.0254)*DDR2Specs!$F$3</f>
        <v>#REF!</v>
      </c>
      <c r="AD32" s="21"/>
      <c r="AE32" s="598" t="e">
        <f t="shared" si="42"/>
        <v>#REF!</v>
      </c>
      <c r="AF32" s="495" t="e">
        <f t="shared" si="43"/>
        <v>#REF!</v>
      </c>
      <c r="AG32" s="495" t="e">
        <f t="shared" si="44"/>
        <v>#REF!</v>
      </c>
      <c r="AH32" s="495" t="e">
        <f t="shared" si="45"/>
        <v>#REF!</v>
      </c>
      <c r="AI32" s="495" t="e">
        <f t="shared" si="46"/>
        <v>#REF!</v>
      </c>
      <c r="AJ32" s="495" t="e">
        <f t="shared" ca="1" si="47"/>
        <v>#NAME?</v>
      </c>
      <c r="AK32" s="495" t="e">
        <f t="shared" ref="AK32:AK39" si="61">IF($J32&lt;=IF($B$2="mil",1,0.0254)*125,"Pass",IF($B$2="mil",1,0.0254)*125-$J32)</f>
        <v>#REF!</v>
      </c>
      <c r="AL32" s="495" t="e">
        <f t="shared" ref="AL32:AL39" si="62">IF($L32&lt;=IF($B$2="mil",1,0.0254)*125,"Pass",IF($B$2="mil",1,0.0254)*125-$L32)</f>
        <v>#REF!</v>
      </c>
      <c r="AM32" s="495" t="e">
        <f t="shared" ca="1" si="48"/>
        <v>#NAME?</v>
      </c>
      <c r="AN32" s="495" t="e">
        <f t="shared" ca="1" si="49"/>
        <v>#NAME?</v>
      </c>
      <c r="AO32" s="495" t="e">
        <f t="shared" si="50"/>
        <v>#REF!</v>
      </c>
      <c r="AP32" s="495" t="e">
        <f t="shared" si="51"/>
        <v>#REF!</v>
      </c>
      <c r="AQ32" s="495" t="e">
        <f t="shared" si="52"/>
        <v>#REF!</v>
      </c>
      <c r="AR32" s="495" t="e">
        <f t="shared" si="53"/>
        <v>#REF!</v>
      </c>
      <c r="AS32" s="21"/>
      <c r="AT32" s="554" t="e">
        <f t="shared" ca="1" si="54"/>
        <v>#REF!</v>
      </c>
      <c r="AU32" s="554"/>
      <c r="AV32" s="554"/>
      <c r="AW32" s="3"/>
      <c r="AX32" s="3"/>
      <c r="AY32" s="3"/>
      <c r="AZ32" s="3"/>
      <c r="BA32" s="3"/>
      <c r="BB32" s="3"/>
      <c r="BC32" s="3"/>
      <c r="BD32" s="3"/>
      <c r="BE32" s="3"/>
      <c r="BF32" s="3"/>
      <c r="BG32" s="3"/>
      <c r="BH32" s="3"/>
      <c r="BI32" s="3"/>
      <c r="BJ32" s="3"/>
    </row>
    <row r="33" spans="1:62">
      <c r="A33" s="107" t="s">
        <v>140</v>
      </c>
      <c r="B33" s="480" t="s">
        <v>482</v>
      </c>
      <c r="C33" s="658">
        <v>468.18897637795277</v>
      </c>
      <c r="D33" s="18"/>
      <c r="E33" s="277">
        <v>29.7</v>
      </c>
      <c r="F33" s="277">
        <v>0</v>
      </c>
      <c r="G33" s="438">
        <v>2028.1941732283458</v>
      </c>
      <c r="H33" s="305">
        <v>71.91</v>
      </c>
      <c r="I33" s="277">
        <v>0</v>
      </c>
      <c r="J33" s="305">
        <v>56.64</v>
      </c>
      <c r="K33" s="277">
        <v>40</v>
      </c>
      <c r="L33" s="305">
        <v>76.23</v>
      </c>
      <c r="M33" s="305">
        <v>1058.99</v>
      </c>
      <c r="N33" s="305">
        <v>37</v>
      </c>
      <c r="O33" s="69"/>
      <c r="P33" s="489">
        <f t="shared" si="55"/>
        <v>2129.8041732283455</v>
      </c>
      <c r="Q33" s="489">
        <f t="shared" si="56"/>
        <v>3326.7541732283453</v>
      </c>
      <c r="R33" s="597"/>
      <c r="S33" s="489" t="e">
        <f t="shared" si="57"/>
        <v>#REF!</v>
      </c>
      <c r="T33" s="489" t="e">
        <f t="shared" si="58"/>
        <v>#REF!</v>
      </c>
      <c r="U33" s="597"/>
      <c r="V33" s="489" t="e">
        <f>MAX(V$29:V$30)+IF($B$2="mil",1,0.0254)*DDR2Specs!$B$3</f>
        <v>#REF!</v>
      </c>
      <c r="W33" s="489" t="e">
        <f>MIN(V$29:V$30)+IF($B$2="mil",1,0.0254)*DDR2Specs!$C$3</f>
        <v>#REF!</v>
      </c>
      <c r="X33" s="21"/>
      <c r="Y33" s="598" t="e">
        <f t="shared" si="59"/>
        <v>#REF!</v>
      </c>
      <c r="Z33" s="495" t="e">
        <f t="shared" si="60"/>
        <v>#REF!</v>
      </c>
      <c r="AA33" s="21"/>
      <c r="AB33" s="489" t="e">
        <f>MAX(AB$29:AB$30)+IF($B$2="mil",1,0.0254)*DDR2Specs!$E$3</f>
        <v>#REF!</v>
      </c>
      <c r="AC33" s="489" t="e">
        <f>MIN(AB$29:AB$30)+IF($B$2="mil",1,0.0254)*DDR2Specs!$F$3</f>
        <v>#REF!</v>
      </c>
      <c r="AD33" s="21"/>
      <c r="AE33" s="598" t="e">
        <f t="shared" si="42"/>
        <v>#REF!</v>
      </c>
      <c r="AF33" s="495" t="e">
        <f t="shared" si="43"/>
        <v>#REF!</v>
      </c>
      <c r="AG33" s="495" t="e">
        <f t="shared" si="44"/>
        <v>#REF!</v>
      </c>
      <c r="AH33" s="495" t="e">
        <f t="shared" si="45"/>
        <v>#REF!</v>
      </c>
      <c r="AI33" s="495" t="e">
        <f t="shared" si="46"/>
        <v>#REF!</v>
      </c>
      <c r="AJ33" s="495" t="e">
        <f t="shared" ca="1" si="47"/>
        <v>#NAME?</v>
      </c>
      <c r="AK33" s="495" t="e">
        <f t="shared" si="61"/>
        <v>#REF!</v>
      </c>
      <c r="AL33" s="495" t="e">
        <f t="shared" si="62"/>
        <v>#REF!</v>
      </c>
      <c r="AM33" s="495" t="e">
        <f t="shared" ca="1" si="48"/>
        <v>#NAME?</v>
      </c>
      <c r="AN33" s="495" t="e">
        <f t="shared" ca="1" si="49"/>
        <v>#NAME?</v>
      </c>
      <c r="AO33" s="495" t="e">
        <f t="shared" si="50"/>
        <v>#REF!</v>
      </c>
      <c r="AP33" s="495" t="e">
        <f t="shared" si="51"/>
        <v>#REF!</v>
      </c>
      <c r="AQ33" s="495" t="e">
        <f t="shared" si="52"/>
        <v>#REF!</v>
      </c>
      <c r="AR33" s="495" t="e">
        <f t="shared" si="53"/>
        <v>#REF!</v>
      </c>
      <c r="AS33" s="21"/>
      <c r="AT33" s="554" t="e">
        <f t="shared" ca="1" si="54"/>
        <v>#REF!</v>
      </c>
      <c r="AU33" s="554"/>
      <c r="AV33" s="554"/>
      <c r="AW33" s="3"/>
      <c r="AX33" s="3"/>
      <c r="AY33" s="3"/>
      <c r="AZ33" s="3"/>
      <c r="BA33" s="3"/>
      <c r="BB33" s="3"/>
      <c r="BC33" s="3"/>
      <c r="BD33" s="3"/>
      <c r="BE33" s="3"/>
      <c r="BF33" s="3"/>
      <c r="BG33" s="3"/>
      <c r="BH33" s="3"/>
      <c r="BI33" s="3"/>
      <c r="BJ33" s="3"/>
    </row>
    <row r="34" spans="1:62">
      <c r="A34" s="107" t="s">
        <v>141</v>
      </c>
      <c r="B34" s="480" t="s">
        <v>483</v>
      </c>
      <c r="C34" s="658">
        <v>494.40944881889766</v>
      </c>
      <c r="D34" s="18"/>
      <c r="E34" s="277">
        <v>29.7</v>
      </c>
      <c r="F34" s="277">
        <v>0</v>
      </c>
      <c r="G34" s="438">
        <v>1996.2605511811021</v>
      </c>
      <c r="H34" s="305">
        <v>72.819999999999993</v>
      </c>
      <c r="I34" s="277">
        <v>0</v>
      </c>
      <c r="J34" s="305">
        <v>58.71</v>
      </c>
      <c r="K34" s="277">
        <v>40</v>
      </c>
      <c r="L34" s="305">
        <v>100.8</v>
      </c>
      <c r="M34" s="305">
        <v>1041.04</v>
      </c>
      <c r="N34" s="305">
        <v>31.49</v>
      </c>
      <c r="O34" s="69"/>
      <c r="P34" s="489">
        <f t="shared" si="55"/>
        <v>2098.7805511811021</v>
      </c>
      <c r="Q34" s="489">
        <f t="shared" si="56"/>
        <v>3298.0005511811019</v>
      </c>
      <c r="R34" s="597"/>
      <c r="S34" s="489" t="e">
        <f t="shared" si="57"/>
        <v>#REF!</v>
      </c>
      <c r="T34" s="489" t="e">
        <f t="shared" si="58"/>
        <v>#REF!</v>
      </c>
      <c r="U34" s="597"/>
      <c r="V34" s="489" t="e">
        <f>MAX(V$29:V$30)+IF($B$2="mil",1,0.0254)*DDR2Specs!$B$3</f>
        <v>#REF!</v>
      </c>
      <c r="W34" s="489" t="e">
        <f>MIN(V$29:V$30)+IF($B$2="mil",1,0.0254)*DDR2Specs!$C$3</f>
        <v>#REF!</v>
      </c>
      <c r="X34" s="21"/>
      <c r="Y34" s="598" t="e">
        <f t="shared" si="59"/>
        <v>#REF!</v>
      </c>
      <c r="Z34" s="495" t="e">
        <f t="shared" si="60"/>
        <v>#REF!</v>
      </c>
      <c r="AA34" s="21"/>
      <c r="AB34" s="489" t="e">
        <f>MAX(AB$29:AB$30)+IF($B$2="mil",1,0.0254)*DDR2Specs!$E$3</f>
        <v>#REF!</v>
      </c>
      <c r="AC34" s="489" t="e">
        <f>MIN(AB$29:AB$30)+IF($B$2="mil",1,0.0254)*DDR2Specs!$F$3</f>
        <v>#REF!</v>
      </c>
      <c r="AD34" s="21"/>
      <c r="AE34" s="598" t="e">
        <f t="shared" si="42"/>
        <v>#REF!</v>
      </c>
      <c r="AF34" s="495" t="e">
        <f t="shared" si="43"/>
        <v>#REF!</v>
      </c>
      <c r="AG34" s="495" t="e">
        <f t="shared" si="44"/>
        <v>#REF!</v>
      </c>
      <c r="AH34" s="495" t="e">
        <f t="shared" si="45"/>
        <v>#REF!</v>
      </c>
      <c r="AI34" s="495" t="e">
        <f t="shared" si="46"/>
        <v>#REF!</v>
      </c>
      <c r="AJ34" s="495" t="e">
        <f t="shared" ca="1" si="47"/>
        <v>#NAME?</v>
      </c>
      <c r="AK34" s="495" t="e">
        <f t="shared" si="61"/>
        <v>#REF!</v>
      </c>
      <c r="AL34" s="495" t="e">
        <f t="shared" si="62"/>
        <v>#REF!</v>
      </c>
      <c r="AM34" s="495" t="e">
        <f t="shared" ca="1" si="48"/>
        <v>#NAME?</v>
      </c>
      <c r="AN34" s="495" t="e">
        <f t="shared" ca="1" si="49"/>
        <v>#NAME?</v>
      </c>
      <c r="AO34" s="495" t="e">
        <f t="shared" si="50"/>
        <v>#REF!</v>
      </c>
      <c r="AP34" s="495" t="e">
        <f t="shared" si="51"/>
        <v>#REF!</v>
      </c>
      <c r="AQ34" s="495" t="e">
        <f t="shared" si="52"/>
        <v>#REF!</v>
      </c>
      <c r="AR34" s="495" t="e">
        <f t="shared" si="53"/>
        <v>#REF!</v>
      </c>
      <c r="AS34" s="21"/>
      <c r="AT34" s="554" t="e">
        <f t="shared" ca="1" si="54"/>
        <v>#REF!</v>
      </c>
      <c r="AU34" s="554"/>
      <c r="AV34" s="554"/>
      <c r="AW34" s="3"/>
      <c r="AX34" s="3"/>
      <c r="AY34" s="3"/>
      <c r="AZ34" s="3"/>
      <c r="BA34" s="3"/>
      <c r="BB34" s="3"/>
      <c r="BC34" s="3"/>
      <c r="BD34" s="3"/>
      <c r="BE34" s="3"/>
      <c r="BF34" s="3"/>
      <c r="BG34" s="3"/>
      <c r="BH34" s="3"/>
      <c r="BI34" s="3"/>
      <c r="BJ34" s="3"/>
    </row>
    <row r="35" spans="1:62">
      <c r="A35" s="107" t="s">
        <v>142</v>
      </c>
      <c r="B35" s="480" t="s">
        <v>484</v>
      </c>
      <c r="C35" s="658">
        <v>570.90551181102364</v>
      </c>
      <c r="D35" s="18"/>
      <c r="E35" s="277">
        <v>29.7</v>
      </c>
      <c r="F35" s="277">
        <v>0</v>
      </c>
      <c r="G35" s="438">
        <v>1977.313149606299</v>
      </c>
      <c r="H35" s="305">
        <v>85.98</v>
      </c>
      <c r="I35" s="277">
        <v>0</v>
      </c>
      <c r="J35" s="305">
        <v>59.57</v>
      </c>
      <c r="K35" s="277">
        <v>40</v>
      </c>
      <c r="L35" s="305">
        <v>100.86</v>
      </c>
      <c r="M35" s="305">
        <v>1046.93</v>
      </c>
      <c r="N35" s="305">
        <v>36</v>
      </c>
      <c r="O35" s="69"/>
      <c r="P35" s="489">
        <f t="shared" si="55"/>
        <v>2092.9931496062991</v>
      </c>
      <c r="Q35" s="489">
        <f t="shared" si="56"/>
        <v>3290.3731496062992</v>
      </c>
      <c r="R35" s="597"/>
      <c r="S35" s="489" t="e">
        <f t="shared" si="57"/>
        <v>#REF!</v>
      </c>
      <c r="T35" s="489" t="e">
        <f t="shared" si="58"/>
        <v>#REF!</v>
      </c>
      <c r="U35" s="597"/>
      <c r="V35" s="489" t="e">
        <f>MAX(V$29:V$30)+IF($B$2="mil",1,0.0254)*DDR2Specs!$B$3</f>
        <v>#REF!</v>
      </c>
      <c r="W35" s="489" t="e">
        <f>MIN(V$29:V$30)+IF($B$2="mil",1,0.0254)*DDR2Specs!$C$3</f>
        <v>#REF!</v>
      </c>
      <c r="X35" s="21"/>
      <c r="Y35" s="598" t="e">
        <f t="shared" si="59"/>
        <v>#REF!</v>
      </c>
      <c r="Z35" s="495" t="e">
        <f t="shared" si="60"/>
        <v>#REF!</v>
      </c>
      <c r="AA35" s="21"/>
      <c r="AB35" s="489" t="e">
        <f>MAX(AB$29:AB$30)+IF($B$2="mil",1,0.0254)*DDR2Specs!$E$3</f>
        <v>#REF!</v>
      </c>
      <c r="AC35" s="489" t="e">
        <f>MIN(AB$29:AB$30)+IF($B$2="mil",1,0.0254)*DDR2Specs!$F$3</f>
        <v>#REF!</v>
      </c>
      <c r="AD35" s="21"/>
      <c r="AE35" s="598" t="e">
        <f t="shared" si="42"/>
        <v>#REF!</v>
      </c>
      <c r="AF35" s="495" t="e">
        <f t="shared" si="43"/>
        <v>#REF!</v>
      </c>
      <c r="AG35" s="495" t="e">
        <f t="shared" si="44"/>
        <v>#REF!</v>
      </c>
      <c r="AH35" s="495" t="e">
        <f t="shared" si="45"/>
        <v>#REF!</v>
      </c>
      <c r="AI35" s="495" t="e">
        <f t="shared" si="46"/>
        <v>#REF!</v>
      </c>
      <c r="AJ35" s="495" t="e">
        <f t="shared" ca="1" si="47"/>
        <v>#NAME?</v>
      </c>
      <c r="AK35" s="495" t="e">
        <f t="shared" si="61"/>
        <v>#REF!</v>
      </c>
      <c r="AL35" s="495" t="e">
        <f t="shared" si="62"/>
        <v>#REF!</v>
      </c>
      <c r="AM35" s="495" t="e">
        <f t="shared" ca="1" si="48"/>
        <v>#NAME?</v>
      </c>
      <c r="AN35" s="495" t="e">
        <f t="shared" ca="1" si="49"/>
        <v>#NAME?</v>
      </c>
      <c r="AO35" s="495" t="e">
        <f t="shared" si="50"/>
        <v>#REF!</v>
      </c>
      <c r="AP35" s="495" t="e">
        <f t="shared" si="51"/>
        <v>#REF!</v>
      </c>
      <c r="AQ35" s="495" t="e">
        <f t="shared" si="52"/>
        <v>#REF!</v>
      </c>
      <c r="AR35" s="495" t="e">
        <f t="shared" si="53"/>
        <v>#REF!</v>
      </c>
      <c r="AS35" s="21"/>
      <c r="AT35" s="554" t="e">
        <f t="shared" ca="1" si="54"/>
        <v>#REF!</v>
      </c>
      <c r="AU35" s="554"/>
      <c r="AV35" s="554"/>
      <c r="AW35" s="3"/>
      <c r="AX35" s="3"/>
      <c r="AY35" s="3"/>
      <c r="AZ35" s="3"/>
      <c r="BA35" s="3"/>
      <c r="BB35" s="3"/>
      <c r="BC35" s="3"/>
      <c r="BD35" s="3"/>
      <c r="BE35" s="3"/>
      <c r="BF35" s="3"/>
      <c r="BG35" s="3"/>
      <c r="BH35" s="3"/>
      <c r="BI35" s="3"/>
      <c r="BJ35" s="3"/>
    </row>
    <row r="36" spans="1:62">
      <c r="A36" s="107" t="s">
        <v>143</v>
      </c>
      <c r="B36" s="480" t="s">
        <v>349</v>
      </c>
      <c r="C36" s="658">
        <v>498.14960629921262</v>
      </c>
      <c r="D36" s="18"/>
      <c r="E36" s="277">
        <v>29.7</v>
      </c>
      <c r="F36" s="277">
        <v>0</v>
      </c>
      <c r="G36" s="438">
        <v>1825.338267716535</v>
      </c>
      <c r="H36" s="305">
        <v>122.01</v>
      </c>
      <c r="I36" s="277">
        <v>0</v>
      </c>
      <c r="J36" s="305">
        <v>108.21</v>
      </c>
      <c r="K36" s="277">
        <v>40</v>
      </c>
      <c r="L36" s="305">
        <v>56.86</v>
      </c>
      <c r="M36" s="305">
        <v>1015.04</v>
      </c>
      <c r="N36" s="305">
        <v>106.79</v>
      </c>
      <c r="O36" s="69"/>
      <c r="P36" s="489">
        <f t="shared" si="55"/>
        <v>1977.0482677165351</v>
      </c>
      <c r="Q36" s="489">
        <f t="shared" si="56"/>
        <v>3181.9382677165349</v>
      </c>
      <c r="R36" s="597"/>
      <c r="S36" s="489" t="e">
        <f t="shared" si="57"/>
        <v>#REF!</v>
      </c>
      <c r="T36" s="489" t="e">
        <f t="shared" si="58"/>
        <v>#REF!</v>
      </c>
      <c r="U36" s="597"/>
      <c r="V36" s="489" t="e">
        <f>MAX(V$29:V$30)+IF($B$2="mil",1,0.0254)*DDR2Specs!$B$3</f>
        <v>#REF!</v>
      </c>
      <c r="W36" s="489" t="e">
        <f>MIN(V$29:V$30)+IF($B$2="mil",1,0.0254)*DDR2Specs!$C$3</f>
        <v>#REF!</v>
      </c>
      <c r="X36" s="21"/>
      <c r="Y36" s="598" t="e">
        <f t="shared" si="59"/>
        <v>#REF!</v>
      </c>
      <c r="Z36" s="495" t="e">
        <f t="shared" si="60"/>
        <v>#REF!</v>
      </c>
      <c r="AA36" s="21"/>
      <c r="AB36" s="489" t="e">
        <f>MAX(AB$29:AB$30)+IF($B$2="mil",1,0.0254)*DDR2Specs!$E$3</f>
        <v>#REF!</v>
      </c>
      <c r="AC36" s="489" t="e">
        <f>MIN(AB$29:AB$30)+IF($B$2="mil",1,0.0254)*DDR2Specs!$F$3</f>
        <v>#REF!</v>
      </c>
      <c r="AD36" s="21"/>
      <c r="AE36" s="598" t="e">
        <f t="shared" si="42"/>
        <v>#REF!</v>
      </c>
      <c r="AF36" s="495" t="e">
        <f t="shared" si="43"/>
        <v>#REF!</v>
      </c>
      <c r="AG36" s="495" t="e">
        <f t="shared" si="44"/>
        <v>#REF!</v>
      </c>
      <c r="AH36" s="495" t="e">
        <f t="shared" si="45"/>
        <v>#REF!</v>
      </c>
      <c r="AI36" s="495" t="e">
        <f t="shared" si="46"/>
        <v>#REF!</v>
      </c>
      <c r="AJ36" s="495" t="e">
        <f t="shared" ca="1" si="47"/>
        <v>#NAME?</v>
      </c>
      <c r="AK36" s="495" t="e">
        <f t="shared" si="61"/>
        <v>#REF!</v>
      </c>
      <c r="AL36" s="495" t="e">
        <f t="shared" si="62"/>
        <v>#REF!</v>
      </c>
      <c r="AM36" s="495" t="e">
        <f t="shared" ca="1" si="48"/>
        <v>#NAME?</v>
      </c>
      <c r="AN36" s="495" t="e">
        <f t="shared" ca="1" si="49"/>
        <v>#NAME?</v>
      </c>
      <c r="AO36" s="495" t="e">
        <f t="shared" si="50"/>
        <v>#REF!</v>
      </c>
      <c r="AP36" s="495" t="e">
        <f t="shared" si="51"/>
        <v>#REF!</v>
      </c>
      <c r="AQ36" s="495" t="e">
        <f t="shared" si="52"/>
        <v>#REF!</v>
      </c>
      <c r="AR36" s="495" t="e">
        <f t="shared" si="53"/>
        <v>#REF!</v>
      </c>
      <c r="AS36" s="21"/>
      <c r="AT36" s="554" t="e">
        <f t="shared" ca="1" si="54"/>
        <v>#REF!</v>
      </c>
      <c r="AU36" s="554"/>
      <c r="AV36" s="554"/>
      <c r="AW36" s="3"/>
      <c r="AX36" s="3"/>
      <c r="AY36" s="3"/>
      <c r="AZ36" s="3"/>
      <c r="BA36" s="3"/>
      <c r="BB36" s="3"/>
      <c r="BC36" s="3"/>
      <c r="BD36" s="3"/>
      <c r="BE36" s="3"/>
      <c r="BF36" s="3"/>
      <c r="BG36" s="3"/>
      <c r="BH36" s="3"/>
      <c r="BI36" s="3"/>
      <c r="BJ36" s="3"/>
    </row>
    <row r="37" spans="1:62">
      <c r="A37" s="107" t="s">
        <v>144</v>
      </c>
      <c r="B37" s="480" t="s">
        <v>347</v>
      </c>
      <c r="C37" s="658">
        <v>466.29921259842519</v>
      </c>
      <c r="D37" s="18"/>
      <c r="E37" s="277">
        <v>29.7</v>
      </c>
      <c r="F37" s="277">
        <v>0</v>
      </c>
      <c r="G37" s="438">
        <v>1928.5582677165351</v>
      </c>
      <c r="H37" s="305">
        <v>73.790000000000006</v>
      </c>
      <c r="I37" s="277">
        <v>0</v>
      </c>
      <c r="J37" s="305">
        <v>60.78</v>
      </c>
      <c r="K37" s="277">
        <v>40</v>
      </c>
      <c r="L37" s="305">
        <v>90.78</v>
      </c>
      <c r="M37" s="305">
        <v>1010.31</v>
      </c>
      <c r="N37" s="305">
        <v>71.53</v>
      </c>
      <c r="O37" s="69"/>
      <c r="P37" s="489">
        <f t="shared" si="55"/>
        <v>2032.0482677165351</v>
      </c>
      <c r="Q37" s="489">
        <f t="shared" si="56"/>
        <v>3231.6582677165356</v>
      </c>
      <c r="R37" s="597"/>
      <c r="S37" s="489" t="e">
        <f t="shared" si="57"/>
        <v>#REF!</v>
      </c>
      <c r="T37" s="489" t="e">
        <f t="shared" si="58"/>
        <v>#REF!</v>
      </c>
      <c r="U37" s="597"/>
      <c r="V37" s="489" t="e">
        <f>MAX(V$29:V$30)+IF($B$2="mil",1,0.0254)*DDR2Specs!$B$3</f>
        <v>#REF!</v>
      </c>
      <c r="W37" s="489" t="e">
        <f>MIN(V$29:V$30)+IF($B$2="mil",1,0.0254)*DDR2Specs!$C$3</f>
        <v>#REF!</v>
      </c>
      <c r="X37" s="21"/>
      <c r="Y37" s="598" t="e">
        <f t="shared" si="59"/>
        <v>#REF!</v>
      </c>
      <c r="Z37" s="495" t="e">
        <f t="shared" si="60"/>
        <v>#REF!</v>
      </c>
      <c r="AA37" s="21"/>
      <c r="AB37" s="489" t="e">
        <f>MAX(AB$29:AB$30)+IF($B$2="mil",1,0.0254)*DDR2Specs!$E$3</f>
        <v>#REF!</v>
      </c>
      <c r="AC37" s="489" t="e">
        <f>MIN(AB$29:AB$30)+IF($B$2="mil",1,0.0254)*DDR2Specs!$F$3</f>
        <v>#REF!</v>
      </c>
      <c r="AD37" s="21"/>
      <c r="AE37" s="598" t="e">
        <f t="shared" si="42"/>
        <v>#REF!</v>
      </c>
      <c r="AF37" s="495" t="e">
        <f t="shared" si="43"/>
        <v>#REF!</v>
      </c>
      <c r="AG37" s="495" t="e">
        <f t="shared" si="44"/>
        <v>#REF!</v>
      </c>
      <c r="AH37" s="495" t="e">
        <f t="shared" si="45"/>
        <v>#REF!</v>
      </c>
      <c r="AI37" s="495" t="e">
        <f t="shared" si="46"/>
        <v>#REF!</v>
      </c>
      <c r="AJ37" s="495" t="e">
        <f t="shared" ca="1" si="47"/>
        <v>#NAME?</v>
      </c>
      <c r="AK37" s="495" t="e">
        <f t="shared" si="61"/>
        <v>#REF!</v>
      </c>
      <c r="AL37" s="495" t="e">
        <f t="shared" si="62"/>
        <v>#REF!</v>
      </c>
      <c r="AM37" s="495" t="e">
        <f t="shared" ca="1" si="48"/>
        <v>#NAME?</v>
      </c>
      <c r="AN37" s="495" t="e">
        <f t="shared" ca="1" si="49"/>
        <v>#NAME?</v>
      </c>
      <c r="AO37" s="495" t="e">
        <f t="shared" si="50"/>
        <v>#REF!</v>
      </c>
      <c r="AP37" s="495" t="e">
        <f t="shared" si="51"/>
        <v>#REF!</v>
      </c>
      <c r="AQ37" s="495" t="e">
        <f t="shared" si="52"/>
        <v>#REF!</v>
      </c>
      <c r="AR37" s="495" t="e">
        <f t="shared" si="53"/>
        <v>#REF!</v>
      </c>
      <c r="AS37" s="21"/>
      <c r="AT37" s="554" t="e">
        <f t="shared" ca="1" si="54"/>
        <v>#REF!</v>
      </c>
      <c r="AU37" s="554"/>
      <c r="AV37" s="554"/>
      <c r="AW37" s="3"/>
      <c r="AX37" s="3"/>
      <c r="AY37" s="3"/>
      <c r="AZ37" s="3"/>
      <c r="BA37" s="3"/>
      <c r="BB37" s="3"/>
      <c r="BC37" s="3"/>
      <c r="BD37" s="3"/>
      <c r="BE37" s="3"/>
      <c r="BF37" s="3"/>
      <c r="BG37" s="3"/>
      <c r="BH37" s="3"/>
      <c r="BI37" s="3"/>
      <c r="BJ37" s="3"/>
    </row>
    <row r="38" spans="1:62">
      <c r="A38" s="107" t="s">
        <v>145</v>
      </c>
      <c r="B38" s="480" t="s">
        <v>354</v>
      </c>
      <c r="C38" s="658">
        <v>475.51181102362204</v>
      </c>
      <c r="D38" s="18"/>
      <c r="E38" s="277">
        <v>29.7</v>
      </c>
      <c r="F38" s="277">
        <v>0</v>
      </c>
      <c r="G38" s="438">
        <v>1950.4785039370081</v>
      </c>
      <c r="H38" s="305">
        <v>119.98</v>
      </c>
      <c r="I38" s="277">
        <v>0</v>
      </c>
      <c r="J38" s="305">
        <v>97.2</v>
      </c>
      <c r="K38" s="277">
        <v>40</v>
      </c>
      <c r="L38" s="305">
        <v>97</v>
      </c>
      <c r="M38" s="305">
        <v>1012.41</v>
      </c>
      <c r="N38" s="305">
        <v>76.06</v>
      </c>
      <c r="O38" s="69"/>
      <c r="P38" s="489">
        <f t="shared" si="55"/>
        <v>2100.1585039370079</v>
      </c>
      <c r="Q38" s="489">
        <f t="shared" si="56"/>
        <v>3302.848503937008</v>
      </c>
      <c r="R38" s="597"/>
      <c r="S38" s="489" t="e">
        <f t="shared" si="57"/>
        <v>#REF!</v>
      </c>
      <c r="T38" s="489" t="e">
        <f t="shared" si="58"/>
        <v>#REF!</v>
      </c>
      <c r="U38" s="597"/>
      <c r="V38" s="489" t="e">
        <f>MAX(V$29:V$30)+IF($B$2="mil",1,0.0254)*DDR2Specs!$B$3</f>
        <v>#REF!</v>
      </c>
      <c r="W38" s="489" t="e">
        <f>MIN(V$29:V$30)+IF($B$2="mil",1,0.0254)*DDR2Specs!$C$3</f>
        <v>#REF!</v>
      </c>
      <c r="X38" s="21"/>
      <c r="Y38" s="598" t="e">
        <f t="shared" si="59"/>
        <v>#REF!</v>
      </c>
      <c r="Z38" s="495" t="e">
        <f t="shared" si="60"/>
        <v>#REF!</v>
      </c>
      <c r="AA38" s="21"/>
      <c r="AB38" s="489" t="e">
        <f>MAX(AB$29:AB$30)+IF($B$2="mil",1,0.0254)*DDR2Specs!$E$3</f>
        <v>#REF!</v>
      </c>
      <c r="AC38" s="489" t="e">
        <f>MIN(AB$29:AB$30)+IF($B$2="mil",1,0.0254)*DDR2Specs!$F$3</f>
        <v>#REF!</v>
      </c>
      <c r="AD38" s="21"/>
      <c r="AE38" s="598" t="e">
        <f t="shared" si="42"/>
        <v>#REF!</v>
      </c>
      <c r="AF38" s="495" t="e">
        <f t="shared" si="43"/>
        <v>#REF!</v>
      </c>
      <c r="AG38" s="495" t="e">
        <f t="shared" si="44"/>
        <v>#REF!</v>
      </c>
      <c r="AH38" s="495" t="e">
        <f t="shared" si="45"/>
        <v>#REF!</v>
      </c>
      <c r="AI38" s="495" t="e">
        <f t="shared" si="46"/>
        <v>#REF!</v>
      </c>
      <c r="AJ38" s="495" t="e">
        <f t="shared" ca="1" si="47"/>
        <v>#NAME?</v>
      </c>
      <c r="AK38" s="495" t="e">
        <f t="shared" si="61"/>
        <v>#REF!</v>
      </c>
      <c r="AL38" s="495" t="e">
        <f t="shared" si="62"/>
        <v>#REF!</v>
      </c>
      <c r="AM38" s="495" t="e">
        <f t="shared" ca="1" si="48"/>
        <v>#NAME?</v>
      </c>
      <c r="AN38" s="495" t="e">
        <f t="shared" ca="1" si="49"/>
        <v>#NAME?</v>
      </c>
      <c r="AO38" s="495" t="e">
        <f t="shared" si="50"/>
        <v>#REF!</v>
      </c>
      <c r="AP38" s="495" t="e">
        <f t="shared" si="51"/>
        <v>#REF!</v>
      </c>
      <c r="AQ38" s="495" t="e">
        <f t="shared" si="52"/>
        <v>#REF!</v>
      </c>
      <c r="AR38" s="495" t="e">
        <f t="shared" si="53"/>
        <v>#REF!</v>
      </c>
      <c r="AS38" s="21"/>
      <c r="AT38" s="554" t="e">
        <f t="shared" ca="1" si="54"/>
        <v>#REF!</v>
      </c>
      <c r="AU38" s="554"/>
      <c r="AV38" s="554"/>
      <c r="AW38" s="3"/>
      <c r="AX38" s="3"/>
      <c r="AY38" s="3"/>
      <c r="AZ38" s="3"/>
      <c r="BA38" s="3"/>
      <c r="BB38" s="3"/>
      <c r="BC38" s="3"/>
      <c r="BD38" s="3"/>
      <c r="BE38" s="3"/>
      <c r="BF38" s="3"/>
      <c r="BG38" s="3"/>
      <c r="BH38" s="3"/>
      <c r="BI38" s="3"/>
      <c r="BJ38" s="3"/>
    </row>
    <row r="39" spans="1:62">
      <c r="A39" s="128" t="s">
        <v>146</v>
      </c>
      <c r="B39" s="484" t="s">
        <v>518</v>
      </c>
      <c r="C39" s="658">
        <v>464.48818897637796</v>
      </c>
      <c r="D39" s="18"/>
      <c r="E39" s="277">
        <v>29.7</v>
      </c>
      <c r="F39" s="277">
        <v>0</v>
      </c>
      <c r="G39" s="438">
        <v>1967.15</v>
      </c>
      <c r="H39" s="305">
        <v>77.84</v>
      </c>
      <c r="I39" s="277">
        <v>0</v>
      </c>
      <c r="J39" s="305">
        <v>56.64</v>
      </c>
      <c r="K39" s="277">
        <v>40</v>
      </c>
      <c r="L39" s="305">
        <v>94.93</v>
      </c>
      <c r="M39" s="305">
        <v>1052.75</v>
      </c>
      <c r="N39" s="305">
        <v>31.49</v>
      </c>
      <c r="O39" s="69"/>
      <c r="P39" s="489">
        <f t="shared" si="55"/>
        <v>2074.69</v>
      </c>
      <c r="Q39" s="489">
        <f t="shared" si="56"/>
        <v>3272.66</v>
      </c>
      <c r="R39" s="597"/>
      <c r="S39" s="489" t="e">
        <f t="shared" si="57"/>
        <v>#REF!</v>
      </c>
      <c r="T39" s="489" t="e">
        <f t="shared" si="58"/>
        <v>#REF!</v>
      </c>
      <c r="U39" s="597"/>
      <c r="V39" s="489" t="e">
        <f>MAX(V$29:V$30)+IF($B$2="mil",1,0.0254)*DDR2Specs!$B$3</f>
        <v>#REF!</v>
      </c>
      <c r="W39" s="489" t="e">
        <f>MIN(V$29:V$30)+IF($B$2="mil",1,0.0254)*DDR2Specs!$C$3</f>
        <v>#REF!</v>
      </c>
      <c r="X39" s="21"/>
      <c r="Y39" s="598" t="e">
        <f t="shared" si="59"/>
        <v>#REF!</v>
      </c>
      <c r="Z39" s="495" t="e">
        <f t="shared" si="60"/>
        <v>#REF!</v>
      </c>
      <c r="AA39" s="21"/>
      <c r="AB39" s="489" t="e">
        <f>MAX(AB$29:AB$30)+IF($B$2="mil",1,0.0254)*DDR2Specs!$E$3</f>
        <v>#REF!</v>
      </c>
      <c r="AC39" s="489" t="e">
        <f>MIN(AB$29:AB$30)+IF($B$2="mil",1,0.0254)*DDR2Specs!$F$3</f>
        <v>#REF!</v>
      </c>
      <c r="AD39" s="21"/>
      <c r="AE39" s="598" t="e">
        <f t="shared" si="42"/>
        <v>#REF!</v>
      </c>
      <c r="AF39" s="495" t="e">
        <f t="shared" si="43"/>
        <v>#REF!</v>
      </c>
      <c r="AG39" s="495" t="e">
        <f t="shared" si="44"/>
        <v>#REF!</v>
      </c>
      <c r="AH39" s="495" t="e">
        <f t="shared" si="45"/>
        <v>#REF!</v>
      </c>
      <c r="AI39" s="495" t="e">
        <f t="shared" si="46"/>
        <v>#REF!</v>
      </c>
      <c r="AJ39" s="495" t="e">
        <f t="shared" ca="1" si="47"/>
        <v>#NAME?</v>
      </c>
      <c r="AK39" s="495" t="e">
        <f t="shared" si="61"/>
        <v>#REF!</v>
      </c>
      <c r="AL39" s="495" t="e">
        <f t="shared" si="62"/>
        <v>#REF!</v>
      </c>
      <c r="AM39" s="495" t="e">
        <f t="shared" ca="1" si="48"/>
        <v>#NAME?</v>
      </c>
      <c r="AN39" s="495" t="e">
        <f t="shared" ca="1" si="49"/>
        <v>#NAME?</v>
      </c>
      <c r="AO39" s="495" t="e">
        <f t="shared" si="50"/>
        <v>#REF!</v>
      </c>
      <c r="AP39" s="495" t="e">
        <f t="shared" si="51"/>
        <v>#REF!</v>
      </c>
      <c r="AQ39" s="495" t="e">
        <f t="shared" si="52"/>
        <v>#REF!</v>
      </c>
      <c r="AR39" s="495" t="e">
        <f t="shared" si="53"/>
        <v>#REF!</v>
      </c>
      <c r="AS39" s="21"/>
      <c r="AT39" s="554" t="e">
        <f t="shared" ca="1" si="54"/>
        <v>#REF!</v>
      </c>
      <c r="AU39" s="554"/>
      <c r="AV39" s="554"/>
      <c r="AW39" s="3"/>
      <c r="AX39" s="3"/>
      <c r="AY39" s="3"/>
      <c r="AZ39" s="3"/>
      <c r="BA39" s="3"/>
      <c r="BB39" s="3"/>
      <c r="BC39" s="3"/>
      <c r="BD39" s="3"/>
      <c r="BE39" s="3"/>
      <c r="BF39" s="3"/>
      <c r="BG39" s="3"/>
      <c r="BH39" s="3"/>
      <c r="BI39" s="3"/>
      <c r="BJ39" s="3"/>
    </row>
    <row r="40" spans="1:62">
      <c r="A40" s="109" t="s">
        <v>200</v>
      </c>
      <c r="B40" s="485"/>
      <c r="C40" s="659"/>
      <c r="D40" s="62"/>
      <c r="E40" s="82"/>
      <c r="F40" s="82"/>
      <c r="G40" s="439"/>
      <c r="H40" s="295"/>
      <c r="I40" s="295"/>
      <c r="J40" s="295"/>
      <c r="K40" s="295"/>
      <c r="L40" s="295"/>
      <c r="M40" s="295"/>
      <c r="N40" s="295"/>
      <c r="O40" s="10"/>
      <c r="P40" s="82"/>
      <c r="Q40" s="82"/>
      <c r="R40" s="82"/>
      <c r="S40" s="605"/>
      <c r="T40" s="605"/>
      <c r="U40" s="605"/>
      <c r="V40" s="605"/>
      <c r="W40" s="606"/>
      <c r="X40" s="606"/>
      <c r="Y40" s="607"/>
      <c r="Z40" s="17"/>
      <c r="AA40" s="606"/>
      <c r="AB40" s="605"/>
      <c r="AC40" s="606"/>
      <c r="AD40" s="606"/>
      <c r="AE40" s="607"/>
      <c r="AF40" s="17"/>
      <c r="AG40" s="17"/>
      <c r="AH40" s="17"/>
      <c r="AI40" s="16"/>
      <c r="AJ40" s="16"/>
      <c r="AK40" s="16"/>
      <c r="AL40" s="16"/>
      <c r="AM40" s="16"/>
      <c r="AN40" s="16"/>
      <c r="AO40" s="16"/>
      <c r="AP40" s="16"/>
      <c r="AQ40" s="16"/>
      <c r="AR40" s="16"/>
      <c r="AS40" s="83"/>
      <c r="AT40" s="554"/>
      <c r="AU40" s="554"/>
      <c r="AV40" s="554"/>
      <c r="AW40" s="3"/>
      <c r="AX40" s="3"/>
      <c r="AY40" s="3"/>
      <c r="AZ40" s="3"/>
      <c r="BA40" s="3"/>
      <c r="BB40" s="3"/>
      <c r="BC40" s="3"/>
      <c r="BD40" s="3"/>
      <c r="BE40" s="3"/>
      <c r="BF40" s="3"/>
      <c r="BG40" s="3"/>
      <c r="BH40" s="3"/>
      <c r="BI40" s="3"/>
      <c r="BJ40" s="3"/>
    </row>
    <row r="41" spans="1:62">
      <c r="A41" s="118" t="str">
        <f>'DDR2 Strobes - 1x16'!$A$16</f>
        <v>SA_DQS3</v>
      </c>
      <c r="B41" s="486" t="str">
        <f>'DDR2 Strobes - 1x16'!$B$16</f>
        <v>AB21</v>
      </c>
      <c r="C41" s="660"/>
      <c r="D41" s="53"/>
      <c r="E41" s="81"/>
      <c r="F41" s="81"/>
      <c r="G41" s="440"/>
      <c r="H41" s="296"/>
      <c r="I41" s="296"/>
      <c r="J41" s="296"/>
      <c r="K41" s="296"/>
      <c r="L41" s="296"/>
      <c r="M41" s="296"/>
      <c r="N41" s="296"/>
      <c r="O41" s="81"/>
      <c r="P41" s="81"/>
      <c r="Q41" s="81"/>
      <c r="R41" s="81"/>
      <c r="S41" s="58"/>
      <c r="T41" s="58"/>
      <c r="U41" s="58"/>
      <c r="V41" s="58" t="e">
        <f>'DDR2 Strobes - 1x16'!$S$16</f>
        <v>#REF!</v>
      </c>
      <c r="W41" s="58"/>
      <c r="X41" s="58"/>
      <c r="Y41" s="58"/>
      <c r="Z41" s="608"/>
      <c r="AA41" s="58"/>
      <c r="AB41" s="58" t="e">
        <f>'DDR2 Strobes - 1x16'!$T$16</f>
        <v>#REF!</v>
      </c>
      <c r="AC41" s="58"/>
      <c r="AD41" s="58"/>
      <c r="AE41" s="58"/>
      <c r="AF41" s="608"/>
      <c r="AG41" s="608"/>
      <c r="AH41" s="608"/>
      <c r="AI41" s="608"/>
      <c r="AJ41" s="608"/>
      <c r="AK41" s="608"/>
      <c r="AL41" s="608"/>
      <c r="AM41" s="608"/>
      <c r="AN41" s="608"/>
      <c r="AO41" s="608"/>
      <c r="AP41" s="608"/>
      <c r="AQ41" s="608"/>
      <c r="AR41" s="608"/>
      <c r="AS41" s="58"/>
      <c r="AT41" s="554"/>
      <c r="AU41" s="554"/>
      <c r="AV41" s="554"/>
      <c r="AW41" s="3"/>
      <c r="AX41" s="3"/>
      <c r="AY41" s="3"/>
      <c r="AZ41" s="3"/>
      <c r="BA41" s="3"/>
      <c r="BB41" s="3"/>
      <c r="BC41" s="3"/>
      <c r="BD41" s="3"/>
      <c r="BE41" s="3"/>
      <c r="BF41" s="3"/>
      <c r="BG41" s="3"/>
      <c r="BH41" s="3"/>
      <c r="BI41" s="3"/>
      <c r="BJ41" s="3"/>
    </row>
    <row r="42" spans="1:62">
      <c r="A42" s="118" t="str">
        <f>'DDR2 Strobes - 1x16'!$A$17</f>
        <v>SA_DQS3#</v>
      </c>
      <c r="B42" s="130" t="str">
        <f>'DDR2 Strobes - 1x16'!$B$17</f>
        <v>AB20</v>
      </c>
      <c r="C42" s="660"/>
      <c r="D42" s="53"/>
      <c r="E42" s="81"/>
      <c r="F42" s="81"/>
      <c r="G42" s="440"/>
      <c r="H42" s="296"/>
      <c r="I42" s="296"/>
      <c r="J42" s="296"/>
      <c r="K42" s="296"/>
      <c r="L42" s="296"/>
      <c r="M42" s="296"/>
      <c r="N42" s="296"/>
      <c r="O42" s="81"/>
      <c r="P42" s="81"/>
      <c r="Q42" s="602"/>
      <c r="R42" s="602"/>
      <c r="S42" s="603"/>
      <c r="T42" s="603"/>
      <c r="U42" s="58"/>
      <c r="V42" s="58" t="e">
        <f>'DDR2 Strobes - 1x16'!$S$17</f>
        <v>#REF!</v>
      </c>
      <c r="W42" s="58"/>
      <c r="X42" s="58"/>
      <c r="Y42" s="58"/>
      <c r="Z42" s="608"/>
      <c r="AA42" s="58"/>
      <c r="AB42" s="58" t="e">
        <f>'DDR2 Strobes - 1x16'!$T$17</f>
        <v>#REF!</v>
      </c>
      <c r="AC42" s="58"/>
      <c r="AD42" s="58"/>
      <c r="AE42" s="58"/>
      <c r="AF42" s="608"/>
      <c r="AG42" s="608"/>
      <c r="AH42" s="608"/>
      <c r="AI42" s="609"/>
      <c r="AJ42" s="609"/>
      <c r="AK42" s="609"/>
      <c r="AL42" s="609"/>
      <c r="AM42" s="609"/>
      <c r="AN42" s="609"/>
      <c r="AO42" s="609"/>
      <c r="AP42" s="609"/>
      <c r="AQ42" s="609"/>
      <c r="AR42" s="609"/>
      <c r="AS42" s="58"/>
      <c r="AT42" s="554"/>
      <c r="AU42" s="554"/>
      <c r="AV42" s="554"/>
      <c r="AW42" s="3"/>
      <c r="AX42" s="3"/>
      <c r="AY42" s="3"/>
      <c r="AZ42" s="3"/>
      <c r="BA42" s="3"/>
      <c r="BB42" s="3"/>
      <c r="BC42" s="3"/>
      <c r="BD42" s="3"/>
      <c r="BE42" s="3"/>
      <c r="BF42" s="3"/>
      <c r="BG42" s="3"/>
      <c r="BH42" s="3"/>
      <c r="BI42" s="3"/>
      <c r="BJ42" s="3"/>
    </row>
    <row r="43" spans="1:62">
      <c r="A43" s="107" t="s">
        <v>147</v>
      </c>
      <c r="B43" s="481" t="s">
        <v>485</v>
      </c>
      <c r="C43" s="658">
        <v>764.01574803149606</v>
      </c>
      <c r="D43" s="18"/>
      <c r="E43" s="277">
        <v>29.7</v>
      </c>
      <c r="F43" s="277">
        <v>0</v>
      </c>
      <c r="G43" s="438">
        <v>1923.74</v>
      </c>
      <c r="H43" s="305">
        <v>110.8</v>
      </c>
      <c r="I43" s="277">
        <v>0</v>
      </c>
      <c r="J43" s="305">
        <v>89.74</v>
      </c>
      <c r="K43" s="277">
        <v>40</v>
      </c>
      <c r="L43" s="305">
        <v>74.17</v>
      </c>
      <c r="M43" s="305">
        <v>951.47</v>
      </c>
      <c r="N43" s="305">
        <v>76.06</v>
      </c>
      <c r="O43" s="69"/>
      <c r="P43" s="489">
        <f xml:space="preserve"> E43+F43+G43+H43</f>
        <v>2064.2400000000002</v>
      </c>
      <c r="Q43" s="489">
        <f>SUM(E43:G43,I43:N43)</f>
        <v>3184.8800000000006</v>
      </c>
      <c r="R43" s="597"/>
      <c r="S43" s="489" t="e">
        <f>P43+IF($B$2="mil",1,0.0254)*C43</f>
        <v>#REF!</v>
      </c>
      <c r="T43" s="489" t="e">
        <f>Q43+IF($B$2="mil",1,0.0254)*C43</f>
        <v>#REF!</v>
      </c>
      <c r="U43" s="597"/>
      <c r="V43" s="489" t="e">
        <f>MAX(V$41:V$42)+IF($B$2="mil",1,0.0254)*DDR2Specs!$B$3</f>
        <v>#REF!</v>
      </c>
      <c r="W43" s="489" t="e">
        <f>MIN(V$41:V$42)+IF($B$2="mil",1,0.0254)*DDR2Specs!$C$3</f>
        <v>#REF!</v>
      </c>
      <c r="X43" s="21"/>
      <c r="Y43" s="598" t="e">
        <f>IF($S43&lt;$V43,$V43-$S43,"Pass")</f>
        <v>#REF!</v>
      </c>
      <c r="Z43" s="495" t="e">
        <f>IF($S43&gt;$W43,$S43-$W43,"Pass")</f>
        <v>#REF!</v>
      </c>
      <c r="AA43" s="21"/>
      <c r="AB43" s="489" t="e">
        <f>MAX(AB$41:AB$42)+IF($B$2="mil",1,0.0254)*DDR2Specs!$E$3</f>
        <v>#REF!</v>
      </c>
      <c r="AC43" s="489" t="e">
        <f>MIN(AB$41:AB$42)+IF($B$2="mil",1,0.0254)*DDR2Specs!$F$3</f>
        <v>#REF!</v>
      </c>
      <c r="AD43" s="21"/>
      <c r="AE43" s="598" t="e">
        <f t="shared" ref="AE43:AE51" si="63">IF($T43&lt;$AB43,$AB43-$T43,"Pass")</f>
        <v>#REF!</v>
      </c>
      <c r="AF43" s="495" t="e">
        <f t="shared" ref="AF43:AF51" si="64">IF($T43&gt;$AC43,$T43-$AC43,"Pass")</f>
        <v>#REF!</v>
      </c>
      <c r="AG43" s="495" t="e">
        <f t="shared" ref="AG43:AG51" si="65">IF($E43&lt;=IF($B$2="mil",1,0.0254)*50,"Pass",IF($B$2="mil",1,0.0254)*50-$E43)</f>
        <v>#REF!</v>
      </c>
      <c r="AH43" s="495" t="e">
        <f t="shared" ref="AH43:AH51" si="66">IF($F43&lt;=IF($B$2="mil",1,0.0254)*500,"Pass",IF($B$2="mil",1,0.0254)*500-$F43)</f>
        <v>#REF!</v>
      </c>
      <c r="AI43" s="495" t="e">
        <f t="shared" ref="AI43:AI51" si="67">IF($H43&lt;=IF($B$2="mil",1,0.0254)*250,"Pass",IF($B$2="mil",1,0.0254)*250-$H43)</f>
        <v>#REF!</v>
      </c>
      <c r="AJ43" s="495" t="e">
        <f t="shared" ref="AJ43:AJ51" ca="1" si="68">CheckLength(IF($B$2="mil",1,0.0254)*1125, IF($B$2="mil",1,0.0254)*125-J43, 0, I43,J43,0)</f>
        <v>#NAME?</v>
      </c>
      <c r="AK43" s="495" t="e">
        <f>IF($J43&lt;=IF($B$2="mil",1,0.0254)*125,"Pass",IF($B$2="mil",1,0.0254)*125-$J43)</f>
        <v>#REF!</v>
      </c>
      <c r="AL43" s="495" t="e">
        <f>IF($L43&lt;=IF($B$2="mil",1,0.0254)*125,"Pass",IF($B$2="mil",1,0.0254)*125-$L43)</f>
        <v>#REF!</v>
      </c>
      <c r="AM43" s="495" t="e">
        <f t="shared" ref="AM43:AM51" ca="1" si="69">CheckLength(IF($B$2="mil",1,0.0254)*1525, IF($B$2="mil",1,0.0254)*125-L43, IF($B$2="mil",1,0.0254)*150-N43, M43,L43,N43)</f>
        <v>#NAME?</v>
      </c>
      <c r="AN43" s="495" t="e">
        <f t="shared" ref="AN43:AN51" ca="1" si="70">CheckLength2(IF($B$2="mil",1,0.0254)*1400,M43,N43,0)</f>
        <v>#NAME?</v>
      </c>
      <c r="AO43" s="495" t="e">
        <f t="shared" ref="AO43:AO51" si="71">IF(AND($P43&gt;=IF($B$2="mil",1,0.0254)*500, $P43&lt;=IF($B$2="mil",1,0.0254)*4000),"Pass",IF($B$2="mil",1,0.0254)*4000-$P43)</f>
        <v>#REF!</v>
      </c>
      <c r="AP43" s="495" t="e">
        <f t="shared" ref="AP43:AP51" si="72">IF(AND($S43&gt;=IF($B$2="mil",1,0.0254)*500, $S43&lt;=IF($B$2="mil",1,0.0254)*4500),"Pass",IF($B$2="mil",1,0.0254)*4500-$S43)</f>
        <v>#REF!</v>
      </c>
      <c r="AQ43" s="495" t="e">
        <f t="shared" ref="AQ43:AQ51" si="73">IF(AND($Q43&gt;=IF($B$2="mil",1,0.0254)*500, $Q43&lt;=IF($B$2="mil",1,0.0254)*5500),"Pass",IF($B$2="mil",1,0.0254)*5500-$Q43)</f>
        <v>#REF!</v>
      </c>
      <c r="AR43" s="495" t="e">
        <f t="shared" ref="AR43:AR51" si="74">IF(AND($T43&gt;=IF($B$2="mil",1,0.0254)*500, $T43&lt;=IF($B$2="mil",1,0.0254)*6000),"Pass",IF($B$2="mil",1,0.0254)*6000-$T43)</f>
        <v>#REF!</v>
      </c>
      <c r="AS43" s="21"/>
      <c r="AT43" s="554" t="e">
        <f t="shared" ref="AT43:AT51" ca="1" si="75">IF(AND(AG43="Pass",AP43="Pass",AI43="Pass",AH43="Pass",AO43="Pass",Y43="Pass",Z43="Pass",AN43="Pass",AM43="Pass",AL43="Pass",AK43="Pass",AJ43="Pass",AE43="Pass",AF43="Pass",AQ43="Pass",AR43="Pass"),"Pass","Fail")</f>
        <v>#REF!</v>
      </c>
      <c r="AU43" s="554" t="e">
        <f ca="1">IF(AND(AT43="Pass",AT44="Pass",AT45="Pass",AT46="Pass",AT47="Pass",AT48="Pass",AT49="Pass",AT50="Pass",AT51="Pass"),"Pass","Fail")</f>
        <v>#REF!</v>
      </c>
      <c r="AV43" s="554"/>
      <c r="AW43" s="3"/>
      <c r="AX43" s="3"/>
      <c r="AY43" s="3"/>
      <c r="AZ43" s="3"/>
      <c r="BA43" s="3"/>
      <c r="BB43" s="3"/>
      <c r="BC43" s="3"/>
      <c r="BD43" s="3"/>
      <c r="BE43" s="3"/>
      <c r="BF43" s="3"/>
      <c r="BG43" s="3"/>
      <c r="BH43" s="3"/>
      <c r="BI43" s="3"/>
      <c r="BJ43" s="3"/>
    </row>
    <row r="44" spans="1:62">
      <c r="A44" s="107" t="s">
        <v>148</v>
      </c>
      <c r="B44" s="480" t="s">
        <v>486</v>
      </c>
      <c r="C44" s="658">
        <v>725.94488188976379</v>
      </c>
      <c r="D44" s="18"/>
      <c r="E44" s="277">
        <v>29.7</v>
      </c>
      <c r="F44" s="277">
        <v>0</v>
      </c>
      <c r="G44" s="438">
        <v>2032.2903937007868</v>
      </c>
      <c r="H44" s="305">
        <v>74.099999999999994</v>
      </c>
      <c r="I44" s="277">
        <v>0</v>
      </c>
      <c r="J44" s="305">
        <v>61.2</v>
      </c>
      <c r="K44" s="277">
        <v>40</v>
      </c>
      <c r="L44" s="305">
        <v>60.6</v>
      </c>
      <c r="M44" s="305">
        <v>951.39</v>
      </c>
      <c r="N44" s="305">
        <v>76.06</v>
      </c>
      <c r="O44" s="69"/>
      <c r="P44" s="489">
        <f t="shared" ref="P44:P51" si="76" xml:space="preserve"> E44+F44+G44+H44</f>
        <v>2136.0903937007865</v>
      </c>
      <c r="Q44" s="489">
        <f t="shared" ref="Q44:Q51" si="77">SUM(E44:G44,I44:N44)</f>
        <v>3251.2403937007862</v>
      </c>
      <c r="R44" s="597"/>
      <c r="S44" s="489" t="e">
        <f t="shared" ref="S44:S51" si="78">P44+IF($B$2="mil",1,0.0254)*C44</f>
        <v>#REF!</v>
      </c>
      <c r="T44" s="489" t="e">
        <f t="shared" ref="T44:T51" si="79">Q44+IF($B$2="mil",1,0.0254)*C44</f>
        <v>#REF!</v>
      </c>
      <c r="U44" s="597"/>
      <c r="V44" s="489" t="e">
        <f>MAX(V$41:V$42)+IF($B$2="mil",1,0.0254)*DDR2Specs!$B$3</f>
        <v>#REF!</v>
      </c>
      <c r="W44" s="489" t="e">
        <f>MIN(V$41:V$42)+IF($B$2="mil",1,0.0254)*DDR2Specs!$C$3</f>
        <v>#REF!</v>
      </c>
      <c r="X44" s="21"/>
      <c r="Y44" s="598" t="e">
        <f t="shared" ref="Y44:Y51" si="80">IF($S44&lt;$V44,$V44-$S44,"Pass")</f>
        <v>#REF!</v>
      </c>
      <c r="Z44" s="495" t="e">
        <f t="shared" ref="Z44:Z51" si="81">IF($S44&gt;$W44,$S44-$W44,"Pass")</f>
        <v>#REF!</v>
      </c>
      <c r="AA44" s="21"/>
      <c r="AB44" s="489" t="e">
        <f>MAX(AB$41:AB$42)+IF($B$2="mil",1,0.0254)*DDR2Specs!$E$3</f>
        <v>#REF!</v>
      </c>
      <c r="AC44" s="489" t="e">
        <f>MIN(AB$41:AB$42)+IF($B$2="mil",1,0.0254)*DDR2Specs!$F$3</f>
        <v>#REF!</v>
      </c>
      <c r="AD44" s="21"/>
      <c r="AE44" s="598" t="e">
        <f t="shared" si="63"/>
        <v>#REF!</v>
      </c>
      <c r="AF44" s="495" t="e">
        <f t="shared" si="64"/>
        <v>#REF!</v>
      </c>
      <c r="AG44" s="495" t="e">
        <f t="shared" si="65"/>
        <v>#REF!</v>
      </c>
      <c r="AH44" s="495" t="e">
        <f t="shared" si="66"/>
        <v>#REF!</v>
      </c>
      <c r="AI44" s="495" t="e">
        <f t="shared" si="67"/>
        <v>#REF!</v>
      </c>
      <c r="AJ44" s="495" t="e">
        <f t="shared" ca="1" si="68"/>
        <v>#NAME?</v>
      </c>
      <c r="AK44" s="495" t="e">
        <f t="shared" ref="AK44:AK51" si="82">IF($J44&lt;=IF($B$2="mil",1,0.0254)*125,"Pass",IF($B$2="mil",1,0.0254)*125-$J44)</f>
        <v>#REF!</v>
      </c>
      <c r="AL44" s="495" t="e">
        <f t="shared" ref="AL44:AL51" si="83">IF($L44&lt;=IF($B$2="mil",1,0.0254)*125,"Pass",IF($B$2="mil",1,0.0254)*125-$L44)</f>
        <v>#REF!</v>
      </c>
      <c r="AM44" s="495" t="e">
        <f t="shared" ca="1" si="69"/>
        <v>#NAME?</v>
      </c>
      <c r="AN44" s="495" t="e">
        <f t="shared" ca="1" si="70"/>
        <v>#NAME?</v>
      </c>
      <c r="AO44" s="495" t="e">
        <f t="shared" si="71"/>
        <v>#REF!</v>
      </c>
      <c r="AP44" s="495" t="e">
        <f t="shared" si="72"/>
        <v>#REF!</v>
      </c>
      <c r="AQ44" s="495" t="e">
        <f t="shared" si="73"/>
        <v>#REF!</v>
      </c>
      <c r="AR44" s="495" t="e">
        <f t="shared" si="74"/>
        <v>#REF!</v>
      </c>
      <c r="AS44" s="21"/>
      <c r="AT44" s="554" t="e">
        <f t="shared" ca="1" si="75"/>
        <v>#REF!</v>
      </c>
      <c r="AU44" s="554"/>
      <c r="AV44" s="554"/>
      <c r="AW44" s="3"/>
      <c r="AX44" s="3"/>
      <c r="AY44" s="3"/>
      <c r="AZ44" s="3"/>
      <c r="BA44" s="3"/>
      <c r="BB44" s="3"/>
      <c r="BC44" s="3"/>
      <c r="BD44" s="3"/>
      <c r="BE44" s="3"/>
      <c r="BF44" s="3"/>
      <c r="BG44" s="3"/>
      <c r="BH44" s="3"/>
      <c r="BI44" s="3"/>
      <c r="BJ44" s="3"/>
    </row>
    <row r="45" spans="1:62">
      <c r="A45" s="107" t="s">
        <v>149</v>
      </c>
      <c r="B45" s="480" t="s">
        <v>348</v>
      </c>
      <c r="C45" s="658">
        <v>793.66141732283461</v>
      </c>
      <c r="D45" s="18"/>
      <c r="E45" s="277">
        <v>29.7</v>
      </c>
      <c r="F45" s="277">
        <v>0</v>
      </c>
      <c r="G45" s="438">
        <v>1917.4644881889758</v>
      </c>
      <c r="H45" s="305">
        <v>126.17</v>
      </c>
      <c r="I45" s="277">
        <v>0</v>
      </c>
      <c r="J45" s="305">
        <v>105.68</v>
      </c>
      <c r="K45" s="277">
        <v>40</v>
      </c>
      <c r="L45" s="305">
        <v>76.599999999999994</v>
      </c>
      <c r="M45" s="305">
        <v>982.49</v>
      </c>
      <c r="N45" s="305">
        <v>34</v>
      </c>
      <c r="O45" s="69"/>
      <c r="P45" s="489">
        <f t="shared" si="76"/>
        <v>2073.3344881889757</v>
      </c>
      <c r="Q45" s="489">
        <f t="shared" si="77"/>
        <v>3185.9344881889756</v>
      </c>
      <c r="R45" s="597"/>
      <c r="S45" s="489" t="e">
        <f t="shared" si="78"/>
        <v>#REF!</v>
      </c>
      <c r="T45" s="489" t="e">
        <f t="shared" si="79"/>
        <v>#REF!</v>
      </c>
      <c r="U45" s="597"/>
      <c r="V45" s="489" t="e">
        <f>MAX(V$41:V$42)+IF($B$2="mil",1,0.0254)*DDR2Specs!$B$3</f>
        <v>#REF!</v>
      </c>
      <c r="W45" s="489" t="e">
        <f>MIN(V$41:V$42)+IF($B$2="mil",1,0.0254)*DDR2Specs!$C$3</f>
        <v>#REF!</v>
      </c>
      <c r="X45" s="21"/>
      <c r="Y45" s="598" t="e">
        <f t="shared" si="80"/>
        <v>#REF!</v>
      </c>
      <c r="Z45" s="495" t="e">
        <f t="shared" si="81"/>
        <v>#REF!</v>
      </c>
      <c r="AA45" s="21"/>
      <c r="AB45" s="489" t="e">
        <f>MAX(AB$41:AB$42)+IF($B$2="mil",1,0.0254)*DDR2Specs!$E$3</f>
        <v>#REF!</v>
      </c>
      <c r="AC45" s="489" t="e">
        <f>MIN(AB$41:AB$42)+IF($B$2="mil",1,0.0254)*DDR2Specs!$F$3</f>
        <v>#REF!</v>
      </c>
      <c r="AD45" s="21"/>
      <c r="AE45" s="598" t="e">
        <f t="shared" si="63"/>
        <v>#REF!</v>
      </c>
      <c r="AF45" s="495" t="e">
        <f t="shared" si="64"/>
        <v>#REF!</v>
      </c>
      <c r="AG45" s="495" t="e">
        <f t="shared" si="65"/>
        <v>#REF!</v>
      </c>
      <c r="AH45" s="495" t="e">
        <f t="shared" si="66"/>
        <v>#REF!</v>
      </c>
      <c r="AI45" s="495" t="e">
        <f t="shared" si="67"/>
        <v>#REF!</v>
      </c>
      <c r="AJ45" s="495" t="e">
        <f t="shared" ca="1" si="68"/>
        <v>#NAME?</v>
      </c>
      <c r="AK45" s="495" t="e">
        <f t="shared" si="82"/>
        <v>#REF!</v>
      </c>
      <c r="AL45" s="495" t="e">
        <f t="shared" si="83"/>
        <v>#REF!</v>
      </c>
      <c r="AM45" s="495" t="e">
        <f t="shared" ca="1" si="69"/>
        <v>#NAME?</v>
      </c>
      <c r="AN45" s="495" t="e">
        <f t="shared" ca="1" si="70"/>
        <v>#NAME?</v>
      </c>
      <c r="AO45" s="495" t="e">
        <f t="shared" si="71"/>
        <v>#REF!</v>
      </c>
      <c r="AP45" s="495" t="e">
        <f t="shared" si="72"/>
        <v>#REF!</v>
      </c>
      <c r="AQ45" s="495" t="e">
        <f t="shared" si="73"/>
        <v>#REF!</v>
      </c>
      <c r="AR45" s="495" t="e">
        <f t="shared" si="74"/>
        <v>#REF!</v>
      </c>
      <c r="AS45" s="21"/>
      <c r="AT45" s="554" t="e">
        <f t="shared" ca="1" si="75"/>
        <v>#REF!</v>
      </c>
      <c r="AU45" s="554"/>
      <c r="AV45" s="554"/>
      <c r="AW45" s="3"/>
      <c r="AX45" s="3"/>
      <c r="AY45" s="3"/>
      <c r="AZ45" s="3"/>
      <c r="BA45" s="3"/>
      <c r="BB45" s="3"/>
      <c r="BC45" s="3"/>
      <c r="BD45" s="3"/>
      <c r="BE45" s="3"/>
      <c r="BF45" s="3"/>
      <c r="BG45" s="3"/>
      <c r="BH45" s="3"/>
      <c r="BI45" s="3"/>
      <c r="BJ45" s="3"/>
    </row>
    <row r="46" spans="1:62">
      <c r="A46" s="107" t="s">
        <v>150</v>
      </c>
      <c r="B46" s="480" t="s">
        <v>353</v>
      </c>
      <c r="C46" s="658">
        <v>909.6062992125984</v>
      </c>
      <c r="D46" s="18"/>
      <c r="E46" s="277">
        <v>29.7</v>
      </c>
      <c r="F46" s="277">
        <v>0</v>
      </c>
      <c r="G46" s="438">
        <v>2008.3174015748029</v>
      </c>
      <c r="H46" s="305">
        <v>77.010000000000005</v>
      </c>
      <c r="I46" s="277">
        <v>0</v>
      </c>
      <c r="J46" s="305">
        <v>62.86</v>
      </c>
      <c r="K46" s="277">
        <v>40</v>
      </c>
      <c r="L46" s="305">
        <v>91.93</v>
      </c>
      <c r="M46" s="305">
        <v>964.23</v>
      </c>
      <c r="N46" s="305">
        <v>31.48</v>
      </c>
      <c r="O46" s="69"/>
      <c r="P46" s="489">
        <f t="shared" si="76"/>
        <v>2115.0274015748032</v>
      </c>
      <c r="Q46" s="489">
        <f t="shared" si="77"/>
        <v>3228.517401574803</v>
      </c>
      <c r="R46" s="597"/>
      <c r="S46" s="489" t="e">
        <f t="shared" si="78"/>
        <v>#REF!</v>
      </c>
      <c r="T46" s="489" t="e">
        <f t="shared" si="79"/>
        <v>#REF!</v>
      </c>
      <c r="U46" s="597"/>
      <c r="V46" s="489" t="e">
        <f>MAX(V$41:V$42)+IF($B$2="mil",1,0.0254)*DDR2Specs!$B$3</f>
        <v>#REF!</v>
      </c>
      <c r="W46" s="489" t="e">
        <f>MIN(V$41:V$42)+IF($B$2="mil",1,0.0254)*DDR2Specs!$C$3</f>
        <v>#REF!</v>
      </c>
      <c r="X46" s="21"/>
      <c r="Y46" s="598" t="e">
        <f t="shared" si="80"/>
        <v>#REF!</v>
      </c>
      <c r="Z46" s="495" t="e">
        <f t="shared" si="81"/>
        <v>#REF!</v>
      </c>
      <c r="AA46" s="21"/>
      <c r="AB46" s="489" t="e">
        <f>MAX(AB$41:AB$42)+IF($B$2="mil",1,0.0254)*DDR2Specs!$E$3</f>
        <v>#REF!</v>
      </c>
      <c r="AC46" s="489" t="e">
        <f>MIN(AB$41:AB$42)+IF($B$2="mil",1,0.0254)*DDR2Specs!$F$3</f>
        <v>#REF!</v>
      </c>
      <c r="AD46" s="21"/>
      <c r="AE46" s="598" t="e">
        <f t="shared" si="63"/>
        <v>#REF!</v>
      </c>
      <c r="AF46" s="495" t="e">
        <f t="shared" si="64"/>
        <v>#REF!</v>
      </c>
      <c r="AG46" s="495" t="e">
        <f t="shared" si="65"/>
        <v>#REF!</v>
      </c>
      <c r="AH46" s="495" t="e">
        <f t="shared" si="66"/>
        <v>#REF!</v>
      </c>
      <c r="AI46" s="495" t="e">
        <f t="shared" si="67"/>
        <v>#REF!</v>
      </c>
      <c r="AJ46" s="495" t="e">
        <f t="shared" ca="1" si="68"/>
        <v>#NAME?</v>
      </c>
      <c r="AK46" s="495" t="e">
        <f t="shared" si="82"/>
        <v>#REF!</v>
      </c>
      <c r="AL46" s="495" t="e">
        <f t="shared" si="83"/>
        <v>#REF!</v>
      </c>
      <c r="AM46" s="495" t="e">
        <f t="shared" ca="1" si="69"/>
        <v>#NAME?</v>
      </c>
      <c r="AN46" s="495" t="e">
        <f t="shared" ca="1" si="70"/>
        <v>#NAME?</v>
      </c>
      <c r="AO46" s="495" t="e">
        <f t="shared" si="71"/>
        <v>#REF!</v>
      </c>
      <c r="AP46" s="495" t="e">
        <f t="shared" si="72"/>
        <v>#REF!</v>
      </c>
      <c r="AQ46" s="495" t="e">
        <f t="shared" si="73"/>
        <v>#REF!</v>
      </c>
      <c r="AR46" s="495" t="e">
        <f t="shared" si="74"/>
        <v>#REF!</v>
      </c>
      <c r="AS46" s="21"/>
      <c r="AT46" s="554" t="e">
        <f t="shared" ca="1" si="75"/>
        <v>#REF!</v>
      </c>
      <c r="AU46" s="554"/>
      <c r="AV46" s="554"/>
      <c r="AW46" s="3"/>
      <c r="AX46" s="3"/>
      <c r="AY46" s="3"/>
      <c r="AZ46" s="3"/>
      <c r="BA46" s="3"/>
      <c r="BB46" s="3"/>
      <c r="BC46" s="3"/>
      <c r="BD46" s="3"/>
      <c r="BE46" s="3"/>
      <c r="BF46" s="3"/>
      <c r="BG46" s="3"/>
      <c r="BH46" s="3"/>
      <c r="BI46" s="3"/>
      <c r="BJ46" s="3"/>
    </row>
    <row r="47" spans="1:62">
      <c r="A47" s="107" t="s">
        <v>151</v>
      </c>
      <c r="B47" s="480" t="s">
        <v>350</v>
      </c>
      <c r="C47" s="658">
        <v>749.6062992125984</v>
      </c>
      <c r="D47" s="18"/>
      <c r="E47" s="277">
        <v>29.7</v>
      </c>
      <c r="F47" s="277">
        <v>0</v>
      </c>
      <c r="G47" s="438">
        <v>1999.0652755905508</v>
      </c>
      <c r="H47" s="305">
        <v>78.27</v>
      </c>
      <c r="I47" s="277">
        <v>0</v>
      </c>
      <c r="J47" s="305">
        <v>52.5</v>
      </c>
      <c r="K47" s="277">
        <v>40</v>
      </c>
      <c r="L47" s="305">
        <v>49.57</v>
      </c>
      <c r="M47" s="305">
        <v>975.95</v>
      </c>
      <c r="N47" s="305">
        <v>76.08</v>
      </c>
      <c r="O47" s="69"/>
      <c r="P47" s="489">
        <f t="shared" si="76"/>
        <v>2107.035275590551</v>
      </c>
      <c r="Q47" s="489">
        <f t="shared" si="77"/>
        <v>3222.8652755905514</v>
      </c>
      <c r="R47" s="597"/>
      <c r="S47" s="489" t="e">
        <f t="shared" si="78"/>
        <v>#REF!</v>
      </c>
      <c r="T47" s="489" t="e">
        <f t="shared" si="79"/>
        <v>#REF!</v>
      </c>
      <c r="U47" s="597"/>
      <c r="V47" s="489" t="e">
        <f>MAX(V$41:V$42)+IF($B$2="mil",1,0.0254)*DDR2Specs!$B$3</f>
        <v>#REF!</v>
      </c>
      <c r="W47" s="489" t="e">
        <f>MIN(V$41:V$42)+IF($B$2="mil",1,0.0254)*DDR2Specs!$C$3</f>
        <v>#REF!</v>
      </c>
      <c r="X47" s="21"/>
      <c r="Y47" s="598" t="e">
        <f t="shared" si="80"/>
        <v>#REF!</v>
      </c>
      <c r="Z47" s="495" t="e">
        <f t="shared" si="81"/>
        <v>#REF!</v>
      </c>
      <c r="AA47" s="21"/>
      <c r="AB47" s="489" t="e">
        <f>MAX(AB$41:AB$42)+IF($B$2="mil",1,0.0254)*DDR2Specs!$E$3</f>
        <v>#REF!</v>
      </c>
      <c r="AC47" s="489" t="e">
        <f>MIN(AB$41:AB$42)+IF($B$2="mil",1,0.0254)*DDR2Specs!$F$3</f>
        <v>#REF!</v>
      </c>
      <c r="AD47" s="21"/>
      <c r="AE47" s="598" t="e">
        <f t="shared" si="63"/>
        <v>#REF!</v>
      </c>
      <c r="AF47" s="495" t="e">
        <f t="shared" si="64"/>
        <v>#REF!</v>
      </c>
      <c r="AG47" s="495" t="e">
        <f t="shared" si="65"/>
        <v>#REF!</v>
      </c>
      <c r="AH47" s="495" t="e">
        <f t="shared" si="66"/>
        <v>#REF!</v>
      </c>
      <c r="AI47" s="495" t="e">
        <f t="shared" si="67"/>
        <v>#REF!</v>
      </c>
      <c r="AJ47" s="495" t="e">
        <f t="shared" ca="1" si="68"/>
        <v>#NAME?</v>
      </c>
      <c r="AK47" s="495" t="e">
        <f t="shared" si="82"/>
        <v>#REF!</v>
      </c>
      <c r="AL47" s="495" t="e">
        <f t="shared" si="83"/>
        <v>#REF!</v>
      </c>
      <c r="AM47" s="495" t="e">
        <f t="shared" ca="1" si="69"/>
        <v>#NAME?</v>
      </c>
      <c r="AN47" s="495" t="e">
        <f t="shared" ca="1" si="70"/>
        <v>#NAME?</v>
      </c>
      <c r="AO47" s="495" t="e">
        <f t="shared" si="71"/>
        <v>#REF!</v>
      </c>
      <c r="AP47" s="495" t="e">
        <f t="shared" si="72"/>
        <v>#REF!</v>
      </c>
      <c r="AQ47" s="495" t="e">
        <f t="shared" si="73"/>
        <v>#REF!</v>
      </c>
      <c r="AR47" s="495" t="e">
        <f t="shared" si="74"/>
        <v>#REF!</v>
      </c>
      <c r="AS47" s="21"/>
      <c r="AT47" s="554" t="e">
        <f t="shared" ca="1" si="75"/>
        <v>#REF!</v>
      </c>
      <c r="AU47" s="554"/>
      <c r="AV47" s="554"/>
      <c r="AW47" s="3"/>
      <c r="AX47" s="3"/>
      <c r="AY47" s="3"/>
      <c r="AZ47" s="3"/>
      <c r="BA47" s="3"/>
      <c r="BB47" s="3"/>
      <c r="BC47" s="3"/>
      <c r="BD47" s="3"/>
      <c r="BE47" s="3"/>
      <c r="BF47" s="3"/>
      <c r="BG47" s="3"/>
      <c r="BH47" s="3"/>
      <c r="BI47" s="3"/>
      <c r="BJ47" s="3"/>
    </row>
    <row r="48" spans="1:62">
      <c r="A48" s="107" t="s">
        <v>152</v>
      </c>
      <c r="B48" s="481" t="s">
        <v>487</v>
      </c>
      <c r="C48" s="658">
        <v>808.70078740157487</v>
      </c>
      <c r="D48" s="18"/>
      <c r="E48" s="277">
        <v>29.7</v>
      </c>
      <c r="F48" s="277">
        <v>0</v>
      </c>
      <c r="G48" s="438">
        <v>1941.7374015748026</v>
      </c>
      <c r="H48" s="305">
        <v>73.59</v>
      </c>
      <c r="I48" s="277">
        <v>0</v>
      </c>
      <c r="J48" s="305">
        <v>54.57</v>
      </c>
      <c r="K48" s="277">
        <v>40</v>
      </c>
      <c r="L48" s="305">
        <v>98.95</v>
      </c>
      <c r="M48" s="305">
        <v>902.9</v>
      </c>
      <c r="N48" s="305">
        <v>89.11</v>
      </c>
      <c r="O48" s="69"/>
      <c r="P48" s="489">
        <f t="shared" si="76"/>
        <v>2045.0274015748025</v>
      </c>
      <c r="Q48" s="489">
        <f t="shared" si="77"/>
        <v>3156.9674015748024</v>
      </c>
      <c r="R48" s="597"/>
      <c r="S48" s="489" t="e">
        <f t="shared" si="78"/>
        <v>#REF!</v>
      </c>
      <c r="T48" s="489" t="e">
        <f t="shared" si="79"/>
        <v>#REF!</v>
      </c>
      <c r="U48" s="597"/>
      <c r="V48" s="489" t="e">
        <f>MAX(V$41:V$42)+IF($B$2="mil",1,0.0254)*DDR2Specs!$B$3</f>
        <v>#REF!</v>
      </c>
      <c r="W48" s="489" t="e">
        <f>MIN(V$41:V$42)+IF($B$2="mil",1,0.0254)*DDR2Specs!$C$3</f>
        <v>#REF!</v>
      </c>
      <c r="X48" s="21"/>
      <c r="Y48" s="598" t="e">
        <f t="shared" si="80"/>
        <v>#REF!</v>
      </c>
      <c r="Z48" s="495" t="e">
        <f t="shared" si="81"/>
        <v>#REF!</v>
      </c>
      <c r="AA48" s="21"/>
      <c r="AB48" s="489" t="e">
        <f>MAX(AB$41:AB$42)+IF($B$2="mil",1,0.0254)*DDR2Specs!$E$3</f>
        <v>#REF!</v>
      </c>
      <c r="AC48" s="489" t="e">
        <f>MIN(AB$41:AB$42)+IF($B$2="mil",1,0.0254)*DDR2Specs!$F$3</f>
        <v>#REF!</v>
      </c>
      <c r="AD48" s="21"/>
      <c r="AE48" s="598" t="e">
        <f t="shared" si="63"/>
        <v>#REF!</v>
      </c>
      <c r="AF48" s="495" t="e">
        <f t="shared" si="64"/>
        <v>#REF!</v>
      </c>
      <c r="AG48" s="495" t="e">
        <f t="shared" si="65"/>
        <v>#REF!</v>
      </c>
      <c r="AH48" s="495" t="e">
        <f t="shared" si="66"/>
        <v>#REF!</v>
      </c>
      <c r="AI48" s="495" t="e">
        <f t="shared" si="67"/>
        <v>#REF!</v>
      </c>
      <c r="AJ48" s="495" t="e">
        <f t="shared" ca="1" si="68"/>
        <v>#NAME?</v>
      </c>
      <c r="AK48" s="495" t="e">
        <f t="shared" si="82"/>
        <v>#REF!</v>
      </c>
      <c r="AL48" s="495" t="e">
        <f t="shared" si="83"/>
        <v>#REF!</v>
      </c>
      <c r="AM48" s="495" t="e">
        <f t="shared" ca="1" si="69"/>
        <v>#NAME?</v>
      </c>
      <c r="AN48" s="495" t="e">
        <f t="shared" ca="1" si="70"/>
        <v>#NAME?</v>
      </c>
      <c r="AO48" s="495" t="e">
        <f t="shared" si="71"/>
        <v>#REF!</v>
      </c>
      <c r="AP48" s="495" t="e">
        <f t="shared" si="72"/>
        <v>#REF!</v>
      </c>
      <c r="AQ48" s="495" t="e">
        <f t="shared" si="73"/>
        <v>#REF!</v>
      </c>
      <c r="AR48" s="495" t="e">
        <f t="shared" si="74"/>
        <v>#REF!</v>
      </c>
      <c r="AS48" s="21"/>
      <c r="AT48" s="554" t="e">
        <f t="shared" ca="1" si="75"/>
        <v>#REF!</v>
      </c>
      <c r="AU48" s="554"/>
      <c r="AV48" s="554"/>
      <c r="AW48" s="3"/>
      <c r="AX48" s="3"/>
      <c r="AY48" s="3"/>
      <c r="AZ48" s="3"/>
      <c r="BA48" s="3"/>
      <c r="BB48" s="3"/>
      <c r="BC48" s="3"/>
      <c r="BD48" s="3"/>
      <c r="BE48" s="3"/>
      <c r="BF48" s="3"/>
      <c r="BG48" s="3"/>
      <c r="BH48" s="3"/>
      <c r="BI48" s="3"/>
      <c r="BJ48" s="3"/>
    </row>
    <row r="49" spans="1:62">
      <c r="A49" s="107" t="s">
        <v>153</v>
      </c>
      <c r="B49" s="480" t="s">
        <v>488</v>
      </c>
      <c r="C49" s="658">
        <v>901.61417322834643</v>
      </c>
      <c r="D49" s="18"/>
      <c r="E49" s="277">
        <v>29.7</v>
      </c>
      <c r="F49" s="277">
        <v>0</v>
      </c>
      <c r="G49" s="438">
        <v>2096.5460629921258</v>
      </c>
      <c r="H49" s="305">
        <v>69.489999999999995</v>
      </c>
      <c r="I49" s="277">
        <v>0</v>
      </c>
      <c r="J49" s="305">
        <v>53.74</v>
      </c>
      <c r="K49" s="277">
        <v>40</v>
      </c>
      <c r="L49" s="305">
        <v>101.31</v>
      </c>
      <c r="M49" s="305">
        <v>919.33</v>
      </c>
      <c r="N49" s="305">
        <v>76.06</v>
      </c>
      <c r="O49" s="69"/>
      <c r="P49" s="489">
        <f t="shared" si="76"/>
        <v>2195.7360629921254</v>
      </c>
      <c r="Q49" s="489">
        <f t="shared" si="77"/>
        <v>3316.6860629921252</v>
      </c>
      <c r="R49" s="597"/>
      <c r="S49" s="489" t="e">
        <f t="shared" si="78"/>
        <v>#REF!</v>
      </c>
      <c r="T49" s="489" t="e">
        <f t="shared" si="79"/>
        <v>#REF!</v>
      </c>
      <c r="U49" s="597"/>
      <c r="V49" s="489" t="e">
        <f>MAX(V$41:V$42)+IF($B$2="mil",1,0.0254)*DDR2Specs!$B$3</f>
        <v>#REF!</v>
      </c>
      <c r="W49" s="489" t="e">
        <f>MIN(V$41:V$42)+IF($B$2="mil",1,0.0254)*DDR2Specs!$C$3</f>
        <v>#REF!</v>
      </c>
      <c r="X49" s="21"/>
      <c r="Y49" s="598" t="e">
        <f t="shared" si="80"/>
        <v>#REF!</v>
      </c>
      <c r="Z49" s="495" t="e">
        <f t="shared" si="81"/>
        <v>#REF!</v>
      </c>
      <c r="AA49" s="21"/>
      <c r="AB49" s="489" t="e">
        <f>MAX(AB$41:AB$42)+IF($B$2="mil",1,0.0254)*DDR2Specs!$E$3</f>
        <v>#REF!</v>
      </c>
      <c r="AC49" s="489" t="e">
        <f>MIN(AB$41:AB$42)+IF($B$2="mil",1,0.0254)*DDR2Specs!$F$3</f>
        <v>#REF!</v>
      </c>
      <c r="AD49" s="21"/>
      <c r="AE49" s="598" t="e">
        <f t="shared" si="63"/>
        <v>#REF!</v>
      </c>
      <c r="AF49" s="495" t="e">
        <f t="shared" si="64"/>
        <v>#REF!</v>
      </c>
      <c r="AG49" s="495" t="e">
        <f t="shared" si="65"/>
        <v>#REF!</v>
      </c>
      <c r="AH49" s="495" t="e">
        <f t="shared" si="66"/>
        <v>#REF!</v>
      </c>
      <c r="AI49" s="495" t="e">
        <f t="shared" si="67"/>
        <v>#REF!</v>
      </c>
      <c r="AJ49" s="495" t="e">
        <f t="shared" ca="1" si="68"/>
        <v>#NAME?</v>
      </c>
      <c r="AK49" s="495" t="e">
        <f t="shared" si="82"/>
        <v>#REF!</v>
      </c>
      <c r="AL49" s="495" t="e">
        <f t="shared" si="83"/>
        <v>#REF!</v>
      </c>
      <c r="AM49" s="495" t="e">
        <f t="shared" ca="1" si="69"/>
        <v>#NAME?</v>
      </c>
      <c r="AN49" s="495" t="e">
        <f t="shared" ca="1" si="70"/>
        <v>#NAME?</v>
      </c>
      <c r="AO49" s="495" t="e">
        <f t="shared" si="71"/>
        <v>#REF!</v>
      </c>
      <c r="AP49" s="495" t="e">
        <f t="shared" si="72"/>
        <v>#REF!</v>
      </c>
      <c r="AQ49" s="495" t="e">
        <f t="shared" si="73"/>
        <v>#REF!</v>
      </c>
      <c r="AR49" s="495" t="e">
        <f t="shared" si="74"/>
        <v>#REF!</v>
      </c>
      <c r="AS49" s="21"/>
      <c r="AT49" s="554" t="e">
        <f t="shared" ca="1" si="75"/>
        <v>#REF!</v>
      </c>
      <c r="AU49" s="554"/>
      <c r="AV49" s="554"/>
      <c r="AW49" s="3"/>
      <c r="AX49" s="3"/>
      <c r="AY49" s="3"/>
      <c r="AZ49" s="3"/>
      <c r="BA49" s="3"/>
      <c r="BB49" s="3"/>
      <c r="BC49" s="3"/>
      <c r="BD49" s="3"/>
      <c r="BE49" s="3"/>
      <c r="BF49" s="3"/>
      <c r="BG49" s="3"/>
      <c r="BH49" s="3"/>
      <c r="BI49" s="3"/>
      <c r="BJ49" s="3"/>
    </row>
    <row r="50" spans="1:62">
      <c r="A50" s="107" t="s">
        <v>154</v>
      </c>
      <c r="B50" s="480" t="s">
        <v>355</v>
      </c>
      <c r="C50" s="658">
        <v>894.17322834645665</v>
      </c>
      <c r="D50" s="18"/>
      <c r="E50" s="277">
        <v>29.7</v>
      </c>
      <c r="F50" s="277">
        <v>0</v>
      </c>
      <c r="G50" s="438">
        <v>1951.8191338582701</v>
      </c>
      <c r="H50" s="305">
        <v>174.65</v>
      </c>
      <c r="I50" s="277">
        <v>0</v>
      </c>
      <c r="J50" s="305">
        <v>112.17</v>
      </c>
      <c r="K50" s="277">
        <v>40</v>
      </c>
      <c r="L50" s="305">
        <v>60.58</v>
      </c>
      <c r="M50" s="305">
        <v>1006.56</v>
      </c>
      <c r="N50" s="305">
        <v>71.7</v>
      </c>
      <c r="O50" s="69"/>
      <c r="P50" s="489">
        <f t="shared" si="76"/>
        <v>2156.16913385827</v>
      </c>
      <c r="Q50" s="489">
        <f t="shared" si="77"/>
        <v>3272.5291338582697</v>
      </c>
      <c r="R50" s="597"/>
      <c r="S50" s="489" t="e">
        <f t="shared" si="78"/>
        <v>#REF!</v>
      </c>
      <c r="T50" s="489" t="e">
        <f t="shared" si="79"/>
        <v>#REF!</v>
      </c>
      <c r="U50" s="597"/>
      <c r="V50" s="489" t="e">
        <f>MAX(V$41:V$42)+IF($B$2="mil",1,0.0254)*DDR2Specs!$B$3</f>
        <v>#REF!</v>
      </c>
      <c r="W50" s="489" t="e">
        <f>MIN(V$41:V$42)+IF($B$2="mil",1,0.0254)*DDR2Specs!$C$3</f>
        <v>#REF!</v>
      </c>
      <c r="X50" s="21"/>
      <c r="Y50" s="598" t="e">
        <f t="shared" si="80"/>
        <v>#REF!</v>
      </c>
      <c r="Z50" s="495" t="e">
        <f t="shared" si="81"/>
        <v>#REF!</v>
      </c>
      <c r="AA50" s="21"/>
      <c r="AB50" s="489" t="e">
        <f>MAX(AB$41:AB$42)+IF($B$2="mil",1,0.0254)*DDR2Specs!$E$3</f>
        <v>#REF!</v>
      </c>
      <c r="AC50" s="489" t="e">
        <f>MIN(AB$41:AB$42)+IF($B$2="mil",1,0.0254)*DDR2Specs!$F$3</f>
        <v>#REF!</v>
      </c>
      <c r="AD50" s="21"/>
      <c r="AE50" s="598" t="e">
        <f t="shared" si="63"/>
        <v>#REF!</v>
      </c>
      <c r="AF50" s="495" t="e">
        <f t="shared" si="64"/>
        <v>#REF!</v>
      </c>
      <c r="AG50" s="495" t="e">
        <f t="shared" si="65"/>
        <v>#REF!</v>
      </c>
      <c r="AH50" s="495" t="e">
        <f t="shared" si="66"/>
        <v>#REF!</v>
      </c>
      <c r="AI50" s="495" t="e">
        <f t="shared" si="67"/>
        <v>#REF!</v>
      </c>
      <c r="AJ50" s="495" t="e">
        <f t="shared" ca="1" si="68"/>
        <v>#NAME?</v>
      </c>
      <c r="AK50" s="495" t="e">
        <f t="shared" si="82"/>
        <v>#REF!</v>
      </c>
      <c r="AL50" s="495" t="e">
        <f t="shared" si="83"/>
        <v>#REF!</v>
      </c>
      <c r="AM50" s="495" t="e">
        <f t="shared" ca="1" si="69"/>
        <v>#NAME?</v>
      </c>
      <c r="AN50" s="495" t="e">
        <f t="shared" ca="1" si="70"/>
        <v>#NAME?</v>
      </c>
      <c r="AO50" s="495" t="e">
        <f t="shared" si="71"/>
        <v>#REF!</v>
      </c>
      <c r="AP50" s="495" t="e">
        <f t="shared" si="72"/>
        <v>#REF!</v>
      </c>
      <c r="AQ50" s="495" t="e">
        <f t="shared" si="73"/>
        <v>#REF!</v>
      </c>
      <c r="AR50" s="495" t="e">
        <f t="shared" si="74"/>
        <v>#REF!</v>
      </c>
      <c r="AS50" s="21"/>
      <c r="AT50" s="554" t="e">
        <f t="shared" ca="1" si="75"/>
        <v>#REF!</v>
      </c>
      <c r="AU50" s="554"/>
      <c r="AV50" s="554"/>
      <c r="AW50" s="3"/>
      <c r="AX50" s="3"/>
      <c r="AY50" s="3"/>
      <c r="AZ50" s="3"/>
      <c r="BA50" s="3"/>
      <c r="BB50" s="3"/>
      <c r="BC50" s="3"/>
      <c r="BD50" s="3"/>
      <c r="BE50" s="3"/>
      <c r="BF50" s="3"/>
      <c r="BG50" s="3"/>
      <c r="BH50" s="3"/>
      <c r="BI50" s="3"/>
      <c r="BJ50" s="3"/>
    </row>
    <row r="51" spans="1:62">
      <c r="A51" s="128" t="s">
        <v>155</v>
      </c>
      <c r="B51" s="484" t="s">
        <v>519</v>
      </c>
      <c r="C51" s="658">
        <v>728.70078740157487</v>
      </c>
      <c r="D51" s="18"/>
      <c r="E51" s="277">
        <v>29.7</v>
      </c>
      <c r="F51" s="277">
        <v>0</v>
      </c>
      <c r="G51" s="438">
        <v>2031.09</v>
      </c>
      <c r="H51" s="305">
        <v>73.75</v>
      </c>
      <c r="I51" s="277">
        <v>0</v>
      </c>
      <c r="J51" s="305">
        <v>50.57</v>
      </c>
      <c r="K51" s="277">
        <v>40</v>
      </c>
      <c r="L51" s="305">
        <v>75.63</v>
      </c>
      <c r="M51" s="305">
        <v>987.53</v>
      </c>
      <c r="N51" s="305">
        <v>32</v>
      </c>
      <c r="O51" s="69"/>
      <c r="P51" s="489">
        <f t="shared" si="76"/>
        <v>2134.54</v>
      </c>
      <c r="Q51" s="489">
        <f t="shared" si="77"/>
        <v>3246.5200000000004</v>
      </c>
      <c r="R51" s="597"/>
      <c r="S51" s="489" t="e">
        <f t="shared" si="78"/>
        <v>#REF!</v>
      </c>
      <c r="T51" s="489" t="e">
        <f t="shared" si="79"/>
        <v>#REF!</v>
      </c>
      <c r="U51" s="597"/>
      <c r="V51" s="489" t="e">
        <f>MAX(V$41:V$42)+IF($B$2="mil",1,0.0254)*DDR2Specs!$B$3</f>
        <v>#REF!</v>
      </c>
      <c r="W51" s="489" t="e">
        <f>MIN(V$41:V$42)+IF($B$2="mil",1,0.0254)*DDR2Specs!$C$3</f>
        <v>#REF!</v>
      </c>
      <c r="X51" s="21"/>
      <c r="Y51" s="598" t="e">
        <f t="shared" si="80"/>
        <v>#REF!</v>
      </c>
      <c r="Z51" s="495" t="e">
        <f t="shared" si="81"/>
        <v>#REF!</v>
      </c>
      <c r="AA51" s="21"/>
      <c r="AB51" s="489" t="e">
        <f>MAX(AB$41:AB$42)+IF($B$2="mil",1,0.0254)*DDR2Specs!$E$3</f>
        <v>#REF!</v>
      </c>
      <c r="AC51" s="489" t="e">
        <f>MIN(AB$41:AB$42)+IF($B$2="mil",1,0.0254)*DDR2Specs!$F$3</f>
        <v>#REF!</v>
      </c>
      <c r="AD51" s="21"/>
      <c r="AE51" s="598" t="e">
        <f t="shared" si="63"/>
        <v>#REF!</v>
      </c>
      <c r="AF51" s="495" t="e">
        <f t="shared" si="64"/>
        <v>#REF!</v>
      </c>
      <c r="AG51" s="495" t="e">
        <f t="shared" si="65"/>
        <v>#REF!</v>
      </c>
      <c r="AH51" s="495" t="e">
        <f t="shared" si="66"/>
        <v>#REF!</v>
      </c>
      <c r="AI51" s="495" t="e">
        <f t="shared" si="67"/>
        <v>#REF!</v>
      </c>
      <c r="AJ51" s="495" t="e">
        <f t="shared" ca="1" si="68"/>
        <v>#NAME?</v>
      </c>
      <c r="AK51" s="495" t="e">
        <f t="shared" si="82"/>
        <v>#REF!</v>
      </c>
      <c r="AL51" s="495" t="e">
        <f t="shared" si="83"/>
        <v>#REF!</v>
      </c>
      <c r="AM51" s="495" t="e">
        <f t="shared" ca="1" si="69"/>
        <v>#NAME?</v>
      </c>
      <c r="AN51" s="495" t="e">
        <f t="shared" ca="1" si="70"/>
        <v>#NAME?</v>
      </c>
      <c r="AO51" s="495" t="e">
        <f t="shared" si="71"/>
        <v>#REF!</v>
      </c>
      <c r="AP51" s="495" t="e">
        <f t="shared" si="72"/>
        <v>#REF!</v>
      </c>
      <c r="AQ51" s="495" t="e">
        <f t="shared" si="73"/>
        <v>#REF!</v>
      </c>
      <c r="AR51" s="495" t="e">
        <f t="shared" si="74"/>
        <v>#REF!</v>
      </c>
      <c r="AS51" s="21"/>
      <c r="AT51" s="554" t="e">
        <f t="shared" ca="1" si="75"/>
        <v>#REF!</v>
      </c>
      <c r="AU51" s="554"/>
      <c r="AV51" s="554"/>
      <c r="AW51" s="3"/>
      <c r="AX51" s="3"/>
      <c r="AY51" s="3"/>
      <c r="AZ51" s="3"/>
      <c r="BA51" s="3"/>
      <c r="BB51" s="3"/>
      <c r="BC51" s="3"/>
      <c r="BD51" s="3"/>
      <c r="BE51" s="3"/>
      <c r="BF51" s="3"/>
      <c r="BG51" s="3"/>
      <c r="BH51" s="3"/>
      <c r="BI51" s="3"/>
      <c r="BJ51" s="3"/>
    </row>
    <row r="52" spans="1:62">
      <c r="A52" s="109" t="s">
        <v>201</v>
      </c>
      <c r="B52" s="485"/>
      <c r="C52" s="659"/>
      <c r="D52" s="62"/>
      <c r="E52" s="82"/>
      <c r="F52" s="82"/>
      <c r="G52" s="439"/>
      <c r="H52" s="295"/>
      <c r="I52" s="295"/>
      <c r="J52" s="295"/>
      <c r="K52" s="295"/>
      <c r="L52" s="295"/>
      <c r="M52" s="295"/>
      <c r="N52" s="295"/>
      <c r="O52" s="10"/>
      <c r="P52" s="82"/>
      <c r="Q52" s="82"/>
      <c r="R52" s="82"/>
      <c r="S52" s="605"/>
      <c r="T52" s="605"/>
      <c r="U52" s="605"/>
      <c r="V52" s="605"/>
      <c r="W52" s="606"/>
      <c r="X52" s="606"/>
      <c r="Y52" s="607"/>
      <c r="Z52" s="17"/>
      <c r="AA52" s="606"/>
      <c r="AB52" s="605"/>
      <c r="AC52" s="606"/>
      <c r="AD52" s="606"/>
      <c r="AE52" s="607"/>
      <c r="AF52" s="17"/>
      <c r="AG52" s="17"/>
      <c r="AH52" s="17"/>
      <c r="AI52" s="16"/>
      <c r="AJ52" s="16"/>
      <c r="AK52" s="16"/>
      <c r="AL52" s="16"/>
      <c r="AM52" s="16"/>
      <c r="AN52" s="16"/>
      <c r="AO52" s="16"/>
      <c r="AP52" s="16"/>
      <c r="AQ52" s="16"/>
      <c r="AR52" s="16"/>
      <c r="AS52" s="83"/>
      <c r="AT52" s="554"/>
      <c r="AU52" s="554"/>
      <c r="AV52" s="554"/>
      <c r="AW52" s="3"/>
      <c r="AX52" s="3"/>
      <c r="AY52" s="3"/>
      <c r="AZ52" s="3"/>
      <c r="BA52" s="3"/>
      <c r="BB52" s="3"/>
      <c r="BC52" s="3"/>
      <c r="BD52" s="3"/>
      <c r="BE52" s="3"/>
      <c r="BF52" s="3"/>
      <c r="BG52" s="3"/>
      <c r="BH52" s="3"/>
      <c r="BI52" s="3"/>
      <c r="BJ52" s="3"/>
    </row>
    <row r="53" spans="1:62">
      <c r="A53" s="118" t="str">
        <f>'DDR2 Strobes - 1x16'!$A$21</f>
        <v>SA_DQS4</v>
      </c>
      <c r="B53" s="130" t="str">
        <f>'DDR2 Strobes - 1x16'!$B$21</f>
        <v>AB19</v>
      </c>
      <c r="C53" s="660"/>
      <c r="D53" s="53"/>
      <c r="E53" s="81"/>
      <c r="F53" s="81"/>
      <c r="G53" s="440"/>
      <c r="H53" s="296"/>
      <c r="I53" s="296"/>
      <c r="J53" s="296"/>
      <c r="K53" s="296"/>
      <c r="L53" s="296"/>
      <c r="M53" s="296"/>
      <c r="N53" s="296"/>
      <c r="O53" s="81"/>
      <c r="P53" s="81"/>
      <c r="Q53" s="81"/>
      <c r="R53" s="81"/>
      <c r="S53" s="58"/>
      <c r="T53" s="58"/>
      <c r="U53" s="58"/>
      <c r="V53" s="58" t="e">
        <f>'DDR2 Strobes - 1x16'!$S$21</f>
        <v>#REF!</v>
      </c>
      <c r="W53" s="58"/>
      <c r="X53" s="58"/>
      <c r="Y53" s="58"/>
      <c r="Z53" s="608"/>
      <c r="AA53" s="58"/>
      <c r="AB53" s="58" t="e">
        <f>'DDR2 Strobes - 1x16'!$T$21</f>
        <v>#REF!</v>
      </c>
      <c r="AC53" s="58"/>
      <c r="AD53" s="58"/>
      <c r="AE53" s="58"/>
      <c r="AF53" s="608"/>
      <c r="AG53" s="608"/>
      <c r="AH53" s="608"/>
      <c r="AI53" s="608"/>
      <c r="AJ53" s="608"/>
      <c r="AK53" s="608"/>
      <c r="AL53" s="608"/>
      <c r="AM53" s="608"/>
      <c r="AN53" s="608"/>
      <c r="AO53" s="608"/>
      <c r="AP53" s="608"/>
      <c r="AQ53" s="608"/>
      <c r="AR53" s="608"/>
      <c r="AS53" s="58"/>
      <c r="AT53" s="554"/>
      <c r="AU53" s="554"/>
      <c r="AV53" s="554"/>
      <c r="AW53" s="3"/>
      <c r="AX53" s="3"/>
      <c r="AY53" s="3"/>
      <c r="AZ53" s="3"/>
      <c r="BA53" s="3"/>
      <c r="BB53" s="3"/>
      <c r="BC53" s="3"/>
      <c r="BD53" s="3"/>
      <c r="BE53" s="3"/>
      <c r="BF53" s="3"/>
      <c r="BG53" s="3"/>
      <c r="BH53" s="3"/>
      <c r="BI53" s="3"/>
      <c r="BJ53" s="3"/>
    </row>
    <row r="54" spans="1:62">
      <c r="A54" s="118" t="str">
        <f>'DDR2 Strobes - 1x16'!$A$22</f>
        <v>SA_DQS4#</v>
      </c>
      <c r="B54" s="486" t="str">
        <f>'DDR2 Strobes - 1x16'!$B$22</f>
        <v>AB18</v>
      </c>
      <c r="C54" s="660"/>
      <c r="D54" s="53"/>
      <c r="E54" s="81"/>
      <c r="F54" s="81"/>
      <c r="G54" s="440"/>
      <c r="H54" s="296"/>
      <c r="I54" s="296"/>
      <c r="J54" s="296"/>
      <c r="K54" s="296"/>
      <c r="L54" s="296"/>
      <c r="M54" s="296"/>
      <c r="N54" s="296"/>
      <c r="O54" s="81"/>
      <c r="P54" s="81"/>
      <c r="Q54" s="602"/>
      <c r="R54" s="602"/>
      <c r="S54" s="603"/>
      <c r="T54" s="603"/>
      <c r="U54" s="58"/>
      <c r="V54" s="58" t="e">
        <f>'DDR2 Strobes - 1x16'!$S$22</f>
        <v>#REF!</v>
      </c>
      <c r="W54" s="58"/>
      <c r="X54" s="58"/>
      <c r="Y54" s="58"/>
      <c r="Z54" s="608"/>
      <c r="AA54" s="58"/>
      <c r="AB54" s="58" t="e">
        <f>'DDR2 Strobes - 1x16'!$T$22</f>
        <v>#REF!</v>
      </c>
      <c r="AC54" s="58"/>
      <c r="AD54" s="58"/>
      <c r="AE54" s="58"/>
      <c r="AF54" s="608"/>
      <c r="AG54" s="608"/>
      <c r="AH54" s="608"/>
      <c r="AI54" s="609"/>
      <c r="AJ54" s="609"/>
      <c r="AK54" s="609"/>
      <c r="AL54" s="609"/>
      <c r="AM54" s="609"/>
      <c r="AN54" s="609"/>
      <c r="AO54" s="609"/>
      <c r="AP54" s="609"/>
      <c r="AQ54" s="609"/>
      <c r="AR54" s="609"/>
      <c r="AS54" s="58"/>
      <c r="AT54" s="554"/>
      <c r="AU54" s="554"/>
      <c r="AV54" s="554"/>
      <c r="AW54" s="3"/>
      <c r="AX54" s="3"/>
      <c r="AY54" s="3"/>
      <c r="AZ54" s="3"/>
      <c r="BA54" s="3"/>
      <c r="BB54" s="3"/>
      <c r="BC54" s="3"/>
      <c r="BD54" s="3"/>
      <c r="BE54" s="3"/>
      <c r="BF54" s="3"/>
      <c r="BG54" s="3"/>
      <c r="BH54" s="3"/>
      <c r="BI54" s="3"/>
      <c r="BJ54" s="3"/>
    </row>
    <row r="55" spans="1:62">
      <c r="A55" s="107" t="s">
        <v>156</v>
      </c>
      <c r="B55" s="480" t="s">
        <v>489</v>
      </c>
      <c r="C55" s="658">
        <v>655.8661417322835</v>
      </c>
      <c r="D55" s="18"/>
      <c r="E55" s="277">
        <v>29.7</v>
      </c>
      <c r="F55" s="277">
        <v>0</v>
      </c>
      <c r="G55" s="438">
        <v>1887.4051181102359</v>
      </c>
      <c r="H55" s="305">
        <v>75.260000000000005</v>
      </c>
      <c r="I55" s="277">
        <v>0</v>
      </c>
      <c r="J55" s="305">
        <v>58.71</v>
      </c>
      <c r="K55" s="277">
        <v>40</v>
      </c>
      <c r="L55" s="305">
        <v>105.97</v>
      </c>
      <c r="M55" s="305">
        <v>1075.69</v>
      </c>
      <c r="N55" s="305">
        <v>78</v>
      </c>
      <c r="O55" s="69"/>
      <c r="P55" s="489">
        <f xml:space="preserve"> E55+F55+G55+H55</f>
        <v>1992.3651181102359</v>
      </c>
      <c r="Q55" s="489">
        <f t="shared" ref="Q55:Q63" si="84">SUM(E55:G55,I55:N55)</f>
        <v>3275.4751181102361</v>
      </c>
      <c r="R55" s="597"/>
      <c r="S55" s="489" t="e">
        <f>P55+IF($B$2="mil",1,0.0254)*C55</f>
        <v>#REF!</v>
      </c>
      <c r="T55" s="489" t="e">
        <f>Q55+IF($B$2="mil",1,0.0254)*C55</f>
        <v>#REF!</v>
      </c>
      <c r="U55" s="597"/>
      <c r="V55" s="489" t="e">
        <f>MAX(V$53:V$54)+IF($B$2="mil",1,0.0254)*DDR2Specs!$B$3</f>
        <v>#REF!</v>
      </c>
      <c r="W55" s="489" t="e">
        <f>MIN(V$53:V$54)+IF($B$2="mil",1,0.0254)*DDR2Specs!$C$3</f>
        <v>#REF!</v>
      </c>
      <c r="X55" s="21"/>
      <c r="Y55" s="598" t="e">
        <f>IF($S55&lt;$V55,$V55-$S55,"Pass")</f>
        <v>#REF!</v>
      </c>
      <c r="Z55" s="495" t="e">
        <f>IF($S55&gt;$W55,$S55-$W55,"Pass")</f>
        <v>#REF!</v>
      </c>
      <c r="AA55" s="21"/>
      <c r="AB55" s="489" t="e">
        <f>MAX(AB$53:AB$54)+IF($B$2="mil",1,0.0254)*DDR2Specs!$E$3</f>
        <v>#REF!</v>
      </c>
      <c r="AC55" s="489" t="e">
        <f>MIN(AB$53:AB$54)+IF($B$2="mil",1,0.0254)*DDR2Specs!$F$3</f>
        <v>#REF!</v>
      </c>
      <c r="AD55" s="21"/>
      <c r="AE55" s="598" t="e">
        <f t="shared" ref="AE55:AE63" si="85">IF($T55&lt;$AB55,$AB55-$T55,"Pass")</f>
        <v>#REF!</v>
      </c>
      <c r="AF55" s="495" t="e">
        <f t="shared" ref="AF55:AF63" si="86">IF($T55&gt;$AC55,$T55-$AC55,"Pass")</f>
        <v>#REF!</v>
      </c>
      <c r="AG55" s="495" t="e">
        <f t="shared" ref="AG55:AG63" si="87">IF($E55&lt;=IF($B$2="mil",1,0.0254)*50,"Pass",IF($B$2="mil",1,0.0254)*50-$E55)</f>
        <v>#REF!</v>
      </c>
      <c r="AH55" s="495" t="e">
        <f t="shared" ref="AH55:AH63" si="88">IF($F55&lt;=IF($B$2="mil",1,0.0254)*500,"Pass",IF($B$2="mil",1,0.0254)*500-$F55)</f>
        <v>#REF!</v>
      </c>
      <c r="AI55" s="495" t="e">
        <f t="shared" ref="AI55:AI63" si="89">IF($H55&lt;=IF($B$2="mil",1,0.0254)*250,"Pass",IF($B$2="mil",1,0.0254)*250-$H55)</f>
        <v>#REF!</v>
      </c>
      <c r="AJ55" s="495" t="e">
        <f t="shared" ref="AJ55:AJ63" ca="1" si="90">CheckLength(IF($B$2="mil",1,0.0254)*1125, IF($B$2="mil",1,0.0254)*125-J55, 0, I55,J55,0)</f>
        <v>#NAME?</v>
      </c>
      <c r="AK55" s="495" t="e">
        <f>IF($J55&lt;=IF($B$2="mil",1,0.0254)*125,"Pass",IF($B$2="mil",1,0.0254)*125-$J55)</f>
        <v>#REF!</v>
      </c>
      <c r="AL55" s="495" t="e">
        <f>IF($L55&lt;=IF($B$2="mil",1,0.0254)*125,"Pass",IF($B$2="mil",1,0.0254)*125-$L55)</f>
        <v>#REF!</v>
      </c>
      <c r="AM55" s="495" t="e">
        <f t="shared" ref="AM55:AM63" ca="1" si="91">CheckLength(IF($B$2="mil",1,0.0254)*1525, IF($B$2="mil",1,0.0254)*125-L55, IF($B$2="mil",1,0.0254)*150-N55, M55,L55,N55)</f>
        <v>#NAME?</v>
      </c>
      <c r="AN55" s="495" t="e">
        <f t="shared" ref="AN55:AN63" ca="1" si="92">CheckLength2(IF($B$2="mil",1,0.0254)*1400,M55,N55,0)</f>
        <v>#NAME?</v>
      </c>
      <c r="AO55" s="495" t="e">
        <f t="shared" ref="AO55:AO63" si="93">IF(AND($P55&gt;=IF($B$2="mil",1,0.0254)*500, $P55&lt;=IF($B$2="mil",1,0.0254)*4000),"Pass",IF($B$2="mil",1,0.0254)*4000-$P55)</f>
        <v>#REF!</v>
      </c>
      <c r="AP55" s="495" t="e">
        <f t="shared" ref="AP55:AP63" si="94">IF(AND($S55&gt;=IF($B$2="mil",1,0.0254)*500, $S55&lt;=IF($B$2="mil",1,0.0254)*4500),"Pass",IF($B$2="mil",1,0.0254)*4500-$S55)</f>
        <v>#REF!</v>
      </c>
      <c r="AQ55" s="495" t="e">
        <f t="shared" ref="AQ55:AQ63" si="95">IF(AND($Q55&gt;=IF($B$2="mil",1,0.0254)*500, $Q55&lt;=IF($B$2="mil",1,0.0254)*5500),"Pass",IF($B$2="mil",1,0.0254)*5500-$Q55)</f>
        <v>#REF!</v>
      </c>
      <c r="AR55" s="495" t="e">
        <f t="shared" ref="AR55:AR63" si="96">IF(AND($T55&gt;=IF($B$2="mil",1,0.0254)*500, $T55&lt;=IF($B$2="mil",1,0.0254)*6000),"Pass",IF($B$2="mil",1,0.0254)*6000-$T55)</f>
        <v>#REF!</v>
      </c>
      <c r="AS55" s="21"/>
      <c r="AT55" s="554" t="e">
        <f t="shared" ref="AT55:AT63" ca="1" si="97">IF(AND(AG55="Pass",AP55="Pass",AI55="Pass",AH55="Pass",AO55="Pass",Y55="Pass",Z55="Pass",AN55="Pass",AM55="Pass",AL55="Pass",AK55="Pass",AJ55="Pass",AE55="Pass",AF55="Pass",AQ55="Pass",AR55="Pass"),"Pass","Fail")</f>
        <v>#REF!</v>
      </c>
      <c r="AU55" s="554" t="e">
        <f ca="1">IF(AND(AT55="Pass",AT56="Pass",AT57="Pass",AT58="Pass",AT59="Pass",AT60="Pass",AT61="Pass",AT62="Pass",AT63="Pass"),"Pass","Fail")</f>
        <v>#REF!</v>
      </c>
      <c r="AV55" s="554"/>
      <c r="AW55" s="3"/>
      <c r="AX55" s="3"/>
      <c r="AY55" s="3"/>
      <c r="AZ55" s="3"/>
      <c r="BA55" s="3"/>
      <c r="BB55" s="3"/>
      <c r="BC55" s="3"/>
      <c r="BD55" s="3"/>
      <c r="BE55" s="3"/>
      <c r="BF55" s="3"/>
      <c r="BG55" s="3"/>
      <c r="BH55" s="3"/>
      <c r="BI55" s="3"/>
      <c r="BJ55" s="3"/>
    </row>
    <row r="56" spans="1:62">
      <c r="A56" s="107" t="s">
        <v>157</v>
      </c>
      <c r="B56" s="480" t="s">
        <v>357</v>
      </c>
      <c r="C56" s="658">
        <v>729.25196850393706</v>
      </c>
      <c r="D56" s="18"/>
      <c r="E56" s="277">
        <v>29.7</v>
      </c>
      <c r="F56" s="277">
        <v>0</v>
      </c>
      <c r="G56" s="438">
        <v>1863.4231496062989</v>
      </c>
      <c r="H56" s="305">
        <v>74.989999999999995</v>
      </c>
      <c r="I56" s="277">
        <v>0</v>
      </c>
      <c r="J56" s="305">
        <v>69.2</v>
      </c>
      <c r="K56" s="277">
        <v>40</v>
      </c>
      <c r="L56" s="305">
        <v>110.37</v>
      </c>
      <c r="M56" s="305">
        <v>1038.94</v>
      </c>
      <c r="N56" s="305">
        <v>100</v>
      </c>
      <c r="O56" s="69"/>
      <c r="P56" s="489">
        <f t="shared" ref="P56:P63" si="98" xml:space="preserve"> E56+F56+G56+H56</f>
        <v>1968.113149606299</v>
      </c>
      <c r="Q56" s="489">
        <f t="shared" si="84"/>
        <v>3251.633149606299</v>
      </c>
      <c r="R56" s="597"/>
      <c r="S56" s="489" t="e">
        <f t="shared" ref="S56:S63" si="99">P56+IF($B$2="mil",1,0.0254)*C56</f>
        <v>#REF!</v>
      </c>
      <c r="T56" s="489" t="e">
        <f t="shared" ref="T56:T63" si="100">Q56+IF($B$2="mil",1,0.0254)*C56</f>
        <v>#REF!</v>
      </c>
      <c r="U56" s="597"/>
      <c r="V56" s="489" t="e">
        <f>MAX(V$53:V$54)+IF($B$2="mil",1,0.0254)*DDR2Specs!$B$3</f>
        <v>#REF!</v>
      </c>
      <c r="W56" s="489" t="e">
        <f>MIN(V$53:V$54)+IF($B$2="mil",1,0.0254)*DDR2Specs!$C$3</f>
        <v>#REF!</v>
      </c>
      <c r="X56" s="21"/>
      <c r="Y56" s="598" t="e">
        <f t="shared" ref="Y56:Y63" si="101">IF($S56&lt;$V56,$V56-$S56,"Pass")</f>
        <v>#REF!</v>
      </c>
      <c r="Z56" s="495" t="e">
        <f t="shared" ref="Z56:Z63" si="102">IF($S56&gt;$W56,$S56-$W56,"Pass")</f>
        <v>#REF!</v>
      </c>
      <c r="AA56" s="21"/>
      <c r="AB56" s="489" t="e">
        <f>MAX(AB$53:AB$54)+IF($B$2="mil",1,0.0254)*DDR2Specs!$E$3</f>
        <v>#REF!</v>
      </c>
      <c r="AC56" s="489" t="e">
        <f>MIN(AB$53:AB$54)+IF($B$2="mil",1,0.0254)*DDR2Specs!$F$3</f>
        <v>#REF!</v>
      </c>
      <c r="AD56" s="21"/>
      <c r="AE56" s="598" t="e">
        <f t="shared" si="85"/>
        <v>#REF!</v>
      </c>
      <c r="AF56" s="495" t="e">
        <f t="shared" si="86"/>
        <v>#REF!</v>
      </c>
      <c r="AG56" s="495" t="e">
        <f t="shared" si="87"/>
        <v>#REF!</v>
      </c>
      <c r="AH56" s="495" t="e">
        <f t="shared" si="88"/>
        <v>#REF!</v>
      </c>
      <c r="AI56" s="495" t="e">
        <f t="shared" si="89"/>
        <v>#REF!</v>
      </c>
      <c r="AJ56" s="495" t="e">
        <f t="shared" ca="1" si="90"/>
        <v>#NAME?</v>
      </c>
      <c r="AK56" s="495" t="e">
        <f t="shared" ref="AK56:AK63" si="103">IF($J56&lt;=IF($B$2="mil",1,0.0254)*125,"Pass",IF($B$2="mil",1,0.0254)*125-$J56)</f>
        <v>#REF!</v>
      </c>
      <c r="AL56" s="495" t="e">
        <f t="shared" ref="AL56:AL63" si="104">IF($L56&lt;=IF($B$2="mil",1,0.0254)*125,"Pass",IF($B$2="mil",1,0.0254)*125-$L56)</f>
        <v>#REF!</v>
      </c>
      <c r="AM56" s="495" t="e">
        <f t="shared" ca="1" si="91"/>
        <v>#NAME?</v>
      </c>
      <c r="AN56" s="495" t="e">
        <f t="shared" ca="1" si="92"/>
        <v>#NAME?</v>
      </c>
      <c r="AO56" s="495" t="e">
        <f t="shared" si="93"/>
        <v>#REF!</v>
      </c>
      <c r="AP56" s="495" t="e">
        <f t="shared" si="94"/>
        <v>#REF!</v>
      </c>
      <c r="AQ56" s="495" t="e">
        <f t="shared" si="95"/>
        <v>#REF!</v>
      </c>
      <c r="AR56" s="495" t="e">
        <f t="shared" si="96"/>
        <v>#REF!</v>
      </c>
      <c r="AS56" s="21"/>
      <c r="AT56" s="554" t="e">
        <f t="shared" ca="1" si="97"/>
        <v>#REF!</v>
      </c>
      <c r="AU56" s="554"/>
      <c r="AV56" s="554"/>
      <c r="AW56" s="3"/>
      <c r="AX56" s="3"/>
      <c r="AY56" s="3"/>
      <c r="AZ56" s="3"/>
      <c r="BA56" s="3"/>
      <c r="BB56" s="3"/>
      <c r="BC56" s="3"/>
      <c r="BD56" s="3"/>
      <c r="BE56" s="3"/>
      <c r="BF56" s="3"/>
      <c r="BG56" s="3"/>
      <c r="BH56" s="3"/>
      <c r="BI56" s="3"/>
      <c r="BJ56" s="3"/>
    </row>
    <row r="57" spans="1:62">
      <c r="A57" s="107" t="s">
        <v>158</v>
      </c>
      <c r="B57" s="480" t="s">
        <v>361</v>
      </c>
      <c r="C57" s="658">
        <v>732.12598425196848</v>
      </c>
      <c r="D57" s="18"/>
      <c r="E57" s="277">
        <v>29.7</v>
      </c>
      <c r="F57" s="277">
        <v>0</v>
      </c>
      <c r="G57" s="438">
        <v>1846.120236220472</v>
      </c>
      <c r="H57" s="305">
        <v>115.6</v>
      </c>
      <c r="I57" s="277">
        <v>0</v>
      </c>
      <c r="J57" s="305">
        <v>102</v>
      </c>
      <c r="K57" s="277">
        <v>40</v>
      </c>
      <c r="L57" s="305">
        <v>85.78</v>
      </c>
      <c r="M57" s="305">
        <v>1139.69</v>
      </c>
      <c r="N57" s="305">
        <v>32</v>
      </c>
      <c r="O57" s="69"/>
      <c r="P57" s="489">
        <f t="shared" si="98"/>
        <v>1991.4202362204719</v>
      </c>
      <c r="Q57" s="489">
        <f t="shared" si="84"/>
        <v>3275.2902362204723</v>
      </c>
      <c r="R57" s="597"/>
      <c r="S57" s="489" t="e">
        <f t="shared" si="99"/>
        <v>#REF!</v>
      </c>
      <c r="T57" s="489" t="e">
        <f t="shared" si="100"/>
        <v>#REF!</v>
      </c>
      <c r="U57" s="597"/>
      <c r="V57" s="489" t="e">
        <f>MAX(V$53:V$54)+IF($B$2="mil",1,0.0254)*DDR2Specs!$B$3</f>
        <v>#REF!</v>
      </c>
      <c r="W57" s="489" t="e">
        <f>MIN(V$53:V$54)+IF($B$2="mil",1,0.0254)*DDR2Specs!$C$3</f>
        <v>#REF!</v>
      </c>
      <c r="X57" s="21"/>
      <c r="Y57" s="598" t="e">
        <f t="shared" si="101"/>
        <v>#REF!</v>
      </c>
      <c r="Z57" s="495" t="e">
        <f t="shared" si="102"/>
        <v>#REF!</v>
      </c>
      <c r="AA57" s="21"/>
      <c r="AB57" s="489" t="e">
        <f>MAX(AB$53:AB$54)+IF($B$2="mil",1,0.0254)*DDR2Specs!$E$3</f>
        <v>#REF!</v>
      </c>
      <c r="AC57" s="489" t="e">
        <f>MIN(AB$53:AB$54)+IF($B$2="mil",1,0.0254)*DDR2Specs!$F$3</f>
        <v>#REF!</v>
      </c>
      <c r="AD57" s="21"/>
      <c r="AE57" s="598" t="e">
        <f t="shared" si="85"/>
        <v>#REF!</v>
      </c>
      <c r="AF57" s="495" t="e">
        <f t="shared" si="86"/>
        <v>#REF!</v>
      </c>
      <c r="AG57" s="495" t="e">
        <f t="shared" si="87"/>
        <v>#REF!</v>
      </c>
      <c r="AH57" s="495" t="e">
        <f t="shared" si="88"/>
        <v>#REF!</v>
      </c>
      <c r="AI57" s="495" t="e">
        <f t="shared" si="89"/>
        <v>#REF!</v>
      </c>
      <c r="AJ57" s="495" t="e">
        <f t="shared" ca="1" si="90"/>
        <v>#NAME?</v>
      </c>
      <c r="AK57" s="495" t="e">
        <f t="shared" si="103"/>
        <v>#REF!</v>
      </c>
      <c r="AL57" s="495" t="e">
        <f t="shared" si="104"/>
        <v>#REF!</v>
      </c>
      <c r="AM57" s="495" t="e">
        <f t="shared" ca="1" si="91"/>
        <v>#NAME?</v>
      </c>
      <c r="AN57" s="495" t="e">
        <f t="shared" ca="1" si="92"/>
        <v>#NAME?</v>
      </c>
      <c r="AO57" s="495" t="e">
        <f t="shared" si="93"/>
        <v>#REF!</v>
      </c>
      <c r="AP57" s="495" t="e">
        <f t="shared" si="94"/>
        <v>#REF!</v>
      </c>
      <c r="AQ57" s="495" t="e">
        <f t="shared" si="95"/>
        <v>#REF!</v>
      </c>
      <c r="AR57" s="495" t="e">
        <f t="shared" si="96"/>
        <v>#REF!</v>
      </c>
      <c r="AS57" s="21"/>
      <c r="AT57" s="554" t="e">
        <f t="shared" ca="1" si="97"/>
        <v>#REF!</v>
      </c>
      <c r="AU57" s="554"/>
      <c r="AV57" s="554"/>
      <c r="AW57" s="3"/>
      <c r="AX57" s="3"/>
      <c r="AY57" s="3"/>
      <c r="AZ57" s="3"/>
      <c r="BA57" s="3"/>
      <c r="BB57" s="3"/>
      <c r="BC57" s="3"/>
      <c r="BD57" s="3"/>
      <c r="BE57" s="3"/>
      <c r="BF57" s="3"/>
      <c r="BG57" s="3"/>
      <c r="BH57" s="3"/>
      <c r="BI57" s="3"/>
      <c r="BJ57" s="3"/>
    </row>
    <row r="58" spans="1:62">
      <c r="A58" s="107" t="s">
        <v>159</v>
      </c>
      <c r="B58" s="480" t="s">
        <v>490</v>
      </c>
      <c r="C58" s="658">
        <v>731.0236220472442</v>
      </c>
      <c r="D58" s="18"/>
      <c r="E58" s="277">
        <v>29.7</v>
      </c>
      <c r="F58" s="277">
        <v>0</v>
      </c>
      <c r="G58" s="438">
        <v>1881.6388976377948</v>
      </c>
      <c r="H58" s="305">
        <v>65.790000000000006</v>
      </c>
      <c r="I58" s="277">
        <v>0</v>
      </c>
      <c r="J58" s="305">
        <v>49.57</v>
      </c>
      <c r="K58" s="277">
        <v>40</v>
      </c>
      <c r="L58" s="305">
        <v>49.37</v>
      </c>
      <c r="M58" s="305">
        <v>1177.1600000000001</v>
      </c>
      <c r="N58" s="305">
        <v>33</v>
      </c>
      <c r="O58" s="69"/>
      <c r="P58" s="489">
        <f t="shared" si="98"/>
        <v>1977.1288976377948</v>
      </c>
      <c r="Q58" s="489">
        <f t="shared" si="84"/>
        <v>3260.438897637795</v>
      </c>
      <c r="R58" s="597"/>
      <c r="S58" s="489" t="e">
        <f t="shared" si="99"/>
        <v>#REF!</v>
      </c>
      <c r="T58" s="489" t="e">
        <f t="shared" si="100"/>
        <v>#REF!</v>
      </c>
      <c r="U58" s="597"/>
      <c r="V58" s="489" t="e">
        <f>MAX(V$53:V$54)+IF($B$2="mil",1,0.0254)*DDR2Specs!$B$3</f>
        <v>#REF!</v>
      </c>
      <c r="W58" s="489" t="e">
        <f>MIN(V$53:V$54)+IF($B$2="mil",1,0.0254)*DDR2Specs!$C$3</f>
        <v>#REF!</v>
      </c>
      <c r="X58" s="21"/>
      <c r="Y58" s="598" t="e">
        <f t="shared" si="101"/>
        <v>#REF!</v>
      </c>
      <c r="Z58" s="495" t="e">
        <f t="shared" si="102"/>
        <v>#REF!</v>
      </c>
      <c r="AA58" s="21"/>
      <c r="AB58" s="489" t="e">
        <f>MAX(AB$53:AB$54)+IF($B$2="mil",1,0.0254)*DDR2Specs!$E$3</f>
        <v>#REF!</v>
      </c>
      <c r="AC58" s="489" t="e">
        <f>MIN(AB$53:AB$54)+IF($B$2="mil",1,0.0254)*DDR2Specs!$F$3</f>
        <v>#REF!</v>
      </c>
      <c r="AD58" s="21"/>
      <c r="AE58" s="598" t="e">
        <f t="shared" si="85"/>
        <v>#REF!</v>
      </c>
      <c r="AF58" s="495" t="e">
        <f t="shared" si="86"/>
        <v>#REF!</v>
      </c>
      <c r="AG58" s="495" t="e">
        <f t="shared" si="87"/>
        <v>#REF!</v>
      </c>
      <c r="AH58" s="495" t="e">
        <f t="shared" si="88"/>
        <v>#REF!</v>
      </c>
      <c r="AI58" s="495" t="e">
        <f t="shared" si="89"/>
        <v>#REF!</v>
      </c>
      <c r="AJ58" s="495" t="e">
        <f t="shared" ca="1" si="90"/>
        <v>#NAME?</v>
      </c>
      <c r="AK58" s="495" t="e">
        <f t="shared" si="103"/>
        <v>#REF!</v>
      </c>
      <c r="AL58" s="495" t="e">
        <f t="shared" si="104"/>
        <v>#REF!</v>
      </c>
      <c r="AM58" s="495" t="e">
        <f t="shared" ca="1" si="91"/>
        <v>#NAME?</v>
      </c>
      <c r="AN58" s="495" t="e">
        <f t="shared" ca="1" si="92"/>
        <v>#NAME?</v>
      </c>
      <c r="AO58" s="495" t="e">
        <f t="shared" si="93"/>
        <v>#REF!</v>
      </c>
      <c r="AP58" s="495" t="e">
        <f t="shared" si="94"/>
        <v>#REF!</v>
      </c>
      <c r="AQ58" s="495" t="e">
        <f t="shared" si="95"/>
        <v>#REF!</v>
      </c>
      <c r="AR58" s="495" t="e">
        <f t="shared" si="96"/>
        <v>#REF!</v>
      </c>
      <c r="AS58" s="21"/>
      <c r="AT58" s="554" t="e">
        <f t="shared" ca="1" si="97"/>
        <v>#REF!</v>
      </c>
      <c r="AU58" s="554"/>
      <c r="AV58" s="554"/>
      <c r="AW58" s="3"/>
      <c r="AX58" s="3"/>
      <c r="AY58" s="3"/>
      <c r="AZ58" s="3"/>
      <c r="BA58" s="3"/>
      <c r="BB58" s="3"/>
      <c r="BC58" s="3"/>
      <c r="BD58" s="3"/>
      <c r="BE58" s="3"/>
      <c r="BF58" s="3"/>
      <c r="BG58" s="3"/>
      <c r="BH58" s="3"/>
      <c r="BI58" s="3"/>
      <c r="BJ58" s="3"/>
    </row>
    <row r="59" spans="1:62">
      <c r="A59" s="107" t="s">
        <v>160</v>
      </c>
      <c r="B59" s="480" t="s">
        <v>491</v>
      </c>
      <c r="C59" s="658">
        <v>672.48031496062993</v>
      </c>
      <c r="D59" s="18"/>
      <c r="E59" s="277">
        <v>29.7</v>
      </c>
      <c r="F59" s="277">
        <v>0</v>
      </c>
      <c r="G59" s="438">
        <v>1936.578188976378</v>
      </c>
      <c r="H59" s="305">
        <v>76.52</v>
      </c>
      <c r="I59" s="277">
        <v>0</v>
      </c>
      <c r="J59" s="305">
        <v>50.13</v>
      </c>
      <c r="K59" s="277">
        <v>40</v>
      </c>
      <c r="L59" s="305">
        <v>116.6</v>
      </c>
      <c r="M59" s="305">
        <v>1060.2</v>
      </c>
      <c r="N59" s="305">
        <v>96.09</v>
      </c>
      <c r="O59" s="69"/>
      <c r="P59" s="489">
        <f t="shared" si="98"/>
        <v>2042.798188976378</v>
      </c>
      <c r="Q59" s="489">
        <f t="shared" si="84"/>
        <v>3329.2981889763787</v>
      </c>
      <c r="R59" s="597"/>
      <c r="S59" s="489" t="e">
        <f t="shared" si="99"/>
        <v>#REF!</v>
      </c>
      <c r="T59" s="489" t="e">
        <f t="shared" si="100"/>
        <v>#REF!</v>
      </c>
      <c r="U59" s="597"/>
      <c r="V59" s="489" t="e">
        <f>MAX(V$53:V$54)+IF($B$2="mil",1,0.0254)*DDR2Specs!$B$3</f>
        <v>#REF!</v>
      </c>
      <c r="W59" s="489" t="e">
        <f>MIN(V$53:V$54)+IF($B$2="mil",1,0.0254)*DDR2Specs!$C$3</f>
        <v>#REF!</v>
      </c>
      <c r="X59" s="21"/>
      <c r="Y59" s="598" t="e">
        <f t="shared" si="101"/>
        <v>#REF!</v>
      </c>
      <c r="Z59" s="495" t="e">
        <f t="shared" si="102"/>
        <v>#REF!</v>
      </c>
      <c r="AA59" s="21"/>
      <c r="AB59" s="489" t="e">
        <f>MAX(AB$53:AB$54)+IF($B$2="mil",1,0.0254)*DDR2Specs!$E$3</f>
        <v>#REF!</v>
      </c>
      <c r="AC59" s="489" t="e">
        <f>MIN(AB$53:AB$54)+IF($B$2="mil",1,0.0254)*DDR2Specs!$F$3</f>
        <v>#REF!</v>
      </c>
      <c r="AD59" s="21"/>
      <c r="AE59" s="598" t="e">
        <f t="shared" si="85"/>
        <v>#REF!</v>
      </c>
      <c r="AF59" s="495" t="e">
        <f t="shared" si="86"/>
        <v>#REF!</v>
      </c>
      <c r="AG59" s="495" t="e">
        <f t="shared" si="87"/>
        <v>#REF!</v>
      </c>
      <c r="AH59" s="495" t="e">
        <f t="shared" si="88"/>
        <v>#REF!</v>
      </c>
      <c r="AI59" s="495" t="e">
        <f t="shared" si="89"/>
        <v>#REF!</v>
      </c>
      <c r="AJ59" s="495" t="e">
        <f t="shared" ca="1" si="90"/>
        <v>#NAME?</v>
      </c>
      <c r="AK59" s="495" t="e">
        <f t="shared" si="103"/>
        <v>#REF!</v>
      </c>
      <c r="AL59" s="495" t="e">
        <f t="shared" si="104"/>
        <v>#REF!</v>
      </c>
      <c r="AM59" s="495" t="e">
        <f t="shared" ca="1" si="91"/>
        <v>#NAME?</v>
      </c>
      <c r="AN59" s="495" t="e">
        <f t="shared" ca="1" si="92"/>
        <v>#NAME?</v>
      </c>
      <c r="AO59" s="495" t="e">
        <f t="shared" si="93"/>
        <v>#REF!</v>
      </c>
      <c r="AP59" s="495" t="e">
        <f t="shared" si="94"/>
        <v>#REF!</v>
      </c>
      <c r="AQ59" s="495" t="e">
        <f t="shared" si="95"/>
        <v>#REF!</v>
      </c>
      <c r="AR59" s="495" t="e">
        <f t="shared" si="96"/>
        <v>#REF!</v>
      </c>
      <c r="AS59" s="21"/>
      <c r="AT59" s="554" t="e">
        <f t="shared" ca="1" si="97"/>
        <v>#REF!</v>
      </c>
      <c r="AU59" s="554"/>
      <c r="AV59" s="554"/>
      <c r="AW59" s="3"/>
      <c r="AX59" s="3"/>
      <c r="AY59" s="3"/>
      <c r="AZ59" s="3"/>
      <c r="BA59" s="3"/>
      <c r="BB59" s="3"/>
      <c r="BC59" s="3"/>
      <c r="BD59" s="3"/>
      <c r="BE59" s="3"/>
      <c r="BF59" s="3"/>
      <c r="BG59" s="3"/>
      <c r="BH59" s="3"/>
      <c r="BI59" s="3"/>
      <c r="BJ59" s="3"/>
    </row>
    <row r="60" spans="1:62">
      <c r="A60" s="107" t="s">
        <v>161</v>
      </c>
      <c r="B60" s="480" t="s">
        <v>356</v>
      </c>
      <c r="C60" s="658">
        <v>669.5275590551181</v>
      </c>
      <c r="D60" s="18"/>
      <c r="E60" s="277">
        <v>29.7</v>
      </c>
      <c r="F60" s="277">
        <v>0</v>
      </c>
      <c r="G60" s="438">
        <v>1998.5147244094489</v>
      </c>
      <c r="H60" s="305">
        <v>102.3</v>
      </c>
      <c r="I60" s="277">
        <v>0</v>
      </c>
      <c r="J60" s="305">
        <v>78.23</v>
      </c>
      <c r="K60" s="277">
        <v>40</v>
      </c>
      <c r="L60" s="305">
        <v>109.2</v>
      </c>
      <c r="M60" s="305">
        <v>1070.47</v>
      </c>
      <c r="N60" s="305">
        <v>88</v>
      </c>
      <c r="O60" s="69"/>
      <c r="P60" s="489">
        <f t="shared" si="98"/>
        <v>2130.5147244094492</v>
      </c>
      <c r="Q60" s="489">
        <f t="shared" si="84"/>
        <v>3414.1147244094491</v>
      </c>
      <c r="R60" s="597"/>
      <c r="S60" s="489" t="e">
        <f t="shared" si="99"/>
        <v>#REF!</v>
      </c>
      <c r="T60" s="489" t="e">
        <f t="shared" si="100"/>
        <v>#REF!</v>
      </c>
      <c r="U60" s="597"/>
      <c r="V60" s="489" t="e">
        <f>MAX(V$53:V$54)+IF($B$2="mil",1,0.0254)*DDR2Specs!$B$3</f>
        <v>#REF!</v>
      </c>
      <c r="W60" s="489" t="e">
        <f>MIN(V$53:V$54)+IF($B$2="mil",1,0.0254)*DDR2Specs!$C$3</f>
        <v>#REF!</v>
      </c>
      <c r="X60" s="21"/>
      <c r="Y60" s="598" t="e">
        <f t="shared" si="101"/>
        <v>#REF!</v>
      </c>
      <c r="Z60" s="495" t="e">
        <f t="shared" si="102"/>
        <v>#REF!</v>
      </c>
      <c r="AA60" s="21"/>
      <c r="AB60" s="489" t="e">
        <f>MAX(AB$53:AB$54)+IF($B$2="mil",1,0.0254)*DDR2Specs!$E$3</f>
        <v>#REF!</v>
      </c>
      <c r="AC60" s="489" t="e">
        <f>MIN(AB$53:AB$54)+IF($B$2="mil",1,0.0254)*DDR2Specs!$F$3</f>
        <v>#REF!</v>
      </c>
      <c r="AD60" s="21"/>
      <c r="AE60" s="598" t="e">
        <f t="shared" si="85"/>
        <v>#REF!</v>
      </c>
      <c r="AF60" s="495" t="e">
        <f t="shared" si="86"/>
        <v>#REF!</v>
      </c>
      <c r="AG60" s="495" t="e">
        <f t="shared" si="87"/>
        <v>#REF!</v>
      </c>
      <c r="AH60" s="495" t="e">
        <f t="shared" si="88"/>
        <v>#REF!</v>
      </c>
      <c r="AI60" s="495" t="e">
        <f t="shared" si="89"/>
        <v>#REF!</v>
      </c>
      <c r="AJ60" s="495" t="e">
        <f t="shared" ca="1" si="90"/>
        <v>#NAME?</v>
      </c>
      <c r="AK60" s="495" t="e">
        <f t="shared" si="103"/>
        <v>#REF!</v>
      </c>
      <c r="AL60" s="495" t="e">
        <f t="shared" si="104"/>
        <v>#REF!</v>
      </c>
      <c r="AM60" s="495" t="e">
        <f t="shared" ca="1" si="91"/>
        <v>#NAME?</v>
      </c>
      <c r="AN60" s="495" t="e">
        <f t="shared" ca="1" si="92"/>
        <v>#NAME?</v>
      </c>
      <c r="AO60" s="495" t="e">
        <f t="shared" si="93"/>
        <v>#REF!</v>
      </c>
      <c r="AP60" s="495" t="e">
        <f t="shared" si="94"/>
        <v>#REF!</v>
      </c>
      <c r="AQ60" s="495" t="e">
        <f t="shared" si="95"/>
        <v>#REF!</v>
      </c>
      <c r="AR60" s="495" t="e">
        <f t="shared" si="96"/>
        <v>#REF!</v>
      </c>
      <c r="AS60" s="21"/>
      <c r="AT60" s="554" t="e">
        <f t="shared" ca="1" si="97"/>
        <v>#REF!</v>
      </c>
      <c r="AU60" s="554"/>
      <c r="AV60" s="554"/>
      <c r="AW60" s="3"/>
      <c r="AX60" s="3"/>
      <c r="AY60" s="3"/>
      <c r="AZ60" s="3"/>
      <c r="BA60" s="3"/>
      <c r="BB60" s="3"/>
      <c r="BC60" s="3"/>
      <c r="BD60" s="3"/>
      <c r="BE60" s="3"/>
      <c r="BF60" s="3"/>
      <c r="BG60" s="3"/>
      <c r="BH60" s="3"/>
      <c r="BI60" s="3"/>
      <c r="BJ60" s="3"/>
    </row>
    <row r="61" spans="1:62">
      <c r="A61" s="107" t="s">
        <v>162</v>
      </c>
      <c r="B61" s="480" t="s">
        <v>492</v>
      </c>
      <c r="C61" s="658">
        <v>639.96062992125985</v>
      </c>
      <c r="D61" s="18"/>
      <c r="E61" s="277">
        <v>29.7</v>
      </c>
      <c r="F61" s="277">
        <v>0</v>
      </c>
      <c r="G61" s="438">
        <v>2017.5942519685038</v>
      </c>
      <c r="H61" s="305">
        <v>67</v>
      </c>
      <c r="I61" s="277">
        <v>0</v>
      </c>
      <c r="J61" s="305">
        <v>78.97</v>
      </c>
      <c r="K61" s="277">
        <v>40</v>
      </c>
      <c r="L61" s="305">
        <v>113.34</v>
      </c>
      <c r="M61" s="305">
        <v>1024.81</v>
      </c>
      <c r="N61" s="305">
        <v>96.09</v>
      </c>
      <c r="O61" s="69"/>
      <c r="P61" s="489">
        <f t="shared" si="98"/>
        <v>2114.2942519685039</v>
      </c>
      <c r="Q61" s="489">
        <f t="shared" si="84"/>
        <v>3400.5042519685039</v>
      </c>
      <c r="R61" s="597"/>
      <c r="S61" s="489" t="e">
        <f t="shared" si="99"/>
        <v>#REF!</v>
      </c>
      <c r="T61" s="489" t="e">
        <f t="shared" si="100"/>
        <v>#REF!</v>
      </c>
      <c r="U61" s="597"/>
      <c r="V61" s="489" t="e">
        <f>MAX(V$53:V$54)+IF($B$2="mil",1,0.0254)*DDR2Specs!$B$3</f>
        <v>#REF!</v>
      </c>
      <c r="W61" s="489" t="e">
        <f>MIN(V$53:V$54)+IF($B$2="mil",1,0.0254)*DDR2Specs!$C$3</f>
        <v>#REF!</v>
      </c>
      <c r="X61" s="21"/>
      <c r="Y61" s="598" t="e">
        <f t="shared" si="101"/>
        <v>#REF!</v>
      </c>
      <c r="Z61" s="495" t="e">
        <f t="shared" si="102"/>
        <v>#REF!</v>
      </c>
      <c r="AA61" s="21"/>
      <c r="AB61" s="489" t="e">
        <f>MAX(AB$53:AB$54)+IF($B$2="mil",1,0.0254)*DDR2Specs!$E$3</f>
        <v>#REF!</v>
      </c>
      <c r="AC61" s="489" t="e">
        <f>MIN(AB$53:AB$54)+IF($B$2="mil",1,0.0254)*DDR2Specs!$F$3</f>
        <v>#REF!</v>
      </c>
      <c r="AD61" s="21"/>
      <c r="AE61" s="598" t="e">
        <f t="shared" si="85"/>
        <v>#REF!</v>
      </c>
      <c r="AF61" s="495" t="e">
        <f t="shared" si="86"/>
        <v>#REF!</v>
      </c>
      <c r="AG61" s="495" t="e">
        <f t="shared" si="87"/>
        <v>#REF!</v>
      </c>
      <c r="AH61" s="495" t="e">
        <f t="shared" si="88"/>
        <v>#REF!</v>
      </c>
      <c r="AI61" s="495" t="e">
        <f t="shared" si="89"/>
        <v>#REF!</v>
      </c>
      <c r="AJ61" s="495" t="e">
        <f t="shared" ca="1" si="90"/>
        <v>#NAME?</v>
      </c>
      <c r="AK61" s="495" t="e">
        <f t="shared" si="103"/>
        <v>#REF!</v>
      </c>
      <c r="AL61" s="495" t="e">
        <f t="shared" si="104"/>
        <v>#REF!</v>
      </c>
      <c r="AM61" s="495" t="e">
        <f t="shared" ca="1" si="91"/>
        <v>#NAME?</v>
      </c>
      <c r="AN61" s="495" t="e">
        <f t="shared" ca="1" si="92"/>
        <v>#NAME?</v>
      </c>
      <c r="AO61" s="495" t="e">
        <f t="shared" si="93"/>
        <v>#REF!</v>
      </c>
      <c r="AP61" s="495" t="e">
        <f t="shared" si="94"/>
        <v>#REF!</v>
      </c>
      <c r="AQ61" s="495" t="e">
        <f t="shared" si="95"/>
        <v>#REF!</v>
      </c>
      <c r="AR61" s="495" t="e">
        <f t="shared" si="96"/>
        <v>#REF!</v>
      </c>
      <c r="AS61" s="21"/>
      <c r="AT61" s="554" t="e">
        <f t="shared" ca="1" si="97"/>
        <v>#REF!</v>
      </c>
      <c r="AU61" s="554"/>
      <c r="AV61" s="554"/>
      <c r="AW61" s="3"/>
      <c r="AX61" s="3"/>
      <c r="AY61" s="3"/>
      <c r="AZ61" s="3"/>
      <c r="BA61" s="3"/>
      <c r="BB61" s="3"/>
      <c r="BC61" s="3"/>
      <c r="BD61" s="3"/>
      <c r="BE61" s="3"/>
      <c r="BF61" s="3"/>
      <c r="BG61" s="3"/>
      <c r="BH61" s="3"/>
      <c r="BI61" s="3"/>
      <c r="BJ61" s="3"/>
    </row>
    <row r="62" spans="1:62">
      <c r="A62" s="107" t="s">
        <v>163</v>
      </c>
      <c r="B62" s="480" t="s">
        <v>493</v>
      </c>
      <c r="C62" s="658">
        <v>696.29921259842524</v>
      </c>
      <c r="D62" s="18"/>
      <c r="E62" s="277">
        <v>29.7</v>
      </c>
      <c r="F62" s="277">
        <v>0</v>
      </c>
      <c r="G62" s="438">
        <v>1969.8877165354329</v>
      </c>
      <c r="H62" s="305">
        <v>106.99</v>
      </c>
      <c r="I62" s="277">
        <v>0</v>
      </c>
      <c r="J62" s="305">
        <v>97.75</v>
      </c>
      <c r="K62" s="277">
        <v>40</v>
      </c>
      <c r="L62" s="305">
        <v>95.74</v>
      </c>
      <c r="M62" s="305">
        <v>1074.54</v>
      </c>
      <c r="N62" s="305">
        <v>82.94</v>
      </c>
      <c r="O62" s="69"/>
      <c r="P62" s="489">
        <f t="shared" si="98"/>
        <v>2106.577716535433</v>
      </c>
      <c r="Q62" s="489">
        <f t="shared" si="84"/>
        <v>3390.557716535433</v>
      </c>
      <c r="R62" s="597"/>
      <c r="S62" s="489" t="e">
        <f t="shared" si="99"/>
        <v>#REF!</v>
      </c>
      <c r="T62" s="489" t="e">
        <f t="shared" si="100"/>
        <v>#REF!</v>
      </c>
      <c r="U62" s="597"/>
      <c r="V62" s="489" t="e">
        <f>MAX(V$53:V$54)+IF($B$2="mil",1,0.0254)*DDR2Specs!$B$3</f>
        <v>#REF!</v>
      </c>
      <c r="W62" s="489" t="e">
        <f>MIN(V$53:V$54)+IF($B$2="mil",1,0.0254)*DDR2Specs!$C$3</f>
        <v>#REF!</v>
      </c>
      <c r="X62" s="21"/>
      <c r="Y62" s="598" t="e">
        <f t="shared" si="101"/>
        <v>#REF!</v>
      </c>
      <c r="Z62" s="495" t="e">
        <f t="shared" si="102"/>
        <v>#REF!</v>
      </c>
      <c r="AA62" s="21"/>
      <c r="AB62" s="489" t="e">
        <f>MAX(AB$53:AB$54)+IF($B$2="mil",1,0.0254)*DDR2Specs!$E$3</f>
        <v>#REF!</v>
      </c>
      <c r="AC62" s="489" t="e">
        <f>MIN(AB$53:AB$54)+IF($B$2="mil",1,0.0254)*DDR2Specs!$F$3</f>
        <v>#REF!</v>
      </c>
      <c r="AD62" s="21"/>
      <c r="AE62" s="598" t="e">
        <f t="shared" si="85"/>
        <v>#REF!</v>
      </c>
      <c r="AF62" s="495" t="e">
        <f t="shared" si="86"/>
        <v>#REF!</v>
      </c>
      <c r="AG62" s="495" t="e">
        <f t="shared" si="87"/>
        <v>#REF!</v>
      </c>
      <c r="AH62" s="495" t="e">
        <f t="shared" si="88"/>
        <v>#REF!</v>
      </c>
      <c r="AI62" s="495" t="e">
        <f t="shared" si="89"/>
        <v>#REF!</v>
      </c>
      <c r="AJ62" s="495" t="e">
        <f t="shared" ca="1" si="90"/>
        <v>#NAME?</v>
      </c>
      <c r="AK62" s="495" t="e">
        <f t="shared" si="103"/>
        <v>#REF!</v>
      </c>
      <c r="AL62" s="495" t="e">
        <f t="shared" si="104"/>
        <v>#REF!</v>
      </c>
      <c r="AM62" s="495" t="e">
        <f t="shared" ca="1" si="91"/>
        <v>#NAME?</v>
      </c>
      <c r="AN62" s="495" t="e">
        <f t="shared" ca="1" si="92"/>
        <v>#NAME?</v>
      </c>
      <c r="AO62" s="495" t="e">
        <f t="shared" si="93"/>
        <v>#REF!</v>
      </c>
      <c r="AP62" s="495" t="e">
        <f t="shared" si="94"/>
        <v>#REF!</v>
      </c>
      <c r="AQ62" s="495" t="e">
        <f t="shared" si="95"/>
        <v>#REF!</v>
      </c>
      <c r="AR62" s="495" t="e">
        <f t="shared" si="96"/>
        <v>#REF!</v>
      </c>
      <c r="AS62" s="21"/>
      <c r="AT62" s="554" t="e">
        <f t="shared" ca="1" si="97"/>
        <v>#REF!</v>
      </c>
      <c r="AU62" s="554"/>
      <c r="AV62" s="554"/>
      <c r="AW62" s="3"/>
      <c r="AX62" s="3"/>
      <c r="AY62" s="3"/>
      <c r="AZ62" s="3"/>
      <c r="BA62" s="3"/>
      <c r="BB62" s="3"/>
      <c r="BC62" s="3"/>
      <c r="BD62" s="3"/>
      <c r="BE62" s="3"/>
      <c r="BF62" s="3"/>
      <c r="BG62" s="3"/>
      <c r="BH62" s="3"/>
      <c r="BI62" s="3"/>
      <c r="BJ62" s="3"/>
    </row>
    <row r="63" spans="1:62">
      <c r="A63" s="128" t="s">
        <v>164</v>
      </c>
      <c r="B63" s="484" t="s">
        <v>110</v>
      </c>
      <c r="C63" s="658">
        <v>755</v>
      </c>
      <c r="D63" s="18"/>
      <c r="E63" s="277">
        <v>29.7</v>
      </c>
      <c r="F63" s="277">
        <v>0</v>
      </c>
      <c r="G63" s="438">
        <v>2007.34</v>
      </c>
      <c r="H63" s="305">
        <v>70.069999999999993</v>
      </c>
      <c r="I63" s="277">
        <v>0</v>
      </c>
      <c r="J63" s="305">
        <v>62.03</v>
      </c>
      <c r="K63" s="277">
        <v>40</v>
      </c>
      <c r="L63" s="305">
        <v>122</v>
      </c>
      <c r="M63" s="305">
        <v>1105.17</v>
      </c>
      <c r="N63" s="305">
        <v>31.49</v>
      </c>
      <c r="O63" s="69"/>
      <c r="P63" s="489">
        <f t="shared" si="98"/>
        <v>2107.11</v>
      </c>
      <c r="Q63" s="489">
        <f t="shared" si="84"/>
        <v>3397.73</v>
      </c>
      <c r="R63" s="597"/>
      <c r="S63" s="489" t="e">
        <f t="shared" si="99"/>
        <v>#REF!</v>
      </c>
      <c r="T63" s="489" t="e">
        <f t="shared" si="100"/>
        <v>#REF!</v>
      </c>
      <c r="U63" s="597"/>
      <c r="V63" s="489" t="e">
        <f>MAX(V$53:V$54)+IF($B$2="mil",1,0.0254)*DDR2Specs!$B$3</f>
        <v>#REF!</v>
      </c>
      <c r="W63" s="489" t="e">
        <f>MIN(V$53:V$54)+IF($B$2="mil",1,0.0254)*DDR2Specs!$C$3</f>
        <v>#REF!</v>
      </c>
      <c r="X63" s="21"/>
      <c r="Y63" s="598" t="e">
        <f t="shared" si="101"/>
        <v>#REF!</v>
      </c>
      <c r="Z63" s="495" t="e">
        <f t="shared" si="102"/>
        <v>#REF!</v>
      </c>
      <c r="AA63" s="21"/>
      <c r="AB63" s="489" t="e">
        <f>MAX(AB$53:AB$54)+IF($B$2="mil",1,0.0254)*DDR2Specs!$E$3</f>
        <v>#REF!</v>
      </c>
      <c r="AC63" s="489" t="e">
        <f>MIN(AB$53:AB$54)+IF($B$2="mil",1,0.0254)*DDR2Specs!$F$3</f>
        <v>#REF!</v>
      </c>
      <c r="AD63" s="21"/>
      <c r="AE63" s="598" t="e">
        <f t="shared" si="85"/>
        <v>#REF!</v>
      </c>
      <c r="AF63" s="495" t="e">
        <f t="shared" si="86"/>
        <v>#REF!</v>
      </c>
      <c r="AG63" s="495" t="e">
        <f t="shared" si="87"/>
        <v>#REF!</v>
      </c>
      <c r="AH63" s="495" t="e">
        <f t="shared" si="88"/>
        <v>#REF!</v>
      </c>
      <c r="AI63" s="495" t="e">
        <f t="shared" si="89"/>
        <v>#REF!</v>
      </c>
      <c r="AJ63" s="495" t="e">
        <f t="shared" ca="1" si="90"/>
        <v>#NAME?</v>
      </c>
      <c r="AK63" s="495" t="e">
        <f t="shared" si="103"/>
        <v>#REF!</v>
      </c>
      <c r="AL63" s="495" t="e">
        <f t="shared" si="104"/>
        <v>#REF!</v>
      </c>
      <c r="AM63" s="495" t="e">
        <f t="shared" ca="1" si="91"/>
        <v>#NAME?</v>
      </c>
      <c r="AN63" s="495" t="e">
        <f t="shared" ca="1" si="92"/>
        <v>#NAME?</v>
      </c>
      <c r="AO63" s="495" t="e">
        <f t="shared" si="93"/>
        <v>#REF!</v>
      </c>
      <c r="AP63" s="495" t="e">
        <f t="shared" si="94"/>
        <v>#REF!</v>
      </c>
      <c r="AQ63" s="495" t="e">
        <f t="shared" si="95"/>
        <v>#REF!</v>
      </c>
      <c r="AR63" s="495" t="e">
        <f t="shared" si="96"/>
        <v>#REF!</v>
      </c>
      <c r="AS63" s="21"/>
      <c r="AT63" s="554" t="e">
        <f t="shared" ca="1" si="97"/>
        <v>#REF!</v>
      </c>
      <c r="AU63" s="554"/>
      <c r="AV63" s="554"/>
      <c r="AW63" s="3"/>
      <c r="AX63" s="3"/>
      <c r="AY63" s="3"/>
      <c r="AZ63" s="3"/>
      <c r="BA63" s="3"/>
      <c r="BB63" s="3"/>
      <c r="BC63" s="3"/>
      <c r="BD63" s="3"/>
      <c r="BE63" s="3"/>
      <c r="BF63" s="3"/>
      <c r="BG63" s="3"/>
      <c r="BH63" s="3"/>
      <c r="BI63" s="3"/>
      <c r="BJ63" s="3"/>
    </row>
    <row r="64" spans="1:62">
      <c r="A64" s="109" t="s">
        <v>202</v>
      </c>
      <c r="B64" s="485"/>
      <c r="C64" s="659"/>
      <c r="D64" s="62"/>
      <c r="E64" s="82"/>
      <c r="F64" s="82"/>
      <c r="G64" s="439"/>
      <c r="H64" s="295"/>
      <c r="I64" s="295"/>
      <c r="J64" s="295"/>
      <c r="K64" s="295"/>
      <c r="L64" s="295"/>
      <c r="M64" s="295"/>
      <c r="N64" s="295"/>
      <c r="O64" s="10"/>
      <c r="P64" s="82"/>
      <c r="Q64" s="82"/>
      <c r="R64" s="82"/>
      <c r="S64" s="605"/>
      <c r="T64" s="605"/>
      <c r="U64" s="605"/>
      <c r="V64" s="605"/>
      <c r="W64" s="606"/>
      <c r="X64" s="606"/>
      <c r="Y64" s="607"/>
      <c r="Z64" s="17"/>
      <c r="AA64" s="606"/>
      <c r="AB64" s="605"/>
      <c r="AC64" s="606"/>
      <c r="AD64" s="606"/>
      <c r="AE64" s="607"/>
      <c r="AF64" s="17"/>
      <c r="AG64" s="17"/>
      <c r="AH64" s="17"/>
      <c r="AI64" s="16"/>
      <c r="AJ64" s="16"/>
      <c r="AK64" s="16"/>
      <c r="AL64" s="16"/>
      <c r="AM64" s="16"/>
      <c r="AN64" s="16"/>
      <c r="AO64" s="16"/>
      <c r="AP64" s="16"/>
      <c r="AQ64" s="16"/>
      <c r="AR64" s="16"/>
      <c r="AS64" s="83"/>
      <c r="AT64" s="554"/>
      <c r="AU64" s="554"/>
      <c r="AV64" s="554"/>
      <c r="AW64" s="3"/>
      <c r="AX64" s="3"/>
      <c r="AY64" s="3"/>
      <c r="AZ64" s="3"/>
      <c r="BA64" s="3"/>
      <c r="BB64" s="3"/>
      <c r="BC64" s="3"/>
      <c r="BD64" s="3"/>
      <c r="BE64" s="3"/>
      <c r="BF64" s="3"/>
      <c r="BG64" s="3"/>
      <c r="BH64" s="3"/>
      <c r="BI64" s="3"/>
      <c r="BJ64" s="3"/>
    </row>
    <row r="65" spans="1:62">
      <c r="A65" s="118" t="str">
        <f>'DDR2 Strobes - 1x16'!$A$23</f>
        <v>SA_DQS5</v>
      </c>
      <c r="B65" s="486" t="str">
        <f>'DDR2 Strobes - 1x16'!$B$23</f>
        <v>AB16</v>
      </c>
      <c r="C65" s="660"/>
      <c r="D65" s="53"/>
      <c r="E65" s="81"/>
      <c r="F65" s="81"/>
      <c r="G65" s="440"/>
      <c r="H65" s="296"/>
      <c r="I65" s="296"/>
      <c r="J65" s="296"/>
      <c r="K65" s="296"/>
      <c r="L65" s="296"/>
      <c r="M65" s="296"/>
      <c r="N65" s="296"/>
      <c r="O65" s="81"/>
      <c r="P65" s="81"/>
      <c r="Q65" s="81"/>
      <c r="R65" s="81"/>
      <c r="S65" s="58"/>
      <c r="T65" s="58"/>
      <c r="U65" s="58"/>
      <c r="V65" s="58" t="e">
        <f>'DDR2 Strobes - 1x16'!$S$23</f>
        <v>#REF!</v>
      </c>
      <c r="W65" s="58"/>
      <c r="X65" s="58"/>
      <c r="Y65" s="58"/>
      <c r="Z65" s="608"/>
      <c r="AA65" s="58"/>
      <c r="AB65" s="58" t="e">
        <f>'DDR2 Strobes - 1x16'!$T$23</f>
        <v>#REF!</v>
      </c>
      <c r="AC65" s="58"/>
      <c r="AD65" s="58"/>
      <c r="AE65" s="58"/>
      <c r="AF65" s="608"/>
      <c r="AG65" s="608"/>
      <c r="AH65" s="608"/>
      <c r="AI65" s="608"/>
      <c r="AJ65" s="608"/>
      <c r="AK65" s="608"/>
      <c r="AL65" s="608"/>
      <c r="AM65" s="608"/>
      <c r="AN65" s="608"/>
      <c r="AO65" s="608"/>
      <c r="AP65" s="608"/>
      <c r="AQ65" s="608"/>
      <c r="AR65" s="608"/>
      <c r="AS65" s="58"/>
      <c r="AT65" s="554"/>
      <c r="AU65" s="554"/>
      <c r="AV65" s="554"/>
      <c r="AW65" s="3"/>
      <c r="AX65" s="3"/>
      <c r="AY65" s="3"/>
      <c r="AZ65" s="3"/>
      <c r="BA65" s="3"/>
      <c r="BB65" s="3"/>
      <c r="BC65" s="3"/>
      <c r="BD65" s="3"/>
      <c r="BE65" s="3"/>
      <c r="BF65" s="3"/>
      <c r="BG65" s="3"/>
      <c r="BH65" s="3"/>
      <c r="BI65" s="3"/>
      <c r="BJ65" s="3"/>
    </row>
    <row r="66" spans="1:62">
      <c r="A66" s="118" t="str">
        <f>'DDR2 Strobes - 1x16'!$A$24</f>
        <v>SA_DQS5#</v>
      </c>
      <c r="B66" s="486" t="str">
        <f>'DDR2 Strobes - 1x16'!$B$24</f>
        <v>AB15</v>
      </c>
      <c r="C66" s="660"/>
      <c r="D66" s="53"/>
      <c r="E66" s="81"/>
      <c r="F66" s="81"/>
      <c r="G66" s="440"/>
      <c r="H66" s="296"/>
      <c r="I66" s="296"/>
      <c r="J66" s="296"/>
      <c r="K66" s="296"/>
      <c r="L66" s="296"/>
      <c r="M66" s="296"/>
      <c r="N66" s="296"/>
      <c r="O66" s="81"/>
      <c r="P66" s="81"/>
      <c r="Q66" s="602"/>
      <c r="R66" s="602"/>
      <c r="S66" s="603"/>
      <c r="T66" s="603"/>
      <c r="U66" s="58"/>
      <c r="V66" s="58" t="e">
        <f>'DDR2 Strobes - 1x16'!$S$24</f>
        <v>#REF!</v>
      </c>
      <c r="W66" s="58"/>
      <c r="X66" s="58"/>
      <c r="Y66" s="58"/>
      <c r="Z66" s="608"/>
      <c r="AA66" s="58"/>
      <c r="AB66" s="58" t="e">
        <f>'DDR2 Strobes - 1x16'!$T$24</f>
        <v>#REF!</v>
      </c>
      <c r="AC66" s="58"/>
      <c r="AD66" s="58"/>
      <c r="AE66" s="58"/>
      <c r="AF66" s="608"/>
      <c r="AG66" s="608"/>
      <c r="AH66" s="608"/>
      <c r="AI66" s="609"/>
      <c r="AJ66" s="609"/>
      <c r="AK66" s="609"/>
      <c r="AL66" s="609"/>
      <c r="AM66" s="609"/>
      <c r="AN66" s="609"/>
      <c r="AO66" s="609"/>
      <c r="AP66" s="609"/>
      <c r="AQ66" s="609"/>
      <c r="AR66" s="609"/>
      <c r="AS66" s="58"/>
      <c r="AT66" s="554"/>
      <c r="AU66" s="554"/>
      <c r="AV66" s="554"/>
      <c r="AW66" s="3"/>
      <c r="AX66" s="3"/>
      <c r="AY66" s="3"/>
      <c r="AZ66" s="3"/>
      <c r="BA66" s="3"/>
      <c r="BB66" s="3"/>
      <c r="BC66" s="3"/>
      <c r="BD66" s="3"/>
      <c r="BE66" s="3"/>
      <c r="BF66" s="3"/>
      <c r="BG66" s="3"/>
      <c r="BH66" s="3"/>
      <c r="BI66" s="3"/>
      <c r="BJ66" s="3"/>
    </row>
    <row r="67" spans="1:62">
      <c r="A67" s="107" t="s">
        <v>165</v>
      </c>
      <c r="B67" s="480" t="s">
        <v>339</v>
      </c>
      <c r="C67" s="658">
        <v>714.1338582677165</v>
      </c>
      <c r="D67" s="18"/>
      <c r="E67" s="277">
        <v>29.7</v>
      </c>
      <c r="F67" s="277">
        <v>0</v>
      </c>
      <c r="G67" s="438">
        <v>2063.5101574803148</v>
      </c>
      <c r="H67" s="305">
        <v>115.23</v>
      </c>
      <c r="I67" s="277">
        <v>0</v>
      </c>
      <c r="J67" s="305">
        <v>97.86</v>
      </c>
      <c r="K67" s="277">
        <v>40</v>
      </c>
      <c r="L67" s="305">
        <v>85.2</v>
      </c>
      <c r="M67" s="305">
        <v>1047.58</v>
      </c>
      <c r="N67" s="305">
        <v>98</v>
      </c>
      <c r="O67" s="69"/>
      <c r="P67" s="489">
        <f xml:space="preserve"> E67+F67+G67+H67</f>
        <v>2208.4401574803146</v>
      </c>
      <c r="Q67" s="489">
        <f>SUM(E67:G67,I67:N67)</f>
        <v>3461.8501574803145</v>
      </c>
      <c r="R67" s="597"/>
      <c r="S67" s="489" t="e">
        <f>P67+IF($B$2="mil",1,0.0254)*C67</f>
        <v>#REF!</v>
      </c>
      <c r="T67" s="489" t="e">
        <f>Q67+IF($B$2="mil",1,0.0254)*C67</f>
        <v>#REF!</v>
      </c>
      <c r="U67" s="597"/>
      <c r="V67" s="489" t="e">
        <f>MAX(V$65:V$66)+IF($B$2="mil",1,0.0254)*DDR2Specs!$B$3</f>
        <v>#REF!</v>
      </c>
      <c r="W67" s="489" t="e">
        <f>MIN(V$65:V$66)+IF($B$2="mil",1,0.0254)*DDR2Specs!$C$3</f>
        <v>#REF!</v>
      </c>
      <c r="X67" s="21"/>
      <c r="Y67" s="598" t="e">
        <f>IF($S67&lt;$V67,$V67-$S67,"Pass")</f>
        <v>#REF!</v>
      </c>
      <c r="Z67" s="495" t="e">
        <f>IF($S67&gt;$W67,$S67-$W67,"Pass")</f>
        <v>#REF!</v>
      </c>
      <c r="AA67" s="21"/>
      <c r="AB67" s="489" t="e">
        <f>MAX(AB$65:AB$66)+IF($B$2="mil",1,0.0254)*DDR2Specs!$E$3</f>
        <v>#REF!</v>
      </c>
      <c r="AC67" s="489" t="e">
        <f>MIN(AB$65:AB$66)+IF($B$2="mil",1,0.0254)*DDR2Specs!$F$3</f>
        <v>#REF!</v>
      </c>
      <c r="AD67" s="21"/>
      <c r="AE67" s="598" t="e">
        <f t="shared" ref="AE67:AE75" si="105">IF($T67&lt;$AB67,$AB67-$T67,"Pass")</f>
        <v>#REF!</v>
      </c>
      <c r="AF67" s="495" t="e">
        <f t="shared" ref="AF67:AF75" si="106">IF($T67&gt;$AC67,$T67-$AC67,"Pass")</f>
        <v>#REF!</v>
      </c>
      <c r="AG67" s="495" t="e">
        <f t="shared" ref="AG67:AG75" si="107">IF($E67&lt;=IF($B$2="mil",1,0.0254)*50,"Pass",IF($B$2="mil",1,0.0254)*50-$E67)</f>
        <v>#REF!</v>
      </c>
      <c r="AH67" s="495" t="e">
        <f t="shared" ref="AH67:AH75" si="108">IF($F67&lt;=IF($B$2="mil",1,0.0254)*500,"Pass",IF($B$2="mil",1,0.0254)*500-$F67)</f>
        <v>#REF!</v>
      </c>
      <c r="AI67" s="495" t="e">
        <f t="shared" ref="AI67:AI75" si="109">IF($H67&lt;=IF($B$2="mil",1,0.0254)*250,"Pass",IF($B$2="mil",1,0.0254)*250-$H67)</f>
        <v>#REF!</v>
      </c>
      <c r="AJ67" s="495" t="e">
        <f t="shared" ref="AJ67:AJ75" ca="1" si="110">CheckLength(IF($B$2="mil",1,0.0254)*1125, IF($B$2="mil",1,0.0254)*125-J67, 0, I67,J67,0)</f>
        <v>#NAME?</v>
      </c>
      <c r="AK67" s="495" t="e">
        <f>IF($J67&lt;=IF($B$2="mil",1,0.0254)*125,"Pass",IF($B$2="mil",1,0.0254)*125-$J67)</f>
        <v>#REF!</v>
      </c>
      <c r="AL67" s="495" t="e">
        <f>IF($L67&lt;=IF($B$2="mil",1,0.0254)*125,"Pass",IF($B$2="mil",1,0.0254)*125-$L67)</f>
        <v>#REF!</v>
      </c>
      <c r="AM67" s="495" t="e">
        <f t="shared" ref="AM67:AM75" ca="1" si="111">CheckLength(IF($B$2="mil",1,0.0254)*1525, IF($B$2="mil",1,0.0254)*125-L67, IF($B$2="mil",1,0.0254)*150-N67, M67,L67,N67)</f>
        <v>#NAME?</v>
      </c>
      <c r="AN67" s="495" t="e">
        <f t="shared" ref="AN67:AN75" ca="1" si="112">CheckLength2(IF($B$2="mil",1,0.0254)*1400,M67,N67,0)</f>
        <v>#NAME?</v>
      </c>
      <c r="AO67" s="495" t="e">
        <f t="shared" ref="AO67:AO75" si="113">IF(AND($P67&gt;=IF($B$2="mil",1,0.0254)*500, $P67&lt;=IF($B$2="mil",1,0.0254)*4000),"Pass",IF($B$2="mil",1,0.0254)*4000-$P67)</f>
        <v>#REF!</v>
      </c>
      <c r="AP67" s="495" t="e">
        <f t="shared" ref="AP67:AP75" si="114">IF(AND($S67&gt;=IF($B$2="mil",1,0.0254)*500, $S67&lt;=IF($B$2="mil",1,0.0254)*4500),"Pass",IF($B$2="mil",1,0.0254)*4500-$S67)</f>
        <v>#REF!</v>
      </c>
      <c r="AQ67" s="495" t="e">
        <f t="shared" ref="AQ67:AQ75" si="115">IF(AND($Q67&gt;=IF($B$2="mil",1,0.0254)*500, $Q67&lt;=IF($B$2="mil",1,0.0254)*5500),"Pass",IF($B$2="mil",1,0.0254)*5500-$Q67)</f>
        <v>#REF!</v>
      </c>
      <c r="AR67" s="495" t="e">
        <f t="shared" ref="AR67:AR75" si="116">IF(AND($T67&gt;=IF($B$2="mil",1,0.0254)*500, $T67&lt;=IF($B$2="mil",1,0.0254)*6000),"Pass",IF($B$2="mil",1,0.0254)*6000-$T67)</f>
        <v>#REF!</v>
      </c>
      <c r="AS67" s="21"/>
      <c r="AT67" s="554" t="e">
        <f t="shared" ref="AT67:AT75" ca="1" si="117">IF(AND(AG67="Pass",AP67="Pass",AI67="Pass",AH67="Pass",AO67="Pass",Y67="Pass",Z67="Pass",AN67="Pass",AM67="Pass",AL67="Pass",AK67="Pass",AJ67="Pass",AE67="Pass",AF67="Pass",AQ67="Pass",AR67="Pass"),"Pass","Fail")</f>
        <v>#REF!</v>
      </c>
      <c r="AU67" s="554" t="e">
        <f ca="1">IF(AND(AT67="Pass",AT68="Pass",AT69="Pass",AT70="Pass",AT71="Pass",AT72="Pass",AT73="Pass",AT74="Pass",AT75="Pass"),"Pass","Fail")</f>
        <v>#REF!</v>
      </c>
      <c r="AV67" s="554"/>
      <c r="AW67" s="3"/>
      <c r="AX67" s="3"/>
      <c r="AY67" s="3"/>
      <c r="AZ67" s="3"/>
      <c r="BA67" s="3"/>
      <c r="BB67" s="3"/>
      <c r="BC67" s="3"/>
      <c r="BD67" s="3"/>
      <c r="BE67" s="3"/>
      <c r="BF67" s="3"/>
      <c r="BG67" s="3"/>
      <c r="BH67" s="3"/>
      <c r="BI67" s="3"/>
      <c r="BJ67" s="3"/>
    </row>
    <row r="68" spans="1:62">
      <c r="A68" s="107" t="s">
        <v>166</v>
      </c>
      <c r="B68" s="482" t="s">
        <v>341</v>
      </c>
      <c r="C68" s="658">
        <v>754.9212598425197</v>
      </c>
      <c r="D68" s="18"/>
      <c r="E68" s="277">
        <v>29.7</v>
      </c>
      <c r="F68" s="277">
        <v>0</v>
      </c>
      <c r="G68" s="438">
        <v>2143.0360629921261</v>
      </c>
      <c r="H68" s="305">
        <v>63.46</v>
      </c>
      <c r="I68" s="277">
        <v>0</v>
      </c>
      <c r="J68" s="305">
        <v>53.71</v>
      </c>
      <c r="K68" s="277">
        <v>40</v>
      </c>
      <c r="L68" s="305">
        <v>50.78</v>
      </c>
      <c r="M68" s="305">
        <v>1089.94</v>
      </c>
      <c r="N68" s="305">
        <v>81</v>
      </c>
      <c r="O68" s="69"/>
      <c r="P68" s="489">
        <f t="shared" ref="P68:P75" si="118" xml:space="preserve"> E68+F68+G68+H68</f>
        <v>2236.1960629921259</v>
      </c>
      <c r="Q68" s="489">
        <f t="shared" ref="Q68:Q75" si="119">SUM(E68:G68,I68:N68)</f>
        <v>3488.1660629921262</v>
      </c>
      <c r="R68" s="597"/>
      <c r="S68" s="489" t="e">
        <f t="shared" ref="S68:S75" si="120">P68+IF($B$2="mil",1,0.0254)*C68</f>
        <v>#REF!</v>
      </c>
      <c r="T68" s="489" t="e">
        <f t="shared" ref="T68:T75" si="121">Q68+IF($B$2="mil",1,0.0254)*C68</f>
        <v>#REF!</v>
      </c>
      <c r="U68" s="597"/>
      <c r="V68" s="489" t="e">
        <f>MAX(V$65:V$66)+IF($B$2="mil",1,0.0254)*DDR2Specs!$B$3</f>
        <v>#REF!</v>
      </c>
      <c r="W68" s="489" t="e">
        <f>MIN(V$65:V$66)+IF($B$2="mil",1,0.0254)*DDR2Specs!$C$3</f>
        <v>#REF!</v>
      </c>
      <c r="X68" s="21"/>
      <c r="Y68" s="598" t="e">
        <f t="shared" ref="Y68:Y75" si="122">IF($S68&lt;$V68,$V68-$S68,"Pass")</f>
        <v>#REF!</v>
      </c>
      <c r="Z68" s="495" t="e">
        <f t="shared" ref="Z68:Z75" si="123">IF($S68&gt;$W68,$S68-$W68,"Pass")</f>
        <v>#REF!</v>
      </c>
      <c r="AA68" s="21"/>
      <c r="AB68" s="489" t="e">
        <f>MAX(AB$65:AB$66)+IF($B$2="mil",1,0.0254)*DDR2Specs!$E$3</f>
        <v>#REF!</v>
      </c>
      <c r="AC68" s="489" t="e">
        <f>MIN(AB$65:AB$66)+IF($B$2="mil",1,0.0254)*DDR2Specs!$F$3</f>
        <v>#REF!</v>
      </c>
      <c r="AD68" s="21"/>
      <c r="AE68" s="598" t="e">
        <f t="shared" si="105"/>
        <v>#REF!</v>
      </c>
      <c r="AF68" s="495" t="e">
        <f t="shared" si="106"/>
        <v>#REF!</v>
      </c>
      <c r="AG68" s="495" t="e">
        <f t="shared" si="107"/>
        <v>#REF!</v>
      </c>
      <c r="AH68" s="495" t="e">
        <f t="shared" si="108"/>
        <v>#REF!</v>
      </c>
      <c r="AI68" s="495" t="e">
        <f t="shared" si="109"/>
        <v>#REF!</v>
      </c>
      <c r="AJ68" s="495" t="e">
        <f t="shared" ca="1" si="110"/>
        <v>#NAME?</v>
      </c>
      <c r="AK68" s="495" t="e">
        <f t="shared" ref="AK68:AK75" si="124">IF($J68&lt;=IF($B$2="mil",1,0.0254)*125,"Pass",IF($B$2="mil",1,0.0254)*125-$J68)</f>
        <v>#REF!</v>
      </c>
      <c r="AL68" s="495" t="e">
        <f t="shared" ref="AL68:AL75" si="125">IF($L68&lt;=IF($B$2="mil",1,0.0254)*125,"Pass",IF($B$2="mil",1,0.0254)*125-$L68)</f>
        <v>#REF!</v>
      </c>
      <c r="AM68" s="495" t="e">
        <f t="shared" ca="1" si="111"/>
        <v>#NAME?</v>
      </c>
      <c r="AN68" s="495" t="e">
        <f t="shared" ca="1" si="112"/>
        <v>#NAME?</v>
      </c>
      <c r="AO68" s="495" t="e">
        <f t="shared" si="113"/>
        <v>#REF!</v>
      </c>
      <c r="AP68" s="495" t="e">
        <f t="shared" si="114"/>
        <v>#REF!</v>
      </c>
      <c r="AQ68" s="495" t="e">
        <f t="shared" si="115"/>
        <v>#REF!</v>
      </c>
      <c r="AR68" s="495" t="e">
        <f t="shared" si="116"/>
        <v>#REF!</v>
      </c>
      <c r="AS68" s="21"/>
      <c r="AT68" s="554" t="e">
        <f t="shared" ca="1" si="117"/>
        <v>#REF!</v>
      </c>
      <c r="AU68" s="554"/>
      <c r="AV68" s="554"/>
      <c r="AW68" s="3"/>
      <c r="AX68" s="3"/>
      <c r="AY68" s="3"/>
      <c r="AZ68" s="3"/>
      <c r="BA68" s="3"/>
      <c r="BB68" s="3"/>
      <c r="BC68" s="3"/>
      <c r="BD68" s="3"/>
      <c r="BE68" s="3"/>
      <c r="BF68" s="3"/>
      <c r="BG68" s="3"/>
      <c r="BH68" s="3"/>
      <c r="BI68" s="3"/>
      <c r="BJ68" s="3"/>
    </row>
    <row r="69" spans="1:62">
      <c r="A69" s="107" t="s">
        <v>167</v>
      </c>
      <c r="B69" s="482" t="s">
        <v>494</v>
      </c>
      <c r="C69" s="658">
        <v>593.89763779527561</v>
      </c>
      <c r="D69" s="18"/>
      <c r="E69" s="277">
        <v>29.7</v>
      </c>
      <c r="F69" s="277">
        <v>0</v>
      </c>
      <c r="G69" s="438">
        <v>2023.6405511811017</v>
      </c>
      <c r="H69" s="305">
        <v>111.95</v>
      </c>
      <c r="I69" s="277">
        <v>0</v>
      </c>
      <c r="J69" s="305">
        <v>95.78</v>
      </c>
      <c r="K69" s="277">
        <v>40</v>
      </c>
      <c r="L69" s="305">
        <v>50.78</v>
      </c>
      <c r="M69" s="305">
        <v>1141.67</v>
      </c>
      <c r="N69" s="305">
        <v>36</v>
      </c>
      <c r="O69" s="69"/>
      <c r="P69" s="489">
        <f t="shared" si="118"/>
        <v>2165.2905511811014</v>
      </c>
      <c r="Q69" s="489">
        <f t="shared" si="119"/>
        <v>3417.570551181102</v>
      </c>
      <c r="R69" s="597"/>
      <c r="S69" s="489" t="e">
        <f t="shared" si="120"/>
        <v>#REF!</v>
      </c>
      <c r="T69" s="489" t="e">
        <f t="shared" si="121"/>
        <v>#REF!</v>
      </c>
      <c r="U69" s="597"/>
      <c r="V69" s="489" t="e">
        <f>MAX(V$65:V$66)+IF($B$2="mil",1,0.0254)*DDR2Specs!$B$3</f>
        <v>#REF!</v>
      </c>
      <c r="W69" s="489" t="e">
        <f>MIN(V$65:V$66)+IF($B$2="mil",1,0.0254)*DDR2Specs!$C$3</f>
        <v>#REF!</v>
      </c>
      <c r="X69" s="21"/>
      <c r="Y69" s="598" t="e">
        <f t="shared" si="122"/>
        <v>#REF!</v>
      </c>
      <c r="Z69" s="495" t="e">
        <f t="shared" si="123"/>
        <v>#REF!</v>
      </c>
      <c r="AA69" s="21"/>
      <c r="AB69" s="489" t="e">
        <f>MAX(AB$65:AB$66)+IF($B$2="mil",1,0.0254)*DDR2Specs!$E$3</f>
        <v>#REF!</v>
      </c>
      <c r="AC69" s="489" t="e">
        <f>MIN(AB$65:AB$66)+IF($B$2="mil",1,0.0254)*DDR2Specs!$F$3</f>
        <v>#REF!</v>
      </c>
      <c r="AD69" s="21"/>
      <c r="AE69" s="598" t="e">
        <f t="shared" si="105"/>
        <v>#REF!</v>
      </c>
      <c r="AF69" s="495" t="e">
        <f t="shared" si="106"/>
        <v>#REF!</v>
      </c>
      <c r="AG69" s="495" t="e">
        <f t="shared" si="107"/>
        <v>#REF!</v>
      </c>
      <c r="AH69" s="495" t="e">
        <f t="shared" si="108"/>
        <v>#REF!</v>
      </c>
      <c r="AI69" s="495" t="e">
        <f t="shared" si="109"/>
        <v>#REF!</v>
      </c>
      <c r="AJ69" s="495" t="e">
        <f t="shared" ca="1" si="110"/>
        <v>#NAME?</v>
      </c>
      <c r="AK69" s="495" t="e">
        <f t="shared" si="124"/>
        <v>#REF!</v>
      </c>
      <c r="AL69" s="495" t="e">
        <f t="shared" si="125"/>
        <v>#REF!</v>
      </c>
      <c r="AM69" s="495" t="e">
        <f t="shared" ca="1" si="111"/>
        <v>#NAME?</v>
      </c>
      <c r="AN69" s="495" t="e">
        <f t="shared" ca="1" si="112"/>
        <v>#NAME?</v>
      </c>
      <c r="AO69" s="495" t="e">
        <f t="shared" si="113"/>
        <v>#REF!</v>
      </c>
      <c r="AP69" s="495" t="e">
        <f t="shared" si="114"/>
        <v>#REF!</v>
      </c>
      <c r="AQ69" s="495" t="e">
        <f t="shared" si="115"/>
        <v>#REF!</v>
      </c>
      <c r="AR69" s="495" t="e">
        <f t="shared" si="116"/>
        <v>#REF!</v>
      </c>
      <c r="AS69" s="21"/>
      <c r="AT69" s="554" t="e">
        <f t="shared" ca="1" si="117"/>
        <v>#REF!</v>
      </c>
      <c r="AU69" s="554"/>
      <c r="AV69" s="554"/>
      <c r="AW69" s="3"/>
      <c r="AX69" s="3"/>
      <c r="AY69" s="3"/>
      <c r="AZ69" s="3"/>
      <c r="BA69" s="3"/>
      <c r="BB69" s="3"/>
      <c r="BC69" s="3"/>
      <c r="BD69" s="3"/>
      <c r="BE69" s="3"/>
      <c r="BF69" s="3"/>
      <c r="BG69" s="3"/>
      <c r="BH69" s="3"/>
      <c r="BI69" s="3"/>
      <c r="BJ69" s="3"/>
    </row>
    <row r="70" spans="1:62">
      <c r="A70" s="107" t="s">
        <v>168</v>
      </c>
      <c r="B70" s="480" t="s">
        <v>371</v>
      </c>
      <c r="C70" s="658">
        <v>626.37795275590554</v>
      </c>
      <c r="D70" s="18"/>
      <c r="E70" s="277">
        <v>29.7</v>
      </c>
      <c r="F70" s="277">
        <v>0</v>
      </c>
      <c r="G70" s="438">
        <v>1963.5007086614169</v>
      </c>
      <c r="H70" s="305">
        <v>65.83</v>
      </c>
      <c r="I70" s="277">
        <v>0</v>
      </c>
      <c r="J70" s="305">
        <v>55.78</v>
      </c>
      <c r="K70" s="277">
        <v>40</v>
      </c>
      <c r="L70" s="305">
        <v>85.78</v>
      </c>
      <c r="M70" s="305">
        <v>1103.6400000000001</v>
      </c>
      <c r="N70" s="305">
        <v>33</v>
      </c>
      <c r="O70" s="69"/>
      <c r="P70" s="489">
        <f t="shared" si="118"/>
        <v>2059.0307086614171</v>
      </c>
      <c r="Q70" s="489">
        <f t="shared" si="119"/>
        <v>3311.4007086614174</v>
      </c>
      <c r="R70" s="597"/>
      <c r="S70" s="489" t="e">
        <f t="shared" si="120"/>
        <v>#REF!</v>
      </c>
      <c r="T70" s="489" t="e">
        <f t="shared" si="121"/>
        <v>#REF!</v>
      </c>
      <c r="U70" s="597"/>
      <c r="V70" s="489" t="e">
        <f>MAX(V$65:V$66)+IF($B$2="mil",1,0.0254)*DDR2Specs!$B$3</f>
        <v>#REF!</v>
      </c>
      <c r="W70" s="489" t="e">
        <f>MIN(V$65:V$66)+IF($B$2="mil",1,0.0254)*DDR2Specs!$C$3</f>
        <v>#REF!</v>
      </c>
      <c r="X70" s="21"/>
      <c r="Y70" s="598" t="e">
        <f t="shared" si="122"/>
        <v>#REF!</v>
      </c>
      <c r="Z70" s="495" t="e">
        <f t="shared" si="123"/>
        <v>#REF!</v>
      </c>
      <c r="AA70" s="21"/>
      <c r="AB70" s="489" t="e">
        <f>MAX(AB$65:AB$66)+IF($B$2="mil",1,0.0254)*DDR2Specs!$E$3</f>
        <v>#REF!</v>
      </c>
      <c r="AC70" s="489" t="e">
        <f>MIN(AB$65:AB$66)+IF($B$2="mil",1,0.0254)*DDR2Specs!$F$3</f>
        <v>#REF!</v>
      </c>
      <c r="AD70" s="21"/>
      <c r="AE70" s="598" t="e">
        <f t="shared" si="105"/>
        <v>#REF!</v>
      </c>
      <c r="AF70" s="495" t="e">
        <f t="shared" si="106"/>
        <v>#REF!</v>
      </c>
      <c r="AG70" s="495" t="e">
        <f t="shared" si="107"/>
        <v>#REF!</v>
      </c>
      <c r="AH70" s="495" t="e">
        <f t="shared" si="108"/>
        <v>#REF!</v>
      </c>
      <c r="AI70" s="495" t="e">
        <f t="shared" si="109"/>
        <v>#REF!</v>
      </c>
      <c r="AJ70" s="495" t="e">
        <f t="shared" ca="1" si="110"/>
        <v>#NAME?</v>
      </c>
      <c r="AK70" s="495" t="e">
        <f t="shared" si="124"/>
        <v>#REF!</v>
      </c>
      <c r="AL70" s="495" t="e">
        <f t="shared" si="125"/>
        <v>#REF!</v>
      </c>
      <c r="AM70" s="495" t="e">
        <f t="shared" ca="1" si="111"/>
        <v>#NAME?</v>
      </c>
      <c r="AN70" s="495" t="e">
        <f t="shared" ca="1" si="112"/>
        <v>#NAME?</v>
      </c>
      <c r="AO70" s="495" t="e">
        <f t="shared" si="113"/>
        <v>#REF!</v>
      </c>
      <c r="AP70" s="495" t="e">
        <f t="shared" si="114"/>
        <v>#REF!</v>
      </c>
      <c r="AQ70" s="495" t="e">
        <f t="shared" si="115"/>
        <v>#REF!</v>
      </c>
      <c r="AR70" s="495" t="e">
        <f t="shared" si="116"/>
        <v>#REF!</v>
      </c>
      <c r="AS70" s="21"/>
      <c r="AT70" s="554" t="e">
        <f t="shared" ca="1" si="117"/>
        <v>#REF!</v>
      </c>
      <c r="AU70" s="554"/>
      <c r="AV70" s="554"/>
      <c r="AW70" s="3"/>
      <c r="AX70" s="3"/>
      <c r="AY70" s="3"/>
      <c r="AZ70" s="3"/>
      <c r="BA70" s="3"/>
      <c r="BB70" s="3"/>
      <c r="BC70" s="3"/>
      <c r="BD70" s="3"/>
      <c r="BE70" s="3"/>
      <c r="BF70" s="3"/>
      <c r="BG70" s="3"/>
      <c r="BH70" s="3"/>
      <c r="BI70" s="3"/>
      <c r="BJ70" s="3"/>
    </row>
    <row r="71" spans="1:62">
      <c r="A71" s="107" t="s">
        <v>169</v>
      </c>
      <c r="B71" s="480" t="s">
        <v>495</v>
      </c>
      <c r="C71" s="658">
        <v>594.33070866141736</v>
      </c>
      <c r="D71" s="18"/>
      <c r="E71" s="277">
        <v>29.7</v>
      </c>
      <c r="F71" s="277">
        <v>0</v>
      </c>
      <c r="G71" s="438">
        <v>2114.6411811023618</v>
      </c>
      <c r="H71" s="305">
        <v>80.91</v>
      </c>
      <c r="I71" s="277">
        <v>0</v>
      </c>
      <c r="J71" s="305">
        <v>54.06</v>
      </c>
      <c r="K71" s="277">
        <v>40</v>
      </c>
      <c r="L71" s="305">
        <v>92</v>
      </c>
      <c r="M71" s="305">
        <v>1067.9000000000001</v>
      </c>
      <c r="N71" s="305">
        <v>80</v>
      </c>
      <c r="O71" s="69"/>
      <c r="P71" s="489">
        <f t="shared" si="118"/>
        <v>2225.2511811023614</v>
      </c>
      <c r="Q71" s="489">
        <f t="shared" si="119"/>
        <v>3478.3011811023616</v>
      </c>
      <c r="R71" s="597"/>
      <c r="S71" s="489" t="e">
        <f t="shared" si="120"/>
        <v>#REF!</v>
      </c>
      <c r="T71" s="489" t="e">
        <f t="shared" si="121"/>
        <v>#REF!</v>
      </c>
      <c r="U71" s="597"/>
      <c r="V71" s="489" t="e">
        <f>MAX(V$65:V$66)+IF($B$2="mil",1,0.0254)*DDR2Specs!$B$3</f>
        <v>#REF!</v>
      </c>
      <c r="W71" s="489" t="e">
        <f>MIN(V$65:V$66)+IF($B$2="mil",1,0.0254)*DDR2Specs!$C$3</f>
        <v>#REF!</v>
      </c>
      <c r="X71" s="21"/>
      <c r="Y71" s="598" t="e">
        <f t="shared" si="122"/>
        <v>#REF!</v>
      </c>
      <c r="Z71" s="495" t="e">
        <f t="shared" si="123"/>
        <v>#REF!</v>
      </c>
      <c r="AA71" s="21"/>
      <c r="AB71" s="489" t="e">
        <f>MAX(AB$65:AB$66)+IF($B$2="mil",1,0.0254)*DDR2Specs!$E$3</f>
        <v>#REF!</v>
      </c>
      <c r="AC71" s="489" t="e">
        <f>MIN(AB$65:AB$66)+IF($B$2="mil",1,0.0254)*DDR2Specs!$F$3</f>
        <v>#REF!</v>
      </c>
      <c r="AD71" s="21"/>
      <c r="AE71" s="598" t="e">
        <f t="shared" si="105"/>
        <v>#REF!</v>
      </c>
      <c r="AF71" s="495" t="e">
        <f t="shared" si="106"/>
        <v>#REF!</v>
      </c>
      <c r="AG71" s="495" t="e">
        <f t="shared" si="107"/>
        <v>#REF!</v>
      </c>
      <c r="AH71" s="495" t="e">
        <f t="shared" si="108"/>
        <v>#REF!</v>
      </c>
      <c r="AI71" s="495" t="e">
        <f t="shared" si="109"/>
        <v>#REF!</v>
      </c>
      <c r="AJ71" s="495" t="e">
        <f t="shared" ca="1" si="110"/>
        <v>#NAME?</v>
      </c>
      <c r="AK71" s="495" t="e">
        <f t="shared" si="124"/>
        <v>#REF!</v>
      </c>
      <c r="AL71" s="495" t="e">
        <f t="shared" si="125"/>
        <v>#REF!</v>
      </c>
      <c r="AM71" s="495" t="e">
        <f t="shared" ca="1" si="111"/>
        <v>#NAME?</v>
      </c>
      <c r="AN71" s="495" t="e">
        <f t="shared" ca="1" si="112"/>
        <v>#NAME?</v>
      </c>
      <c r="AO71" s="495" t="e">
        <f t="shared" si="113"/>
        <v>#REF!</v>
      </c>
      <c r="AP71" s="495" t="e">
        <f t="shared" si="114"/>
        <v>#REF!</v>
      </c>
      <c r="AQ71" s="495" t="e">
        <f t="shared" si="115"/>
        <v>#REF!</v>
      </c>
      <c r="AR71" s="495" t="e">
        <f t="shared" si="116"/>
        <v>#REF!</v>
      </c>
      <c r="AS71" s="21"/>
      <c r="AT71" s="554" t="e">
        <f t="shared" ca="1" si="117"/>
        <v>#REF!</v>
      </c>
      <c r="AU71" s="554"/>
      <c r="AV71" s="554"/>
      <c r="AW71" s="3"/>
      <c r="AX71" s="3"/>
      <c r="AY71" s="3"/>
      <c r="AZ71" s="3"/>
      <c r="BA71" s="3"/>
      <c r="BB71" s="3"/>
      <c r="BC71" s="3"/>
      <c r="BD71" s="3"/>
      <c r="BE71" s="3"/>
      <c r="BF71" s="3"/>
      <c r="BG71" s="3"/>
      <c r="BH71" s="3"/>
      <c r="BI71" s="3"/>
      <c r="BJ71" s="3"/>
    </row>
    <row r="72" spans="1:62">
      <c r="A72" s="107" t="s">
        <v>170</v>
      </c>
      <c r="B72" s="480" t="s">
        <v>367</v>
      </c>
      <c r="C72" s="658">
        <v>587.95275590551182</v>
      </c>
      <c r="D72" s="18"/>
      <c r="E72" s="277">
        <v>29.7</v>
      </c>
      <c r="F72" s="277">
        <v>0</v>
      </c>
      <c r="G72" s="438">
        <v>1999.3152755905508</v>
      </c>
      <c r="H72" s="305">
        <v>123.48</v>
      </c>
      <c r="I72" s="277">
        <v>0</v>
      </c>
      <c r="J72" s="305">
        <v>103.97</v>
      </c>
      <c r="K72" s="277">
        <v>40</v>
      </c>
      <c r="L72" s="305">
        <v>124</v>
      </c>
      <c r="M72" s="305">
        <v>1007.05</v>
      </c>
      <c r="N72" s="305">
        <v>100</v>
      </c>
      <c r="O72" s="69"/>
      <c r="P72" s="489">
        <f t="shared" si="118"/>
        <v>2152.4952755905506</v>
      </c>
      <c r="Q72" s="489">
        <f t="shared" si="119"/>
        <v>3404.0352755905506</v>
      </c>
      <c r="R72" s="597"/>
      <c r="S72" s="489" t="e">
        <f t="shared" si="120"/>
        <v>#REF!</v>
      </c>
      <c r="T72" s="489" t="e">
        <f t="shared" si="121"/>
        <v>#REF!</v>
      </c>
      <c r="U72" s="597"/>
      <c r="V72" s="489" t="e">
        <f>MAX(V$65:V$66)+IF($B$2="mil",1,0.0254)*DDR2Specs!$B$3</f>
        <v>#REF!</v>
      </c>
      <c r="W72" s="489" t="e">
        <f>MIN(V$65:V$66)+IF($B$2="mil",1,0.0254)*DDR2Specs!$C$3</f>
        <v>#REF!</v>
      </c>
      <c r="X72" s="21"/>
      <c r="Y72" s="598" t="e">
        <f t="shared" si="122"/>
        <v>#REF!</v>
      </c>
      <c r="Z72" s="495" t="e">
        <f t="shared" si="123"/>
        <v>#REF!</v>
      </c>
      <c r="AA72" s="21"/>
      <c r="AB72" s="489" t="e">
        <f>MAX(AB$65:AB$66)+IF($B$2="mil",1,0.0254)*DDR2Specs!$E$3</f>
        <v>#REF!</v>
      </c>
      <c r="AC72" s="489" t="e">
        <f>MIN(AB$65:AB$66)+IF($B$2="mil",1,0.0254)*DDR2Specs!$F$3</f>
        <v>#REF!</v>
      </c>
      <c r="AD72" s="21"/>
      <c r="AE72" s="598" t="e">
        <f t="shared" si="105"/>
        <v>#REF!</v>
      </c>
      <c r="AF72" s="495" t="e">
        <f t="shared" si="106"/>
        <v>#REF!</v>
      </c>
      <c r="AG72" s="495" t="e">
        <f t="shared" si="107"/>
        <v>#REF!</v>
      </c>
      <c r="AH72" s="495" t="e">
        <f t="shared" si="108"/>
        <v>#REF!</v>
      </c>
      <c r="AI72" s="495" t="e">
        <f t="shared" si="109"/>
        <v>#REF!</v>
      </c>
      <c r="AJ72" s="495" t="e">
        <f t="shared" ca="1" si="110"/>
        <v>#NAME?</v>
      </c>
      <c r="AK72" s="495" t="e">
        <f t="shared" si="124"/>
        <v>#REF!</v>
      </c>
      <c r="AL72" s="495" t="e">
        <f t="shared" si="125"/>
        <v>#REF!</v>
      </c>
      <c r="AM72" s="495" t="e">
        <f t="shared" ca="1" si="111"/>
        <v>#NAME?</v>
      </c>
      <c r="AN72" s="495" t="e">
        <f t="shared" ca="1" si="112"/>
        <v>#NAME?</v>
      </c>
      <c r="AO72" s="495" t="e">
        <f t="shared" si="113"/>
        <v>#REF!</v>
      </c>
      <c r="AP72" s="495" t="e">
        <f t="shared" si="114"/>
        <v>#REF!</v>
      </c>
      <c r="AQ72" s="495" t="e">
        <f t="shared" si="115"/>
        <v>#REF!</v>
      </c>
      <c r="AR72" s="495" t="e">
        <f t="shared" si="116"/>
        <v>#REF!</v>
      </c>
      <c r="AS72" s="21"/>
      <c r="AT72" s="554" t="e">
        <f t="shared" ca="1" si="117"/>
        <v>#REF!</v>
      </c>
      <c r="AU72" s="554"/>
      <c r="AV72" s="554"/>
      <c r="AW72" s="3"/>
      <c r="AX72" s="3"/>
      <c r="AY72" s="3"/>
      <c r="AZ72" s="3"/>
      <c r="BA72" s="3"/>
      <c r="BB72" s="3"/>
      <c r="BC72" s="3"/>
      <c r="BD72" s="3"/>
      <c r="BE72" s="3"/>
      <c r="BF72" s="3"/>
      <c r="BG72" s="3"/>
      <c r="BH72" s="3"/>
      <c r="BI72" s="3"/>
      <c r="BJ72" s="3"/>
    </row>
    <row r="73" spans="1:62">
      <c r="A73" s="107" t="s">
        <v>171</v>
      </c>
      <c r="B73" s="480" t="s">
        <v>372</v>
      </c>
      <c r="C73" s="658">
        <v>692.79527559055123</v>
      </c>
      <c r="D73" s="18"/>
      <c r="E73" s="277">
        <v>29.7</v>
      </c>
      <c r="F73" s="277">
        <v>0</v>
      </c>
      <c r="G73" s="438">
        <v>2124.7457480314961</v>
      </c>
      <c r="H73" s="305">
        <v>94.27</v>
      </c>
      <c r="I73" s="277">
        <v>0</v>
      </c>
      <c r="J73" s="305">
        <v>69.34</v>
      </c>
      <c r="K73" s="277">
        <v>40</v>
      </c>
      <c r="L73" s="305">
        <v>89.93</v>
      </c>
      <c r="M73" s="305">
        <v>1066.01</v>
      </c>
      <c r="N73" s="305">
        <v>81</v>
      </c>
      <c r="O73" s="69"/>
      <c r="P73" s="489">
        <f t="shared" si="118"/>
        <v>2248.7157480314959</v>
      </c>
      <c r="Q73" s="489">
        <f t="shared" si="119"/>
        <v>3500.7257480314956</v>
      </c>
      <c r="R73" s="597"/>
      <c r="S73" s="489" t="e">
        <f t="shared" si="120"/>
        <v>#REF!</v>
      </c>
      <c r="T73" s="489" t="e">
        <f t="shared" si="121"/>
        <v>#REF!</v>
      </c>
      <c r="U73" s="597"/>
      <c r="V73" s="489" t="e">
        <f>MAX(V$65:V$66)+IF($B$2="mil",1,0.0254)*DDR2Specs!$B$3</f>
        <v>#REF!</v>
      </c>
      <c r="W73" s="489" t="e">
        <f>MIN(V$65:V$66)+IF($B$2="mil",1,0.0254)*DDR2Specs!$C$3</f>
        <v>#REF!</v>
      </c>
      <c r="X73" s="21"/>
      <c r="Y73" s="598" t="e">
        <f t="shared" si="122"/>
        <v>#REF!</v>
      </c>
      <c r="Z73" s="495" t="e">
        <f t="shared" si="123"/>
        <v>#REF!</v>
      </c>
      <c r="AA73" s="21"/>
      <c r="AB73" s="489" t="e">
        <f>MAX(AB$65:AB$66)+IF($B$2="mil",1,0.0254)*DDR2Specs!$E$3</f>
        <v>#REF!</v>
      </c>
      <c r="AC73" s="489" t="e">
        <f>MIN(AB$65:AB$66)+IF($B$2="mil",1,0.0254)*DDR2Specs!$F$3</f>
        <v>#REF!</v>
      </c>
      <c r="AD73" s="21"/>
      <c r="AE73" s="598" t="e">
        <f t="shared" si="105"/>
        <v>#REF!</v>
      </c>
      <c r="AF73" s="495" t="e">
        <f t="shared" si="106"/>
        <v>#REF!</v>
      </c>
      <c r="AG73" s="495" t="e">
        <f t="shared" si="107"/>
        <v>#REF!</v>
      </c>
      <c r="AH73" s="495" t="e">
        <f t="shared" si="108"/>
        <v>#REF!</v>
      </c>
      <c r="AI73" s="495" t="e">
        <f t="shared" si="109"/>
        <v>#REF!</v>
      </c>
      <c r="AJ73" s="495" t="e">
        <f t="shared" ca="1" si="110"/>
        <v>#NAME?</v>
      </c>
      <c r="AK73" s="495" t="e">
        <f t="shared" si="124"/>
        <v>#REF!</v>
      </c>
      <c r="AL73" s="495" t="e">
        <f t="shared" si="125"/>
        <v>#REF!</v>
      </c>
      <c r="AM73" s="495" t="e">
        <f t="shared" ca="1" si="111"/>
        <v>#NAME?</v>
      </c>
      <c r="AN73" s="495" t="e">
        <f t="shared" ca="1" si="112"/>
        <v>#NAME?</v>
      </c>
      <c r="AO73" s="495" t="e">
        <f t="shared" si="113"/>
        <v>#REF!</v>
      </c>
      <c r="AP73" s="495" t="e">
        <f t="shared" si="114"/>
        <v>#REF!</v>
      </c>
      <c r="AQ73" s="495" t="e">
        <f t="shared" si="115"/>
        <v>#REF!</v>
      </c>
      <c r="AR73" s="495" t="e">
        <f t="shared" si="116"/>
        <v>#REF!</v>
      </c>
      <c r="AS73" s="21"/>
      <c r="AT73" s="554" t="e">
        <f t="shared" ca="1" si="117"/>
        <v>#REF!</v>
      </c>
      <c r="AU73" s="554"/>
      <c r="AV73" s="554"/>
      <c r="AW73" s="3"/>
      <c r="AX73" s="3"/>
      <c r="AY73" s="3"/>
      <c r="AZ73" s="3"/>
      <c r="BA73" s="3"/>
      <c r="BB73" s="3"/>
      <c r="BC73" s="3"/>
      <c r="BD73" s="3"/>
      <c r="BE73" s="3"/>
      <c r="BF73" s="3"/>
      <c r="BG73" s="3"/>
      <c r="BH73" s="3"/>
      <c r="BI73" s="3"/>
      <c r="BJ73" s="3"/>
    </row>
    <row r="74" spans="1:62">
      <c r="A74" s="107" t="s">
        <v>172</v>
      </c>
      <c r="B74" s="480" t="s">
        <v>496</v>
      </c>
      <c r="C74" s="658">
        <v>671.29921259842513</v>
      </c>
      <c r="D74" s="18"/>
      <c r="E74" s="277">
        <v>29.7</v>
      </c>
      <c r="F74" s="277">
        <v>0</v>
      </c>
      <c r="G74" s="438">
        <v>1962.1749606299206</v>
      </c>
      <c r="H74" s="305">
        <v>88.14</v>
      </c>
      <c r="I74" s="277">
        <v>0</v>
      </c>
      <c r="J74" s="305">
        <v>72.650000000000006</v>
      </c>
      <c r="K74" s="277">
        <v>40</v>
      </c>
      <c r="L74" s="305">
        <v>120.65</v>
      </c>
      <c r="M74" s="305">
        <v>1020.17</v>
      </c>
      <c r="N74" s="305">
        <v>87</v>
      </c>
      <c r="O74" s="69"/>
      <c r="P74" s="489">
        <f t="shared" si="118"/>
        <v>2080.0149606299206</v>
      </c>
      <c r="Q74" s="489">
        <f t="shared" si="119"/>
        <v>3332.3449606299209</v>
      </c>
      <c r="R74" s="597"/>
      <c r="S74" s="489" t="e">
        <f t="shared" si="120"/>
        <v>#REF!</v>
      </c>
      <c r="T74" s="489" t="e">
        <f t="shared" si="121"/>
        <v>#REF!</v>
      </c>
      <c r="U74" s="597"/>
      <c r="V74" s="489" t="e">
        <f>MAX(V$65:V$66)+IF($B$2="mil",1,0.0254)*DDR2Specs!$B$3</f>
        <v>#REF!</v>
      </c>
      <c r="W74" s="489" t="e">
        <f>MIN(V$65:V$66)+IF($B$2="mil",1,0.0254)*DDR2Specs!$C$3</f>
        <v>#REF!</v>
      </c>
      <c r="X74" s="21"/>
      <c r="Y74" s="598" t="e">
        <f t="shared" si="122"/>
        <v>#REF!</v>
      </c>
      <c r="Z74" s="495" t="e">
        <f t="shared" si="123"/>
        <v>#REF!</v>
      </c>
      <c r="AA74" s="21"/>
      <c r="AB74" s="489" t="e">
        <f>MAX(AB$65:AB$66)+IF($B$2="mil",1,0.0254)*DDR2Specs!$E$3</f>
        <v>#REF!</v>
      </c>
      <c r="AC74" s="489" t="e">
        <f>MIN(AB$65:AB$66)+IF($B$2="mil",1,0.0254)*DDR2Specs!$F$3</f>
        <v>#REF!</v>
      </c>
      <c r="AD74" s="21"/>
      <c r="AE74" s="598" t="e">
        <f t="shared" si="105"/>
        <v>#REF!</v>
      </c>
      <c r="AF74" s="495" t="e">
        <f t="shared" si="106"/>
        <v>#REF!</v>
      </c>
      <c r="AG74" s="495" t="e">
        <f t="shared" si="107"/>
        <v>#REF!</v>
      </c>
      <c r="AH74" s="495" t="e">
        <f t="shared" si="108"/>
        <v>#REF!</v>
      </c>
      <c r="AI74" s="495" t="e">
        <f t="shared" si="109"/>
        <v>#REF!</v>
      </c>
      <c r="AJ74" s="495" t="e">
        <f t="shared" ca="1" si="110"/>
        <v>#NAME?</v>
      </c>
      <c r="AK74" s="495" t="e">
        <f t="shared" si="124"/>
        <v>#REF!</v>
      </c>
      <c r="AL74" s="495" t="e">
        <f t="shared" si="125"/>
        <v>#REF!</v>
      </c>
      <c r="AM74" s="495" t="e">
        <f t="shared" ca="1" si="111"/>
        <v>#NAME?</v>
      </c>
      <c r="AN74" s="495" t="e">
        <f t="shared" ca="1" si="112"/>
        <v>#NAME?</v>
      </c>
      <c r="AO74" s="495" t="e">
        <f t="shared" si="113"/>
        <v>#REF!</v>
      </c>
      <c r="AP74" s="495" t="e">
        <f t="shared" si="114"/>
        <v>#REF!</v>
      </c>
      <c r="AQ74" s="495" t="e">
        <f t="shared" si="115"/>
        <v>#REF!</v>
      </c>
      <c r="AR74" s="495" t="e">
        <f t="shared" si="116"/>
        <v>#REF!</v>
      </c>
      <c r="AS74" s="21"/>
      <c r="AT74" s="554" t="e">
        <f t="shared" ca="1" si="117"/>
        <v>#REF!</v>
      </c>
      <c r="AU74" s="554"/>
      <c r="AV74" s="554"/>
      <c r="AW74" s="3"/>
      <c r="AX74" s="3"/>
      <c r="AY74" s="3"/>
      <c r="AZ74" s="3"/>
      <c r="BA74" s="3"/>
      <c r="BB74" s="3"/>
      <c r="BC74" s="3"/>
      <c r="BD74" s="3"/>
      <c r="BE74" s="3"/>
      <c r="BF74" s="3"/>
      <c r="BG74" s="3"/>
      <c r="BH74" s="3"/>
      <c r="BI74" s="3"/>
      <c r="BJ74" s="3"/>
    </row>
    <row r="75" spans="1:62">
      <c r="A75" s="128" t="s">
        <v>173</v>
      </c>
      <c r="B75" s="484" t="s">
        <v>345</v>
      </c>
      <c r="C75" s="658">
        <v>583.81889763779532</v>
      </c>
      <c r="D75" s="18"/>
      <c r="E75" s="277">
        <v>29.7</v>
      </c>
      <c r="F75" s="277">
        <v>0</v>
      </c>
      <c r="G75" s="438">
        <v>2099.73</v>
      </c>
      <c r="H75" s="305">
        <v>64.569999999999993</v>
      </c>
      <c r="I75" s="277">
        <v>0</v>
      </c>
      <c r="J75" s="305">
        <v>49.57</v>
      </c>
      <c r="K75" s="277">
        <v>40</v>
      </c>
      <c r="L75" s="305">
        <v>85.78</v>
      </c>
      <c r="M75" s="305">
        <v>1104.3499999999999</v>
      </c>
      <c r="N75" s="305">
        <v>38</v>
      </c>
      <c r="O75" s="69"/>
      <c r="P75" s="489">
        <f t="shared" si="118"/>
        <v>2194</v>
      </c>
      <c r="Q75" s="489">
        <f t="shared" si="119"/>
        <v>3447.13</v>
      </c>
      <c r="R75" s="597"/>
      <c r="S75" s="489" t="e">
        <f t="shared" si="120"/>
        <v>#REF!</v>
      </c>
      <c r="T75" s="489" t="e">
        <f t="shared" si="121"/>
        <v>#REF!</v>
      </c>
      <c r="U75" s="597"/>
      <c r="V75" s="489" t="e">
        <f>MAX(V$65:V$66)+IF($B$2="mil",1,0.0254)*DDR2Specs!$B$3</f>
        <v>#REF!</v>
      </c>
      <c r="W75" s="489" t="e">
        <f>MIN(V$65:V$66)+IF($B$2="mil",1,0.0254)*DDR2Specs!$C$3</f>
        <v>#REF!</v>
      </c>
      <c r="X75" s="21"/>
      <c r="Y75" s="598" t="e">
        <f t="shared" si="122"/>
        <v>#REF!</v>
      </c>
      <c r="Z75" s="495" t="e">
        <f t="shared" si="123"/>
        <v>#REF!</v>
      </c>
      <c r="AA75" s="21"/>
      <c r="AB75" s="489" t="e">
        <f>MAX(AB$65:AB$66)+IF($B$2="mil",1,0.0254)*DDR2Specs!$E$3</f>
        <v>#REF!</v>
      </c>
      <c r="AC75" s="489" t="e">
        <f>MIN(AB$65:AB$66)+IF($B$2="mil",1,0.0254)*DDR2Specs!$F$3</f>
        <v>#REF!</v>
      </c>
      <c r="AD75" s="21"/>
      <c r="AE75" s="598" t="e">
        <f t="shared" si="105"/>
        <v>#REF!</v>
      </c>
      <c r="AF75" s="495" t="e">
        <f t="shared" si="106"/>
        <v>#REF!</v>
      </c>
      <c r="AG75" s="495" t="e">
        <f t="shared" si="107"/>
        <v>#REF!</v>
      </c>
      <c r="AH75" s="495" t="e">
        <f t="shared" si="108"/>
        <v>#REF!</v>
      </c>
      <c r="AI75" s="495" t="e">
        <f t="shared" si="109"/>
        <v>#REF!</v>
      </c>
      <c r="AJ75" s="495" t="e">
        <f t="shared" ca="1" si="110"/>
        <v>#NAME?</v>
      </c>
      <c r="AK75" s="495" t="e">
        <f t="shared" si="124"/>
        <v>#REF!</v>
      </c>
      <c r="AL75" s="495" t="e">
        <f t="shared" si="125"/>
        <v>#REF!</v>
      </c>
      <c r="AM75" s="495" t="e">
        <f t="shared" ca="1" si="111"/>
        <v>#NAME?</v>
      </c>
      <c r="AN75" s="495" t="e">
        <f t="shared" ca="1" si="112"/>
        <v>#NAME?</v>
      </c>
      <c r="AO75" s="495" t="e">
        <f t="shared" si="113"/>
        <v>#REF!</v>
      </c>
      <c r="AP75" s="495" t="e">
        <f t="shared" si="114"/>
        <v>#REF!</v>
      </c>
      <c r="AQ75" s="495" t="e">
        <f t="shared" si="115"/>
        <v>#REF!</v>
      </c>
      <c r="AR75" s="495" t="e">
        <f t="shared" si="116"/>
        <v>#REF!</v>
      </c>
      <c r="AS75" s="21"/>
      <c r="AT75" s="554" t="e">
        <f t="shared" ca="1" si="117"/>
        <v>#REF!</v>
      </c>
      <c r="AU75" s="554"/>
      <c r="AV75" s="554"/>
      <c r="AW75" s="3"/>
      <c r="AX75" s="3"/>
      <c r="AY75" s="3"/>
      <c r="AZ75" s="3"/>
      <c r="BA75" s="3"/>
      <c r="BB75" s="3"/>
      <c r="BC75" s="3"/>
      <c r="BD75" s="3"/>
      <c r="BE75" s="3"/>
      <c r="BF75" s="3"/>
      <c r="BG75" s="3"/>
      <c r="BH75" s="3"/>
      <c r="BI75" s="3"/>
      <c r="BJ75" s="3"/>
    </row>
    <row r="76" spans="1:62">
      <c r="A76" s="109" t="s">
        <v>203</v>
      </c>
      <c r="B76" s="485"/>
      <c r="C76" s="659"/>
      <c r="D76" s="62"/>
      <c r="E76" s="82"/>
      <c r="F76" s="82"/>
      <c r="G76" s="439"/>
      <c r="H76" s="295"/>
      <c r="I76" s="295"/>
      <c r="J76" s="295"/>
      <c r="K76" s="295"/>
      <c r="L76" s="295"/>
      <c r="M76" s="295"/>
      <c r="N76" s="295"/>
      <c r="O76" s="10"/>
      <c r="P76" s="82"/>
      <c r="Q76" s="82"/>
      <c r="R76" s="82"/>
      <c r="S76" s="605"/>
      <c r="T76" s="605"/>
      <c r="U76" s="605"/>
      <c r="V76" s="605"/>
      <c r="W76" s="606"/>
      <c r="X76" s="606"/>
      <c r="Y76" s="607"/>
      <c r="Z76" s="17"/>
      <c r="AA76" s="606"/>
      <c r="AB76" s="605"/>
      <c r="AC76" s="606"/>
      <c r="AD76" s="606"/>
      <c r="AE76" s="607"/>
      <c r="AF76" s="17"/>
      <c r="AG76" s="17"/>
      <c r="AH76" s="17"/>
      <c r="AI76" s="16"/>
      <c r="AJ76" s="16"/>
      <c r="AK76" s="16"/>
      <c r="AL76" s="16"/>
      <c r="AM76" s="16"/>
      <c r="AN76" s="16"/>
      <c r="AO76" s="16"/>
      <c r="AP76" s="16"/>
      <c r="AQ76" s="16"/>
      <c r="AR76" s="16"/>
      <c r="AS76" s="83"/>
      <c r="AT76" s="554"/>
      <c r="AU76" s="554"/>
      <c r="AV76" s="554"/>
      <c r="AW76" s="3"/>
      <c r="AX76" s="3"/>
      <c r="AY76" s="3"/>
      <c r="AZ76" s="3"/>
      <c r="BA76" s="3"/>
      <c r="BB76" s="3"/>
      <c r="BC76" s="3"/>
      <c r="BD76" s="3"/>
      <c r="BE76" s="3"/>
      <c r="BF76" s="3"/>
      <c r="BG76" s="3"/>
      <c r="BH76" s="3"/>
      <c r="BI76" s="3"/>
      <c r="BJ76" s="3"/>
    </row>
    <row r="77" spans="1:62">
      <c r="A77" s="118" t="str">
        <f>'DDR2 Strobes - 1x16'!$A$28</f>
        <v>SA_DQS6</v>
      </c>
      <c r="B77" s="486" t="str">
        <f>'DDR2 Strobes - 1x16'!$B$28</f>
        <v>AB14</v>
      </c>
      <c r="C77" s="660"/>
      <c r="D77" s="53"/>
      <c r="E77" s="81"/>
      <c r="F77" s="81"/>
      <c r="G77" s="440"/>
      <c r="H77" s="296"/>
      <c r="I77" s="296"/>
      <c r="J77" s="296"/>
      <c r="K77" s="296"/>
      <c r="L77" s="296"/>
      <c r="M77" s="296"/>
      <c r="N77" s="296"/>
      <c r="O77" s="81"/>
      <c r="P77" s="81"/>
      <c r="Q77" s="81"/>
      <c r="R77" s="81"/>
      <c r="S77" s="58"/>
      <c r="T77" s="58"/>
      <c r="U77" s="58"/>
      <c r="V77" s="58" t="e">
        <f>'DDR2 Strobes - 1x16'!$S$28</f>
        <v>#REF!</v>
      </c>
      <c r="W77" s="58"/>
      <c r="X77" s="58"/>
      <c r="Y77" s="58"/>
      <c r="Z77" s="608"/>
      <c r="AA77" s="58"/>
      <c r="AB77" s="58" t="e">
        <f>'DDR2 Strobes - 1x16'!$T$28</f>
        <v>#REF!</v>
      </c>
      <c r="AC77" s="58"/>
      <c r="AD77" s="58"/>
      <c r="AE77" s="58"/>
      <c r="AF77" s="608"/>
      <c r="AG77" s="608"/>
      <c r="AH77" s="608"/>
      <c r="AI77" s="608"/>
      <c r="AJ77" s="608"/>
      <c r="AK77" s="608"/>
      <c r="AL77" s="608"/>
      <c r="AM77" s="608"/>
      <c r="AN77" s="608"/>
      <c r="AO77" s="608"/>
      <c r="AP77" s="608"/>
      <c r="AQ77" s="608"/>
      <c r="AR77" s="608"/>
      <c r="AS77" s="58"/>
      <c r="AT77" s="554"/>
      <c r="AU77" s="554"/>
      <c r="AV77" s="554"/>
      <c r="AW77" s="3"/>
      <c r="AX77" s="3"/>
      <c r="AY77" s="3"/>
      <c r="AZ77" s="3"/>
      <c r="BA77" s="3"/>
      <c r="BB77" s="3"/>
      <c r="BC77" s="3"/>
      <c r="BD77" s="3"/>
      <c r="BE77" s="3"/>
      <c r="BF77" s="3"/>
      <c r="BG77" s="3"/>
      <c r="BH77" s="3"/>
      <c r="BI77" s="3"/>
      <c r="BJ77" s="3"/>
    </row>
    <row r="78" spans="1:62">
      <c r="A78" s="118" t="str">
        <f>'DDR2 Strobes - 1x16'!$A$29</f>
        <v>SA_DQS6#</v>
      </c>
      <c r="B78" s="486" t="str">
        <f>'DDR2 Strobes - 1x16'!$B$29</f>
        <v>AB13</v>
      </c>
      <c r="C78" s="660"/>
      <c r="D78" s="53"/>
      <c r="E78" s="81"/>
      <c r="F78" s="81"/>
      <c r="G78" s="440"/>
      <c r="H78" s="296"/>
      <c r="I78" s="296"/>
      <c r="J78" s="296"/>
      <c r="K78" s="296"/>
      <c r="L78" s="296"/>
      <c r="M78" s="296"/>
      <c r="N78" s="296"/>
      <c r="O78" s="81"/>
      <c r="P78" s="81"/>
      <c r="Q78" s="602"/>
      <c r="R78" s="602"/>
      <c r="S78" s="603"/>
      <c r="T78" s="603"/>
      <c r="U78" s="58"/>
      <c r="V78" s="58" t="e">
        <f>'DDR2 Strobes - 1x16'!$S$29</f>
        <v>#REF!</v>
      </c>
      <c r="W78" s="58"/>
      <c r="X78" s="58"/>
      <c r="Y78" s="58"/>
      <c r="Z78" s="608"/>
      <c r="AA78" s="58"/>
      <c r="AB78" s="58" t="e">
        <f>'DDR2 Strobes - 1x16'!$T$29</f>
        <v>#REF!</v>
      </c>
      <c r="AC78" s="58"/>
      <c r="AD78" s="58"/>
      <c r="AE78" s="58"/>
      <c r="AF78" s="608"/>
      <c r="AG78" s="608"/>
      <c r="AH78" s="608"/>
      <c r="AI78" s="609"/>
      <c r="AJ78" s="609"/>
      <c r="AK78" s="609"/>
      <c r="AL78" s="609"/>
      <c r="AM78" s="609"/>
      <c r="AN78" s="609"/>
      <c r="AO78" s="609"/>
      <c r="AP78" s="609"/>
      <c r="AQ78" s="609"/>
      <c r="AR78" s="609"/>
      <c r="AS78" s="58"/>
      <c r="AT78" s="554"/>
      <c r="AU78" s="554"/>
      <c r="AV78" s="554"/>
      <c r="AW78" s="3"/>
      <c r="AX78" s="3"/>
      <c r="AY78" s="3"/>
      <c r="AZ78" s="3"/>
      <c r="BA78" s="3"/>
      <c r="BB78" s="3"/>
      <c r="BC78" s="3"/>
      <c r="BD78" s="3"/>
      <c r="BE78" s="3"/>
      <c r="BF78" s="3"/>
      <c r="BG78" s="3"/>
      <c r="BH78" s="3"/>
      <c r="BI78" s="3"/>
      <c r="BJ78" s="3"/>
    </row>
    <row r="79" spans="1:62">
      <c r="A79" s="107" t="s">
        <v>174</v>
      </c>
      <c r="B79" s="481" t="s">
        <v>497</v>
      </c>
      <c r="C79" s="658">
        <v>846.81102362204729</v>
      </c>
      <c r="D79" s="18"/>
      <c r="E79" s="277">
        <v>29.7</v>
      </c>
      <c r="F79" s="277">
        <v>0</v>
      </c>
      <c r="G79" s="438">
        <v>1595.812913385827</v>
      </c>
      <c r="H79" s="305">
        <v>71.39</v>
      </c>
      <c r="I79" s="277">
        <v>0</v>
      </c>
      <c r="J79" s="305">
        <v>56.33</v>
      </c>
      <c r="K79" s="277">
        <v>40</v>
      </c>
      <c r="L79" s="305">
        <v>50.78</v>
      </c>
      <c r="M79" s="305">
        <v>1140.73</v>
      </c>
      <c r="N79" s="305">
        <v>75.67</v>
      </c>
      <c r="O79" s="69"/>
      <c r="P79" s="489">
        <f xml:space="preserve"> E79+F79+G79+H79</f>
        <v>1696.9029133858271</v>
      </c>
      <c r="Q79" s="489">
        <f>SUM(E79:G79,I79:N79)</f>
        <v>2989.022913385827</v>
      </c>
      <c r="R79" s="597"/>
      <c r="S79" s="489" t="e">
        <f>P79+IF($B$2="mil",1,0.0254)*C79</f>
        <v>#REF!</v>
      </c>
      <c r="T79" s="489" t="e">
        <f>Q79+IF($B$2="mil",1,0.0254)*C79</f>
        <v>#REF!</v>
      </c>
      <c r="U79" s="597"/>
      <c r="V79" s="489" t="e">
        <f>MAX(V$77:V$78)+IF($B$2="mil",1,0.0254)*DDR2Specs!$B$3</f>
        <v>#REF!</v>
      </c>
      <c r="W79" s="489" t="e">
        <f>MIN(V$77:V$78)+IF($B$2="mil",1,0.0254)*DDR2Specs!$C$3</f>
        <v>#REF!</v>
      </c>
      <c r="X79" s="21"/>
      <c r="Y79" s="598" t="e">
        <f>IF($S79&lt;$V79,$V79-$S79,"Pass")</f>
        <v>#REF!</v>
      </c>
      <c r="Z79" s="495" t="e">
        <f>IF($S79&gt;$W79,$S79-$W79,"Pass")</f>
        <v>#REF!</v>
      </c>
      <c r="AA79" s="21"/>
      <c r="AB79" s="489" t="e">
        <f>MAX(AB$77:AB$78)+IF($B$2="mil",1,0.0254)*DDR2Specs!$E$3</f>
        <v>#REF!</v>
      </c>
      <c r="AC79" s="489" t="e">
        <f>MIN(AB$77:AB$78)+IF($B$2="mil",1,0.0254)*DDR2Specs!$F$3</f>
        <v>#REF!</v>
      </c>
      <c r="AD79" s="21"/>
      <c r="AE79" s="598" t="e">
        <f t="shared" ref="AE79:AE87" si="126">IF($T79&lt;$AB79,$AB79-$T79,"Pass")</f>
        <v>#REF!</v>
      </c>
      <c r="AF79" s="495" t="e">
        <f t="shared" ref="AF79:AF87" si="127">IF($T79&gt;$AC79,$T79-$AC79,"Pass")</f>
        <v>#REF!</v>
      </c>
      <c r="AG79" s="495" t="e">
        <f t="shared" ref="AG79:AG87" si="128">IF($E79&lt;=IF($B$2="mil",1,0.0254)*50,"Pass",IF($B$2="mil",1,0.0254)*50-$E79)</f>
        <v>#REF!</v>
      </c>
      <c r="AH79" s="495" t="e">
        <f t="shared" ref="AH79:AH87" si="129">IF($F79&lt;=IF($B$2="mil",1,0.0254)*500,"Pass",IF($B$2="mil",1,0.0254)*500-$F79)</f>
        <v>#REF!</v>
      </c>
      <c r="AI79" s="495" t="e">
        <f t="shared" ref="AI79:AI87" si="130">IF($H79&lt;=IF($B$2="mil",1,0.0254)*250,"Pass",IF($B$2="mil",1,0.0254)*250-$H79)</f>
        <v>#REF!</v>
      </c>
      <c r="AJ79" s="495" t="e">
        <f t="shared" ref="AJ79:AJ87" ca="1" si="131">CheckLength(IF($B$2="mil",1,0.0254)*1125, IF($B$2="mil",1,0.0254)*125-J79, 0, I79,J79,0)</f>
        <v>#NAME?</v>
      </c>
      <c r="AK79" s="495" t="e">
        <f>IF($J79&lt;=IF($B$2="mil",1,0.0254)*125,"Pass",IF($B$2="mil",1,0.0254)*125-$J79)</f>
        <v>#REF!</v>
      </c>
      <c r="AL79" s="495" t="e">
        <f>IF($L79&lt;=IF($B$2="mil",1,0.0254)*125,"Pass",IF($B$2="mil",1,0.0254)*125-$L79)</f>
        <v>#REF!</v>
      </c>
      <c r="AM79" s="495" t="e">
        <f t="shared" ref="AM79:AM87" ca="1" si="132">CheckLength(IF($B$2="mil",1,0.0254)*1525, IF($B$2="mil",1,0.0254)*125-L79, IF($B$2="mil",1,0.0254)*150-N79, M79,L79,N79)</f>
        <v>#NAME?</v>
      </c>
      <c r="AN79" s="495" t="e">
        <f t="shared" ref="AN79:AN87" ca="1" si="133">CheckLength2(IF($B$2="mil",1,0.0254)*1400,M79,N79,0)</f>
        <v>#NAME?</v>
      </c>
      <c r="AO79" s="495" t="e">
        <f t="shared" ref="AO79:AO87" si="134">IF(AND($P79&gt;=IF($B$2="mil",1,0.0254)*500, $P79&lt;=IF($B$2="mil",1,0.0254)*4000),"Pass",IF($B$2="mil",1,0.0254)*4000-$P79)</f>
        <v>#REF!</v>
      </c>
      <c r="AP79" s="495" t="e">
        <f t="shared" ref="AP79:AP87" si="135">IF(AND($S79&gt;=IF($B$2="mil",1,0.0254)*500, $S79&lt;=IF($B$2="mil",1,0.0254)*4500),"Pass",IF($B$2="mil",1,0.0254)*4500-$S79)</f>
        <v>#REF!</v>
      </c>
      <c r="AQ79" s="495" t="e">
        <f t="shared" ref="AQ79:AQ87" si="136">IF(AND($Q79&gt;=IF($B$2="mil",1,0.0254)*500, $Q79&lt;=IF($B$2="mil",1,0.0254)*5500),"Pass",IF($B$2="mil",1,0.0254)*5500-$Q79)</f>
        <v>#REF!</v>
      </c>
      <c r="AR79" s="495" t="e">
        <f t="shared" ref="AR79:AR87" si="137">IF(AND($T79&gt;=IF($B$2="mil",1,0.0254)*500, $T79&lt;=IF($B$2="mil",1,0.0254)*6000),"Pass",IF($B$2="mil",1,0.0254)*6000-$T79)</f>
        <v>#REF!</v>
      </c>
      <c r="AS79" s="21"/>
      <c r="AT79" s="554" t="e">
        <f t="shared" ref="AT79:AT87" ca="1" si="138">IF(AND(AG79="Pass",AP79="Pass",AI79="Pass",AH79="Pass",AO79="Pass",Y79="Pass",Z79="Pass",AN79="Pass",AM79="Pass",AL79="Pass",AK79="Pass",AJ79="Pass",AE79="Pass",AF79="Pass",AQ79="Pass",AR79="Pass"),"Pass","Fail")</f>
        <v>#REF!</v>
      </c>
      <c r="AU79" s="554" t="e">
        <f ca="1">IF(AND(AT79="Pass",AT80="Pass",AT81="Pass",AT82="Pass",AT83="Pass",AT84="Pass",AT85="Pass",AT86="Pass",AT87="Pass"),"Pass","Fail")</f>
        <v>#REF!</v>
      </c>
      <c r="AV79" s="554"/>
      <c r="AW79" s="3"/>
      <c r="AX79" s="3"/>
      <c r="AY79" s="3"/>
      <c r="AZ79" s="3"/>
      <c r="BA79" s="3"/>
      <c r="BB79" s="3"/>
      <c r="BC79" s="3"/>
      <c r="BD79" s="3"/>
      <c r="BE79" s="3"/>
      <c r="BF79" s="3"/>
      <c r="BG79" s="3"/>
      <c r="BH79" s="3"/>
      <c r="BI79" s="3"/>
      <c r="BJ79" s="3"/>
    </row>
    <row r="80" spans="1:62">
      <c r="A80" s="107" t="s">
        <v>175</v>
      </c>
      <c r="B80" s="480" t="s">
        <v>498</v>
      </c>
      <c r="C80" s="658">
        <v>749.48818897637796</v>
      </c>
      <c r="D80" s="18"/>
      <c r="E80" s="277">
        <v>29.7</v>
      </c>
      <c r="F80" s="277">
        <v>0</v>
      </c>
      <c r="G80" s="438">
        <v>1545.5221259842519</v>
      </c>
      <c r="H80" s="305">
        <v>107.98</v>
      </c>
      <c r="I80" s="277">
        <v>0</v>
      </c>
      <c r="J80" s="305">
        <v>99.62</v>
      </c>
      <c r="K80" s="277">
        <v>40</v>
      </c>
      <c r="L80" s="305">
        <v>46.81</v>
      </c>
      <c r="M80" s="305">
        <v>1137.98</v>
      </c>
      <c r="N80" s="305">
        <v>75.849999999999994</v>
      </c>
      <c r="O80" s="69"/>
      <c r="P80" s="489">
        <f t="shared" ref="P80:P87" si="139" xml:space="preserve"> E80+F80+G80+H80</f>
        <v>1683.202125984252</v>
      </c>
      <c r="Q80" s="489">
        <f t="shared" ref="Q80:Q87" si="140">SUM(E80:G80,I80:N80)</f>
        <v>2975.482125984252</v>
      </c>
      <c r="R80" s="597"/>
      <c r="S80" s="489" t="e">
        <f t="shared" ref="S80:S87" si="141">P80+IF($B$2="mil",1,0.0254)*C80</f>
        <v>#REF!</v>
      </c>
      <c r="T80" s="489" t="e">
        <f t="shared" ref="T80:T87" si="142">Q80+IF($B$2="mil",1,0.0254)*C80</f>
        <v>#REF!</v>
      </c>
      <c r="U80" s="597"/>
      <c r="V80" s="489" t="e">
        <f>MAX(V$77:V$78)+IF($B$2="mil",1,0.0254)*DDR2Specs!$B$3</f>
        <v>#REF!</v>
      </c>
      <c r="W80" s="489" t="e">
        <f>MIN(V$77:V$78)+IF($B$2="mil",1,0.0254)*DDR2Specs!$C$3</f>
        <v>#REF!</v>
      </c>
      <c r="X80" s="21"/>
      <c r="Y80" s="598" t="e">
        <f t="shared" ref="Y80:Y87" si="143">IF($S80&lt;$V80,$V80-$S80,"Pass")</f>
        <v>#REF!</v>
      </c>
      <c r="Z80" s="495" t="e">
        <f t="shared" ref="Z80:Z87" si="144">IF($S80&gt;$W80,$S80-$W80,"Pass")</f>
        <v>#REF!</v>
      </c>
      <c r="AA80" s="21"/>
      <c r="AB80" s="489" t="e">
        <f>MAX(AB$77:AB$78)+IF($B$2="mil",1,0.0254)*DDR2Specs!$E$3</f>
        <v>#REF!</v>
      </c>
      <c r="AC80" s="489" t="e">
        <f>MIN(AB$77:AB$78)+IF($B$2="mil",1,0.0254)*DDR2Specs!$F$3</f>
        <v>#REF!</v>
      </c>
      <c r="AD80" s="21"/>
      <c r="AE80" s="598" t="e">
        <f t="shared" si="126"/>
        <v>#REF!</v>
      </c>
      <c r="AF80" s="495" t="e">
        <f t="shared" si="127"/>
        <v>#REF!</v>
      </c>
      <c r="AG80" s="495" t="e">
        <f t="shared" si="128"/>
        <v>#REF!</v>
      </c>
      <c r="AH80" s="495" t="e">
        <f t="shared" si="129"/>
        <v>#REF!</v>
      </c>
      <c r="AI80" s="495" t="e">
        <f t="shared" si="130"/>
        <v>#REF!</v>
      </c>
      <c r="AJ80" s="495" t="e">
        <f t="shared" ca="1" si="131"/>
        <v>#NAME?</v>
      </c>
      <c r="AK80" s="495" t="e">
        <f t="shared" ref="AK80:AK87" si="145">IF($J80&lt;=IF($B$2="mil",1,0.0254)*125,"Pass",IF($B$2="mil",1,0.0254)*125-$J80)</f>
        <v>#REF!</v>
      </c>
      <c r="AL80" s="495" t="e">
        <f t="shared" ref="AL80:AL87" si="146">IF($L80&lt;=IF($B$2="mil",1,0.0254)*125,"Pass",IF($B$2="mil",1,0.0254)*125-$L80)</f>
        <v>#REF!</v>
      </c>
      <c r="AM80" s="495" t="e">
        <f t="shared" ca="1" si="132"/>
        <v>#NAME?</v>
      </c>
      <c r="AN80" s="495" t="e">
        <f t="shared" ca="1" si="133"/>
        <v>#NAME?</v>
      </c>
      <c r="AO80" s="495" t="e">
        <f t="shared" si="134"/>
        <v>#REF!</v>
      </c>
      <c r="AP80" s="495" t="e">
        <f t="shared" si="135"/>
        <v>#REF!</v>
      </c>
      <c r="AQ80" s="495" t="e">
        <f t="shared" si="136"/>
        <v>#REF!</v>
      </c>
      <c r="AR80" s="495" t="e">
        <f t="shared" si="137"/>
        <v>#REF!</v>
      </c>
      <c r="AS80" s="21"/>
      <c r="AT80" s="554" t="e">
        <f t="shared" ca="1" si="138"/>
        <v>#REF!</v>
      </c>
      <c r="AU80" s="554"/>
      <c r="AV80" s="554"/>
      <c r="AW80" s="3"/>
      <c r="AX80" s="3"/>
      <c r="AY80" s="3"/>
      <c r="AZ80" s="3"/>
      <c r="BA80" s="3"/>
      <c r="BB80" s="3"/>
      <c r="BC80" s="3"/>
      <c r="BD80" s="3"/>
      <c r="BE80" s="3"/>
      <c r="BF80" s="3"/>
      <c r="BG80" s="3"/>
      <c r="BH80" s="3"/>
      <c r="BI80" s="3"/>
      <c r="BJ80" s="3"/>
    </row>
    <row r="81" spans="1:62">
      <c r="A81" s="107" t="s">
        <v>176</v>
      </c>
      <c r="B81" s="480" t="s">
        <v>113</v>
      </c>
      <c r="C81" s="658">
        <v>668.97637795275591</v>
      </c>
      <c r="D81" s="18"/>
      <c r="E81" s="277">
        <v>29.7</v>
      </c>
      <c r="F81" s="277">
        <v>0</v>
      </c>
      <c r="G81" s="438">
        <v>1760.0148818897642</v>
      </c>
      <c r="H81" s="305">
        <v>68.44</v>
      </c>
      <c r="I81" s="277">
        <v>0</v>
      </c>
      <c r="J81" s="305">
        <v>51.64</v>
      </c>
      <c r="K81" s="277">
        <v>40</v>
      </c>
      <c r="L81" s="305">
        <v>52.03</v>
      </c>
      <c r="M81" s="305">
        <v>1185.4100000000001</v>
      </c>
      <c r="N81" s="305">
        <v>31.51</v>
      </c>
      <c r="O81" s="69"/>
      <c r="P81" s="489">
        <f t="shared" si="139"/>
        <v>1858.1548818897643</v>
      </c>
      <c r="Q81" s="489">
        <f t="shared" si="140"/>
        <v>3150.3048818897646</v>
      </c>
      <c r="R81" s="597"/>
      <c r="S81" s="489" t="e">
        <f t="shared" si="141"/>
        <v>#REF!</v>
      </c>
      <c r="T81" s="489" t="e">
        <f t="shared" si="142"/>
        <v>#REF!</v>
      </c>
      <c r="U81" s="597"/>
      <c r="V81" s="489" t="e">
        <f>MAX(V$77:V$78)+IF($B$2="mil",1,0.0254)*DDR2Specs!$B$3</f>
        <v>#REF!</v>
      </c>
      <c r="W81" s="489" t="e">
        <f>MIN(V$77:V$78)+IF($B$2="mil",1,0.0254)*DDR2Specs!$C$3</f>
        <v>#REF!</v>
      </c>
      <c r="X81" s="21"/>
      <c r="Y81" s="598" t="e">
        <f t="shared" si="143"/>
        <v>#REF!</v>
      </c>
      <c r="Z81" s="495" t="e">
        <f t="shared" si="144"/>
        <v>#REF!</v>
      </c>
      <c r="AA81" s="21"/>
      <c r="AB81" s="489" t="e">
        <f>MAX(AB$77:AB$78)+IF($B$2="mil",1,0.0254)*DDR2Specs!$E$3</f>
        <v>#REF!</v>
      </c>
      <c r="AC81" s="489" t="e">
        <f>MIN(AB$77:AB$78)+IF($B$2="mil",1,0.0254)*DDR2Specs!$F$3</f>
        <v>#REF!</v>
      </c>
      <c r="AD81" s="21"/>
      <c r="AE81" s="598" t="e">
        <f t="shared" si="126"/>
        <v>#REF!</v>
      </c>
      <c r="AF81" s="495" t="e">
        <f t="shared" si="127"/>
        <v>#REF!</v>
      </c>
      <c r="AG81" s="495" t="e">
        <f t="shared" si="128"/>
        <v>#REF!</v>
      </c>
      <c r="AH81" s="495" t="e">
        <f t="shared" si="129"/>
        <v>#REF!</v>
      </c>
      <c r="AI81" s="495" t="e">
        <f t="shared" si="130"/>
        <v>#REF!</v>
      </c>
      <c r="AJ81" s="495" t="e">
        <f t="shared" ca="1" si="131"/>
        <v>#NAME?</v>
      </c>
      <c r="AK81" s="495" t="e">
        <f t="shared" si="145"/>
        <v>#REF!</v>
      </c>
      <c r="AL81" s="495" t="e">
        <f t="shared" si="146"/>
        <v>#REF!</v>
      </c>
      <c r="AM81" s="495" t="e">
        <f t="shared" ca="1" si="132"/>
        <v>#NAME?</v>
      </c>
      <c r="AN81" s="495" t="e">
        <f t="shared" ca="1" si="133"/>
        <v>#NAME?</v>
      </c>
      <c r="AO81" s="495" t="e">
        <f t="shared" si="134"/>
        <v>#REF!</v>
      </c>
      <c r="AP81" s="495" t="e">
        <f t="shared" si="135"/>
        <v>#REF!</v>
      </c>
      <c r="AQ81" s="495" t="e">
        <f t="shared" si="136"/>
        <v>#REF!</v>
      </c>
      <c r="AR81" s="495" t="e">
        <f t="shared" si="137"/>
        <v>#REF!</v>
      </c>
      <c r="AS81" s="21"/>
      <c r="AT81" s="554" t="e">
        <f t="shared" ca="1" si="138"/>
        <v>#REF!</v>
      </c>
      <c r="AU81" s="554"/>
      <c r="AV81" s="554"/>
      <c r="AW81" s="3"/>
      <c r="AX81" s="3"/>
      <c r="AY81" s="3"/>
      <c r="AZ81" s="3"/>
      <c r="BA81" s="3"/>
      <c r="BB81" s="3"/>
      <c r="BC81" s="3"/>
      <c r="BD81" s="3"/>
      <c r="BE81" s="3"/>
      <c r="BF81" s="3"/>
      <c r="BG81" s="3"/>
      <c r="BH81" s="3"/>
      <c r="BI81" s="3"/>
      <c r="BJ81" s="3"/>
    </row>
    <row r="82" spans="1:62">
      <c r="A82" s="107" t="s">
        <v>177</v>
      </c>
      <c r="B82" s="480" t="s">
        <v>499</v>
      </c>
      <c r="C82" s="658">
        <v>678.50393700787413</v>
      </c>
      <c r="D82" s="18"/>
      <c r="E82" s="277">
        <v>29.7</v>
      </c>
      <c r="F82" s="277">
        <v>0</v>
      </c>
      <c r="G82" s="438">
        <v>1683.8304724409447</v>
      </c>
      <c r="H82" s="305">
        <v>109.9</v>
      </c>
      <c r="I82" s="277">
        <v>0</v>
      </c>
      <c r="J82" s="305">
        <v>90.78</v>
      </c>
      <c r="K82" s="277">
        <v>40</v>
      </c>
      <c r="L82" s="305">
        <v>87.86</v>
      </c>
      <c r="M82" s="305">
        <v>1153.5999999999999</v>
      </c>
      <c r="N82" s="305">
        <v>31.49</v>
      </c>
      <c r="O82" s="69"/>
      <c r="P82" s="489">
        <f t="shared" si="139"/>
        <v>1823.4304724409449</v>
      </c>
      <c r="Q82" s="489">
        <f t="shared" si="140"/>
        <v>3117.2604724409443</v>
      </c>
      <c r="R82" s="597"/>
      <c r="S82" s="489" t="e">
        <f t="shared" si="141"/>
        <v>#REF!</v>
      </c>
      <c r="T82" s="489" t="e">
        <f t="shared" si="142"/>
        <v>#REF!</v>
      </c>
      <c r="U82" s="597"/>
      <c r="V82" s="489" t="e">
        <f>MAX(V$77:V$78)+IF($B$2="mil",1,0.0254)*DDR2Specs!$B$3</f>
        <v>#REF!</v>
      </c>
      <c r="W82" s="489" t="e">
        <f>MIN(V$77:V$78)+IF($B$2="mil",1,0.0254)*DDR2Specs!$C$3</f>
        <v>#REF!</v>
      </c>
      <c r="X82" s="21"/>
      <c r="Y82" s="598" t="e">
        <f t="shared" si="143"/>
        <v>#REF!</v>
      </c>
      <c r="Z82" s="495" t="e">
        <f t="shared" si="144"/>
        <v>#REF!</v>
      </c>
      <c r="AA82" s="21"/>
      <c r="AB82" s="489" t="e">
        <f>MAX(AB$77:AB$78)+IF($B$2="mil",1,0.0254)*DDR2Specs!$E$3</f>
        <v>#REF!</v>
      </c>
      <c r="AC82" s="489" t="e">
        <f>MIN(AB$77:AB$78)+IF($B$2="mil",1,0.0254)*DDR2Specs!$F$3</f>
        <v>#REF!</v>
      </c>
      <c r="AD82" s="21"/>
      <c r="AE82" s="598" t="e">
        <f t="shared" si="126"/>
        <v>#REF!</v>
      </c>
      <c r="AF82" s="495" t="e">
        <f t="shared" si="127"/>
        <v>#REF!</v>
      </c>
      <c r="AG82" s="495" t="e">
        <f t="shared" si="128"/>
        <v>#REF!</v>
      </c>
      <c r="AH82" s="495" t="e">
        <f t="shared" si="129"/>
        <v>#REF!</v>
      </c>
      <c r="AI82" s="495" t="e">
        <f t="shared" si="130"/>
        <v>#REF!</v>
      </c>
      <c r="AJ82" s="495" t="e">
        <f t="shared" ca="1" si="131"/>
        <v>#NAME?</v>
      </c>
      <c r="AK82" s="495" t="e">
        <f t="shared" si="145"/>
        <v>#REF!</v>
      </c>
      <c r="AL82" s="495" t="e">
        <f t="shared" si="146"/>
        <v>#REF!</v>
      </c>
      <c r="AM82" s="495" t="e">
        <f t="shared" ca="1" si="132"/>
        <v>#NAME?</v>
      </c>
      <c r="AN82" s="495" t="e">
        <f t="shared" ca="1" si="133"/>
        <v>#NAME?</v>
      </c>
      <c r="AO82" s="495" t="e">
        <f t="shared" si="134"/>
        <v>#REF!</v>
      </c>
      <c r="AP82" s="495" t="e">
        <f t="shared" si="135"/>
        <v>#REF!</v>
      </c>
      <c r="AQ82" s="495" t="e">
        <f t="shared" si="136"/>
        <v>#REF!</v>
      </c>
      <c r="AR82" s="495" t="e">
        <f t="shared" si="137"/>
        <v>#REF!</v>
      </c>
      <c r="AS82" s="21"/>
      <c r="AT82" s="554" t="e">
        <f t="shared" ca="1" si="138"/>
        <v>#REF!</v>
      </c>
      <c r="AU82" s="554"/>
      <c r="AV82" s="554"/>
      <c r="AW82" s="3"/>
      <c r="AX82" s="3"/>
      <c r="AY82" s="3"/>
      <c r="AZ82" s="3"/>
      <c r="BA82" s="3"/>
      <c r="BB82" s="3"/>
      <c r="BC82" s="3"/>
      <c r="BD82" s="3"/>
      <c r="BE82" s="3"/>
      <c r="BF82" s="3"/>
      <c r="BG82" s="3"/>
      <c r="BH82" s="3"/>
      <c r="BI82" s="3"/>
      <c r="BJ82" s="3"/>
    </row>
    <row r="83" spans="1:62">
      <c r="A83" s="107" t="s">
        <v>178</v>
      </c>
      <c r="B83" s="480" t="s">
        <v>500</v>
      </c>
      <c r="C83" s="658">
        <v>794.01574803149606</v>
      </c>
      <c r="D83" s="18"/>
      <c r="E83" s="277">
        <v>29.7</v>
      </c>
      <c r="F83" s="277">
        <v>0</v>
      </c>
      <c r="G83" s="438">
        <v>1686.2762992125979</v>
      </c>
      <c r="H83" s="305">
        <v>75.84</v>
      </c>
      <c r="I83" s="277">
        <v>0</v>
      </c>
      <c r="J83" s="305">
        <v>57.88</v>
      </c>
      <c r="K83" s="277">
        <v>40</v>
      </c>
      <c r="L83" s="305">
        <v>89.93</v>
      </c>
      <c r="M83" s="305">
        <v>1111.2</v>
      </c>
      <c r="N83" s="305">
        <v>74</v>
      </c>
      <c r="O83" s="69"/>
      <c r="P83" s="489">
        <f t="shared" si="139"/>
        <v>1791.8162992125979</v>
      </c>
      <c r="Q83" s="489">
        <f t="shared" si="140"/>
        <v>3088.9862992125982</v>
      </c>
      <c r="R83" s="597"/>
      <c r="S83" s="489" t="e">
        <f t="shared" si="141"/>
        <v>#REF!</v>
      </c>
      <c r="T83" s="489" t="e">
        <f t="shared" si="142"/>
        <v>#REF!</v>
      </c>
      <c r="U83" s="597"/>
      <c r="V83" s="489" t="e">
        <f>MAX(V$77:V$78)+IF($B$2="mil",1,0.0254)*DDR2Specs!$B$3</f>
        <v>#REF!</v>
      </c>
      <c r="W83" s="489" t="e">
        <f>MIN(V$77:V$78)+IF($B$2="mil",1,0.0254)*DDR2Specs!$C$3</f>
        <v>#REF!</v>
      </c>
      <c r="X83" s="21"/>
      <c r="Y83" s="598" t="e">
        <f t="shared" si="143"/>
        <v>#REF!</v>
      </c>
      <c r="Z83" s="495" t="e">
        <f t="shared" si="144"/>
        <v>#REF!</v>
      </c>
      <c r="AA83" s="21"/>
      <c r="AB83" s="489" t="e">
        <f>MAX(AB$77:AB$78)+IF($B$2="mil",1,0.0254)*DDR2Specs!$E$3</f>
        <v>#REF!</v>
      </c>
      <c r="AC83" s="489" t="e">
        <f>MIN(AB$77:AB$78)+IF($B$2="mil",1,0.0254)*DDR2Specs!$F$3</f>
        <v>#REF!</v>
      </c>
      <c r="AD83" s="21"/>
      <c r="AE83" s="598" t="e">
        <f t="shared" si="126"/>
        <v>#REF!</v>
      </c>
      <c r="AF83" s="495" t="e">
        <f t="shared" si="127"/>
        <v>#REF!</v>
      </c>
      <c r="AG83" s="495" t="e">
        <f t="shared" si="128"/>
        <v>#REF!</v>
      </c>
      <c r="AH83" s="495" t="e">
        <f t="shared" si="129"/>
        <v>#REF!</v>
      </c>
      <c r="AI83" s="495" t="e">
        <f t="shared" si="130"/>
        <v>#REF!</v>
      </c>
      <c r="AJ83" s="495" t="e">
        <f t="shared" ca="1" si="131"/>
        <v>#NAME?</v>
      </c>
      <c r="AK83" s="495" t="e">
        <f t="shared" si="145"/>
        <v>#REF!</v>
      </c>
      <c r="AL83" s="495" t="e">
        <f t="shared" si="146"/>
        <v>#REF!</v>
      </c>
      <c r="AM83" s="495" t="e">
        <f t="shared" ca="1" si="132"/>
        <v>#NAME?</v>
      </c>
      <c r="AN83" s="495" t="e">
        <f t="shared" ca="1" si="133"/>
        <v>#NAME?</v>
      </c>
      <c r="AO83" s="495" t="e">
        <f t="shared" si="134"/>
        <v>#REF!</v>
      </c>
      <c r="AP83" s="495" t="e">
        <f t="shared" si="135"/>
        <v>#REF!</v>
      </c>
      <c r="AQ83" s="495" t="e">
        <f t="shared" si="136"/>
        <v>#REF!</v>
      </c>
      <c r="AR83" s="495" t="e">
        <f t="shared" si="137"/>
        <v>#REF!</v>
      </c>
      <c r="AS83" s="21"/>
      <c r="AT83" s="554" t="e">
        <f t="shared" ca="1" si="138"/>
        <v>#REF!</v>
      </c>
      <c r="AU83" s="554"/>
      <c r="AV83" s="554"/>
      <c r="AW83" s="3"/>
      <c r="AX83" s="3"/>
      <c r="AY83" s="3"/>
      <c r="AZ83" s="3"/>
      <c r="BA83" s="3"/>
      <c r="BB83" s="3"/>
      <c r="BC83" s="3"/>
      <c r="BD83" s="3"/>
      <c r="BE83" s="3"/>
      <c r="BF83" s="3"/>
      <c r="BG83" s="3"/>
      <c r="BH83" s="3"/>
      <c r="BI83" s="3"/>
      <c r="BJ83" s="3"/>
    </row>
    <row r="84" spans="1:62">
      <c r="A84" s="107" t="s">
        <v>179</v>
      </c>
      <c r="B84" s="480" t="s">
        <v>346</v>
      </c>
      <c r="C84" s="658">
        <v>766.88976377952758</v>
      </c>
      <c r="D84" s="18"/>
      <c r="E84" s="277">
        <v>29.7</v>
      </c>
      <c r="F84" s="277">
        <v>0</v>
      </c>
      <c r="G84" s="438">
        <v>1663.8223622047242</v>
      </c>
      <c r="H84" s="305">
        <v>114.79</v>
      </c>
      <c r="I84" s="277">
        <v>0</v>
      </c>
      <c r="J84" s="305">
        <v>105.62</v>
      </c>
      <c r="K84" s="277">
        <v>40</v>
      </c>
      <c r="L84" s="305">
        <v>89.93</v>
      </c>
      <c r="M84" s="305">
        <v>1100.3800000000001</v>
      </c>
      <c r="N84" s="305">
        <v>75.959999999999994</v>
      </c>
      <c r="O84" s="69"/>
      <c r="P84" s="489">
        <f t="shared" si="139"/>
        <v>1808.3123622047242</v>
      </c>
      <c r="Q84" s="489">
        <f t="shared" si="140"/>
        <v>3105.4123622047246</v>
      </c>
      <c r="R84" s="597"/>
      <c r="S84" s="489" t="e">
        <f t="shared" si="141"/>
        <v>#REF!</v>
      </c>
      <c r="T84" s="489" t="e">
        <f t="shared" si="142"/>
        <v>#REF!</v>
      </c>
      <c r="U84" s="597"/>
      <c r="V84" s="489" t="e">
        <f>MAX(V$77:V$78)+IF($B$2="mil",1,0.0254)*DDR2Specs!$B$3</f>
        <v>#REF!</v>
      </c>
      <c r="W84" s="489" t="e">
        <f>MIN(V$77:V$78)+IF($B$2="mil",1,0.0254)*DDR2Specs!$C$3</f>
        <v>#REF!</v>
      </c>
      <c r="X84" s="21"/>
      <c r="Y84" s="598" t="e">
        <f t="shared" si="143"/>
        <v>#REF!</v>
      </c>
      <c r="Z84" s="495" t="e">
        <f t="shared" si="144"/>
        <v>#REF!</v>
      </c>
      <c r="AA84" s="21"/>
      <c r="AB84" s="489" t="e">
        <f>MAX(AB$77:AB$78)+IF($B$2="mil",1,0.0254)*DDR2Specs!$E$3</f>
        <v>#REF!</v>
      </c>
      <c r="AC84" s="489" t="e">
        <f>MIN(AB$77:AB$78)+IF($B$2="mil",1,0.0254)*DDR2Specs!$F$3</f>
        <v>#REF!</v>
      </c>
      <c r="AD84" s="21"/>
      <c r="AE84" s="598" t="e">
        <f t="shared" si="126"/>
        <v>#REF!</v>
      </c>
      <c r="AF84" s="495" t="e">
        <f t="shared" si="127"/>
        <v>#REF!</v>
      </c>
      <c r="AG84" s="495" t="e">
        <f t="shared" si="128"/>
        <v>#REF!</v>
      </c>
      <c r="AH84" s="495" t="e">
        <f t="shared" si="129"/>
        <v>#REF!</v>
      </c>
      <c r="AI84" s="495" t="e">
        <f t="shared" si="130"/>
        <v>#REF!</v>
      </c>
      <c r="AJ84" s="495" t="e">
        <f t="shared" ca="1" si="131"/>
        <v>#NAME?</v>
      </c>
      <c r="AK84" s="495" t="e">
        <f t="shared" si="145"/>
        <v>#REF!</v>
      </c>
      <c r="AL84" s="495" t="e">
        <f t="shared" si="146"/>
        <v>#REF!</v>
      </c>
      <c r="AM84" s="495" t="e">
        <f t="shared" ca="1" si="132"/>
        <v>#NAME?</v>
      </c>
      <c r="AN84" s="495" t="e">
        <f t="shared" ca="1" si="133"/>
        <v>#NAME?</v>
      </c>
      <c r="AO84" s="495" t="e">
        <f t="shared" si="134"/>
        <v>#REF!</v>
      </c>
      <c r="AP84" s="495" t="e">
        <f t="shared" si="135"/>
        <v>#REF!</v>
      </c>
      <c r="AQ84" s="495" t="e">
        <f t="shared" si="136"/>
        <v>#REF!</v>
      </c>
      <c r="AR84" s="495" t="e">
        <f t="shared" si="137"/>
        <v>#REF!</v>
      </c>
      <c r="AS84" s="21"/>
      <c r="AT84" s="554" t="e">
        <f t="shared" ca="1" si="138"/>
        <v>#REF!</v>
      </c>
      <c r="AU84" s="554"/>
      <c r="AV84" s="554"/>
      <c r="AW84" s="3"/>
      <c r="AX84" s="3"/>
      <c r="AY84" s="3"/>
      <c r="AZ84" s="3"/>
      <c r="BA84" s="3"/>
      <c r="BB84" s="3"/>
      <c r="BC84" s="3"/>
      <c r="BD84" s="3"/>
      <c r="BE84" s="3"/>
      <c r="BF84" s="3"/>
      <c r="BG84" s="3"/>
      <c r="BH84" s="3"/>
      <c r="BI84" s="3"/>
      <c r="BJ84" s="3"/>
    </row>
    <row r="85" spans="1:62">
      <c r="A85" s="107" t="s">
        <v>180</v>
      </c>
      <c r="B85" s="480" t="s">
        <v>501</v>
      </c>
      <c r="C85" s="658">
        <v>662.00787401574814</v>
      </c>
      <c r="D85" s="18"/>
      <c r="E85" s="277">
        <v>29.7</v>
      </c>
      <c r="F85" s="277">
        <v>0</v>
      </c>
      <c r="G85" s="438">
        <v>1731.2823622047242</v>
      </c>
      <c r="H85" s="305">
        <v>97.33</v>
      </c>
      <c r="I85" s="277">
        <v>0</v>
      </c>
      <c r="J85" s="305">
        <v>52.5</v>
      </c>
      <c r="K85" s="277">
        <v>40</v>
      </c>
      <c r="L85" s="305">
        <v>115.06</v>
      </c>
      <c r="M85" s="305">
        <v>1104.03</v>
      </c>
      <c r="N85" s="305">
        <v>75.67</v>
      </c>
      <c r="O85" s="69"/>
      <c r="P85" s="489">
        <f t="shared" si="139"/>
        <v>1858.3123622047242</v>
      </c>
      <c r="Q85" s="489">
        <f t="shared" si="140"/>
        <v>3148.2423622047245</v>
      </c>
      <c r="R85" s="597"/>
      <c r="S85" s="489" t="e">
        <f t="shared" si="141"/>
        <v>#REF!</v>
      </c>
      <c r="T85" s="489" t="e">
        <f t="shared" si="142"/>
        <v>#REF!</v>
      </c>
      <c r="U85" s="597"/>
      <c r="V85" s="489" t="e">
        <f>MAX(V$77:V$78)+IF($B$2="mil",1,0.0254)*DDR2Specs!$B$3</f>
        <v>#REF!</v>
      </c>
      <c r="W85" s="489" t="e">
        <f>MIN(V$77:V$78)+IF($B$2="mil",1,0.0254)*DDR2Specs!$C$3</f>
        <v>#REF!</v>
      </c>
      <c r="X85" s="21"/>
      <c r="Y85" s="598" t="e">
        <f t="shared" si="143"/>
        <v>#REF!</v>
      </c>
      <c r="Z85" s="495" t="e">
        <f t="shared" si="144"/>
        <v>#REF!</v>
      </c>
      <c r="AA85" s="21"/>
      <c r="AB85" s="489" t="e">
        <f>MAX(AB$77:AB$78)+IF($B$2="mil",1,0.0254)*DDR2Specs!$E$3</f>
        <v>#REF!</v>
      </c>
      <c r="AC85" s="489" t="e">
        <f>MIN(AB$77:AB$78)+IF($B$2="mil",1,0.0254)*DDR2Specs!$F$3</f>
        <v>#REF!</v>
      </c>
      <c r="AD85" s="21"/>
      <c r="AE85" s="598" t="e">
        <f t="shared" si="126"/>
        <v>#REF!</v>
      </c>
      <c r="AF85" s="495" t="e">
        <f t="shared" si="127"/>
        <v>#REF!</v>
      </c>
      <c r="AG85" s="495" t="e">
        <f t="shared" si="128"/>
        <v>#REF!</v>
      </c>
      <c r="AH85" s="495" t="e">
        <f t="shared" si="129"/>
        <v>#REF!</v>
      </c>
      <c r="AI85" s="495" t="e">
        <f t="shared" si="130"/>
        <v>#REF!</v>
      </c>
      <c r="AJ85" s="495" t="e">
        <f t="shared" ca="1" si="131"/>
        <v>#NAME?</v>
      </c>
      <c r="AK85" s="495" t="e">
        <f t="shared" si="145"/>
        <v>#REF!</v>
      </c>
      <c r="AL85" s="495" t="e">
        <f t="shared" si="146"/>
        <v>#REF!</v>
      </c>
      <c r="AM85" s="495" t="e">
        <f t="shared" ca="1" si="132"/>
        <v>#NAME?</v>
      </c>
      <c r="AN85" s="495" t="e">
        <f t="shared" ca="1" si="133"/>
        <v>#NAME?</v>
      </c>
      <c r="AO85" s="495" t="e">
        <f t="shared" si="134"/>
        <v>#REF!</v>
      </c>
      <c r="AP85" s="495" t="e">
        <f t="shared" si="135"/>
        <v>#REF!</v>
      </c>
      <c r="AQ85" s="495" t="e">
        <f t="shared" si="136"/>
        <v>#REF!</v>
      </c>
      <c r="AR85" s="495" t="e">
        <f t="shared" si="137"/>
        <v>#REF!</v>
      </c>
      <c r="AS85" s="21"/>
      <c r="AT85" s="554" t="e">
        <f t="shared" ca="1" si="138"/>
        <v>#REF!</v>
      </c>
      <c r="AU85" s="554"/>
      <c r="AV85" s="554"/>
      <c r="AW85" s="3"/>
      <c r="AX85" s="3"/>
      <c r="AY85" s="3"/>
      <c r="AZ85" s="3"/>
      <c r="BA85" s="3"/>
      <c r="BB85" s="3"/>
      <c r="BC85" s="3"/>
      <c r="BD85" s="3"/>
      <c r="BE85" s="3"/>
      <c r="BF85" s="3"/>
      <c r="BG85" s="3"/>
      <c r="BH85" s="3"/>
      <c r="BI85" s="3"/>
      <c r="BJ85" s="3"/>
    </row>
    <row r="86" spans="1:62">
      <c r="A86" s="107" t="s">
        <v>181</v>
      </c>
      <c r="B86" s="480" t="s">
        <v>116</v>
      </c>
      <c r="C86" s="658">
        <v>655.43307086614175</v>
      </c>
      <c r="D86" s="18"/>
      <c r="E86" s="277">
        <v>29.7</v>
      </c>
      <c r="F86" s="277">
        <v>0</v>
      </c>
      <c r="G86" s="438">
        <v>1705.4992913385829</v>
      </c>
      <c r="H86" s="305">
        <v>107.68</v>
      </c>
      <c r="I86" s="277">
        <v>0</v>
      </c>
      <c r="J86" s="305">
        <v>97.86</v>
      </c>
      <c r="K86" s="277">
        <v>40</v>
      </c>
      <c r="L86" s="305">
        <v>87.86</v>
      </c>
      <c r="M86" s="305">
        <v>1104.79</v>
      </c>
      <c r="N86" s="305">
        <v>75</v>
      </c>
      <c r="O86" s="69"/>
      <c r="P86" s="489">
        <f t="shared" si="139"/>
        <v>1842.879291338583</v>
      </c>
      <c r="Q86" s="489">
        <f t="shared" si="140"/>
        <v>3140.7092913385827</v>
      </c>
      <c r="R86" s="597"/>
      <c r="S86" s="489" t="e">
        <f t="shared" si="141"/>
        <v>#REF!</v>
      </c>
      <c r="T86" s="489" t="e">
        <f t="shared" si="142"/>
        <v>#REF!</v>
      </c>
      <c r="U86" s="597"/>
      <c r="V86" s="489" t="e">
        <f>MAX(V$77:V$78)+IF($B$2="mil",1,0.0254)*DDR2Specs!$B$3</f>
        <v>#REF!</v>
      </c>
      <c r="W86" s="489" t="e">
        <f>MIN(V$77:V$78)+IF($B$2="mil",1,0.0254)*DDR2Specs!$C$3</f>
        <v>#REF!</v>
      </c>
      <c r="X86" s="21"/>
      <c r="Y86" s="598" t="e">
        <f t="shared" si="143"/>
        <v>#REF!</v>
      </c>
      <c r="Z86" s="495" t="e">
        <f t="shared" si="144"/>
        <v>#REF!</v>
      </c>
      <c r="AA86" s="21"/>
      <c r="AB86" s="489" t="e">
        <f>MAX(AB$77:AB$78)+IF($B$2="mil",1,0.0254)*DDR2Specs!$E$3</f>
        <v>#REF!</v>
      </c>
      <c r="AC86" s="489" t="e">
        <f>MIN(AB$77:AB$78)+IF($B$2="mil",1,0.0254)*DDR2Specs!$F$3</f>
        <v>#REF!</v>
      </c>
      <c r="AD86" s="21"/>
      <c r="AE86" s="598" t="e">
        <f t="shared" si="126"/>
        <v>#REF!</v>
      </c>
      <c r="AF86" s="495" t="e">
        <f t="shared" si="127"/>
        <v>#REF!</v>
      </c>
      <c r="AG86" s="495" t="e">
        <f t="shared" si="128"/>
        <v>#REF!</v>
      </c>
      <c r="AH86" s="495" t="e">
        <f t="shared" si="129"/>
        <v>#REF!</v>
      </c>
      <c r="AI86" s="495" t="e">
        <f t="shared" si="130"/>
        <v>#REF!</v>
      </c>
      <c r="AJ86" s="495" t="e">
        <f t="shared" ca="1" si="131"/>
        <v>#NAME?</v>
      </c>
      <c r="AK86" s="495" t="e">
        <f t="shared" si="145"/>
        <v>#REF!</v>
      </c>
      <c r="AL86" s="495" t="e">
        <f t="shared" si="146"/>
        <v>#REF!</v>
      </c>
      <c r="AM86" s="495" t="e">
        <f t="shared" ca="1" si="132"/>
        <v>#NAME?</v>
      </c>
      <c r="AN86" s="495" t="e">
        <f t="shared" ca="1" si="133"/>
        <v>#NAME?</v>
      </c>
      <c r="AO86" s="495" t="e">
        <f t="shared" si="134"/>
        <v>#REF!</v>
      </c>
      <c r="AP86" s="495" t="e">
        <f t="shared" si="135"/>
        <v>#REF!</v>
      </c>
      <c r="AQ86" s="495" t="e">
        <f t="shared" si="136"/>
        <v>#REF!</v>
      </c>
      <c r="AR86" s="495" t="e">
        <f t="shared" si="137"/>
        <v>#REF!</v>
      </c>
      <c r="AS86" s="21"/>
      <c r="AT86" s="554" t="e">
        <f t="shared" ca="1" si="138"/>
        <v>#REF!</v>
      </c>
      <c r="AU86" s="554"/>
      <c r="AV86" s="554"/>
      <c r="AW86" s="3"/>
      <c r="AX86" s="3"/>
      <c r="AY86" s="3"/>
      <c r="AZ86" s="3"/>
      <c r="BA86" s="3"/>
      <c r="BB86" s="3"/>
      <c r="BC86" s="3"/>
      <c r="BD86" s="3"/>
      <c r="BE86" s="3"/>
      <c r="BF86" s="3"/>
      <c r="BG86" s="3"/>
      <c r="BH86" s="3"/>
      <c r="BI86" s="3"/>
      <c r="BJ86" s="3"/>
    </row>
    <row r="87" spans="1:62">
      <c r="A87" s="128" t="s">
        <v>182</v>
      </c>
      <c r="B87" s="484" t="s">
        <v>520</v>
      </c>
      <c r="C87" s="658">
        <v>709.09448818897636</v>
      </c>
      <c r="D87" s="18"/>
      <c r="E87" s="277">
        <v>29.7</v>
      </c>
      <c r="F87" s="277">
        <v>0</v>
      </c>
      <c r="G87" s="438">
        <v>1673.58</v>
      </c>
      <c r="H87" s="305">
        <v>132.72999999999999</v>
      </c>
      <c r="I87" s="277">
        <v>0</v>
      </c>
      <c r="J87" s="305">
        <v>104.64</v>
      </c>
      <c r="K87" s="277">
        <v>40</v>
      </c>
      <c r="L87" s="305">
        <v>46.64</v>
      </c>
      <c r="M87" s="305">
        <v>1206.57</v>
      </c>
      <c r="N87" s="305">
        <v>31.49</v>
      </c>
      <c r="O87" s="69"/>
      <c r="P87" s="489">
        <f t="shared" si="139"/>
        <v>1836.01</v>
      </c>
      <c r="Q87" s="489">
        <f t="shared" si="140"/>
        <v>3132.62</v>
      </c>
      <c r="R87" s="597"/>
      <c r="S87" s="489" t="e">
        <f t="shared" si="141"/>
        <v>#REF!</v>
      </c>
      <c r="T87" s="489" t="e">
        <f t="shared" si="142"/>
        <v>#REF!</v>
      </c>
      <c r="U87" s="597"/>
      <c r="V87" s="489" t="e">
        <f>MAX(V$77:V$78)+IF($B$2="mil",1,0.0254)*DDR2Specs!$B$3</f>
        <v>#REF!</v>
      </c>
      <c r="W87" s="489" t="e">
        <f>MIN(V$77:V$78)+IF($B$2="mil",1,0.0254)*DDR2Specs!$C$3</f>
        <v>#REF!</v>
      </c>
      <c r="X87" s="21"/>
      <c r="Y87" s="598" t="e">
        <f t="shared" si="143"/>
        <v>#REF!</v>
      </c>
      <c r="Z87" s="495" t="e">
        <f t="shared" si="144"/>
        <v>#REF!</v>
      </c>
      <c r="AA87" s="21"/>
      <c r="AB87" s="489" t="e">
        <f>MAX(AB$77:AB$78)+IF($B$2="mil",1,0.0254)*DDR2Specs!$E$3</f>
        <v>#REF!</v>
      </c>
      <c r="AC87" s="489" t="e">
        <f>MIN(AB$77:AB$78)+IF($B$2="mil",1,0.0254)*DDR2Specs!$F$3</f>
        <v>#REF!</v>
      </c>
      <c r="AD87" s="21"/>
      <c r="AE87" s="598" t="e">
        <f t="shared" si="126"/>
        <v>#REF!</v>
      </c>
      <c r="AF87" s="495" t="e">
        <f t="shared" si="127"/>
        <v>#REF!</v>
      </c>
      <c r="AG87" s="495" t="e">
        <f t="shared" si="128"/>
        <v>#REF!</v>
      </c>
      <c r="AH87" s="495" t="e">
        <f t="shared" si="129"/>
        <v>#REF!</v>
      </c>
      <c r="AI87" s="495" t="e">
        <f t="shared" si="130"/>
        <v>#REF!</v>
      </c>
      <c r="AJ87" s="495" t="e">
        <f t="shared" ca="1" si="131"/>
        <v>#NAME?</v>
      </c>
      <c r="AK87" s="495" t="e">
        <f t="shared" si="145"/>
        <v>#REF!</v>
      </c>
      <c r="AL87" s="495" t="e">
        <f t="shared" si="146"/>
        <v>#REF!</v>
      </c>
      <c r="AM87" s="495" t="e">
        <f t="shared" ca="1" si="132"/>
        <v>#NAME?</v>
      </c>
      <c r="AN87" s="495" t="e">
        <f t="shared" ca="1" si="133"/>
        <v>#NAME?</v>
      </c>
      <c r="AO87" s="495" t="e">
        <f t="shared" si="134"/>
        <v>#REF!</v>
      </c>
      <c r="AP87" s="495" t="e">
        <f t="shared" si="135"/>
        <v>#REF!</v>
      </c>
      <c r="AQ87" s="495" t="e">
        <f t="shared" si="136"/>
        <v>#REF!</v>
      </c>
      <c r="AR87" s="495" t="e">
        <f t="shared" si="137"/>
        <v>#REF!</v>
      </c>
      <c r="AS87" s="21"/>
      <c r="AT87" s="554" t="e">
        <f t="shared" ca="1" si="138"/>
        <v>#REF!</v>
      </c>
      <c r="AU87" s="554"/>
      <c r="AV87" s="554"/>
      <c r="AW87" s="3"/>
      <c r="AX87" s="3"/>
      <c r="AY87" s="3"/>
      <c r="AZ87" s="3"/>
      <c r="BA87" s="3"/>
      <c r="BB87" s="3"/>
      <c r="BC87" s="3"/>
      <c r="BD87" s="3"/>
      <c r="BE87" s="3"/>
      <c r="BF87" s="3"/>
      <c r="BG87" s="3"/>
      <c r="BH87" s="3"/>
      <c r="BI87" s="3"/>
      <c r="BJ87" s="3"/>
    </row>
    <row r="88" spans="1:62">
      <c r="A88" s="109" t="s">
        <v>204</v>
      </c>
      <c r="B88" s="485"/>
      <c r="C88" s="659"/>
      <c r="D88" s="62"/>
      <c r="E88" s="82"/>
      <c r="F88" s="82"/>
      <c r="G88" s="439"/>
      <c r="H88" s="295"/>
      <c r="I88" s="295"/>
      <c r="J88" s="295"/>
      <c r="K88" s="295"/>
      <c r="L88" s="295"/>
      <c r="M88" s="295"/>
      <c r="N88" s="295"/>
      <c r="O88" s="10"/>
      <c r="P88" s="82"/>
      <c r="Q88" s="82"/>
      <c r="R88" s="82"/>
      <c r="S88" s="605"/>
      <c r="T88" s="605"/>
      <c r="U88" s="605"/>
      <c r="V88" s="605"/>
      <c r="W88" s="606"/>
      <c r="X88" s="606"/>
      <c r="Y88" s="607"/>
      <c r="Z88" s="17"/>
      <c r="AA88" s="606"/>
      <c r="AB88" s="605"/>
      <c r="AC88" s="606"/>
      <c r="AD88" s="606"/>
      <c r="AE88" s="607"/>
      <c r="AF88" s="17"/>
      <c r="AG88" s="17"/>
      <c r="AH88" s="17"/>
      <c r="AI88" s="16"/>
      <c r="AJ88" s="16"/>
      <c r="AK88" s="16"/>
      <c r="AL88" s="16"/>
      <c r="AM88" s="16"/>
      <c r="AN88" s="16"/>
      <c r="AO88" s="16"/>
      <c r="AP88" s="16"/>
      <c r="AQ88" s="16"/>
      <c r="AR88" s="16"/>
      <c r="AS88" s="83"/>
      <c r="AT88" s="554"/>
      <c r="AU88" s="554"/>
      <c r="AV88" s="554"/>
      <c r="AW88" s="3"/>
      <c r="AX88" s="3"/>
      <c r="AY88" s="3"/>
      <c r="AZ88" s="3"/>
      <c r="BA88" s="3"/>
      <c r="BB88" s="3"/>
      <c r="BC88" s="3"/>
      <c r="BD88" s="3"/>
      <c r="BE88" s="3"/>
      <c r="BF88" s="3"/>
      <c r="BG88" s="3"/>
      <c r="BH88" s="3"/>
      <c r="BI88" s="3"/>
      <c r="BJ88" s="3"/>
    </row>
    <row r="89" spans="1:62">
      <c r="A89" s="118" t="str">
        <f>'DDR2 Strobes - 1x16'!$A$30</f>
        <v>SA_DQS7</v>
      </c>
      <c r="B89" s="486" t="str">
        <f>'DDR2 Strobes - 1x16'!$B$30</f>
        <v>AA12</v>
      </c>
      <c r="C89" s="660"/>
      <c r="D89" s="53"/>
      <c r="E89" s="81"/>
      <c r="F89" s="81"/>
      <c r="G89" s="440"/>
      <c r="H89" s="296"/>
      <c r="I89" s="296"/>
      <c r="J89" s="296"/>
      <c r="K89" s="296"/>
      <c r="L89" s="296"/>
      <c r="M89" s="296"/>
      <c r="N89" s="296"/>
      <c r="O89" s="81"/>
      <c r="P89" s="81"/>
      <c r="Q89" s="81"/>
      <c r="R89" s="81"/>
      <c r="S89" s="58"/>
      <c r="T89" s="58"/>
      <c r="U89" s="58"/>
      <c r="V89" s="58" t="e">
        <f>'DDR2 Strobes - 1x16'!$S$30</f>
        <v>#REF!</v>
      </c>
      <c r="W89" s="58"/>
      <c r="X89" s="58"/>
      <c r="Y89" s="58"/>
      <c r="Z89" s="608"/>
      <c r="AA89" s="58"/>
      <c r="AB89" s="58" t="e">
        <f>'DDR2 Strobes - 1x16'!$T$30</f>
        <v>#REF!</v>
      </c>
      <c r="AC89" s="58"/>
      <c r="AD89" s="58"/>
      <c r="AE89" s="58"/>
      <c r="AF89" s="608"/>
      <c r="AG89" s="608"/>
      <c r="AH89" s="608"/>
      <c r="AI89" s="608"/>
      <c r="AJ89" s="608"/>
      <c r="AK89" s="608"/>
      <c r="AL89" s="608"/>
      <c r="AM89" s="608"/>
      <c r="AN89" s="608"/>
      <c r="AO89" s="608"/>
      <c r="AP89" s="608"/>
      <c r="AQ89" s="608"/>
      <c r="AR89" s="608"/>
      <c r="AS89" s="58"/>
      <c r="AT89" s="554"/>
      <c r="AU89" s="554"/>
      <c r="AV89" s="554"/>
      <c r="AW89" s="3"/>
      <c r="AX89" s="3"/>
      <c r="AY89" s="3"/>
      <c r="AZ89" s="3"/>
      <c r="BA89" s="3"/>
      <c r="BB89" s="3"/>
      <c r="BC89" s="3"/>
      <c r="BD89" s="3"/>
      <c r="BE89" s="3"/>
      <c r="BF89" s="3"/>
      <c r="BG89" s="3"/>
      <c r="BH89" s="3"/>
      <c r="BI89" s="3"/>
      <c r="BJ89" s="3"/>
    </row>
    <row r="90" spans="1:62">
      <c r="A90" s="118" t="str">
        <f>'DDR2 Strobes - 1x16'!$A$31</f>
        <v>SA_DQS7#</v>
      </c>
      <c r="B90" s="130" t="str">
        <f>'DDR2 Strobes - 1x16'!$B$31</f>
        <v>AB12</v>
      </c>
      <c r="C90" s="660"/>
      <c r="D90" s="53"/>
      <c r="E90" s="81"/>
      <c r="F90" s="81"/>
      <c r="G90" s="440"/>
      <c r="H90" s="296"/>
      <c r="I90" s="296"/>
      <c r="J90" s="296"/>
      <c r="K90" s="296"/>
      <c r="L90" s="296"/>
      <c r="M90" s="296"/>
      <c r="N90" s="296"/>
      <c r="O90" s="81"/>
      <c r="P90" s="81"/>
      <c r="Q90" s="602"/>
      <c r="R90" s="602"/>
      <c r="S90" s="603"/>
      <c r="T90" s="603"/>
      <c r="U90" s="58"/>
      <c r="V90" s="58" t="e">
        <f>'DDR2 Strobes - 1x16'!$S$31</f>
        <v>#REF!</v>
      </c>
      <c r="W90" s="58"/>
      <c r="X90" s="58"/>
      <c r="Y90" s="58"/>
      <c r="Z90" s="608"/>
      <c r="AA90" s="58"/>
      <c r="AB90" s="58" t="e">
        <f>'DDR2 Strobes - 1x16'!$T$31</f>
        <v>#REF!</v>
      </c>
      <c r="AC90" s="58"/>
      <c r="AD90" s="58"/>
      <c r="AE90" s="58"/>
      <c r="AF90" s="608"/>
      <c r="AG90" s="608"/>
      <c r="AH90" s="608"/>
      <c r="AI90" s="609"/>
      <c r="AJ90" s="609"/>
      <c r="AK90" s="609"/>
      <c r="AL90" s="609"/>
      <c r="AM90" s="609"/>
      <c r="AN90" s="609"/>
      <c r="AO90" s="609"/>
      <c r="AP90" s="609"/>
      <c r="AQ90" s="609"/>
      <c r="AR90" s="609"/>
      <c r="AS90" s="58"/>
      <c r="AT90" s="554"/>
      <c r="AU90" s="554"/>
      <c r="AV90" s="554"/>
      <c r="AW90" s="3"/>
      <c r="AX90" s="3"/>
      <c r="AY90" s="3"/>
      <c r="AZ90" s="3"/>
      <c r="BA90" s="3"/>
      <c r="BB90" s="3"/>
      <c r="BC90" s="3"/>
      <c r="BD90" s="3"/>
      <c r="BE90" s="3"/>
      <c r="BF90" s="3"/>
      <c r="BG90" s="3"/>
      <c r="BH90" s="3"/>
      <c r="BI90" s="3"/>
      <c r="BJ90" s="3"/>
    </row>
    <row r="91" spans="1:62">
      <c r="A91" s="107" t="s">
        <v>183</v>
      </c>
      <c r="B91" s="480" t="s">
        <v>502</v>
      </c>
      <c r="C91" s="658">
        <v>818.89763779527561</v>
      </c>
      <c r="D91" s="18"/>
      <c r="E91" s="277">
        <v>29.7</v>
      </c>
      <c r="F91" s="277">
        <v>0</v>
      </c>
      <c r="G91" s="438">
        <v>1759.88</v>
      </c>
      <c r="H91" s="305">
        <v>85.84</v>
      </c>
      <c r="I91" s="277">
        <v>0</v>
      </c>
      <c r="J91" s="305">
        <v>55.78</v>
      </c>
      <c r="K91" s="277">
        <v>40</v>
      </c>
      <c r="L91" s="305">
        <v>108.5</v>
      </c>
      <c r="M91" s="305">
        <v>945.54</v>
      </c>
      <c r="N91" s="305">
        <v>75.73</v>
      </c>
      <c r="O91" s="69"/>
      <c r="P91" s="489">
        <f t="shared" ref="P91:P99" si="147" xml:space="preserve"> E91+F91+G91+H91</f>
        <v>1875.42</v>
      </c>
      <c r="Q91" s="489">
        <f t="shared" ref="Q91:Q99" si="148">SUM(E91:G91,I91:N91)</f>
        <v>3015.13</v>
      </c>
      <c r="R91" s="597"/>
      <c r="S91" s="489" t="e">
        <f>P91+IF($B$2="mil",1,0.0254)*C91</f>
        <v>#REF!</v>
      </c>
      <c r="T91" s="489" t="e">
        <f>Q91+IF($B$2="mil",1,0.0254)*C91</f>
        <v>#REF!</v>
      </c>
      <c r="U91" s="597"/>
      <c r="V91" s="489" t="e">
        <f>MAX(V$89:V$90)+IF($B$2="mil",1,0.0254)*DDR2Specs!$B$3</f>
        <v>#REF!</v>
      </c>
      <c r="W91" s="489" t="e">
        <f>MIN(V$89:V$90)+IF($B$2="mil",1,0.0254)*DDR2Specs!$C$3</f>
        <v>#REF!</v>
      </c>
      <c r="X91" s="21"/>
      <c r="Y91" s="598" t="e">
        <f>IF($S91&lt;$V91,$V91-$S91,"Pass")</f>
        <v>#REF!</v>
      </c>
      <c r="Z91" s="495" t="e">
        <f>IF($S91&gt;$W91,$S91-$W91,"Pass")</f>
        <v>#REF!</v>
      </c>
      <c r="AA91" s="21"/>
      <c r="AB91" s="489" t="e">
        <f>MAX(AB$89:AB$90)+IF($B$2="mil",1,0.0254)*DDR2Specs!$E$3</f>
        <v>#REF!</v>
      </c>
      <c r="AC91" s="489" t="e">
        <f>MIN(AB$89:AB$90)+IF($B$2="mil",1,0.0254)*DDR2Specs!$F$3</f>
        <v>#REF!</v>
      </c>
      <c r="AD91" s="21"/>
      <c r="AE91" s="598" t="e">
        <f t="shared" ref="AE91:AE99" si="149">IF($T91&lt;$AB91,$AB91-$T91,"Pass")</f>
        <v>#REF!</v>
      </c>
      <c r="AF91" s="495" t="e">
        <f t="shared" ref="AF91:AF99" si="150">IF($T91&gt;$AC91,$T91-$AC91,"Pass")</f>
        <v>#REF!</v>
      </c>
      <c r="AG91" s="495" t="e">
        <f t="shared" ref="AG91:AG99" si="151">IF($E91&lt;=IF($B$2="mil",1,0.0254)*50,"Pass",IF($B$2="mil",1,0.0254)*50-$E91)</f>
        <v>#REF!</v>
      </c>
      <c r="AH91" s="495" t="e">
        <f t="shared" ref="AH91:AH99" si="152">IF($F91&lt;=IF($B$2="mil",1,0.0254)*500,"Pass",IF($B$2="mil",1,0.0254)*500-$F91)</f>
        <v>#REF!</v>
      </c>
      <c r="AI91" s="495" t="e">
        <f t="shared" ref="AI91:AI99" si="153">IF($H91&lt;=IF($B$2="mil",1,0.0254)*250,"Pass",IF($B$2="mil",1,0.0254)*250-$H91)</f>
        <v>#REF!</v>
      </c>
      <c r="AJ91" s="495" t="e">
        <f t="shared" ref="AJ91:AJ99" ca="1" si="154">CheckLength(IF($B$2="mil",1,0.0254)*1125, IF($B$2="mil",1,0.0254)*125-J91, 0, I91,J91,0)</f>
        <v>#NAME?</v>
      </c>
      <c r="AK91" s="495" t="e">
        <f>IF($J91&lt;=IF($B$2="mil",1,0.0254)*125,"Pass",IF($B$2="mil",1,0.0254)*125-$J91)</f>
        <v>#REF!</v>
      </c>
      <c r="AL91" s="495" t="e">
        <f>IF($L91&lt;=IF($B$2="mil",1,0.0254)*125,"Pass",IF($B$2="mil",1,0.0254)*125-$L91)</f>
        <v>#REF!</v>
      </c>
      <c r="AM91" s="495" t="e">
        <f t="shared" ref="AM91:AM99" ca="1" si="155">CheckLength(IF($B$2="mil",1,0.0254)*1525, IF($B$2="mil",1,0.0254)*125-L91, IF($B$2="mil",1,0.0254)*150-N91, M91,L91,N91)</f>
        <v>#NAME?</v>
      </c>
      <c r="AN91" s="495" t="e">
        <f t="shared" ref="AN91:AN99" ca="1" si="156">CheckLength2(IF($B$2="mil",1,0.0254)*1400,M91,N91,0)</f>
        <v>#NAME?</v>
      </c>
      <c r="AO91" s="495" t="e">
        <f t="shared" ref="AO91:AO99" si="157">IF(AND($P91&gt;=IF($B$2="mil",1,0.0254)*500, $P91&lt;=IF($B$2="mil",1,0.0254)*4000),"Pass",IF($B$2="mil",1,0.0254)*4000-$P91)</f>
        <v>#REF!</v>
      </c>
      <c r="AP91" s="495" t="e">
        <f t="shared" ref="AP91:AP99" si="158">IF(AND($S91&gt;=IF($B$2="mil",1,0.0254)*500, $S91&lt;=IF($B$2="mil",1,0.0254)*4500),"Pass",IF($B$2="mil",1,0.0254)*4500-$S91)</f>
        <v>#REF!</v>
      </c>
      <c r="AQ91" s="495" t="e">
        <f t="shared" ref="AQ91:AQ99" si="159">IF(AND($Q91&gt;=IF($B$2="mil",1,0.0254)*500, $Q91&lt;=IF($B$2="mil",1,0.0254)*5500),"Pass",IF($B$2="mil",1,0.0254)*5500-$Q91)</f>
        <v>#REF!</v>
      </c>
      <c r="AR91" s="495" t="e">
        <f t="shared" ref="AR91:AR99" si="160">IF(AND($T91&gt;=IF($B$2="mil",1,0.0254)*500, $T91&lt;=IF($B$2="mil",1,0.0254)*6000),"Pass",IF($B$2="mil",1,0.0254)*6000-$T91)</f>
        <v>#REF!</v>
      </c>
      <c r="AS91" s="21"/>
      <c r="AT91" s="554" t="e">
        <f t="shared" ref="AT91:AT99" ca="1" si="161">IF(AND(AG91="Pass",AP91="Pass",AI91="Pass",AH91="Pass",AO91="Pass",Y91="Pass",Z91="Pass",AN91="Pass",AM91="Pass",AL91="Pass",AK91="Pass",AJ91="Pass",AE91="Pass",AF91="Pass",AQ91="Pass",AR91="Pass"),"Pass","Fail")</f>
        <v>#REF!</v>
      </c>
      <c r="AU91" s="554" t="e">
        <f ca="1">IF(AND(AT91="Pass",AT92="Pass",AT93="Pass",AT94="Pass",AT95="Pass",AT96="Pass",AT97="Pass",AT98="Pass",AT99="Pass"),"Pass","Fail")</f>
        <v>#REF!</v>
      </c>
      <c r="AV91" s="554"/>
      <c r="AW91" s="3"/>
      <c r="AX91" s="3"/>
      <c r="AY91" s="3"/>
      <c r="AZ91" s="3"/>
      <c r="BA91" s="3"/>
      <c r="BB91" s="3"/>
      <c r="BC91" s="3"/>
      <c r="BD91" s="3"/>
      <c r="BE91" s="3"/>
      <c r="BF91" s="3"/>
      <c r="BG91" s="3"/>
      <c r="BH91" s="3"/>
      <c r="BI91" s="3"/>
      <c r="BJ91" s="3"/>
    </row>
    <row r="92" spans="1:62">
      <c r="A92" s="107" t="s">
        <v>184</v>
      </c>
      <c r="B92" s="480" t="s">
        <v>117</v>
      </c>
      <c r="C92" s="658">
        <v>680.03937007874015</v>
      </c>
      <c r="D92" s="18"/>
      <c r="E92" s="277">
        <v>29.7</v>
      </c>
      <c r="F92" s="277">
        <v>0</v>
      </c>
      <c r="G92" s="438">
        <v>1726.8122047244087</v>
      </c>
      <c r="H92" s="305">
        <v>111.27</v>
      </c>
      <c r="I92" s="277">
        <v>0</v>
      </c>
      <c r="J92" s="305">
        <v>90.78</v>
      </c>
      <c r="K92" s="277">
        <v>40</v>
      </c>
      <c r="L92" s="305">
        <v>86.78</v>
      </c>
      <c r="M92" s="305">
        <v>956.63</v>
      </c>
      <c r="N92" s="305">
        <v>76.06</v>
      </c>
      <c r="O92" s="69"/>
      <c r="P92" s="489">
        <f t="shared" si="147"/>
        <v>1867.7822047244088</v>
      </c>
      <c r="Q92" s="489">
        <f t="shared" si="148"/>
        <v>3006.7622047244085</v>
      </c>
      <c r="R92" s="597"/>
      <c r="S92" s="489" t="e">
        <f t="shared" ref="S92:S99" si="162">P92+IF($B$2="mil",1,0.0254)*C92</f>
        <v>#REF!</v>
      </c>
      <c r="T92" s="489" t="e">
        <f t="shared" ref="T92:T99" si="163">Q92+IF($B$2="mil",1,0.0254)*C92</f>
        <v>#REF!</v>
      </c>
      <c r="U92" s="597"/>
      <c r="V92" s="489" t="e">
        <f>MAX(V$89:V$90)+IF($B$2="mil",1,0.0254)*DDR2Specs!$B$3</f>
        <v>#REF!</v>
      </c>
      <c r="W92" s="489" t="e">
        <f>MIN(V$89:V$90)+IF($B$2="mil",1,0.0254)*DDR2Specs!$C$3</f>
        <v>#REF!</v>
      </c>
      <c r="X92" s="21"/>
      <c r="Y92" s="598" t="e">
        <f t="shared" ref="Y92:Y99" si="164">IF($S92&lt;$V92,$V92-$S92,"Pass")</f>
        <v>#REF!</v>
      </c>
      <c r="Z92" s="495" t="e">
        <f t="shared" ref="Z92:Z99" si="165">IF($S92&gt;$W92,$S92-$W92,"Pass")</f>
        <v>#REF!</v>
      </c>
      <c r="AA92" s="21"/>
      <c r="AB92" s="489" t="e">
        <f>MAX(AB$89:AB$90)+IF($B$2="mil",1,0.0254)*DDR2Specs!$E$3</f>
        <v>#REF!</v>
      </c>
      <c r="AC92" s="489" t="e">
        <f>MIN(AB$89:AB$90)+IF($B$2="mil",1,0.0254)*DDR2Specs!$F$3</f>
        <v>#REF!</v>
      </c>
      <c r="AD92" s="21"/>
      <c r="AE92" s="598" t="e">
        <f t="shared" si="149"/>
        <v>#REF!</v>
      </c>
      <c r="AF92" s="495" t="e">
        <f t="shared" si="150"/>
        <v>#REF!</v>
      </c>
      <c r="AG92" s="495" t="e">
        <f t="shared" si="151"/>
        <v>#REF!</v>
      </c>
      <c r="AH92" s="495" t="e">
        <f t="shared" si="152"/>
        <v>#REF!</v>
      </c>
      <c r="AI92" s="495" t="e">
        <f t="shared" si="153"/>
        <v>#REF!</v>
      </c>
      <c r="AJ92" s="495" t="e">
        <f t="shared" ca="1" si="154"/>
        <v>#NAME?</v>
      </c>
      <c r="AK92" s="495" t="e">
        <f t="shared" ref="AK92:AK99" si="166">IF($J92&lt;=IF($B$2="mil",1,0.0254)*125,"Pass",IF($B$2="mil",1,0.0254)*125-$J92)</f>
        <v>#REF!</v>
      </c>
      <c r="AL92" s="495" t="e">
        <f t="shared" ref="AL92:AL99" si="167">IF($L92&lt;=IF($B$2="mil",1,0.0254)*125,"Pass",IF($B$2="mil",1,0.0254)*125-$L92)</f>
        <v>#REF!</v>
      </c>
      <c r="AM92" s="495" t="e">
        <f t="shared" ca="1" si="155"/>
        <v>#NAME?</v>
      </c>
      <c r="AN92" s="495" t="e">
        <f t="shared" ca="1" si="156"/>
        <v>#NAME?</v>
      </c>
      <c r="AO92" s="495" t="e">
        <f t="shared" si="157"/>
        <v>#REF!</v>
      </c>
      <c r="AP92" s="495" t="e">
        <f t="shared" si="158"/>
        <v>#REF!</v>
      </c>
      <c r="AQ92" s="495" t="e">
        <f t="shared" si="159"/>
        <v>#REF!</v>
      </c>
      <c r="AR92" s="495" t="e">
        <f t="shared" si="160"/>
        <v>#REF!</v>
      </c>
      <c r="AS92" s="21"/>
      <c r="AT92" s="554" t="e">
        <f t="shared" ca="1" si="161"/>
        <v>#REF!</v>
      </c>
      <c r="AU92" s="554"/>
      <c r="AV92" s="554"/>
      <c r="AW92" s="3"/>
      <c r="AX92" s="3"/>
      <c r="AY92" s="3"/>
      <c r="AZ92" s="3"/>
      <c r="BA92" s="3"/>
      <c r="BB92" s="3"/>
      <c r="BC92" s="3"/>
      <c r="BD92" s="3"/>
      <c r="BE92" s="3"/>
      <c r="BF92" s="3"/>
      <c r="BG92" s="3"/>
      <c r="BH92" s="3"/>
      <c r="BI92" s="3"/>
      <c r="BJ92" s="3"/>
    </row>
    <row r="93" spans="1:62">
      <c r="A93" s="107" t="s">
        <v>185</v>
      </c>
      <c r="B93" s="480" t="s">
        <v>503</v>
      </c>
      <c r="C93" s="658">
        <v>657.40157480314963</v>
      </c>
      <c r="D93" s="18"/>
      <c r="E93" s="277">
        <v>29.7</v>
      </c>
      <c r="F93" s="277">
        <v>0</v>
      </c>
      <c r="G93" s="438">
        <v>1881.3176377952755</v>
      </c>
      <c r="H93" s="305">
        <v>70.3</v>
      </c>
      <c r="I93" s="277">
        <v>0</v>
      </c>
      <c r="J93" s="305">
        <v>55.78</v>
      </c>
      <c r="K93" s="277">
        <v>40</v>
      </c>
      <c r="L93" s="305">
        <v>96.78</v>
      </c>
      <c r="M93" s="305">
        <v>984.09</v>
      </c>
      <c r="N93" s="305">
        <v>31.5</v>
      </c>
      <c r="O93" s="69"/>
      <c r="P93" s="489">
        <f t="shared" si="147"/>
        <v>1981.3176377952755</v>
      </c>
      <c r="Q93" s="489">
        <f t="shared" si="148"/>
        <v>3119.1676377952758</v>
      </c>
      <c r="R93" s="597"/>
      <c r="S93" s="489" t="e">
        <f t="shared" si="162"/>
        <v>#REF!</v>
      </c>
      <c r="T93" s="489" t="e">
        <f t="shared" si="163"/>
        <v>#REF!</v>
      </c>
      <c r="U93" s="597"/>
      <c r="V93" s="489" t="e">
        <f>MAX(V$89:V$90)+IF($B$2="mil",1,0.0254)*DDR2Specs!$B$3</f>
        <v>#REF!</v>
      </c>
      <c r="W93" s="489" t="e">
        <f>MIN(V$89:V$90)+IF($B$2="mil",1,0.0254)*DDR2Specs!$C$3</f>
        <v>#REF!</v>
      </c>
      <c r="X93" s="21"/>
      <c r="Y93" s="598" t="e">
        <f t="shared" si="164"/>
        <v>#REF!</v>
      </c>
      <c r="Z93" s="495" t="e">
        <f t="shared" si="165"/>
        <v>#REF!</v>
      </c>
      <c r="AA93" s="21"/>
      <c r="AB93" s="489" t="e">
        <f>MAX(AB$89:AB$90)+IF($B$2="mil",1,0.0254)*DDR2Specs!$E$3</f>
        <v>#REF!</v>
      </c>
      <c r="AC93" s="489" t="e">
        <f>MIN(AB$89:AB$90)+IF($B$2="mil",1,0.0254)*DDR2Specs!$F$3</f>
        <v>#REF!</v>
      </c>
      <c r="AD93" s="21"/>
      <c r="AE93" s="598" t="e">
        <f t="shared" si="149"/>
        <v>#REF!</v>
      </c>
      <c r="AF93" s="495" t="e">
        <f t="shared" si="150"/>
        <v>#REF!</v>
      </c>
      <c r="AG93" s="495" t="e">
        <f t="shared" si="151"/>
        <v>#REF!</v>
      </c>
      <c r="AH93" s="495" t="e">
        <f t="shared" si="152"/>
        <v>#REF!</v>
      </c>
      <c r="AI93" s="495" t="e">
        <f t="shared" si="153"/>
        <v>#REF!</v>
      </c>
      <c r="AJ93" s="495" t="e">
        <f t="shared" ca="1" si="154"/>
        <v>#NAME?</v>
      </c>
      <c r="AK93" s="495" t="e">
        <f t="shared" si="166"/>
        <v>#REF!</v>
      </c>
      <c r="AL93" s="495" t="e">
        <f t="shared" si="167"/>
        <v>#REF!</v>
      </c>
      <c r="AM93" s="495" t="e">
        <f t="shared" ca="1" si="155"/>
        <v>#NAME?</v>
      </c>
      <c r="AN93" s="495" t="e">
        <f t="shared" ca="1" si="156"/>
        <v>#NAME?</v>
      </c>
      <c r="AO93" s="495" t="e">
        <f t="shared" si="157"/>
        <v>#REF!</v>
      </c>
      <c r="AP93" s="495" t="e">
        <f t="shared" si="158"/>
        <v>#REF!</v>
      </c>
      <c r="AQ93" s="495" t="e">
        <f t="shared" si="159"/>
        <v>#REF!</v>
      </c>
      <c r="AR93" s="495" t="e">
        <f t="shared" si="160"/>
        <v>#REF!</v>
      </c>
      <c r="AS93" s="21"/>
      <c r="AT93" s="554" t="e">
        <f t="shared" ca="1" si="161"/>
        <v>#REF!</v>
      </c>
      <c r="AU93" s="554"/>
      <c r="AV93" s="554"/>
      <c r="AW93" s="3"/>
      <c r="AX93" s="3"/>
      <c r="AY93" s="3"/>
      <c r="AZ93" s="3"/>
      <c r="BA93" s="3"/>
      <c r="BB93" s="3"/>
      <c r="BC93" s="3"/>
      <c r="BD93" s="3"/>
      <c r="BE93" s="3"/>
      <c r="BF93" s="3"/>
      <c r="BG93" s="3"/>
      <c r="BH93" s="3"/>
      <c r="BI93" s="3"/>
      <c r="BJ93" s="3"/>
    </row>
    <row r="94" spans="1:62">
      <c r="A94" s="107" t="s">
        <v>186</v>
      </c>
      <c r="B94" s="480" t="s">
        <v>17</v>
      </c>
      <c r="C94" s="658">
        <v>678.70078740157487</v>
      </c>
      <c r="D94" s="18"/>
      <c r="E94" s="277">
        <v>29.7</v>
      </c>
      <c r="F94" s="277">
        <v>0</v>
      </c>
      <c r="G94" s="438">
        <v>1830.7172440944876</v>
      </c>
      <c r="H94" s="305">
        <v>112.05</v>
      </c>
      <c r="I94" s="277">
        <v>0</v>
      </c>
      <c r="J94" s="305">
        <v>90.78</v>
      </c>
      <c r="K94" s="277">
        <v>40</v>
      </c>
      <c r="L94" s="305">
        <v>61.78</v>
      </c>
      <c r="M94" s="305">
        <v>1027.78</v>
      </c>
      <c r="N94" s="305">
        <v>31.48</v>
      </c>
      <c r="O94" s="69"/>
      <c r="P94" s="489">
        <f t="shared" si="147"/>
        <v>1972.4672440944876</v>
      </c>
      <c r="Q94" s="489">
        <f t="shared" si="148"/>
        <v>3112.2372440944878</v>
      </c>
      <c r="R94" s="597"/>
      <c r="S94" s="489" t="e">
        <f t="shared" si="162"/>
        <v>#REF!</v>
      </c>
      <c r="T94" s="489" t="e">
        <f t="shared" si="163"/>
        <v>#REF!</v>
      </c>
      <c r="U94" s="597"/>
      <c r="V94" s="489" t="e">
        <f>MAX(V$89:V$90)+IF($B$2="mil",1,0.0254)*DDR2Specs!$B$3</f>
        <v>#REF!</v>
      </c>
      <c r="W94" s="489" t="e">
        <f>MIN(V$89:V$90)+IF($B$2="mil",1,0.0254)*DDR2Specs!$C$3</f>
        <v>#REF!</v>
      </c>
      <c r="X94" s="21"/>
      <c r="Y94" s="598" t="e">
        <f t="shared" si="164"/>
        <v>#REF!</v>
      </c>
      <c r="Z94" s="495" t="e">
        <f t="shared" si="165"/>
        <v>#REF!</v>
      </c>
      <c r="AA94" s="21"/>
      <c r="AB94" s="489" t="e">
        <f>MAX(AB$89:AB$90)+IF($B$2="mil",1,0.0254)*DDR2Specs!$E$3</f>
        <v>#REF!</v>
      </c>
      <c r="AC94" s="489" t="e">
        <f>MIN(AB$89:AB$90)+IF($B$2="mil",1,0.0254)*DDR2Specs!$F$3</f>
        <v>#REF!</v>
      </c>
      <c r="AD94" s="21"/>
      <c r="AE94" s="598" t="e">
        <f t="shared" si="149"/>
        <v>#REF!</v>
      </c>
      <c r="AF94" s="495" t="e">
        <f t="shared" si="150"/>
        <v>#REF!</v>
      </c>
      <c r="AG94" s="495" t="e">
        <f t="shared" si="151"/>
        <v>#REF!</v>
      </c>
      <c r="AH94" s="495" t="e">
        <f t="shared" si="152"/>
        <v>#REF!</v>
      </c>
      <c r="AI94" s="495" t="e">
        <f t="shared" si="153"/>
        <v>#REF!</v>
      </c>
      <c r="AJ94" s="495" t="e">
        <f t="shared" ca="1" si="154"/>
        <v>#NAME?</v>
      </c>
      <c r="AK94" s="495" t="e">
        <f t="shared" si="166"/>
        <v>#REF!</v>
      </c>
      <c r="AL94" s="495" t="e">
        <f t="shared" si="167"/>
        <v>#REF!</v>
      </c>
      <c r="AM94" s="495" t="e">
        <f t="shared" ca="1" si="155"/>
        <v>#NAME?</v>
      </c>
      <c r="AN94" s="495" t="e">
        <f t="shared" ca="1" si="156"/>
        <v>#NAME?</v>
      </c>
      <c r="AO94" s="495" t="e">
        <f t="shared" si="157"/>
        <v>#REF!</v>
      </c>
      <c r="AP94" s="495" t="e">
        <f t="shared" si="158"/>
        <v>#REF!</v>
      </c>
      <c r="AQ94" s="495" t="e">
        <f t="shared" si="159"/>
        <v>#REF!</v>
      </c>
      <c r="AR94" s="495" t="e">
        <f t="shared" si="160"/>
        <v>#REF!</v>
      </c>
      <c r="AS94" s="21"/>
      <c r="AT94" s="554" t="e">
        <f t="shared" ca="1" si="161"/>
        <v>#REF!</v>
      </c>
      <c r="AU94" s="554"/>
      <c r="AV94" s="554"/>
      <c r="AW94" s="3"/>
      <c r="AX94" s="3"/>
      <c r="AY94" s="3"/>
      <c r="AZ94" s="3"/>
      <c r="BA94" s="3"/>
      <c r="BB94" s="3"/>
      <c r="BC94" s="3"/>
      <c r="BD94" s="3"/>
      <c r="BE94" s="3"/>
      <c r="BF94" s="3"/>
      <c r="BG94" s="3"/>
      <c r="BH94" s="3"/>
      <c r="BI94" s="3"/>
      <c r="BJ94" s="3"/>
    </row>
    <row r="95" spans="1:62">
      <c r="A95" s="107" t="s">
        <v>187</v>
      </c>
      <c r="B95" s="480" t="s">
        <v>504</v>
      </c>
      <c r="C95" s="658">
        <v>732.83464566929138</v>
      </c>
      <c r="D95" s="18"/>
      <c r="E95" s="277">
        <v>29.7</v>
      </c>
      <c r="F95" s="277">
        <v>0</v>
      </c>
      <c r="G95" s="438">
        <v>1718.9908661417317</v>
      </c>
      <c r="H95" s="305">
        <v>124.8</v>
      </c>
      <c r="I95" s="277">
        <v>0</v>
      </c>
      <c r="J95" s="305">
        <v>95.78</v>
      </c>
      <c r="K95" s="277">
        <v>40</v>
      </c>
      <c r="L95" s="305">
        <v>89.93</v>
      </c>
      <c r="M95" s="305">
        <v>977.47</v>
      </c>
      <c r="N95" s="305">
        <v>76.08</v>
      </c>
      <c r="O95" s="69"/>
      <c r="P95" s="489">
        <f t="shared" si="147"/>
        <v>1873.4908661417317</v>
      </c>
      <c r="Q95" s="489">
        <f t="shared" si="148"/>
        <v>3027.9508661417317</v>
      </c>
      <c r="R95" s="597"/>
      <c r="S95" s="489" t="e">
        <f t="shared" si="162"/>
        <v>#REF!</v>
      </c>
      <c r="T95" s="489" t="e">
        <f t="shared" si="163"/>
        <v>#REF!</v>
      </c>
      <c r="U95" s="597"/>
      <c r="V95" s="489" t="e">
        <f>MAX(V$89:V$90)+IF($B$2="mil",1,0.0254)*DDR2Specs!$B$3</f>
        <v>#REF!</v>
      </c>
      <c r="W95" s="489" t="e">
        <f>MIN(V$89:V$90)+IF($B$2="mil",1,0.0254)*DDR2Specs!$C$3</f>
        <v>#REF!</v>
      </c>
      <c r="X95" s="21"/>
      <c r="Y95" s="598" t="e">
        <f t="shared" si="164"/>
        <v>#REF!</v>
      </c>
      <c r="Z95" s="495" t="e">
        <f t="shared" si="165"/>
        <v>#REF!</v>
      </c>
      <c r="AA95" s="21"/>
      <c r="AB95" s="489" t="e">
        <f>MAX(AB$89:AB$90)+IF($B$2="mil",1,0.0254)*DDR2Specs!$E$3</f>
        <v>#REF!</v>
      </c>
      <c r="AC95" s="489" t="e">
        <f>MIN(AB$89:AB$90)+IF($B$2="mil",1,0.0254)*DDR2Specs!$F$3</f>
        <v>#REF!</v>
      </c>
      <c r="AD95" s="21"/>
      <c r="AE95" s="598" t="e">
        <f t="shared" si="149"/>
        <v>#REF!</v>
      </c>
      <c r="AF95" s="495" t="e">
        <f t="shared" si="150"/>
        <v>#REF!</v>
      </c>
      <c r="AG95" s="495" t="e">
        <f t="shared" si="151"/>
        <v>#REF!</v>
      </c>
      <c r="AH95" s="495" t="e">
        <f t="shared" si="152"/>
        <v>#REF!</v>
      </c>
      <c r="AI95" s="495" t="e">
        <f t="shared" si="153"/>
        <v>#REF!</v>
      </c>
      <c r="AJ95" s="495" t="e">
        <f t="shared" ca="1" si="154"/>
        <v>#NAME?</v>
      </c>
      <c r="AK95" s="495" t="e">
        <f t="shared" si="166"/>
        <v>#REF!</v>
      </c>
      <c r="AL95" s="495" t="e">
        <f t="shared" si="167"/>
        <v>#REF!</v>
      </c>
      <c r="AM95" s="495" t="e">
        <f t="shared" ca="1" si="155"/>
        <v>#NAME?</v>
      </c>
      <c r="AN95" s="495" t="e">
        <f t="shared" ca="1" si="156"/>
        <v>#NAME?</v>
      </c>
      <c r="AO95" s="495" t="e">
        <f t="shared" si="157"/>
        <v>#REF!</v>
      </c>
      <c r="AP95" s="495" t="e">
        <f t="shared" si="158"/>
        <v>#REF!</v>
      </c>
      <c r="AQ95" s="495" t="e">
        <f t="shared" si="159"/>
        <v>#REF!</v>
      </c>
      <c r="AR95" s="495" t="e">
        <f t="shared" si="160"/>
        <v>#REF!</v>
      </c>
      <c r="AS95" s="21"/>
      <c r="AT95" s="554" t="e">
        <f t="shared" ca="1" si="161"/>
        <v>#REF!</v>
      </c>
      <c r="AU95" s="554"/>
      <c r="AV95" s="554"/>
      <c r="AW95" s="3"/>
      <c r="AX95" s="3"/>
      <c r="AY95" s="3"/>
      <c r="AZ95" s="3"/>
      <c r="BA95" s="3"/>
      <c r="BB95" s="3"/>
      <c r="BC95" s="3"/>
      <c r="BD95" s="3"/>
      <c r="BE95" s="3"/>
      <c r="BF95" s="3"/>
      <c r="BG95" s="3"/>
      <c r="BH95" s="3"/>
      <c r="BI95" s="3"/>
      <c r="BJ95" s="3"/>
    </row>
    <row r="96" spans="1:62">
      <c r="A96" s="107" t="s">
        <v>188</v>
      </c>
      <c r="B96" s="480" t="s">
        <v>505</v>
      </c>
      <c r="C96" s="658">
        <v>573.50393700787401</v>
      </c>
      <c r="D96" s="18"/>
      <c r="E96" s="277">
        <v>29.7</v>
      </c>
      <c r="F96" s="277">
        <v>0</v>
      </c>
      <c r="G96" s="438">
        <v>1708.9403149606296</v>
      </c>
      <c r="H96" s="305">
        <v>79.260000000000005</v>
      </c>
      <c r="I96" s="277">
        <v>0</v>
      </c>
      <c r="J96" s="305">
        <v>58.71</v>
      </c>
      <c r="K96" s="277">
        <v>40</v>
      </c>
      <c r="L96" s="305">
        <v>54.64</v>
      </c>
      <c r="M96" s="305">
        <v>976.35</v>
      </c>
      <c r="N96" s="305">
        <v>89.13</v>
      </c>
      <c r="O96" s="69"/>
      <c r="P96" s="489">
        <f t="shared" si="147"/>
        <v>1817.9003149606297</v>
      </c>
      <c r="Q96" s="489">
        <f t="shared" si="148"/>
        <v>2957.4703149606298</v>
      </c>
      <c r="R96" s="597"/>
      <c r="S96" s="489" t="e">
        <f t="shared" si="162"/>
        <v>#REF!</v>
      </c>
      <c r="T96" s="489" t="e">
        <f t="shared" si="163"/>
        <v>#REF!</v>
      </c>
      <c r="U96" s="597"/>
      <c r="V96" s="489" t="e">
        <f>MAX(V$89:V$90)+IF($B$2="mil",1,0.0254)*DDR2Specs!$B$3</f>
        <v>#REF!</v>
      </c>
      <c r="W96" s="489" t="e">
        <f>MIN(V$89:V$90)+IF($B$2="mil",1,0.0254)*DDR2Specs!$C$3</f>
        <v>#REF!</v>
      </c>
      <c r="X96" s="21"/>
      <c r="Y96" s="598" t="e">
        <f t="shared" si="164"/>
        <v>#REF!</v>
      </c>
      <c r="Z96" s="495" t="e">
        <f t="shared" si="165"/>
        <v>#REF!</v>
      </c>
      <c r="AA96" s="21"/>
      <c r="AB96" s="489" t="e">
        <f>MAX(AB$89:AB$90)+IF($B$2="mil",1,0.0254)*DDR2Specs!$E$3</f>
        <v>#REF!</v>
      </c>
      <c r="AC96" s="489" t="e">
        <f>MIN(AB$89:AB$90)+IF($B$2="mil",1,0.0254)*DDR2Specs!$F$3</f>
        <v>#REF!</v>
      </c>
      <c r="AD96" s="21"/>
      <c r="AE96" s="598" t="e">
        <f t="shared" si="149"/>
        <v>#REF!</v>
      </c>
      <c r="AF96" s="495" t="e">
        <f t="shared" si="150"/>
        <v>#REF!</v>
      </c>
      <c r="AG96" s="495" t="e">
        <f t="shared" si="151"/>
        <v>#REF!</v>
      </c>
      <c r="AH96" s="495" t="e">
        <f t="shared" si="152"/>
        <v>#REF!</v>
      </c>
      <c r="AI96" s="495" t="e">
        <f t="shared" si="153"/>
        <v>#REF!</v>
      </c>
      <c r="AJ96" s="495" t="e">
        <f t="shared" ca="1" si="154"/>
        <v>#NAME?</v>
      </c>
      <c r="AK96" s="495" t="e">
        <f t="shared" si="166"/>
        <v>#REF!</v>
      </c>
      <c r="AL96" s="495" t="e">
        <f t="shared" si="167"/>
        <v>#REF!</v>
      </c>
      <c r="AM96" s="495" t="e">
        <f t="shared" ca="1" si="155"/>
        <v>#NAME?</v>
      </c>
      <c r="AN96" s="495" t="e">
        <f t="shared" ca="1" si="156"/>
        <v>#NAME?</v>
      </c>
      <c r="AO96" s="495" t="e">
        <f t="shared" si="157"/>
        <v>#REF!</v>
      </c>
      <c r="AP96" s="495" t="e">
        <f t="shared" si="158"/>
        <v>#REF!</v>
      </c>
      <c r="AQ96" s="495" t="e">
        <f t="shared" si="159"/>
        <v>#REF!</v>
      </c>
      <c r="AR96" s="495" t="e">
        <f t="shared" si="160"/>
        <v>#REF!</v>
      </c>
      <c r="AS96" s="21"/>
      <c r="AT96" s="554" t="e">
        <f t="shared" ca="1" si="161"/>
        <v>#REF!</v>
      </c>
      <c r="AU96" s="554"/>
      <c r="AV96" s="554"/>
      <c r="AW96" s="3"/>
      <c r="AX96" s="3"/>
      <c r="AY96" s="3"/>
      <c r="AZ96" s="3"/>
      <c r="BA96" s="3"/>
      <c r="BB96" s="3"/>
      <c r="BC96" s="3"/>
      <c r="BD96" s="3"/>
      <c r="BE96" s="3"/>
      <c r="BF96" s="3"/>
      <c r="BG96" s="3"/>
      <c r="BH96" s="3"/>
      <c r="BI96" s="3"/>
      <c r="BJ96" s="3"/>
    </row>
    <row r="97" spans="1:62">
      <c r="A97" s="107" t="s">
        <v>189</v>
      </c>
      <c r="B97" s="480" t="s">
        <v>342</v>
      </c>
      <c r="C97" s="658">
        <v>629.48818897637796</v>
      </c>
      <c r="D97" s="18"/>
      <c r="E97" s="277">
        <v>29.7</v>
      </c>
      <c r="F97" s="277">
        <v>0</v>
      </c>
      <c r="G97" s="438">
        <v>1854.0607086614164</v>
      </c>
      <c r="H97" s="305">
        <v>117.99</v>
      </c>
      <c r="I97" s="277">
        <v>0</v>
      </c>
      <c r="J97" s="305">
        <v>108.75</v>
      </c>
      <c r="K97" s="277">
        <v>40</v>
      </c>
      <c r="L97" s="305">
        <v>88.78</v>
      </c>
      <c r="M97" s="305">
        <v>941.93</v>
      </c>
      <c r="N97" s="305">
        <v>76.08</v>
      </c>
      <c r="O97" s="69"/>
      <c r="P97" s="489">
        <f t="shared" si="147"/>
        <v>2001.7507086614164</v>
      </c>
      <c r="Q97" s="489">
        <f t="shared" si="148"/>
        <v>3139.3007086614161</v>
      </c>
      <c r="R97" s="597"/>
      <c r="S97" s="489" t="e">
        <f t="shared" si="162"/>
        <v>#REF!</v>
      </c>
      <c r="T97" s="489" t="e">
        <f t="shared" si="163"/>
        <v>#REF!</v>
      </c>
      <c r="U97" s="597"/>
      <c r="V97" s="489" t="e">
        <f>MAX(V$89:V$90)+IF($B$2="mil",1,0.0254)*DDR2Specs!$B$3</f>
        <v>#REF!</v>
      </c>
      <c r="W97" s="489" t="e">
        <f>MIN(V$89:V$90)+IF($B$2="mil",1,0.0254)*DDR2Specs!$C$3</f>
        <v>#REF!</v>
      </c>
      <c r="X97" s="21"/>
      <c r="Y97" s="598" t="e">
        <f t="shared" si="164"/>
        <v>#REF!</v>
      </c>
      <c r="Z97" s="495" t="e">
        <f t="shared" si="165"/>
        <v>#REF!</v>
      </c>
      <c r="AA97" s="21"/>
      <c r="AB97" s="489" t="e">
        <f>MAX(AB$89:AB$90)+IF($B$2="mil",1,0.0254)*DDR2Specs!$E$3</f>
        <v>#REF!</v>
      </c>
      <c r="AC97" s="489" t="e">
        <f>MIN(AB$89:AB$90)+IF($B$2="mil",1,0.0254)*DDR2Specs!$F$3</f>
        <v>#REF!</v>
      </c>
      <c r="AD97" s="21"/>
      <c r="AE97" s="598" t="e">
        <f t="shared" si="149"/>
        <v>#REF!</v>
      </c>
      <c r="AF97" s="495" t="e">
        <f t="shared" si="150"/>
        <v>#REF!</v>
      </c>
      <c r="AG97" s="495" t="e">
        <f t="shared" si="151"/>
        <v>#REF!</v>
      </c>
      <c r="AH97" s="495" t="e">
        <f t="shared" si="152"/>
        <v>#REF!</v>
      </c>
      <c r="AI97" s="495" t="e">
        <f t="shared" si="153"/>
        <v>#REF!</v>
      </c>
      <c r="AJ97" s="495" t="e">
        <f t="shared" ca="1" si="154"/>
        <v>#NAME?</v>
      </c>
      <c r="AK97" s="495" t="e">
        <f t="shared" si="166"/>
        <v>#REF!</v>
      </c>
      <c r="AL97" s="495" t="e">
        <f t="shared" si="167"/>
        <v>#REF!</v>
      </c>
      <c r="AM97" s="495" t="e">
        <f t="shared" ca="1" si="155"/>
        <v>#NAME?</v>
      </c>
      <c r="AN97" s="495" t="e">
        <f t="shared" ca="1" si="156"/>
        <v>#NAME?</v>
      </c>
      <c r="AO97" s="495" t="e">
        <f t="shared" si="157"/>
        <v>#REF!</v>
      </c>
      <c r="AP97" s="495" t="e">
        <f t="shared" si="158"/>
        <v>#REF!</v>
      </c>
      <c r="AQ97" s="495" t="e">
        <f t="shared" si="159"/>
        <v>#REF!</v>
      </c>
      <c r="AR97" s="495" t="e">
        <f t="shared" si="160"/>
        <v>#REF!</v>
      </c>
      <c r="AS97" s="21"/>
      <c r="AT97" s="554" t="e">
        <f t="shared" ca="1" si="161"/>
        <v>#REF!</v>
      </c>
      <c r="AU97" s="554"/>
      <c r="AV97" s="554"/>
      <c r="AW97" s="3"/>
      <c r="AX97" s="3"/>
      <c r="AY97" s="3"/>
      <c r="AZ97" s="3"/>
      <c r="BA97" s="3"/>
      <c r="BB97" s="3"/>
      <c r="BC97" s="3"/>
      <c r="BD97" s="3"/>
      <c r="BE97" s="3"/>
      <c r="BF97" s="3"/>
      <c r="BG97" s="3"/>
      <c r="BH97" s="3"/>
      <c r="BI97" s="3"/>
      <c r="BJ97" s="3"/>
    </row>
    <row r="98" spans="1:62">
      <c r="A98" s="107" t="s">
        <v>190</v>
      </c>
      <c r="B98" s="480" t="s">
        <v>506</v>
      </c>
      <c r="C98" s="658">
        <v>637.44094488188978</v>
      </c>
      <c r="D98" s="18"/>
      <c r="E98" s="277">
        <v>29.7</v>
      </c>
      <c r="F98" s="277">
        <v>0</v>
      </c>
      <c r="G98" s="438">
        <v>1920.9495275590546</v>
      </c>
      <c r="H98" s="305">
        <v>65.55</v>
      </c>
      <c r="I98" s="277">
        <v>0</v>
      </c>
      <c r="J98" s="305">
        <v>55.59</v>
      </c>
      <c r="K98" s="277">
        <v>40</v>
      </c>
      <c r="L98" s="305">
        <v>50.78</v>
      </c>
      <c r="M98" s="305">
        <v>988.98</v>
      </c>
      <c r="N98" s="305">
        <v>67.47</v>
      </c>
      <c r="O98" s="69"/>
      <c r="P98" s="489">
        <f t="shared" si="147"/>
        <v>2016.1995275590546</v>
      </c>
      <c r="Q98" s="489">
        <f t="shared" si="148"/>
        <v>3153.4695275590543</v>
      </c>
      <c r="R98" s="597"/>
      <c r="S98" s="489" t="e">
        <f t="shared" si="162"/>
        <v>#REF!</v>
      </c>
      <c r="T98" s="489" t="e">
        <f t="shared" si="163"/>
        <v>#REF!</v>
      </c>
      <c r="U98" s="597"/>
      <c r="V98" s="489" t="e">
        <f>MAX(V$89:V$90)+IF($B$2="mil",1,0.0254)*DDR2Specs!$B$3</f>
        <v>#REF!</v>
      </c>
      <c r="W98" s="489" t="e">
        <f>MIN(V$89:V$90)+IF($B$2="mil",1,0.0254)*DDR2Specs!$C$3</f>
        <v>#REF!</v>
      </c>
      <c r="X98" s="21"/>
      <c r="Y98" s="598" t="e">
        <f t="shared" si="164"/>
        <v>#REF!</v>
      </c>
      <c r="Z98" s="495" t="e">
        <f t="shared" si="165"/>
        <v>#REF!</v>
      </c>
      <c r="AA98" s="21"/>
      <c r="AB98" s="489" t="e">
        <f>MAX(AB$89:AB$90)+IF($B$2="mil",1,0.0254)*DDR2Specs!$E$3</f>
        <v>#REF!</v>
      </c>
      <c r="AC98" s="489" t="e">
        <f>MIN(AB$89:AB$90)+IF($B$2="mil",1,0.0254)*DDR2Specs!$F$3</f>
        <v>#REF!</v>
      </c>
      <c r="AD98" s="21"/>
      <c r="AE98" s="598" t="e">
        <f t="shared" si="149"/>
        <v>#REF!</v>
      </c>
      <c r="AF98" s="495" t="e">
        <f t="shared" si="150"/>
        <v>#REF!</v>
      </c>
      <c r="AG98" s="495" t="e">
        <f t="shared" si="151"/>
        <v>#REF!</v>
      </c>
      <c r="AH98" s="495" t="e">
        <f t="shared" si="152"/>
        <v>#REF!</v>
      </c>
      <c r="AI98" s="495" t="e">
        <f t="shared" si="153"/>
        <v>#REF!</v>
      </c>
      <c r="AJ98" s="495" t="e">
        <f t="shared" ca="1" si="154"/>
        <v>#NAME?</v>
      </c>
      <c r="AK98" s="495" t="e">
        <f t="shared" si="166"/>
        <v>#REF!</v>
      </c>
      <c r="AL98" s="495" t="e">
        <f t="shared" si="167"/>
        <v>#REF!</v>
      </c>
      <c r="AM98" s="495" t="e">
        <f t="shared" ca="1" si="155"/>
        <v>#NAME?</v>
      </c>
      <c r="AN98" s="495" t="e">
        <f t="shared" ca="1" si="156"/>
        <v>#NAME?</v>
      </c>
      <c r="AO98" s="495" t="e">
        <f t="shared" si="157"/>
        <v>#REF!</v>
      </c>
      <c r="AP98" s="495" t="e">
        <f t="shared" si="158"/>
        <v>#REF!</v>
      </c>
      <c r="AQ98" s="495" t="e">
        <f t="shared" si="159"/>
        <v>#REF!</v>
      </c>
      <c r="AR98" s="495" t="e">
        <f t="shared" si="160"/>
        <v>#REF!</v>
      </c>
      <c r="AS98" s="21"/>
      <c r="AT98" s="554" t="e">
        <f t="shared" ca="1" si="161"/>
        <v>#REF!</v>
      </c>
      <c r="AU98" s="554"/>
      <c r="AV98" s="554"/>
      <c r="AW98" s="3"/>
      <c r="AX98" s="3"/>
      <c r="AY98" s="3"/>
      <c r="AZ98" s="3"/>
      <c r="BA98" s="3"/>
      <c r="BB98" s="3"/>
      <c r="BC98" s="3"/>
      <c r="BD98" s="3"/>
      <c r="BE98" s="3"/>
      <c r="BF98" s="3"/>
      <c r="BG98" s="3"/>
      <c r="BH98" s="3"/>
      <c r="BI98" s="3"/>
      <c r="BJ98" s="3"/>
    </row>
    <row r="99" spans="1:62">
      <c r="A99" s="128" t="s">
        <v>191</v>
      </c>
      <c r="B99" s="484" t="s">
        <v>115</v>
      </c>
      <c r="C99" s="658">
        <v>711.69291338582684</v>
      </c>
      <c r="D99" s="18"/>
      <c r="E99" s="277">
        <v>29.7</v>
      </c>
      <c r="F99" s="277">
        <v>0</v>
      </c>
      <c r="G99" s="438">
        <v>1729.64</v>
      </c>
      <c r="H99" s="305">
        <v>73.28</v>
      </c>
      <c r="I99" s="277">
        <v>0</v>
      </c>
      <c r="J99" s="305">
        <v>55.78</v>
      </c>
      <c r="K99" s="277">
        <v>40</v>
      </c>
      <c r="L99" s="305">
        <v>90.86</v>
      </c>
      <c r="M99" s="305">
        <v>994.12</v>
      </c>
      <c r="N99" s="305">
        <v>31.48</v>
      </c>
      <c r="O99" s="69"/>
      <c r="P99" s="489">
        <f t="shared" si="147"/>
        <v>1832.6200000000001</v>
      </c>
      <c r="Q99" s="489">
        <f t="shared" si="148"/>
        <v>2971.58</v>
      </c>
      <c r="R99" s="597"/>
      <c r="S99" s="489" t="e">
        <f t="shared" si="162"/>
        <v>#REF!</v>
      </c>
      <c r="T99" s="489" t="e">
        <f t="shared" si="163"/>
        <v>#REF!</v>
      </c>
      <c r="U99" s="597"/>
      <c r="V99" s="489" t="e">
        <f>MAX(V$89:V$90)+IF($B$2="mil",1,0.0254)*DDR2Specs!$B$3</f>
        <v>#REF!</v>
      </c>
      <c r="W99" s="489" t="e">
        <f>MIN(V$89:V$90)+IF($B$2="mil",1,0.0254)*DDR2Specs!$C$3</f>
        <v>#REF!</v>
      </c>
      <c r="X99" s="21"/>
      <c r="Y99" s="598" t="e">
        <f t="shared" si="164"/>
        <v>#REF!</v>
      </c>
      <c r="Z99" s="495" t="e">
        <f t="shared" si="165"/>
        <v>#REF!</v>
      </c>
      <c r="AA99" s="21"/>
      <c r="AB99" s="489" t="e">
        <f>MAX(AB$89:AB$90)+IF($B$2="mil",1,0.0254)*DDR2Specs!$E$3</f>
        <v>#REF!</v>
      </c>
      <c r="AC99" s="489" t="e">
        <f>MIN(AB$89:AB$90)+IF($B$2="mil",1,0.0254)*DDR2Specs!$F$3</f>
        <v>#REF!</v>
      </c>
      <c r="AD99" s="21"/>
      <c r="AE99" s="598" t="e">
        <f t="shared" si="149"/>
        <v>#REF!</v>
      </c>
      <c r="AF99" s="495" t="e">
        <f t="shared" si="150"/>
        <v>#REF!</v>
      </c>
      <c r="AG99" s="495" t="e">
        <f t="shared" si="151"/>
        <v>#REF!</v>
      </c>
      <c r="AH99" s="495" t="e">
        <f t="shared" si="152"/>
        <v>#REF!</v>
      </c>
      <c r="AI99" s="495" t="e">
        <f t="shared" si="153"/>
        <v>#REF!</v>
      </c>
      <c r="AJ99" s="495" t="e">
        <f t="shared" ca="1" si="154"/>
        <v>#NAME?</v>
      </c>
      <c r="AK99" s="495" t="e">
        <f t="shared" si="166"/>
        <v>#REF!</v>
      </c>
      <c r="AL99" s="495" t="e">
        <f t="shared" si="167"/>
        <v>#REF!</v>
      </c>
      <c r="AM99" s="495" t="e">
        <f t="shared" ca="1" si="155"/>
        <v>#NAME?</v>
      </c>
      <c r="AN99" s="495" t="e">
        <f t="shared" ca="1" si="156"/>
        <v>#NAME?</v>
      </c>
      <c r="AO99" s="495" t="e">
        <f t="shared" si="157"/>
        <v>#REF!</v>
      </c>
      <c r="AP99" s="495" t="e">
        <f t="shared" si="158"/>
        <v>#REF!</v>
      </c>
      <c r="AQ99" s="495" t="e">
        <f t="shared" si="159"/>
        <v>#REF!</v>
      </c>
      <c r="AR99" s="495" t="e">
        <f t="shared" si="160"/>
        <v>#REF!</v>
      </c>
      <c r="AS99" s="21"/>
      <c r="AT99" s="554" t="e">
        <f t="shared" ca="1" si="161"/>
        <v>#REF!</v>
      </c>
      <c r="AU99" s="554"/>
      <c r="AV99" s="554"/>
      <c r="AW99" s="3"/>
      <c r="AX99" s="3"/>
      <c r="AY99" s="3"/>
      <c r="AZ99" s="3"/>
      <c r="BA99" s="3"/>
      <c r="BB99" s="3"/>
      <c r="BC99" s="3"/>
      <c r="BD99" s="3"/>
      <c r="BE99" s="3"/>
      <c r="BF99" s="3"/>
      <c r="BG99" s="3"/>
      <c r="BH99" s="3"/>
      <c r="BI99" s="3"/>
      <c r="BJ99" s="3"/>
    </row>
    <row r="100" spans="1:62" ht="12.75" customHeight="1">
      <c r="A100" s="114"/>
      <c r="B100" s="487"/>
      <c r="C100" s="129"/>
      <c r="D100" s="84"/>
      <c r="E100" s="85"/>
      <c r="F100" s="85"/>
      <c r="G100" s="85"/>
      <c r="H100" s="85"/>
      <c r="I100" s="85"/>
      <c r="J100" s="85"/>
      <c r="K100" s="85"/>
      <c r="L100" s="85"/>
      <c r="M100" s="85"/>
      <c r="N100" s="85"/>
      <c r="O100" s="85"/>
      <c r="P100" s="611"/>
      <c r="Q100" s="611"/>
      <c r="R100" s="612"/>
      <c r="S100" s="611"/>
      <c r="T100" s="611"/>
      <c r="U100" s="612"/>
      <c r="V100" s="611"/>
      <c r="W100" s="611"/>
      <c r="X100" s="611"/>
      <c r="Y100" s="613"/>
      <c r="Z100" s="614"/>
      <c r="AA100" s="611"/>
      <c r="AB100" s="611"/>
      <c r="AC100" s="611"/>
      <c r="AD100" s="611"/>
      <c r="AE100" s="613"/>
      <c r="AF100" s="614"/>
      <c r="AG100" s="614"/>
      <c r="AH100" s="615"/>
      <c r="AI100" s="616"/>
      <c r="AJ100" s="616"/>
      <c r="AK100" s="616"/>
      <c r="AL100" s="616"/>
      <c r="AM100" s="616"/>
      <c r="AN100" s="616"/>
      <c r="AO100" s="616"/>
      <c r="AP100" s="616"/>
      <c r="AQ100" s="616"/>
      <c r="AR100" s="616"/>
      <c r="AS100" s="21"/>
      <c r="AT100" s="554"/>
      <c r="AU100" s="554"/>
      <c r="AV100" s="554"/>
      <c r="AW100" s="3"/>
      <c r="AX100" s="3"/>
      <c r="AY100" s="3"/>
      <c r="AZ100" s="3"/>
      <c r="BA100" s="3"/>
      <c r="BB100" s="3"/>
      <c r="BC100" s="3"/>
      <c r="BD100" s="3"/>
      <c r="BE100" s="3"/>
      <c r="BF100" s="3"/>
      <c r="BG100" s="3"/>
      <c r="BH100" s="3"/>
      <c r="BI100" s="3"/>
      <c r="BJ100" s="3"/>
    </row>
    <row r="101" spans="1:62" ht="25.5">
      <c r="A101" s="48" t="s">
        <v>9</v>
      </c>
      <c r="B101" s="28"/>
      <c r="C101" s="25"/>
      <c r="D101" s="26"/>
      <c r="E101" s="24"/>
      <c r="F101" s="24"/>
      <c r="G101" s="26"/>
      <c r="H101" s="26"/>
      <c r="I101" s="26"/>
      <c r="J101" s="26"/>
      <c r="K101" s="26"/>
      <c r="L101" s="26"/>
      <c r="M101" s="26"/>
      <c r="N101" s="26"/>
      <c r="P101" s="26"/>
      <c r="Q101" s="26"/>
      <c r="R101" s="25"/>
      <c r="S101" s="25"/>
      <c r="T101" s="25"/>
      <c r="U101" s="25"/>
      <c r="V101" s="24"/>
      <c r="W101" s="24"/>
      <c r="X101" s="24"/>
      <c r="Y101" s="26"/>
      <c r="Z101" s="26"/>
      <c r="AA101" s="24"/>
      <c r="AB101" s="24"/>
      <c r="AC101" s="24"/>
      <c r="AD101" s="24"/>
      <c r="AE101" s="26"/>
      <c r="AF101" s="26"/>
      <c r="AG101" s="24"/>
      <c r="AH101" s="24"/>
      <c r="AI101" s="28"/>
      <c r="AJ101" s="28"/>
      <c r="AK101" s="28"/>
      <c r="AL101" s="28"/>
      <c r="AM101" s="28"/>
      <c r="AN101" s="28"/>
      <c r="AO101" s="28"/>
      <c r="AP101" s="28"/>
      <c r="AQ101" s="28"/>
      <c r="AR101" s="28"/>
      <c r="AS101" s="28"/>
      <c r="AT101" s="28"/>
      <c r="AU101" s="28"/>
      <c r="AV101" s="24"/>
      <c r="AW101" s="28"/>
      <c r="AX101" s="28"/>
      <c r="AY101" s="28"/>
      <c r="AZ101" s="28"/>
      <c r="BA101" s="28"/>
      <c r="BB101" s="28"/>
      <c r="BC101" s="24"/>
      <c r="BD101" s="28"/>
      <c r="BE101" s="28"/>
      <c r="BF101" s="28"/>
      <c r="BG101" s="24"/>
      <c r="BH101" s="28"/>
      <c r="BI101" s="28"/>
      <c r="BJ101" s="28"/>
    </row>
    <row r="102" spans="1:62">
      <c r="A102" s="24"/>
      <c r="B102" s="28"/>
      <c r="C102" s="25"/>
      <c r="D102" s="26"/>
      <c r="E102" s="24"/>
      <c r="F102" s="24"/>
      <c r="G102" s="26"/>
      <c r="H102" s="26"/>
      <c r="I102" s="26"/>
      <c r="J102" s="26"/>
      <c r="K102" s="26"/>
      <c r="L102" s="26"/>
      <c r="M102" s="26"/>
      <c r="N102" s="26"/>
      <c r="P102" s="26"/>
      <c r="Q102" s="26"/>
      <c r="R102" s="25"/>
      <c r="S102" s="25"/>
      <c r="T102" s="25"/>
      <c r="U102" s="25"/>
      <c r="V102" s="24"/>
      <c r="W102" s="24"/>
      <c r="X102" s="24"/>
      <c r="Y102" s="26"/>
      <c r="Z102" s="26"/>
      <c r="AA102" s="24"/>
      <c r="AB102" s="24"/>
      <c r="AC102" s="24"/>
      <c r="AD102" s="24"/>
      <c r="AE102" s="26"/>
      <c r="AF102" s="26"/>
      <c r="AG102" s="24"/>
      <c r="AH102" s="24"/>
      <c r="AI102" s="28"/>
      <c r="AJ102" s="28"/>
      <c r="AK102" s="28"/>
      <c r="AL102" s="28"/>
      <c r="AM102" s="28"/>
      <c r="AN102" s="28"/>
      <c r="AO102" s="28"/>
      <c r="AP102" s="28"/>
      <c r="AQ102" s="28"/>
      <c r="AR102" s="28"/>
      <c r="AS102" s="28"/>
      <c r="AT102" s="28"/>
      <c r="AU102" s="28"/>
      <c r="AV102" s="24"/>
      <c r="AW102" s="28"/>
      <c r="AX102" s="28"/>
      <c r="AY102" s="28"/>
      <c r="AZ102" s="28"/>
      <c r="BA102" s="28"/>
      <c r="BB102" s="28"/>
      <c r="BC102" s="24"/>
      <c r="BD102" s="28"/>
      <c r="BE102" s="28"/>
      <c r="BF102" s="28"/>
      <c r="BG102" s="24"/>
      <c r="BH102" s="28"/>
      <c r="BI102" s="28"/>
      <c r="BJ102" s="28"/>
    </row>
    <row r="103" spans="1:62">
      <c r="A103" s="24"/>
      <c r="B103" s="28"/>
      <c r="C103" s="25"/>
      <c r="D103" s="26"/>
      <c r="E103" s="24"/>
      <c r="F103" s="24"/>
      <c r="G103" s="26"/>
      <c r="H103" s="26"/>
      <c r="I103" s="26"/>
      <c r="J103" s="26"/>
      <c r="K103" s="26"/>
      <c r="L103" s="26"/>
      <c r="M103" s="26"/>
      <c r="N103" s="26"/>
      <c r="P103" s="26"/>
      <c r="Q103" s="577"/>
      <c r="R103" s="25"/>
      <c r="S103" s="577"/>
      <c r="T103" s="25"/>
      <c r="U103" s="24"/>
      <c r="V103" s="24"/>
      <c r="W103" s="24"/>
      <c r="X103" s="26"/>
      <c r="Y103" s="26"/>
      <c r="Z103" s="24"/>
      <c r="AA103" s="24"/>
      <c r="AB103" s="24"/>
      <c r="AC103" s="24"/>
      <c r="AD103" s="26"/>
      <c r="AE103" s="26"/>
      <c r="AF103" s="24"/>
      <c r="AG103" s="24"/>
      <c r="AH103" s="28"/>
      <c r="AI103" s="28"/>
      <c r="AJ103" s="28"/>
      <c r="AK103" s="28"/>
      <c r="AL103" s="28"/>
      <c r="AM103" s="28"/>
      <c r="AN103" s="28"/>
      <c r="AO103" s="28"/>
      <c r="AP103" s="28"/>
      <c r="AQ103" s="28"/>
      <c r="AR103" s="28"/>
      <c r="AS103" s="28"/>
      <c r="AT103" s="28"/>
      <c r="AU103" s="24"/>
      <c r="AV103" s="28"/>
      <c r="AW103" s="28"/>
      <c r="AX103" s="28"/>
      <c r="AY103" s="28"/>
      <c r="AZ103" s="28"/>
      <c r="BA103" s="28"/>
      <c r="BB103" s="24"/>
      <c r="BC103" s="28"/>
      <c r="BD103" s="28"/>
      <c r="BE103" s="28"/>
      <c r="BF103" s="24"/>
      <c r="BG103" s="28"/>
      <c r="BH103" s="28"/>
      <c r="BI103" s="28"/>
      <c r="BJ103" s="3"/>
    </row>
    <row r="104" spans="1:62">
      <c r="A104" s="24"/>
      <c r="B104" s="28"/>
      <c r="C104" s="25"/>
      <c r="D104" s="26"/>
      <c r="E104" s="24"/>
      <c r="F104" s="24"/>
      <c r="G104" s="26"/>
      <c r="H104" s="26"/>
      <c r="I104" s="26"/>
      <c r="J104" s="26"/>
      <c r="K104" s="26"/>
      <c r="L104" s="26"/>
      <c r="M104" s="26"/>
      <c r="N104" s="26"/>
      <c r="P104" s="26"/>
      <c r="Q104" s="577"/>
      <c r="R104" s="25"/>
      <c r="S104" s="24"/>
      <c r="T104" s="24"/>
      <c r="U104" s="24"/>
      <c r="V104" s="26"/>
      <c r="W104" s="26"/>
      <c r="X104" s="24"/>
      <c r="Y104" s="24"/>
      <c r="Z104" s="24"/>
      <c r="AA104" s="24"/>
      <c r="AB104" s="26"/>
      <c r="AC104" s="26"/>
      <c r="AD104" s="24"/>
      <c r="AE104" s="24"/>
      <c r="AF104" s="28"/>
      <c r="AG104" s="28"/>
      <c r="AH104" s="28"/>
      <c r="AI104" s="28"/>
      <c r="AJ104" s="28"/>
      <c r="AK104" s="28"/>
      <c r="AL104" s="28"/>
      <c r="AM104" s="28"/>
      <c r="AN104" s="28"/>
      <c r="AO104" s="28"/>
      <c r="AP104" s="28"/>
      <c r="AQ104" s="28"/>
      <c r="AR104" s="28"/>
      <c r="AS104" s="24"/>
      <c r="AT104" s="28"/>
      <c r="AU104" s="28"/>
      <c r="AV104" s="28"/>
      <c r="AW104" s="28"/>
      <c r="AX104" s="28"/>
      <c r="AY104" s="28"/>
      <c r="AZ104" s="24"/>
      <c r="BA104" s="28"/>
      <c r="BB104" s="28"/>
      <c r="BC104" s="28"/>
      <c r="BD104" s="24"/>
      <c r="BE104" s="28"/>
      <c r="BF104" s="28"/>
      <c r="BG104" s="28"/>
      <c r="BH104" s="3"/>
      <c r="BI104" s="3"/>
      <c r="BJ104" s="3"/>
    </row>
    <row r="105" spans="1:62">
      <c r="A105" s="24"/>
      <c r="B105" s="28"/>
      <c r="C105" s="25"/>
      <c r="D105" s="26"/>
      <c r="E105" s="24"/>
      <c r="F105" s="24"/>
      <c r="G105" s="26"/>
      <c r="H105" s="26"/>
      <c r="I105" s="26"/>
      <c r="J105" s="26"/>
      <c r="K105" s="26"/>
      <c r="L105" s="26"/>
      <c r="M105" s="26"/>
      <c r="N105" s="26"/>
      <c r="P105" s="26"/>
      <c r="Q105" s="577"/>
      <c r="R105" s="25"/>
      <c r="S105" s="24"/>
      <c r="T105" s="24"/>
      <c r="U105" s="24"/>
      <c r="V105" s="26"/>
      <c r="W105" s="26"/>
      <c r="X105" s="24"/>
      <c r="Y105" s="24"/>
      <c r="Z105" s="24"/>
      <c r="AA105" s="24"/>
      <c r="AB105" s="26"/>
      <c r="AC105" s="26"/>
      <c r="AD105" s="24"/>
      <c r="AE105" s="24"/>
      <c r="AF105" s="28"/>
      <c r="AG105" s="28"/>
      <c r="AH105" s="28"/>
      <c r="AI105" s="28"/>
      <c r="AJ105" s="28"/>
      <c r="AK105" s="28"/>
      <c r="AL105" s="28"/>
      <c r="AM105" s="28"/>
      <c r="AN105" s="28"/>
      <c r="AO105" s="28"/>
      <c r="AP105" s="28"/>
      <c r="AQ105" s="28"/>
      <c r="AR105" s="28"/>
      <c r="AS105" s="24"/>
      <c r="AT105" s="28"/>
      <c r="AU105" s="28"/>
      <c r="AV105" s="28"/>
      <c r="AW105" s="28"/>
      <c r="AX105" s="28"/>
      <c r="AY105" s="28"/>
      <c r="AZ105" s="24"/>
      <c r="BA105" s="28"/>
      <c r="BB105" s="28"/>
      <c r="BC105" s="28"/>
      <c r="BD105" s="24"/>
      <c r="BE105" s="28"/>
      <c r="BF105" s="28"/>
      <c r="BG105" s="28"/>
      <c r="BH105" s="3"/>
      <c r="BI105" s="3"/>
      <c r="BJ105" s="3"/>
    </row>
    <row r="106" spans="1:62">
      <c r="A106" s="24"/>
      <c r="B106" s="28"/>
      <c r="C106" s="25"/>
      <c r="D106" s="26"/>
      <c r="E106" s="24"/>
      <c r="F106" s="24"/>
      <c r="G106" s="26"/>
      <c r="H106" s="3"/>
      <c r="I106" s="3"/>
      <c r="J106" s="3"/>
      <c r="K106" s="3"/>
      <c r="L106" s="3"/>
      <c r="M106" s="3"/>
      <c r="N106" s="3"/>
      <c r="P106" s="554"/>
      <c r="Q106" s="577"/>
      <c r="R106" s="25"/>
      <c r="S106" s="577"/>
      <c r="T106" s="25"/>
      <c r="U106" s="24"/>
      <c r="V106" s="24"/>
      <c r="W106" s="24"/>
      <c r="X106" s="26"/>
      <c r="Y106" s="26"/>
      <c r="Z106" s="24"/>
      <c r="AA106" s="24"/>
      <c r="AB106" s="24"/>
      <c r="AC106" s="24"/>
      <c r="AD106" s="26"/>
      <c r="AE106" s="26"/>
      <c r="AF106" s="24"/>
      <c r="AG106" s="24"/>
      <c r="AH106" s="28"/>
      <c r="AI106" s="28"/>
      <c r="AJ106" s="28"/>
      <c r="AK106" s="28"/>
      <c r="AL106" s="28"/>
      <c r="AM106" s="28"/>
      <c r="AN106" s="28"/>
      <c r="AO106" s="28"/>
      <c r="AP106" s="28"/>
      <c r="AQ106" s="28"/>
      <c r="AR106" s="28"/>
      <c r="AS106" s="28"/>
      <c r="AT106" s="28"/>
      <c r="AU106" s="24"/>
      <c r="AV106" s="28"/>
      <c r="AW106" s="28"/>
      <c r="AX106" s="28"/>
      <c r="AY106" s="28"/>
      <c r="AZ106" s="28"/>
      <c r="BA106" s="28"/>
      <c r="BB106" s="24"/>
      <c r="BC106" s="28"/>
      <c r="BD106" s="28"/>
      <c r="BE106" s="28"/>
      <c r="BF106" s="24"/>
      <c r="BG106" s="28"/>
      <c r="BH106" s="28"/>
      <c r="BI106" s="28"/>
      <c r="BJ106" s="3"/>
    </row>
    <row r="107" spans="1:62">
      <c r="A107" s="24"/>
      <c r="B107" s="28"/>
      <c r="C107" s="25"/>
      <c r="D107" s="26"/>
      <c r="E107" s="24"/>
      <c r="F107" s="24"/>
      <c r="G107" s="26"/>
      <c r="H107" s="26"/>
      <c r="I107" s="26"/>
      <c r="J107" s="26"/>
      <c r="K107" s="26"/>
      <c r="L107" s="26"/>
      <c r="M107" s="26"/>
      <c r="N107" s="26"/>
      <c r="P107" s="26"/>
      <c r="Q107" s="577"/>
      <c r="R107" s="25"/>
      <c r="S107" s="577"/>
      <c r="T107" s="25"/>
      <c r="U107" s="24"/>
      <c r="V107" s="24"/>
      <c r="W107" s="24"/>
      <c r="X107" s="26"/>
      <c r="Y107" s="26"/>
      <c r="Z107" s="24"/>
      <c r="AA107" s="24"/>
      <c r="AB107" s="24"/>
      <c r="AC107" s="24"/>
      <c r="AD107" s="26"/>
      <c r="AE107" s="26"/>
      <c r="AF107" s="24"/>
      <c r="AG107" s="24"/>
      <c r="AH107" s="28"/>
      <c r="AI107" s="28"/>
      <c r="AJ107" s="28"/>
      <c r="AK107" s="28"/>
      <c r="AL107" s="28"/>
      <c r="AM107" s="28"/>
      <c r="AN107" s="28"/>
      <c r="AO107" s="28"/>
      <c r="AP107" s="28"/>
      <c r="AQ107" s="28"/>
      <c r="AR107" s="28"/>
      <c r="AS107" s="28"/>
      <c r="AT107" s="28"/>
      <c r="AU107" s="24"/>
      <c r="AV107" s="28"/>
      <c r="AW107" s="28"/>
      <c r="AX107" s="28"/>
      <c r="AY107" s="28"/>
      <c r="AZ107" s="28"/>
      <c r="BA107" s="28"/>
      <c r="BB107" s="24"/>
      <c r="BC107" s="28"/>
      <c r="BD107" s="28"/>
      <c r="BE107" s="28"/>
      <c r="BF107" s="24"/>
      <c r="BG107" s="28"/>
      <c r="BH107" s="28"/>
      <c r="BI107" s="28"/>
      <c r="BJ107" s="3"/>
    </row>
    <row r="108" spans="1:62">
      <c r="A108" s="24"/>
      <c r="B108" s="28"/>
      <c r="C108" s="25"/>
      <c r="D108" s="26"/>
      <c r="E108" s="24"/>
      <c r="F108" s="24"/>
      <c r="G108" s="26"/>
      <c r="H108" s="26"/>
      <c r="I108" s="26"/>
      <c r="J108" s="26"/>
      <c r="K108" s="26"/>
      <c r="L108" s="26"/>
      <c r="M108" s="26"/>
      <c r="N108" s="26"/>
      <c r="P108" s="26"/>
      <c r="Q108" s="577"/>
      <c r="R108" s="25"/>
      <c r="S108" s="577"/>
      <c r="T108" s="25"/>
      <c r="U108" s="24"/>
      <c r="V108" s="24"/>
      <c r="W108" s="24"/>
      <c r="X108" s="26"/>
      <c r="Y108" s="26"/>
      <c r="Z108" s="24"/>
      <c r="AA108" s="24"/>
      <c r="AB108" s="24"/>
      <c r="AC108" s="24"/>
      <c r="AD108" s="26"/>
      <c r="AE108" s="26"/>
      <c r="AF108" s="24"/>
      <c r="AG108" s="24"/>
      <c r="AH108" s="28"/>
      <c r="AI108" s="28"/>
      <c r="AJ108" s="28"/>
      <c r="AK108" s="28"/>
      <c r="AL108" s="28"/>
      <c r="AM108" s="28"/>
      <c r="AN108" s="28"/>
      <c r="AO108" s="28"/>
      <c r="AP108" s="28"/>
      <c r="AQ108" s="28"/>
      <c r="AR108" s="28"/>
      <c r="AS108" s="28"/>
      <c r="AT108" s="28"/>
      <c r="AU108" s="24"/>
      <c r="AV108" s="28"/>
      <c r="AW108" s="28"/>
      <c r="AX108" s="28"/>
      <c r="AY108" s="28"/>
      <c r="AZ108" s="28"/>
      <c r="BA108" s="28"/>
      <c r="BB108" s="24"/>
      <c r="BC108" s="28"/>
      <c r="BD108" s="28"/>
      <c r="BE108" s="28"/>
      <c r="BF108" s="24"/>
      <c r="BG108" s="28"/>
      <c r="BH108" s="28"/>
      <c r="BI108" s="28"/>
      <c r="BJ108" s="3"/>
    </row>
    <row r="109" spans="1:62">
      <c r="A109" s="24"/>
      <c r="B109" s="28"/>
      <c r="C109" s="25"/>
      <c r="D109" s="26"/>
      <c r="E109" s="24"/>
      <c r="F109" s="24"/>
      <c r="G109" s="26"/>
      <c r="H109" s="26"/>
      <c r="I109" s="26"/>
      <c r="J109" s="26"/>
      <c r="K109" s="26"/>
      <c r="L109" s="26"/>
      <c r="M109" s="26"/>
      <c r="N109" s="26"/>
      <c r="P109" s="26"/>
      <c r="Q109" s="577"/>
      <c r="R109" s="25"/>
      <c r="S109" s="577"/>
      <c r="T109" s="25"/>
      <c r="U109" s="24"/>
      <c r="V109" s="24"/>
      <c r="W109" s="24"/>
      <c r="X109" s="26"/>
      <c r="Y109" s="26"/>
      <c r="Z109" s="24"/>
      <c r="AA109" s="24"/>
      <c r="AB109" s="24"/>
      <c r="AC109" s="24"/>
      <c r="AD109" s="26"/>
      <c r="AE109" s="26"/>
      <c r="AF109" s="24"/>
      <c r="AG109" s="24"/>
      <c r="AH109" s="28"/>
      <c r="AI109" s="28"/>
      <c r="AJ109" s="28"/>
      <c r="AK109" s="28"/>
      <c r="AL109" s="28"/>
      <c r="AM109" s="28"/>
      <c r="AN109" s="28"/>
      <c r="AO109" s="28"/>
      <c r="AP109" s="28"/>
      <c r="AQ109" s="28"/>
      <c r="AR109" s="28"/>
      <c r="AS109" s="28"/>
      <c r="AT109" s="28"/>
      <c r="AU109" s="24"/>
      <c r="AV109" s="28"/>
      <c r="AW109" s="28"/>
      <c r="AX109" s="28"/>
      <c r="AY109" s="28"/>
      <c r="AZ109" s="28"/>
      <c r="BA109" s="28"/>
      <c r="BB109" s="24"/>
      <c r="BC109" s="28"/>
      <c r="BD109" s="28"/>
      <c r="BE109" s="28"/>
      <c r="BF109" s="24"/>
      <c r="BG109" s="28"/>
      <c r="BH109" s="28"/>
      <c r="BI109" s="28"/>
      <c r="BJ109" s="3"/>
    </row>
    <row r="110" spans="1:62">
      <c r="A110" s="24"/>
      <c r="B110" s="28"/>
      <c r="C110" s="25"/>
      <c r="D110" s="26"/>
      <c r="E110" s="24"/>
      <c r="F110" s="24"/>
      <c r="G110" s="26"/>
      <c r="H110" s="26"/>
      <c r="I110" s="26"/>
      <c r="J110" s="26"/>
      <c r="K110" s="26"/>
      <c r="L110" s="26"/>
      <c r="M110" s="26"/>
      <c r="N110" s="26"/>
      <c r="P110" s="26"/>
      <c r="Q110" s="577"/>
      <c r="R110" s="25"/>
      <c r="S110" s="577"/>
      <c r="T110" s="25"/>
      <c r="U110" s="24"/>
      <c r="V110" s="24"/>
      <c r="W110" s="24"/>
      <c r="X110" s="26"/>
      <c r="Y110" s="26"/>
      <c r="Z110" s="24"/>
      <c r="AA110" s="24"/>
      <c r="AB110" s="24"/>
      <c r="AC110" s="24"/>
      <c r="AD110" s="26"/>
      <c r="AE110" s="26"/>
      <c r="AF110" s="24"/>
      <c r="AG110" s="24"/>
      <c r="AH110" s="28"/>
      <c r="AI110" s="28"/>
      <c r="AJ110" s="28"/>
      <c r="AK110" s="28"/>
      <c r="AL110" s="28"/>
      <c r="AM110" s="28"/>
      <c r="AN110" s="28"/>
      <c r="AO110" s="28"/>
      <c r="AP110" s="28"/>
      <c r="AQ110" s="28"/>
      <c r="AR110" s="28"/>
      <c r="AS110" s="28"/>
      <c r="AT110" s="28"/>
      <c r="AU110" s="24"/>
      <c r="AV110" s="28"/>
      <c r="AW110" s="28"/>
      <c r="AX110" s="28"/>
      <c r="AY110" s="28"/>
      <c r="AZ110" s="28"/>
      <c r="BA110" s="28"/>
      <c r="BB110" s="24"/>
      <c r="BC110" s="28"/>
      <c r="BD110" s="28"/>
      <c r="BE110" s="28"/>
      <c r="BF110" s="24"/>
      <c r="BG110" s="28"/>
      <c r="BH110" s="28"/>
      <c r="BI110" s="28"/>
      <c r="BJ110" s="3"/>
    </row>
    <row r="111" spans="1:62">
      <c r="A111" s="24"/>
      <c r="B111" s="28"/>
      <c r="C111" s="25"/>
      <c r="D111" s="26"/>
      <c r="E111" s="24"/>
      <c r="F111" s="24"/>
      <c r="G111" s="26"/>
      <c r="H111" s="26"/>
      <c r="I111" s="26"/>
      <c r="J111" s="26"/>
      <c r="K111" s="26"/>
      <c r="L111" s="26"/>
      <c r="M111" s="26"/>
      <c r="N111" s="26"/>
      <c r="P111" s="26"/>
      <c r="Q111" s="26"/>
      <c r="R111" s="25"/>
      <c r="S111" s="25"/>
      <c r="T111" s="25"/>
      <c r="U111" s="24"/>
      <c r="V111" s="24"/>
      <c r="W111" s="24"/>
      <c r="X111" s="26"/>
      <c r="Y111" s="26"/>
      <c r="Z111" s="24"/>
      <c r="AA111" s="24"/>
      <c r="AB111" s="24"/>
      <c r="AC111" s="24"/>
      <c r="AD111" s="26"/>
      <c r="AE111" s="26"/>
      <c r="AF111" s="24"/>
      <c r="AG111" s="24"/>
      <c r="AH111" s="28"/>
      <c r="AI111" s="28"/>
      <c r="AJ111" s="28"/>
      <c r="AK111" s="28"/>
      <c r="AL111" s="28"/>
      <c r="AM111" s="28"/>
      <c r="AN111" s="28"/>
      <c r="AO111" s="28"/>
      <c r="AP111" s="28"/>
      <c r="AQ111" s="28"/>
      <c r="AR111" s="28"/>
      <c r="AS111" s="28"/>
      <c r="AT111" s="28"/>
      <c r="AU111" s="24"/>
      <c r="AV111" s="28"/>
      <c r="AW111" s="28"/>
      <c r="AX111" s="28"/>
      <c r="AY111" s="28"/>
      <c r="AZ111" s="28"/>
      <c r="BA111" s="28"/>
      <c r="BB111" s="24"/>
      <c r="BC111" s="28"/>
      <c r="BD111" s="28"/>
      <c r="BE111" s="28"/>
      <c r="BF111" s="24"/>
      <c r="BG111" s="28"/>
      <c r="BH111" s="28"/>
      <c r="BI111" s="28"/>
      <c r="BJ111" s="3"/>
    </row>
    <row r="112" spans="1:62">
      <c r="A112" s="24"/>
      <c r="B112" s="28"/>
      <c r="C112" s="25"/>
      <c r="D112" s="26"/>
      <c r="E112" s="24"/>
      <c r="F112" s="24"/>
      <c r="G112" s="26"/>
      <c r="H112" s="26"/>
      <c r="I112" s="26"/>
      <c r="J112" s="26"/>
      <c r="K112" s="26"/>
      <c r="L112" s="26"/>
      <c r="M112" s="26"/>
      <c r="N112" s="26"/>
      <c r="P112" s="26"/>
      <c r="Q112" s="26"/>
      <c r="R112" s="25"/>
      <c r="S112" s="25"/>
      <c r="T112" s="25"/>
      <c r="U112" s="25"/>
      <c r="V112" s="24"/>
      <c r="W112" s="24"/>
      <c r="X112" s="24"/>
      <c r="Y112" s="26"/>
      <c r="Z112" s="26"/>
      <c r="AA112" s="24"/>
      <c r="AB112" s="24"/>
      <c r="AC112" s="24"/>
      <c r="AD112" s="24"/>
      <c r="AE112" s="26"/>
      <c r="AF112" s="26"/>
      <c r="AG112" s="24"/>
      <c r="AH112" s="24"/>
      <c r="AI112" s="28"/>
      <c r="AJ112" s="28"/>
      <c r="AK112" s="28"/>
      <c r="AL112" s="28"/>
      <c r="AM112" s="28"/>
      <c r="AN112" s="28"/>
      <c r="AO112" s="28"/>
      <c r="AP112" s="28"/>
      <c r="AQ112" s="28"/>
      <c r="AR112" s="28"/>
      <c r="AS112" s="28"/>
      <c r="AT112" s="28"/>
      <c r="AU112" s="28"/>
      <c r="AV112" s="24"/>
      <c r="AW112" s="28"/>
      <c r="AX112" s="28"/>
      <c r="AY112" s="28"/>
      <c r="AZ112" s="28"/>
      <c r="BA112" s="28"/>
      <c r="BB112" s="28"/>
      <c r="BC112" s="24"/>
      <c r="BD112" s="28"/>
      <c r="BE112" s="28"/>
      <c r="BF112" s="28"/>
      <c r="BG112" s="24"/>
      <c r="BH112" s="28"/>
      <c r="BI112" s="28"/>
      <c r="BJ112" s="28"/>
    </row>
    <row r="113" spans="1:62">
      <c r="A113" s="24"/>
      <c r="B113" s="28"/>
      <c r="C113" s="25"/>
      <c r="D113" s="26"/>
      <c r="E113" s="24"/>
      <c r="F113" s="24"/>
      <c r="G113" s="26"/>
      <c r="H113" s="26"/>
      <c r="I113" s="26"/>
      <c r="J113" s="26"/>
      <c r="K113" s="26"/>
      <c r="L113" s="26"/>
      <c r="M113" s="26"/>
      <c r="N113" s="26"/>
      <c r="P113" s="26"/>
      <c r="Q113" s="26"/>
      <c r="R113" s="25"/>
      <c r="S113" s="25"/>
      <c r="T113" s="25"/>
      <c r="U113" s="25"/>
      <c r="V113" s="24"/>
      <c r="W113" s="24"/>
      <c r="X113" s="24"/>
      <c r="Y113" s="26"/>
      <c r="Z113" s="26"/>
      <c r="AA113" s="24"/>
      <c r="AB113" s="24"/>
      <c r="AC113" s="24"/>
      <c r="AD113" s="24"/>
      <c r="AE113" s="26"/>
      <c r="AF113" s="26"/>
      <c r="AG113" s="24"/>
      <c r="AH113" s="24"/>
      <c r="AI113" s="28"/>
      <c r="AJ113" s="28"/>
      <c r="AK113" s="28"/>
      <c r="AL113" s="28"/>
      <c r="AM113" s="28"/>
      <c r="AN113" s="28"/>
      <c r="AO113" s="28"/>
      <c r="AP113" s="28"/>
      <c r="AQ113" s="28"/>
      <c r="AR113" s="28"/>
      <c r="AS113" s="28"/>
      <c r="AT113" s="28"/>
      <c r="AU113" s="28"/>
      <c r="AV113" s="24"/>
      <c r="AW113" s="28"/>
      <c r="AX113" s="28"/>
      <c r="AY113" s="28"/>
      <c r="AZ113" s="28"/>
      <c r="BA113" s="28"/>
      <c r="BB113" s="28"/>
      <c r="BC113" s="24"/>
      <c r="BD113" s="28"/>
      <c r="BE113" s="28"/>
      <c r="BF113" s="28"/>
      <c r="BG113" s="24"/>
      <c r="BH113" s="28"/>
      <c r="BI113" s="28"/>
      <c r="BJ113" s="28"/>
    </row>
    <row r="114" spans="1:62">
      <c r="A114" s="24"/>
      <c r="B114" s="28"/>
      <c r="C114" s="25"/>
      <c r="D114" s="26"/>
      <c r="E114" s="24"/>
      <c r="F114" s="24"/>
      <c r="G114" s="26"/>
      <c r="H114" s="26"/>
      <c r="I114" s="26"/>
      <c r="J114" s="26"/>
      <c r="K114" s="26"/>
      <c r="L114" s="26"/>
      <c r="M114" s="26"/>
      <c r="N114" s="26"/>
      <c r="P114" s="26"/>
      <c r="Q114" s="26"/>
      <c r="R114" s="25"/>
      <c r="S114" s="25"/>
      <c r="T114" s="25"/>
      <c r="U114" s="25"/>
      <c r="V114" s="24"/>
      <c r="W114" s="24"/>
      <c r="X114" s="24"/>
      <c r="Y114" s="26"/>
      <c r="Z114" s="26"/>
      <c r="AA114" s="24"/>
      <c r="AB114" s="24"/>
      <c r="AC114" s="24"/>
      <c r="AD114" s="24"/>
      <c r="AE114" s="26"/>
      <c r="AF114" s="26"/>
      <c r="AG114" s="24"/>
      <c r="AH114" s="24"/>
      <c r="AI114" s="28"/>
      <c r="AJ114" s="28"/>
      <c r="AK114" s="28"/>
      <c r="AL114" s="28"/>
      <c r="AM114" s="28"/>
      <c r="AN114" s="28"/>
      <c r="AO114" s="28"/>
      <c r="AP114" s="28"/>
      <c r="AQ114" s="28"/>
      <c r="AR114" s="28"/>
      <c r="AS114" s="28"/>
      <c r="AT114" s="28"/>
      <c r="AU114" s="28"/>
      <c r="AV114" s="24"/>
      <c r="AW114" s="28"/>
      <c r="AX114" s="28"/>
      <c r="AY114" s="28"/>
      <c r="AZ114" s="28"/>
      <c r="BA114" s="28"/>
      <c r="BB114" s="28"/>
      <c r="BC114" s="24"/>
      <c r="BD114" s="28"/>
      <c r="BE114" s="28"/>
      <c r="BF114" s="28"/>
      <c r="BG114" s="24"/>
      <c r="BH114" s="28"/>
      <c r="BI114" s="28"/>
      <c r="BJ114" s="28"/>
    </row>
    <row r="115" spans="1:62">
      <c r="A115" s="24"/>
      <c r="B115" s="28"/>
      <c r="C115" s="25"/>
      <c r="D115" s="26"/>
      <c r="E115" s="24"/>
      <c r="F115" s="24"/>
      <c r="G115" s="26"/>
      <c r="H115" s="26"/>
      <c r="I115" s="26"/>
      <c r="J115" s="26"/>
      <c r="K115" s="26"/>
      <c r="L115" s="26"/>
      <c r="M115" s="26"/>
      <c r="N115" s="26"/>
      <c r="P115" s="26"/>
      <c r="Q115" s="26"/>
      <c r="R115" s="25"/>
      <c r="S115" s="25"/>
      <c r="T115" s="25"/>
      <c r="U115" s="25"/>
      <c r="V115" s="24"/>
      <c r="W115" s="24"/>
      <c r="X115" s="24"/>
      <c r="Y115" s="26"/>
      <c r="Z115" s="26"/>
      <c r="AA115" s="24"/>
      <c r="AB115" s="24"/>
      <c r="AC115" s="24"/>
      <c r="AD115" s="24"/>
      <c r="AE115" s="26"/>
      <c r="AF115" s="26"/>
      <c r="AG115" s="24"/>
      <c r="AH115" s="24"/>
      <c r="AI115" s="28"/>
      <c r="AJ115" s="28"/>
      <c r="AK115" s="28"/>
      <c r="AL115" s="28"/>
      <c r="AM115" s="28"/>
      <c r="AN115" s="28"/>
      <c r="AO115" s="28"/>
      <c r="AP115" s="28"/>
      <c r="AQ115" s="28"/>
      <c r="AR115" s="28"/>
      <c r="AS115" s="28"/>
      <c r="AT115" s="28"/>
      <c r="AU115" s="28"/>
      <c r="AV115" s="24"/>
      <c r="AW115" s="28"/>
      <c r="AX115" s="28"/>
      <c r="AY115" s="28"/>
      <c r="AZ115" s="28"/>
      <c r="BA115" s="28"/>
      <c r="BB115" s="28"/>
      <c r="BC115" s="24"/>
      <c r="BD115" s="28"/>
      <c r="BE115" s="28"/>
      <c r="BF115" s="28"/>
      <c r="BG115" s="24"/>
      <c r="BH115" s="28"/>
      <c r="BI115" s="28"/>
      <c r="BJ115" s="28"/>
    </row>
    <row r="116" spans="1:62">
      <c r="A116" s="24"/>
      <c r="B116" s="28"/>
      <c r="C116" s="25"/>
      <c r="D116" s="26"/>
      <c r="E116" s="24"/>
      <c r="F116" s="24"/>
      <c r="G116" s="26"/>
      <c r="H116" s="26"/>
      <c r="I116" s="26"/>
      <c r="J116" s="26"/>
      <c r="K116" s="26"/>
      <c r="L116" s="26"/>
      <c r="M116" s="26"/>
      <c r="N116" s="26"/>
      <c r="P116" s="26"/>
      <c r="Q116" s="26"/>
      <c r="R116" s="25"/>
      <c r="S116" s="25"/>
      <c r="T116" s="25"/>
      <c r="U116" s="25"/>
      <c r="V116" s="24"/>
      <c r="W116" s="24"/>
      <c r="X116" s="24"/>
      <c r="Y116" s="26"/>
      <c r="Z116" s="26"/>
      <c r="AA116" s="24"/>
      <c r="AB116" s="24"/>
      <c r="AC116" s="24"/>
      <c r="AD116" s="24"/>
      <c r="AE116" s="26"/>
      <c r="AF116" s="26"/>
      <c r="AG116" s="24"/>
      <c r="AH116" s="24"/>
      <c r="AI116" s="28"/>
      <c r="AJ116" s="28"/>
      <c r="AK116" s="28"/>
      <c r="AL116" s="28"/>
      <c r="AM116" s="28"/>
      <c r="AN116" s="28"/>
      <c r="AO116" s="28"/>
      <c r="AP116" s="28"/>
      <c r="AQ116" s="28"/>
      <c r="AR116" s="28"/>
      <c r="AS116" s="28"/>
      <c r="AT116" s="28"/>
      <c r="AU116" s="28"/>
      <c r="AV116" s="24"/>
      <c r="AW116" s="28"/>
      <c r="AX116" s="28"/>
      <c r="AY116" s="28"/>
      <c r="AZ116" s="28"/>
      <c r="BA116" s="28"/>
      <c r="BB116" s="28"/>
      <c r="BC116" s="24"/>
      <c r="BD116" s="28"/>
      <c r="BE116" s="28"/>
      <c r="BF116" s="28"/>
      <c r="BG116" s="24"/>
      <c r="BH116" s="28"/>
      <c r="BI116" s="28"/>
      <c r="BJ116" s="28"/>
    </row>
    <row r="117" spans="1:62">
      <c r="A117" s="24"/>
      <c r="B117" s="28"/>
      <c r="C117" s="25"/>
      <c r="D117" s="26"/>
      <c r="E117" s="24"/>
      <c r="F117" s="24"/>
      <c r="G117" s="26"/>
      <c r="H117" s="26"/>
      <c r="I117" s="26"/>
      <c r="J117" s="26"/>
      <c r="K117" s="26"/>
      <c r="L117" s="26"/>
      <c r="M117" s="26"/>
      <c r="N117" s="26"/>
      <c r="P117" s="26"/>
      <c r="Q117" s="26"/>
      <c r="R117" s="25"/>
      <c r="S117" s="25"/>
      <c r="T117" s="25"/>
      <c r="U117" s="25"/>
      <c r="V117" s="24"/>
      <c r="W117" s="24"/>
      <c r="X117" s="24"/>
      <c r="Y117" s="26"/>
      <c r="Z117" s="26"/>
      <c r="AA117" s="24"/>
      <c r="AB117" s="24"/>
      <c r="AC117" s="24"/>
      <c r="AD117" s="24"/>
      <c r="AE117" s="26"/>
      <c r="AF117" s="26"/>
      <c r="AG117" s="24"/>
      <c r="AH117" s="24"/>
      <c r="AI117" s="28"/>
      <c r="AJ117" s="28"/>
      <c r="AK117" s="28"/>
      <c r="AL117" s="28"/>
      <c r="AM117" s="28"/>
      <c r="AN117" s="28"/>
      <c r="AO117" s="28"/>
      <c r="AP117" s="28"/>
      <c r="AQ117" s="28"/>
      <c r="AR117" s="28"/>
      <c r="AS117" s="28"/>
      <c r="AT117" s="28"/>
      <c r="AU117" s="28"/>
      <c r="AV117" s="24"/>
      <c r="AW117" s="28"/>
      <c r="AX117" s="28"/>
      <c r="AY117" s="28"/>
      <c r="AZ117" s="28"/>
      <c r="BA117" s="28"/>
      <c r="BB117" s="28"/>
      <c r="BC117" s="24"/>
      <c r="BD117" s="28"/>
      <c r="BE117" s="28"/>
      <c r="BF117" s="28"/>
      <c r="BG117" s="24"/>
      <c r="BH117" s="28"/>
      <c r="BI117" s="28"/>
      <c r="BJ117" s="28"/>
    </row>
    <row r="118" spans="1:62">
      <c r="A118" s="24"/>
      <c r="B118" s="28"/>
      <c r="C118" s="25"/>
      <c r="D118" s="26"/>
      <c r="E118" s="24"/>
      <c r="F118" s="24"/>
      <c r="G118" s="26"/>
      <c r="H118" s="26"/>
      <c r="I118" s="26"/>
      <c r="J118" s="26"/>
      <c r="K118" s="26"/>
      <c r="L118" s="26"/>
      <c r="M118" s="26"/>
      <c r="N118" s="26"/>
      <c r="P118" s="26"/>
      <c r="Q118" s="26"/>
      <c r="R118" s="25"/>
      <c r="S118" s="25"/>
      <c r="T118" s="25"/>
      <c r="U118" s="25"/>
      <c r="V118" s="24"/>
      <c r="W118" s="24"/>
      <c r="X118" s="24"/>
      <c r="Y118" s="26"/>
      <c r="Z118" s="26"/>
      <c r="AA118" s="24"/>
      <c r="AB118" s="24"/>
      <c r="AC118" s="24"/>
      <c r="AD118" s="24"/>
      <c r="AE118" s="26"/>
      <c r="AF118" s="26"/>
      <c r="AG118" s="24"/>
      <c r="AH118" s="24"/>
      <c r="AI118" s="28"/>
      <c r="AJ118" s="28"/>
      <c r="AK118" s="28"/>
      <c r="AL118" s="28"/>
      <c r="AM118" s="28"/>
      <c r="AN118" s="28"/>
      <c r="AO118" s="28"/>
      <c r="AP118" s="28"/>
      <c r="AQ118" s="28"/>
      <c r="AR118" s="28"/>
      <c r="AS118" s="28"/>
      <c r="AT118" s="28"/>
      <c r="AU118" s="28"/>
      <c r="AV118" s="24"/>
      <c r="AW118" s="28"/>
      <c r="AX118" s="28"/>
      <c r="AY118" s="28"/>
      <c r="AZ118" s="28"/>
      <c r="BA118" s="28"/>
      <c r="BB118" s="28"/>
      <c r="BC118" s="24"/>
      <c r="BD118" s="28"/>
      <c r="BE118" s="28"/>
      <c r="BF118" s="28"/>
      <c r="BG118" s="24"/>
      <c r="BH118" s="28"/>
      <c r="BI118" s="28"/>
      <c r="BJ118" s="28"/>
    </row>
    <row r="119" spans="1:62">
      <c r="A119" s="24"/>
      <c r="B119" s="28"/>
      <c r="C119" s="25"/>
      <c r="D119" s="26"/>
      <c r="E119" s="24"/>
      <c r="F119" s="24"/>
      <c r="G119" s="26"/>
      <c r="H119" s="26"/>
      <c r="I119" s="26"/>
      <c r="J119" s="26"/>
      <c r="K119" s="26"/>
      <c r="L119" s="26"/>
      <c r="M119" s="26"/>
      <c r="N119" s="26"/>
      <c r="P119" s="26"/>
      <c r="Q119" s="26"/>
      <c r="R119" s="25"/>
      <c r="S119" s="25"/>
      <c r="T119" s="25"/>
      <c r="U119" s="25"/>
      <c r="V119" s="24"/>
      <c r="W119" s="24"/>
      <c r="X119" s="24"/>
      <c r="Y119" s="26"/>
      <c r="Z119" s="26"/>
      <c r="AA119" s="24"/>
      <c r="AB119" s="24"/>
      <c r="AC119" s="24"/>
      <c r="AD119" s="24"/>
      <c r="AE119" s="26"/>
      <c r="AF119" s="26"/>
      <c r="AG119" s="24"/>
      <c r="AH119" s="24"/>
      <c r="AI119" s="28"/>
      <c r="AJ119" s="28"/>
      <c r="AK119" s="28"/>
      <c r="AL119" s="28"/>
      <c r="AM119" s="28"/>
      <c r="AN119" s="28"/>
      <c r="AO119" s="28"/>
      <c r="AP119" s="28"/>
      <c r="AQ119" s="28"/>
      <c r="AR119" s="28"/>
      <c r="AS119" s="28"/>
      <c r="AT119" s="28"/>
      <c r="AU119" s="28"/>
      <c r="AV119" s="24"/>
      <c r="AW119" s="28"/>
      <c r="AX119" s="28"/>
      <c r="AY119" s="28"/>
      <c r="AZ119" s="28"/>
      <c r="BA119" s="28"/>
      <c r="BB119" s="28"/>
      <c r="BC119" s="24"/>
      <c r="BD119" s="28"/>
      <c r="BE119" s="28"/>
      <c r="BF119" s="28"/>
      <c r="BG119" s="24"/>
      <c r="BH119" s="28"/>
      <c r="BI119" s="28"/>
      <c r="BJ119" s="28"/>
    </row>
    <row r="120" spans="1:62">
      <c r="A120" s="24"/>
      <c r="B120" s="28"/>
      <c r="C120" s="25"/>
      <c r="D120" s="26"/>
      <c r="E120" s="24"/>
      <c r="F120" s="24"/>
      <c r="G120" s="26"/>
      <c r="H120" s="26"/>
      <c r="I120" s="26"/>
      <c r="J120" s="26"/>
      <c r="K120" s="26"/>
      <c r="L120" s="26"/>
      <c r="M120" s="26"/>
      <c r="N120" s="26"/>
      <c r="P120" s="26"/>
      <c r="Q120" s="26"/>
      <c r="R120" s="25"/>
      <c r="S120" s="25"/>
      <c r="T120" s="25"/>
      <c r="U120" s="25"/>
      <c r="V120" s="24"/>
      <c r="W120" s="24"/>
      <c r="X120" s="24"/>
      <c r="Y120" s="26"/>
      <c r="Z120" s="26"/>
      <c r="AA120" s="24"/>
      <c r="AB120" s="24"/>
      <c r="AC120" s="24"/>
      <c r="AD120" s="24"/>
      <c r="AE120" s="26"/>
      <c r="AF120" s="26"/>
      <c r="AG120" s="24"/>
      <c r="AH120" s="24"/>
      <c r="AI120" s="28"/>
      <c r="AJ120" s="28"/>
      <c r="AK120" s="28"/>
      <c r="AL120" s="28"/>
      <c r="AM120" s="28"/>
      <c r="AN120" s="28"/>
      <c r="AO120" s="28"/>
      <c r="AP120" s="28"/>
      <c r="AQ120" s="28"/>
      <c r="AR120" s="28"/>
      <c r="AS120" s="28"/>
      <c r="AT120" s="28"/>
      <c r="AU120" s="28"/>
      <c r="AV120" s="24"/>
      <c r="AW120" s="28"/>
      <c r="AX120" s="28"/>
      <c r="AY120" s="28"/>
      <c r="AZ120" s="28"/>
      <c r="BA120" s="28"/>
      <c r="BB120" s="28"/>
      <c r="BC120" s="24"/>
      <c r="BD120" s="28"/>
      <c r="BE120" s="28"/>
      <c r="BF120" s="28"/>
      <c r="BG120" s="24"/>
      <c r="BH120" s="28"/>
      <c r="BI120" s="28"/>
      <c r="BJ120" s="28"/>
    </row>
    <row r="121" spans="1:62">
      <c r="A121" s="24"/>
      <c r="B121" s="28"/>
      <c r="C121" s="25"/>
      <c r="D121" s="26"/>
      <c r="E121" s="24"/>
      <c r="F121" s="24"/>
      <c r="G121" s="26"/>
      <c r="H121" s="26"/>
      <c r="I121" s="26"/>
      <c r="J121" s="26"/>
      <c r="K121" s="26"/>
      <c r="L121" s="26"/>
      <c r="M121" s="26"/>
      <c r="N121" s="26"/>
      <c r="P121" s="26"/>
      <c r="Q121" s="26"/>
      <c r="R121" s="25"/>
      <c r="S121" s="25"/>
      <c r="T121" s="25"/>
      <c r="U121" s="25"/>
      <c r="V121" s="24"/>
      <c r="W121" s="24"/>
      <c r="X121" s="24"/>
      <c r="Y121" s="26"/>
      <c r="Z121" s="26"/>
      <c r="AA121" s="24"/>
      <c r="AB121" s="24"/>
      <c r="AC121" s="24"/>
      <c r="AD121" s="24"/>
      <c r="AE121" s="26"/>
      <c r="AF121" s="26"/>
      <c r="AG121" s="24"/>
      <c r="AH121" s="24"/>
      <c r="AI121" s="28"/>
      <c r="AJ121" s="28"/>
      <c r="AK121" s="28"/>
      <c r="AL121" s="28"/>
      <c r="AM121" s="28"/>
      <c r="AN121" s="28"/>
      <c r="AO121" s="28"/>
      <c r="AP121" s="28"/>
      <c r="AQ121" s="28"/>
      <c r="AR121" s="28"/>
      <c r="AS121" s="28"/>
      <c r="AT121" s="28"/>
      <c r="AU121" s="28"/>
      <c r="AV121" s="24"/>
      <c r="AW121" s="28"/>
      <c r="AX121" s="28"/>
      <c r="AY121" s="28"/>
      <c r="AZ121" s="28"/>
      <c r="BA121" s="28"/>
      <c r="BB121" s="28"/>
      <c r="BC121" s="24"/>
      <c r="BD121" s="28"/>
      <c r="BE121" s="28"/>
      <c r="BF121" s="28"/>
      <c r="BG121" s="24"/>
      <c r="BH121" s="28"/>
      <c r="BI121" s="28"/>
      <c r="BJ121" s="28"/>
    </row>
    <row r="122" spans="1:62">
      <c r="A122" s="24"/>
      <c r="B122" s="28"/>
      <c r="C122" s="25"/>
      <c r="D122" s="26"/>
      <c r="E122" s="24"/>
      <c r="F122" s="24"/>
      <c r="G122" s="26"/>
      <c r="H122" s="26"/>
      <c r="I122" s="26"/>
      <c r="J122" s="26"/>
      <c r="K122" s="26"/>
      <c r="L122" s="26"/>
      <c r="M122" s="26"/>
      <c r="N122" s="26"/>
      <c r="P122" s="26"/>
      <c r="Q122" s="26"/>
      <c r="R122" s="25"/>
      <c r="S122" s="25"/>
      <c r="T122" s="25"/>
      <c r="U122" s="25"/>
      <c r="V122" s="24"/>
      <c r="W122" s="24"/>
      <c r="X122" s="24"/>
      <c r="Y122" s="26"/>
      <c r="Z122" s="26"/>
      <c r="AA122" s="24"/>
      <c r="AB122" s="24"/>
      <c r="AC122" s="24"/>
      <c r="AD122" s="24"/>
      <c r="AE122" s="26"/>
      <c r="AF122" s="26"/>
      <c r="AG122" s="24"/>
      <c r="AH122" s="24"/>
      <c r="AI122" s="28"/>
      <c r="AJ122" s="28"/>
      <c r="AK122" s="28"/>
      <c r="AL122" s="28"/>
      <c r="AM122" s="28"/>
      <c r="AN122" s="28"/>
      <c r="AO122" s="28"/>
      <c r="AP122" s="28"/>
      <c r="AQ122" s="28"/>
      <c r="AR122" s="28"/>
      <c r="AS122" s="28"/>
      <c r="AT122" s="28"/>
      <c r="AU122" s="28"/>
      <c r="AV122" s="24"/>
      <c r="AW122" s="28"/>
      <c r="AX122" s="28"/>
      <c r="AY122" s="28"/>
      <c r="AZ122" s="28"/>
      <c r="BA122" s="28"/>
      <c r="BB122" s="28"/>
      <c r="BC122" s="24"/>
      <c r="BD122" s="28"/>
      <c r="BE122" s="28"/>
      <c r="BF122" s="28"/>
      <c r="BG122" s="24"/>
      <c r="BH122" s="28"/>
      <c r="BI122" s="28"/>
      <c r="BJ122" s="28"/>
    </row>
    <row r="123" spans="1:62">
      <c r="A123" s="24"/>
      <c r="B123" s="28"/>
      <c r="C123" s="25"/>
      <c r="D123" s="26"/>
      <c r="E123" s="24"/>
      <c r="F123" s="24"/>
      <c r="G123" s="26"/>
      <c r="H123" s="26"/>
      <c r="I123" s="26"/>
      <c r="J123" s="26"/>
      <c r="K123" s="26"/>
      <c r="L123" s="26"/>
      <c r="M123" s="26"/>
      <c r="N123" s="26"/>
      <c r="P123" s="26"/>
      <c r="Q123" s="26"/>
      <c r="R123" s="25"/>
      <c r="S123" s="25"/>
      <c r="T123" s="25"/>
      <c r="U123" s="25"/>
      <c r="V123" s="24"/>
      <c r="W123" s="24"/>
      <c r="X123" s="24"/>
      <c r="Y123" s="26"/>
      <c r="Z123" s="26"/>
      <c r="AA123" s="24"/>
      <c r="AB123" s="24"/>
      <c r="AC123" s="24"/>
      <c r="AD123" s="24"/>
      <c r="AE123" s="26"/>
      <c r="AF123" s="26"/>
      <c r="AG123" s="24"/>
      <c r="AH123" s="24"/>
      <c r="AI123" s="28"/>
      <c r="AJ123" s="28"/>
      <c r="AK123" s="28"/>
      <c r="AL123" s="28"/>
      <c r="AM123" s="28"/>
      <c r="AN123" s="28"/>
      <c r="AO123" s="28"/>
      <c r="AP123" s="28"/>
      <c r="AQ123" s="28"/>
      <c r="AR123" s="28"/>
      <c r="AS123" s="28"/>
      <c r="AT123" s="28"/>
      <c r="AU123" s="28"/>
      <c r="AV123" s="24"/>
      <c r="AW123" s="28"/>
      <c r="AX123" s="28"/>
      <c r="AY123" s="28"/>
      <c r="AZ123" s="28"/>
      <c r="BA123" s="28"/>
      <c r="BB123" s="28"/>
      <c r="BC123" s="24"/>
      <c r="BD123" s="28"/>
      <c r="BE123" s="28"/>
      <c r="BF123" s="28"/>
      <c r="BG123" s="24"/>
      <c r="BH123" s="28"/>
      <c r="BI123" s="28"/>
      <c r="BJ123" s="28"/>
    </row>
    <row r="124" spans="1:62">
      <c r="A124" s="24"/>
      <c r="B124" s="28"/>
      <c r="C124" s="25"/>
      <c r="D124" s="26"/>
      <c r="E124" s="24"/>
      <c r="F124" s="24"/>
      <c r="G124" s="26"/>
      <c r="H124" s="26"/>
      <c r="I124" s="26"/>
      <c r="J124" s="26"/>
      <c r="K124" s="26"/>
      <c r="L124" s="26"/>
      <c r="M124" s="26"/>
      <c r="N124" s="26"/>
      <c r="P124" s="26"/>
      <c r="Q124" s="26"/>
      <c r="R124" s="25"/>
      <c r="S124" s="25"/>
      <c r="T124" s="25"/>
      <c r="U124" s="25"/>
      <c r="V124" s="24"/>
      <c r="W124" s="24"/>
      <c r="X124" s="24"/>
      <c r="Y124" s="26"/>
      <c r="Z124" s="26"/>
      <c r="AA124" s="24"/>
      <c r="AB124" s="24"/>
      <c r="AC124" s="24"/>
      <c r="AD124" s="24"/>
      <c r="AE124" s="26"/>
      <c r="AF124" s="26"/>
      <c r="AG124" s="24"/>
      <c r="AH124" s="24"/>
      <c r="AI124" s="28"/>
      <c r="AJ124" s="28"/>
      <c r="AK124" s="28"/>
      <c r="AL124" s="28"/>
      <c r="AM124" s="28"/>
      <c r="AN124" s="28"/>
      <c r="AO124" s="28"/>
      <c r="AP124" s="28"/>
      <c r="AQ124" s="28"/>
      <c r="AR124" s="28"/>
      <c r="AS124" s="28"/>
      <c r="AT124" s="28"/>
      <c r="AU124" s="28"/>
      <c r="AV124" s="24"/>
      <c r="AW124" s="28"/>
      <c r="AX124" s="28"/>
      <c r="AY124" s="28"/>
      <c r="AZ124" s="28"/>
      <c r="BA124" s="28"/>
      <c r="BB124" s="28"/>
      <c r="BC124" s="24"/>
      <c r="BD124" s="28"/>
      <c r="BE124" s="28"/>
      <c r="BF124" s="28"/>
      <c r="BG124" s="24"/>
      <c r="BH124" s="28"/>
      <c r="BI124" s="28"/>
      <c r="BJ124" s="28"/>
    </row>
    <row r="125" spans="1:62">
      <c r="A125" s="24"/>
      <c r="B125" s="28"/>
      <c r="C125" s="25"/>
      <c r="D125" s="26"/>
      <c r="E125" s="24"/>
      <c r="F125" s="24"/>
      <c r="G125" s="26"/>
      <c r="H125" s="26"/>
      <c r="I125" s="26"/>
      <c r="J125" s="26"/>
      <c r="K125" s="26"/>
      <c r="L125" s="26"/>
      <c r="M125" s="26"/>
      <c r="N125" s="26"/>
      <c r="P125" s="26"/>
      <c r="Q125" s="26"/>
      <c r="R125" s="25"/>
      <c r="S125" s="25"/>
      <c r="T125" s="25"/>
      <c r="U125" s="25"/>
      <c r="V125" s="24"/>
      <c r="W125" s="24"/>
      <c r="X125" s="24"/>
      <c r="Y125" s="26"/>
      <c r="Z125" s="26"/>
      <c r="AA125" s="24"/>
      <c r="AB125" s="24"/>
      <c r="AC125" s="24"/>
      <c r="AD125" s="24"/>
      <c r="AE125" s="26"/>
      <c r="AF125" s="26"/>
      <c r="AG125" s="24"/>
      <c r="AH125" s="24"/>
      <c r="AI125" s="28"/>
      <c r="AJ125" s="28"/>
      <c r="AK125" s="28"/>
      <c r="AL125" s="28"/>
      <c r="AM125" s="28"/>
      <c r="AN125" s="28"/>
      <c r="AO125" s="28"/>
      <c r="AP125" s="28"/>
      <c r="AQ125" s="28"/>
      <c r="AR125" s="28"/>
      <c r="AS125" s="28"/>
      <c r="AT125" s="28"/>
      <c r="AU125" s="28"/>
      <c r="AV125" s="24"/>
      <c r="AW125" s="28"/>
      <c r="AX125" s="28"/>
      <c r="AY125" s="28"/>
      <c r="AZ125" s="28"/>
      <c r="BA125" s="28"/>
      <c r="BB125" s="28"/>
      <c r="BC125" s="24"/>
      <c r="BD125" s="28"/>
      <c r="BE125" s="28"/>
      <c r="BF125" s="28"/>
      <c r="BG125" s="24"/>
      <c r="BH125" s="28"/>
      <c r="BI125" s="28"/>
      <c r="BJ125" s="28"/>
    </row>
    <row r="126" spans="1:62">
      <c r="A126" s="24"/>
      <c r="B126" s="28"/>
      <c r="C126" s="25"/>
      <c r="D126" s="26"/>
      <c r="E126" s="24"/>
      <c r="F126" s="24"/>
      <c r="G126" s="26"/>
      <c r="H126" s="26"/>
      <c r="I126" s="26"/>
      <c r="J126" s="26"/>
      <c r="K126" s="26"/>
      <c r="L126" s="26"/>
      <c r="M126" s="26"/>
      <c r="N126" s="26"/>
      <c r="P126" s="26"/>
      <c r="Q126" s="26"/>
      <c r="R126" s="25"/>
      <c r="S126" s="25"/>
      <c r="T126" s="25"/>
      <c r="U126" s="25"/>
      <c r="V126" s="24"/>
      <c r="W126" s="24"/>
      <c r="X126" s="24"/>
      <c r="Y126" s="26"/>
      <c r="Z126" s="26"/>
      <c r="AA126" s="24"/>
      <c r="AB126" s="24"/>
      <c r="AC126" s="24"/>
      <c r="AD126" s="24"/>
      <c r="AE126" s="26"/>
      <c r="AF126" s="26"/>
      <c r="AG126" s="24"/>
      <c r="AH126" s="24"/>
      <c r="AI126" s="28"/>
      <c r="AJ126" s="28"/>
      <c r="AK126" s="28"/>
      <c r="AL126" s="28"/>
      <c r="AM126" s="28"/>
      <c r="AN126" s="28"/>
      <c r="AO126" s="28"/>
      <c r="AP126" s="28"/>
      <c r="AQ126" s="28"/>
      <c r="AR126" s="28"/>
      <c r="AS126" s="28"/>
      <c r="AT126" s="28"/>
      <c r="AU126" s="28"/>
      <c r="AV126" s="24"/>
      <c r="AW126" s="28"/>
      <c r="AX126" s="28"/>
      <c r="AY126" s="28"/>
      <c r="AZ126" s="28"/>
      <c r="BA126" s="28"/>
      <c r="BB126" s="28"/>
      <c r="BC126" s="24"/>
      <c r="BD126" s="28"/>
      <c r="BE126" s="28"/>
      <c r="BF126" s="28"/>
      <c r="BG126" s="24"/>
      <c r="BH126" s="28"/>
      <c r="BI126" s="28"/>
      <c r="BJ126" s="28"/>
    </row>
    <row r="127" spans="1:62">
      <c r="A127" s="24"/>
      <c r="B127" s="28"/>
      <c r="C127" s="25"/>
      <c r="D127" s="26"/>
      <c r="E127" s="24"/>
      <c r="F127" s="24"/>
      <c r="G127" s="26"/>
      <c r="H127" s="26"/>
      <c r="I127" s="26"/>
      <c r="J127" s="26"/>
      <c r="K127" s="26"/>
      <c r="L127" s="26"/>
      <c r="M127" s="26"/>
      <c r="N127" s="26"/>
      <c r="P127" s="26"/>
      <c r="Q127" s="26"/>
      <c r="R127" s="25"/>
      <c r="S127" s="25"/>
      <c r="T127" s="25"/>
      <c r="U127" s="25"/>
      <c r="V127" s="24"/>
      <c r="W127" s="24"/>
      <c r="X127" s="24"/>
      <c r="Y127" s="26"/>
      <c r="Z127" s="26"/>
      <c r="AA127" s="24"/>
      <c r="AB127" s="24"/>
      <c r="AC127" s="24"/>
      <c r="AD127" s="24"/>
      <c r="AE127" s="26"/>
      <c r="AF127" s="26"/>
      <c r="AG127" s="24"/>
      <c r="AH127" s="24"/>
      <c r="AI127" s="28"/>
      <c r="AJ127" s="28"/>
      <c r="AK127" s="28"/>
      <c r="AL127" s="28"/>
      <c r="AM127" s="28"/>
      <c r="AN127" s="28"/>
      <c r="AO127" s="28"/>
      <c r="AP127" s="28"/>
      <c r="AQ127" s="28"/>
      <c r="AR127" s="28"/>
      <c r="AS127" s="28"/>
      <c r="AT127" s="28"/>
      <c r="AU127" s="28"/>
      <c r="AV127" s="24"/>
      <c r="AW127" s="28"/>
      <c r="AX127" s="28"/>
      <c r="AY127" s="28"/>
      <c r="AZ127" s="28"/>
      <c r="BA127" s="28"/>
      <c r="BB127" s="28"/>
      <c r="BC127" s="24"/>
      <c r="BD127" s="28"/>
      <c r="BE127" s="28"/>
      <c r="BF127" s="28"/>
      <c r="BG127" s="24"/>
      <c r="BH127" s="28"/>
      <c r="BI127" s="28"/>
      <c r="BJ127" s="28"/>
    </row>
    <row r="128" spans="1:62">
      <c r="A128" s="24"/>
      <c r="B128" s="28"/>
      <c r="C128" s="25"/>
      <c r="D128" s="26"/>
      <c r="E128" s="24"/>
      <c r="F128" s="24"/>
      <c r="G128" s="26"/>
      <c r="H128" s="26"/>
      <c r="I128" s="26"/>
      <c r="J128" s="26"/>
      <c r="K128" s="26"/>
      <c r="L128" s="26"/>
      <c r="M128" s="26"/>
      <c r="N128" s="26"/>
      <c r="P128" s="26"/>
      <c r="Q128" s="26"/>
      <c r="R128" s="25"/>
      <c r="S128" s="25"/>
      <c r="T128" s="25"/>
      <c r="U128" s="25"/>
      <c r="V128" s="24"/>
      <c r="W128" s="24"/>
      <c r="X128" s="24"/>
      <c r="Y128" s="26"/>
      <c r="Z128" s="26"/>
      <c r="AA128" s="24"/>
      <c r="AB128" s="24"/>
      <c r="AC128" s="24"/>
      <c r="AD128" s="24"/>
      <c r="AE128" s="26"/>
      <c r="AF128" s="26"/>
      <c r="AG128" s="24"/>
      <c r="AH128" s="24"/>
      <c r="AI128" s="28"/>
      <c r="AJ128" s="28"/>
      <c r="AK128" s="28"/>
      <c r="AL128" s="28"/>
      <c r="AM128" s="28"/>
      <c r="AN128" s="28"/>
      <c r="AO128" s="28"/>
      <c r="AP128" s="28"/>
      <c r="AQ128" s="28"/>
      <c r="AR128" s="28"/>
      <c r="AS128" s="28"/>
      <c r="AT128" s="28"/>
      <c r="AU128" s="28"/>
      <c r="AV128" s="24"/>
      <c r="AW128" s="28"/>
      <c r="AX128" s="28"/>
      <c r="AY128" s="28"/>
      <c r="AZ128" s="28"/>
      <c r="BA128" s="28"/>
      <c r="BB128" s="28"/>
      <c r="BC128" s="24"/>
      <c r="BD128" s="28"/>
      <c r="BE128" s="28"/>
      <c r="BF128" s="28"/>
      <c r="BG128" s="24"/>
      <c r="BH128" s="28"/>
      <c r="BI128" s="28"/>
      <c r="BJ128" s="28"/>
    </row>
    <row r="129" spans="1:62">
      <c r="A129" s="24"/>
      <c r="B129" s="28"/>
      <c r="C129" s="25"/>
      <c r="D129" s="26"/>
      <c r="E129" s="24"/>
      <c r="F129" s="24"/>
      <c r="G129" s="26"/>
      <c r="H129" s="26"/>
      <c r="I129" s="26"/>
      <c r="J129" s="26"/>
      <c r="K129" s="26"/>
      <c r="L129" s="26"/>
      <c r="M129" s="26"/>
      <c r="N129" s="26"/>
      <c r="P129" s="26"/>
      <c r="Q129" s="26"/>
      <c r="R129" s="25"/>
      <c r="S129" s="25"/>
      <c r="T129" s="25"/>
      <c r="U129" s="25"/>
      <c r="V129" s="24"/>
      <c r="W129" s="24"/>
      <c r="X129" s="24"/>
      <c r="Y129" s="26"/>
      <c r="Z129" s="26"/>
      <c r="AA129" s="24"/>
      <c r="AB129" s="24"/>
      <c r="AC129" s="24"/>
      <c r="AD129" s="24"/>
      <c r="AE129" s="26"/>
      <c r="AF129" s="26"/>
      <c r="AG129" s="24"/>
      <c r="AH129" s="24"/>
      <c r="AI129" s="28"/>
      <c r="AJ129" s="28"/>
      <c r="AK129" s="28"/>
      <c r="AL129" s="28"/>
      <c r="AM129" s="28"/>
      <c r="AN129" s="28"/>
      <c r="AO129" s="28"/>
      <c r="AP129" s="28"/>
      <c r="AQ129" s="28"/>
      <c r="AR129" s="28"/>
      <c r="AS129" s="28"/>
      <c r="AT129" s="28"/>
      <c r="AU129" s="28"/>
      <c r="AV129" s="24"/>
      <c r="AW129" s="28"/>
      <c r="AX129" s="28"/>
      <c r="AY129" s="28"/>
      <c r="AZ129" s="28"/>
      <c r="BA129" s="28"/>
      <c r="BB129" s="28"/>
      <c r="BC129" s="24"/>
      <c r="BD129" s="28"/>
      <c r="BE129" s="28"/>
      <c r="BF129" s="28"/>
      <c r="BG129" s="24"/>
      <c r="BH129" s="28"/>
      <c r="BI129" s="28"/>
      <c r="BJ129" s="28"/>
    </row>
    <row r="130" spans="1:62">
      <c r="A130" s="24"/>
      <c r="B130" s="28"/>
      <c r="C130" s="25"/>
      <c r="D130" s="26"/>
      <c r="E130" s="24"/>
      <c r="F130" s="24"/>
      <c r="G130" s="26"/>
      <c r="H130" s="26"/>
      <c r="I130" s="26"/>
      <c r="J130" s="26"/>
      <c r="K130" s="26"/>
      <c r="L130" s="26"/>
      <c r="M130" s="26"/>
      <c r="N130" s="26"/>
      <c r="P130" s="26"/>
      <c r="Q130" s="26"/>
      <c r="R130" s="25"/>
      <c r="S130" s="25"/>
      <c r="T130" s="25"/>
      <c r="U130" s="25"/>
      <c r="V130" s="24"/>
      <c r="W130" s="24"/>
      <c r="X130" s="24"/>
      <c r="Y130" s="26"/>
      <c r="Z130" s="26"/>
      <c r="AA130" s="24"/>
      <c r="AB130" s="24"/>
      <c r="AC130" s="24"/>
      <c r="AD130" s="24"/>
      <c r="AE130" s="26"/>
      <c r="AF130" s="26"/>
      <c r="AG130" s="24"/>
      <c r="AH130" s="24"/>
      <c r="AI130" s="28"/>
      <c r="AJ130" s="28"/>
      <c r="AK130" s="28"/>
      <c r="AL130" s="28"/>
      <c r="AM130" s="28"/>
      <c r="AN130" s="28"/>
      <c r="AO130" s="28"/>
      <c r="AP130" s="28"/>
      <c r="AQ130" s="28"/>
      <c r="AR130" s="28"/>
      <c r="AS130" s="28"/>
      <c r="AT130" s="28"/>
      <c r="AU130" s="28"/>
      <c r="AV130" s="24"/>
      <c r="AW130" s="28"/>
      <c r="AX130" s="28"/>
      <c r="AY130" s="28"/>
      <c r="AZ130" s="28"/>
      <c r="BA130" s="28"/>
      <c r="BB130" s="28"/>
      <c r="BC130" s="24"/>
      <c r="BD130" s="28"/>
      <c r="BE130" s="28"/>
      <c r="BF130" s="28"/>
      <c r="BG130" s="24"/>
      <c r="BH130" s="28"/>
      <c r="BI130" s="28"/>
      <c r="BJ130" s="28"/>
    </row>
    <row r="131" spans="1:62">
      <c r="A131" s="24"/>
      <c r="B131" s="28"/>
      <c r="C131" s="25"/>
      <c r="D131" s="26"/>
      <c r="E131" s="24"/>
      <c r="F131" s="24"/>
      <c r="G131" s="26"/>
      <c r="H131" s="26"/>
      <c r="I131" s="26"/>
      <c r="J131" s="26"/>
      <c r="K131" s="26"/>
      <c r="L131" s="26"/>
      <c r="M131" s="26"/>
      <c r="N131" s="26"/>
      <c r="P131" s="26"/>
      <c r="Q131" s="26"/>
      <c r="R131" s="25"/>
      <c r="S131" s="25"/>
      <c r="T131" s="25"/>
      <c r="U131" s="25"/>
      <c r="V131" s="24"/>
      <c r="W131" s="24"/>
      <c r="X131" s="24"/>
      <c r="Y131" s="26"/>
      <c r="Z131" s="26"/>
      <c r="AA131" s="24"/>
      <c r="AB131" s="24"/>
      <c r="AC131" s="24"/>
      <c r="AD131" s="24"/>
      <c r="AE131" s="26"/>
      <c r="AF131" s="26"/>
      <c r="AG131" s="24"/>
      <c r="AH131" s="24"/>
      <c r="AI131" s="28"/>
      <c r="AJ131" s="28"/>
      <c r="AK131" s="28"/>
      <c r="AL131" s="28"/>
      <c r="AM131" s="28"/>
      <c r="AN131" s="28"/>
      <c r="AO131" s="28"/>
      <c r="AP131" s="28"/>
      <c r="AQ131" s="28"/>
      <c r="AR131" s="28"/>
      <c r="AS131" s="28"/>
      <c r="AT131" s="28"/>
      <c r="AU131" s="28"/>
      <c r="AV131" s="24"/>
      <c r="AW131" s="28"/>
      <c r="AX131" s="28"/>
      <c r="AY131" s="28"/>
      <c r="AZ131" s="28"/>
      <c r="BA131" s="28"/>
      <c r="BB131" s="28"/>
      <c r="BC131" s="24"/>
      <c r="BD131" s="28"/>
      <c r="BE131" s="28"/>
      <c r="BF131" s="28"/>
      <c r="BG131" s="24"/>
      <c r="BH131" s="28"/>
      <c r="BI131" s="28"/>
      <c r="BJ131" s="28"/>
    </row>
    <row r="132" spans="1:62">
      <c r="A132" s="24"/>
      <c r="B132" s="28"/>
      <c r="C132" s="25"/>
      <c r="D132" s="26"/>
      <c r="E132" s="24"/>
      <c r="F132" s="24"/>
      <c r="G132" s="26"/>
      <c r="H132" s="26"/>
      <c r="I132" s="26"/>
      <c r="J132" s="26"/>
      <c r="K132" s="26"/>
      <c r="L132" s="26"/>
      <c r="M132" s="26"/>
      <c r="N132" s="26"/>
      <c r="P132" s="26"/>
      <c r="Q132" s="26"/>
      <c r="R132" s="25"/>
      <c r="S132" s="25"/>
      <c r="T132" s="25"/>
      <c r="U132" s="25"/>
      <c r="V132" s="24"/>
      <c r="W132" s="24"/>
      <c r="X132" s="24"/>
      <c r="Y132" s="26"/>
      <c r="Z132" s="26"/>
      <c r="AA132" s="24"/>
      <c r="AB132" s="24"/>
      <c r="AC132" s="24"/>
      <c r="AD132" s="24"/>
      <c r="AE132" s="26"/>
      <c r="AF132" s="26"/>
      <c r="AG132" s="24"/>
      <c r="AH132" s="24"/>
      <c r="AI132" s="28"/>
      <c r="AJ132" s="28"/>
      <c r="AK132" s="28"/>
      <c r="AL132" s="28"/>
      <c r="AM132" s="28"/>
      <c r="AN132" s="28"/>
      <c r="AO132" s="28"/>
      <c r="AP132" s="28"/>
      <c r="AQ132" s="28"/>
      <c r="AR132" s="28"/>
      <c r="AS132" s="28"/>
      <c r="AT132" s="28"/>
      <c r="AU132" s="28"/>
      <c r="AV132" s="24"/>
      <c r="AW132" s="28"/>
      <c r="AX132" s="28"/>
      <c r="AY132" s="28"/>
      <c r="AZ132" s="28"/>
      <c r="BA132" s="28"/>
      <c r="BB132" s="28"/>
      <c r="BC132" s="24"/>
      <c r="BD132" s="28"/>
      <c r="BE132" s="28"/>
      <c r="BF132" s="28"/>
      <c r="BG132" s="24"/>
      <c r="BH132" s="28"/>
      <c r="BI132" s="28"/>
      <c r="BJ132" s="28"/>
    </row>
    <row r="133" spans="1:62">
      <c r="A133" s="24"/>
      <c r="B133" s="28"/>
      <c r="C133" s="25"/>
      <c r="D133" s="26"/>
      <c r="E133" s="24"/>
      <c r="F133" s="24"/>
      <c r="G133" s="26"/>
      <c r="H133" s="26"/>
      <c r="I133" s="26"/>
      <c r="J133" s="26"/>
      <c r="K133" s="26"/>
      <c r="L133" s="26"/>
      <c r="M133" s="26"/>
      <c r="N133" s="26"/>
      <c r="P133" s="26"/>
      <c r="Q133" s="26"/>
      <c r="R133" s="25"/>
      <c r="S133" s="25"/>
      <c r="T133" s="25"/>
      <c r="U133" s="25"/>
      <c r="V133" s="24"/>
      <c r="W133" s="24"/>
      <c r="X133" s="24"/>
      <c r="Y133" s="26"/>
      <c r="Z133" s="26"/>
      <c r="AA133" s="24"/>
      <c r="AB133" s="24"/>
      <c r="AC133" s="24"/>
      <c r="AD133" s="24"/>
      <c r="AE133" s="26"/>
      <c r="AF133" s="26"/>
      <c r="AG133" s="24"/>
      <c r="AH133" s="24"/>
      <c r="AI133" s="28"/>
      <c r="AJ133" s="28"/>
      <c r="AK133" s="28"/>
      <c r="AL133" s="28"/>
      <c r="AM133" s="28"/>
      <c r="AN133" s="28"/>
      <c r="AO133" s="28"/>
      <c r="AP133" s="28"/>
      <c r="AQ133" s="28"/>
      <c r="AR133" s="28"/>
      <c r="AS133" s="28"/>
      <c r="AT133" s="28"/>
      <c r="AU133" s="28"/>
      <c r="AV133" s="24"/>
      <c r="AW133" s="28"/>
      <c r="AX133" s="28"/>
      <c r="AY133" s="28"/>
      <c r="AZ133" s="28"/>
      <c r="BA133" s="28"/>
      <c r="BB133" s="28"/>
      <c r="BC133" s="24"/>
      <c r="BD133" s="28"/>
      <c r="BE133" s="28"/>
      <c r="BF133" s="28"/>
      <c r="BG133" s="24"/>
      <c r="BH133" s="28"/>
      <c r="BI133" s="28"/>
      <c r="BJ133" s="28"/>
    </row>
    <row r="134" spans="1:62">
      <c r="A134" s="24"/>
      <c r="B134" s="28"/>
      <c r="C134" s="25"/>
      <c r="D134" s="26"/>
      <c r="E134" s="24"/>
      <c r="F134" s="24"/>
      <c r="G134" s="26"/>
      <c r="H134" s="26"/>
      <c r="I134" s="26"/>
      <c r="J134" s="26"/>
      <c r="K134" s="26"/>
      <c r="L134" s="26"/>
      <c r="M134" s="26"/>
      <c r="N134" s="26"/>
      <c r="P134" s="26"/>
      <c r="Q134" s="26"/>
      <c r="R134" s="25"/>
      <c r="S134" s="25"/>
      <c r="T134" s="25"/>
      <c r="U134" s="25"/>
      <c r="V134" s="24"/>
      <c r="W134" s="24"/>
      <c r="X134" s="24"/>
      <c r="Y134" s="26"/>
      <c r="Z134" s="26"/>
      <c r="AA134" s="24"/>
      <c r="AB134" s="24"/>
      <c r="AC134" s="24"/>
      <c r="AD134" s="24"/>
      <c r="AE134" s="26"/>
      <c r="AF134" s="26"/>
      <c r="AG134" s="24"/>
      <c r="AH134" s="24"/>
      <c r="AI134" s="28"/>
      <c r="AJ134" s="28"/>
      <c r="AK134" s="28"/>
      <c r="AL134" s="28"/>
      <c r="AM134" s="28"/>
      <c r="AN134" s="28"/>
      <c r="AO134" s="28"/>
      <c r="AP134" s="28"/>
      <c r="AQ134" s="28"/>
      <c r="AR134" s="28"/>
      <c r="AS134" s="28"/>
      <c r="AT134" s="28"/>
      <c r="AU134" s="28"/>
      <c r="AV134" s="24"/>
      <c r="AW134" s="28"/>
      <c r="AX134" s="28"/>
      <c r="AY134" s="28"/>
      <c r="AZ134" s="28"/>
      <c r="BA134" s="28"/>
      <c r="BB134" s="28"/>
      <c r="BC134" s="24"/>
      <c r="BD134" s="28"/>
      <c r="BE134" s="28"/>
      <c r="BF134" s="28"/>
      <c r="BG134" s="24"/>
      <c r="BH134" s="28"/>
      <c r="BI134" s="28"/>
      <c r="BJ134" s="28"/>
    </row>
    <row r="135" spans="1:62">
      <c r="A135" s="24"/>
      <c r="B135" s="28"/>
      <c r="C135" s="25"/>
      <c r="D135" s="26"/>
      <c r="E135" s="24"/>
      <c r="F135" s="24"/>
      <c r="G135" s="26"/>
      <c r="H135" s="26"/>
      <c r="I135" s="26"/>
      <c r="J135" s="26"/>
      <c r="K135" s="26"/>
      <c r="L135" s="26"/>
      <c r="M135" s="26"/>
      <c r="N135" s="26"/>
      <c r="P135" s="26"/>
      <c r="Q135" s="26"/>
      <c r="R135" s="25"/>
      <c r="S135" s="25"/>
      <c r="T135" s="25"/>
      <c r="U135" s="25"/>
      <c r="V135" s="24"/>
      <c r="W135" s="24"/>
      <c r="X135" s="24"/>
      <c r="Y135" s="26"/>
      <c r="Z135" s="26"/>
      <c r="AA135" s="24"/>
      <c r="AB135" s="24"/>
      <c r="AC135" s="24"/>
      <c r="AD135" s="24"/>
      <c r="AE135" s="26"/>
      <c r="AF135" s="26"/>
      <c r="AG135" s="24"/>
      <c r="AH135" s="24"/>
      <c r="AI135" s="28"/>
      <c r="AJ135" s="28"/>
      <c r="AK135" s="28"/>
      <c r="AL135" s="28"/>
      <c r="AM135" s="28"/>
      <c r="AN135" s="28"/>
      <c r="AO135" s="28"/>
      <c r="AP135" s="28"/>
      <c r="AQ135" s="28"/>
      <c r="AR135" s="28"/>
      <c r="AS135" s="28"/>
      <c r="AT135" s="28"/>
      <c r="AU135" s="28"/>
      <c r="AV135" s="24"/>
      <c r="AW135" s="28"/>
      <c r="AX135" s="28"/>
      <c r="AY135" s="28"/>
      <c r="AZ135" s="28"/>
      <c r="BA135" s="28"/>
      <c r="BB135" s="28"/>
      <c r="BC135" s="24"/>
      <c r="BD135" s="28"/>
      <c r="BE135" s="28"/>
      <c r="BF135" s="28"/>
      <c r="BG135" s="24"/>
      <c r="BH135" s="28"/>
      <c r="BI135" s="28"/>
      <c r="BJ135" s="28"/>
    </row>
    <row r="136" spans="1:62">
      <c r="A136" s="24"/>
      <c r="B136" s="28"/>
      <c r="C136" s="25"/>
      <c r="D136" s="26"/>
      <c r="E136" s="24"/>
      <c r="F136" s="24"/>
      <c r="G136" s="26"/>
      <c r="H136" s="26"/>
      <c r="I136" s="26"/>
      <c r="J136" s="26"/>
      <c r="K136" s="26"/>
      <c r="L136" s="26"/>
      <c r="M136" s="26"/>
      <c r="N136" s="26"/>
      <c r="P136" s="26"/>
      <c r="Q136" s="26"/>
      <c r="R136" s="25"/>
      <c r="S136" s="25"/>
      <c r="T136" s="25"/>
      <c r="U136" s="25"/>
      <c r="V136" s="24"/>
      <c r="W136" s="24"/>
      <c r="X136" s="24"/>
      <c r="Y136" s="26"/>
      <c r="Z136" s="26"/>
      <c r="AA136" s="24"/>
      <c r="AB136" s="24"/>
      <c r="AC136" s="24"/>
      <c r="AD136" s="24"/>
      <c r="AE136" s="26"/>
      <c r="AF136" s="26"/>
      <c r="AG136" s="24"/>
      <c r="AH136" s="24"/>
      <c r="AI136" s="28"/>
      <c r="AJ136" s="28"/>
      <c r="AK136" s="28"/>
      <c r="AL136" s="28"/>
      <c r="AM136" s="28"/>
      <c r="AN136" s="28"/>
      <c r="AO136" s="28"/>
      <c r="AP136" s="28"/>
      <c r="AQ136" s="28"/>
      <c r="AR136" s="28"/>
      <c r="AS136" s="28"/>
      <c r="AT136" s="28"/>
      <c r="AU136" s="28"/>
      <c r="AV136" s="24"/>
      <c r="AW136" s="28"/>
      <c r="AX136" s="28"/>
      <c r="AY136" s="28"/>
      <c r="AZ136" s="28"/>
      <c r="BA136" s="28"/>
      <c r="BB136" s="28"/>
      <c r="BC136" s="24"/>
      <c r="BD136" s="28"/>
      <c r="BE136" s="28"/>
      <c r="BF136" s="28"/>
      <c r="BG136" s="24"/>
      <c r="BH136" s="28"/>
      <c r="BI136" s="28"/>
      <c r="BJ136" s="28"/>
    </row>
    <row r="137" spans="1:62">
      <c r="A137" s="24"/>
      <c r="B137" s="28"/>
      <c r="C137" s="25"/>
      <c r="D137" s="26"/>
      <c r="E137" s="24"/>
      <c r="F137" s="24"/>
      <c r="G137" s="26"/>
      <c r="H137" s="26"/>
      <c r="I137" s="26"/>
      <c r="J137" s="26"/>
      <c r="K137" s="26"/>
      <c r="L137" s="26"/>
      <c r="M137" s="26"/>
      <c r="N137" s="26"/>
      <c r="P137" s="26"/>
      <c r="Q137" s="26"/>
      <c r="R137" s="25"/>
      <c r="S137" s="25"/>
      <c r="T137" s="25"/>
      <c r="U137" s="25"/>
      <c r="V137" s="24"/>
      <c r="W137" s="24"/>
      <c r="X137" s="24"/>
      <c r="Y137" s="26"/>
      <c r="Z137" s="26"/>
      <c r="AA137" s="24"/>
      <c r="AB137" s="24"/>
      <c r="AC137" s="24"/>
      <c r="AD137" s="24"/>
      <c r="AE137" s="26"/>
      <c r="AF137" s="26"/>
      <c r="AG137" s="24"/>
      <c r="AH137" s="24"/>
      <c r="AI137" s="28"/>
      <c r="AJ137" s="28"/>
      <c r="AK137" s="28"/>
      <c r="AL137" s="28"/>
      <c r="AM137" s="28"/>
      <c r="AN137" s="28"/>
      <c r="AO137" s="28"/>
      <c r="AP137" s="28"/>
      <c r="AQ137" s="28"/>
      <c r="AR137" s="28"/>
      <c r="AS137" s="28"/>
      <c r="AT137" s="28"/>
      <c r="AU137" s="28"/>
      <c r="AV137" s="24"/>
      <c r="AW137" s="28"/>
      <c r="AX137" s="28"/>
      <c r="AY137" s="28"/>
      <c r="AZ137" s="28"/>
      <c r="BA137" s="28"/>
      <c r="BB137" s="28"/>
      <c r="BC137" s="24"/>
      <c r="BD137" s="28"/>
      <c r="BE137" s="28"/>
      <c r="BF137" s="28"/>
      <c r="BG137" s="24"/>
      <c r="BH137" s="28"/>
      <c r="BI137" s="28"/>
      <c r="BJ137" s="28"/>
    </row>
    <row r="138" spans="1:62">
      <c r="A138" s="24"/>
      <c r="B138" s="28"/>
      <c r="C138" s="25"/>
      <c r="D138" s="26"/>
      <c r="E138" s="24"/>
      <c r="F138" s="24"/>
      <c r="G138" s="26"/>
      <c r="H138" s="26"/>
      <c r="I138" s="26"/>
      <c r="J138" s="26"/>
      <c r="K138" s="26"/>
      <c r="L138" s="26"/>
      <c r="M138" s="26"/>
      <c r="N138" s="26"/>
      <c r="P138" s="26"/>
      <c r="Q138" s="26"/>
      <c r="R138" s="25"/>
      <c r="S138" s="25"/>
      <c r="T138" s="25"/>
      <c r="U138" s="25"/>
      <c r="V138" s="24"/>
      <c r="W138" s="24"/>
      <c r="X138" s="24"/>
      <c r="Y138" s="26"/>
      <c r="Z138" s="26"/>
      <c r="AA138" s="24"/>
      <c r="AB138" s="24"/>
      <c r="AC138" s="24"/>
      <c r="AD138" s="24"/>
      <c r="AE138" s="26"/>
      <c r="AF138" s="26"/>
      <c r="AG138" s="24"/>
      <c r="AH138" s="24"/>
      <c r="AI138" s="28"/>
      <c r="AJ138" s="28"/>
      <c r="AK138" s="28"/>
      <c r="AL138" s="28"/>
      <c r="AM138" s="28"/>
      <c r="AN138" s="28"/>
      <c r="AO138" s="28"/>
      <c r="AP138" s="28"/>
      <c r="AQ138" s="28"/>
      <c r="AR138" s="28"/>
      <c r="AS138" s="28"/>
      <c r="AT138" s="28"/>
      <c r="AU138" s="28"/>
      <c r="AV138" s="24"/>
      <c r="AW138" s="28"/>
      <c r="AX138" s="28"/>
      <c r="AY138" s="28"/>
      <c r="AZ138" s="28"/>
      <c r="BA138" s="28"/>
      <c r="BB138" s="28"/>
      <c r="BC138" s="24"/>
      <c r="BD138" s="28"/>
      <c r="BE138" s="28"/>
      <c r="BF138" s="28"/>
      <c r="BG138" s="24"/>
      <c r="BH138" s="28"/>
      <c r="BI138" s="28"/>
      <c r="BJ138" s="28"/>
    </row>
    <row r="139" spans="1:62">
      <c r="A139" s="24"/>
      <c r="B139" s="28"/>
      <c r="C139" s="25"/>
      <c r="D139" s="26"/>
      <c r="E139" s="24"/>
      <c r="F139" s="24"/>
      <c r="G139" s="26"/>
      <c r="H139" s="26"/>
      <c r="I139" s="26"/>
      <c r="J139" s="26"/>
      <c r="K139" s="26"/>
      <c r="L139" s="26"/>
      <c r="M139" s="26"/>
      <c r="N139" s="26"/>
      <c r="P139" s="26"/>
      <c r="Q139" s="26"/>
      <c r="R139" s="25"/>
      <c r="S139" s="25"/>
      <c r="T139" s="25"/>
      <c r="U139" s="25"/>
      <c r="V139" s="24"/>
      <c r="W139" s="24"/>
      <c r="X139" s="24"/>
      <c r="Y139" s="26"/>
      <c r="Z139" s="26"/>
      <c r="AA139" s="24"/>
      <c r="AB139" s="24"/>
      <c r="AC139" s="24"/>
      <c r="AD139" s="24"/>
      <c r="AE139" s="26"/>
      <c r="AF139" s="26"/>
      <c r="AG139" s="24"/>
      <c r="AH139" s="24"/>
      <c r="AI139" s="28"/>
      <c r="AJ139" s="28"/>
      <c r="AK139" s="28"/>
      <c r="AL139" s="28"/>
      <c r="AM139" s="28"/>
      <c r="AN139" s="28"/>
      <c r="AO139" s="28"/>
      <c r="AP139" s="28"/>
      <c r="AQ139" s="28"/>
      <c r="AR139" s="28"/>
      <c r="AS139" s="28"/>
      <c r="AT139" s="28"/>
      <c r="AU139" s="28"/>
      <c r="AV139" s="24"/>
      <c r="AW139" s="28"/>
      <c r="AX139" s="28"/>
      <c r="AY139" s="28"/>
      <c r="AZ139" s="28"/>
      <c r="BA139" s="28"/>
      <c r="BB139" s="28"/>
      <c r="BC139" s="24"/>
      <c r="BD139" s="28"/>
      <c r="BE139" s="28"/>
      <c r="BF139" s="28"/>
      <c r="BG139" s="24"/>
      <c r="BH139" s="28"/>
      <c r="BI139" s="28"/>
      <c r="BJ139" s="28"/>
    </row>
    <row r="140" spans="1:62">
      <c r="A140" s="24"/>
      <c r="B140" s="28"/>
      <c r="C140" s="25"/>
      <c r="D140" s="26"/>
      <c r="E140" s="24"/>
      <c r="F140" s="24"/>
      <c r="G140" s="26"/>
      <c r="H140" s="26"/>
      <c r="I140" s="26"/>
      <c r="J140" s="26"/>
      <c r="K140" s="26"/>
      <c r="L140" s="26"/>
      <c r="M140" s="26"/>
      <c r="N140" s="26"/>
      <c r="P140" s="26"/>
      <c r="Q140" s="26"/>
      <c r="R140" s="25"/>
      <c r="S140" s="25"/>
      <c r="T140" s="25"/>
      <c r="U140" s="25"/>
      <c r="V140" s="24"/>
      <c r="W140" s="24"/>
      <c r="X140" s="24"/>
      <c r="Y140" s="26"/>
      <c r="Z140" s="26"/>
      <c r="AA140" s="24"/>
      <c r="AB140" s="24"/>
      <c r="AC140" s="24"/>
      <c r="AD140" s="24"/>
      <c r="AE140" s="26"/>
      <c r="AF140" s="26"/>
      <c r="AG140" s="24"/>
      <c r="AH140" s="24"/>
      <c r="AI140" s="28"/>
      <c r="AJ140" s="28"/>
      <c r="AK140" s="28"/>
      <c r="AL140" s="28"/>
      <c r="AM140" s="28"/>
      <c r="AN140" s="28"/>
      <c r="AO140" s="28"/>
      <c r="AP140" s="28"/>
      <c r="AQ140" s="28"/>
      <c r="AR140" s="28"/>
      <c r="AS140" s="28"/>
      <c r="AT140" s="28"/>
      <c r="AU140" s="28"/>
      <c r="AV140" s="24"/>
      <c r="AW140" s="28"/>
      <c r="AX140" s="28"/>
      <c r="AY140" s="28"/>
      <c r="AZ140" s="28"/>
      <c r="BA140" s="28"/>
      <c r="BB140" s="28"/>
      <c r="BC140" s="24"/>
      <c r="BD140" s="28"/>
      <c r="BE140" s="28"/>
      <c r="BF140" s="28"/>
      <c r="BG140" s="24"/>
      <c r="BH140" s="28"/>
      <c r="BI140" s="28"/>
      <c r="BJ140" s="28"/>
    </row>
    <row r="141" spans="1:62">
      <c r="A141" s="24"/>
      <c r="B141" s="28"/>
      <c r="C141" s="25"/>
      <c r="D141" s="26"/>
      <c r="E141" s="24"/>
      <c r="F141" s="24"/>
      <c r="G141" s="26"/>
      <c r="H141" s="26"/>
      <c r="I141" s="26"/>
      <c r="J141" s="26"/>
      <c r="K141" s="26"/>
      <c r="L141" s="26"/>
      <c r="M141" s="26"/>
      <c r="N141" s="26"/>
      <c r="P141" s="26"/>
      <c r="Q141" s="26"/>
      <c r="R141" s="25"/>
      <c r="S141" s="25"/>
      <c r="T141" s="25"/>
      <c r="U141" s="25"/>
      <c r="V141" s="24"/>
      <c r="W141" s="24"/>
      <c r="X141" s="24"/>
      <c r="Y141" s="26"/>
      <c r="Z141" s="26"/>
      <c r="AA141" s="24"/>
      <c r="AB141" s="24"/>
      <c r="AC141" s="24"/>
      <c r="AD141" s="24"/>
      <c r="AE141" s="26"/>
      <c r="AF141" s="26"/>
      <c r="AG141" s="24"/>
      <c r="AH141" s="24"/>
      <c r="AI141" s="28"/>
      <c r="AJ141" s="28"/>
      <c r="AK141" s="28"/>
      <c r="AL141" s="28"/>
      <c r="AM141" s="28"/>
      <c r="AN141" s="28"/>
      <c r="AO141" s="28"/>
      <c r="AP141" s="28"/>
      <c r="AQ141" s="28"/>
      <c r="AR141" s="28"/>
      <c r="AS141" s="28"/>
      <c r="AT141" s="28"/>
      <c r="AU141" s="28"/>
      <c r="AV141" s="24"/>
      <c r="AW141" s="28"/>
      <c r="AX141" s="28"/>
      <c r="AY141" s="28"/>
      <c r="AZ141" s="28"/>
      <c r="BA141" s="28"/>
      <c r="BB141" s="28"/>
      <c r="BC141" s="24"/>
      <c r="BD141" s="28"/>
      <c r="BE141" s="28"/>
      <c r="BF141" s="28"/>
      <c r="BG141" s="24"/>
      <c r="BH141" s="28"/>
      <c r="BI141" s="28"/>
      <c r="BJ141" s="28"/>
    </row>
    <row r="142" spans="1:62">
      <c r="A142" s="24"/>
      <c r="B142" s="28"/>
      <c r="C142" s="25"/>
      <c r="D142" s="26"/>
      <c r="E142" s="24"/>
      <c r="F142" s="24"/>
      <c r="G142" s="26"/>
      <c r="H142" s="26"/>
      <c r="I142" s="26"/>
      <c r="J142" s="26"/>
      <c r="K142" s="26"/>
      <c r="L142" s="26"/>
      <c r="M142" s="26"/>
      <c r="N142" s="26"/>
      <c r="P142" s="26"/>
      <c r="Q142" s="26"/>
      <c r="R142" s="25"/>
      <c r="S142" s="25"/>
      <c r="T142" s="25"/>
      <c r="U142" s="25"/>
      <c r="V142" s="24"/>
      <c r="W142" s="24"/>
      <c r="X142" s="24"/>
      <c r="Y142" s="26"/>
      <c r="Z142" s="26"/>
      <c r="AA142" s="24"/>
      <c r="AB142" s="24"/>
      <c r="AC142" s="24"/>
      <c r="AD142" s="24"/>
      <c r="AE142" s="26"/>
      <c r="AF142" s="26"/>
      <c r="AG142" s="24"/>
      <c r="AH142" s="24"/>
      <c r="AI142" s="28"/>
      <c r="AJ142" s="28"/>
      <c r="AK142" s="28"/>
      <c r="AL142" s="28"/>
      <c r="AM142" s="28"/>
      <c r="AN142" s="28"/>
      <c r="AO142" s="28"/>
      <c r="AP142" s="28"/>
      <c r="AQ142" s="28"/>
      <c r="AR142" s="28"/>
      <c r="AS142" s="28"/>
      <c r="AT142" s="28"/>
      <c r="AU142" s="28"/>
      <c r="AV142" s="24"/>
      <c r="AW142" s="28"/>
      <c r="AX142" s="28"/>
      <c r="AY142" s="28"/>
      <c r="AZ142" s="28"/>
      <c r="BA142" s="28"/>
      <c r="BB142" s="28"/>
      <c r="BC142" s="24"/>
      <c r="BD142" s="28"/>
      <c r="BE142" s="28"/>
      <c r="BF142" s="28"/>
      <c r="BG142" s="24"/>
      <c r="BH142" s="28"/>
      <c r="BI142" s="28"/>
      <c r="BJ142" s="28"/>
    </row>
    <row r="143" spans="1:62">
      <c r="A143" s="24"/>
      <c r="B143" s="28"/>
      <c r="C143" s="25"/>
      <c r="D143" s="26"/>
      <c r="E143" s="24"/>
      <c r="F143" s="24"/>
      <c r="G143" s="26"/>
      <c r="H143" s="26"/>
      <c r="I143" s="26"/>
      <c r="J143" s="26"/>
      <c r="K143" s="26"/>
      <c r="L143" s="26"/>
      <c r="M143" s="26"/>
      <c r="N143" s="26"/>
      <c r="P143" s="26"/>
      <c r="Q143" s="26"/>
      <c r="R143" s="25"/>
      <c r="S143" s="25"/>
      <c r="T143" s="25"/>
      <c r="U143" s="25"/>
      <c r="V143" s="24"/>
      <c r="W143" s="24"/>
      <c r="X143" s="24"/>
      <c r="Y143" s="26"/>
      <c r="Z143" s="26"/>
      <c r="AA143" s="24"/>
      <c r="AB143" s="24"/>
      <c r="AC143" s="24"/>
      <c r="AD143" s="24"/>
      <c r="AE143" s="26"/>
      <c r="AF143" s="26"/>
      <c r="AG143" s="24"/>
      <c r="AH143" s="24"/>
      <c r="AI143" s="28"/>
      <c r="AJ143" s="28"/>
      <c r="AK143" s="28"/>
      <c r="AL143" s="28"/>
      <c r="AM143" s="28"/>
      <c r="AN143" s="28"/>
      <c r="AO143" s="28"/>
      <c r="AP143" s="28"/>
      <c r="AQ143" s="28"/>
      <c r="AR143" s="28"/>
      <c r="AS143" s="28"/>
      <c r="AT143" s="28"/>
      <c r="AU143" s="28"/>
      <c r="AV143" s="24"/>
      <c r="AW143" s="28"/>
      <c r="AX143" s="28"/>
      <c r="AY143" s="28"/>
      <c r="AZ143" s="28"/>
      <c r="BA143" s="28"/>
      <c r="BB143" s="28"/>
      <c r="BC143" s="24"/>
      <c r="BD143" s="28"/>
      <c r="BE143" s="28"/>
      <c r="BF143" s="28"/>
      <c r="BG143" s="24"/>
      <c r="BH143" s="28"/>
      <c r="BI143" s="28"/>
      <c r="BJ143" s="28"/>
    </row>
    <row r="144" spans="1:62">
      <c r="A144" s="24"/>
      <c r="B144" s="28"/>
      <c r="C144" s="25"/>
      <c r="D144" s="26"/>
      <c r="E144" s="24"/>
      <c r="F144" s="24"/>
      <c r="G144" s="26"/>
      <c r="H144" s="26"/>
      <c r="I144" s="26"/>
      <c r="J144" s="26"/>
      <c r="K144" s="26"/>
      <c r="L144" s="26"/>
      <c r="M144" s="26"/>
      <c r="N144" s="26"/>
      <c r="P144" s="26"/>
      <c r="Q144" s="26"/>
      <c r="R144" s="25"/>
      <c r="S144" s="25"/>
      <c r="T144" s="25"/>
      <c r="U144" s="25"/>
      <c r="V144" s="24"/>
      <c r="W144" s="24"/>
      <c r="X144" s="24"/>
      <c r="Y144" s="26"/>
      <c r="Z144" s="26"/>
      <c r="AA144" s="24"/>
      <c r="AB144" s="24"/>
      <c r="AC144" s="24"/>
      <c r="AD144" s="24"/>
      <c r="AE144" s="26"/>
      <c r="AF144" s="26"/>
      <c r="AG144" s="24"/>
      <c r="AH144" s="24"/>
      <c r="AI144" s="28"/>
      <c r="AJ144" s="28"/>
      <c r="AK144" s="28"/>
      <c r="AL144" s="28"/>
      <c r="AM144" s="28"/>
      <c r="AN144" s="28"/>
      <c r="AO144" s="28"/>
      <c r="AP144" s="28"/>
      <c r="AQ144" s="28"/>
      <c r="AR144" s="28"/>
      <c r="AS144" s="28"/>
      <c r="AT144" s="28"/>
      <c r="AU144" s="28"/>
      <c r="AV144" s="24"/>
      <c r="AW144" s="28"/>
      <c r="AX144" s="28"/>
      <c r="AY144" s="28"/>
      <c r="AZ144" s="28"/>
      <c r="BA144" s="28"/>
      <c r="BB144" s="28"/>
      <c r="BC144" s="24"/>
      <c r="BD144" s="28"/>
      <c r="BE144" s="28"/>
      <c r="BF144" s="28"/>
      <c r="BG144" s="24"/>
      <c r="BH144" s="28"/>
      <c r="BI144" s="28"/>
      <c r="BJ144" s="28"/>
    </row>
    <row r="145" spans="1:62">
      <c r="A145" s="24"/>
      <c r="B145" s="28"/>
      <c r="C145" s="25"/>
      <c r="D145" s="26"/>
      <c r="E145" s="24"/>
      <c r="F145" s="24"/>
      <c r="G145" s="26"/>
      <c r="H145" s="26"/>
      <c r="I145" s="26"/>
      <c r="J145" s="26"/>
      <c r="K145" s="26"/>
      <c r="L145" s="26"/>
      <c r="M145" s="26"/>
      <c r="N145" s="26"/>
      <c r="P145" s="26"/>
      <c r="Q145" s="26"/>
      <c r="R145" s="25"/>
      <c r="S145" s="25"/>
      <c r="T145" s="25"/>
      <c r="U145" s="25"/>
      <c r="V145" s="24"/>
      <c r="W145" s="24"/>
      <c r="X145" s="24"/>
      <c r="Y145" s="26"/>
      <c r="Z145" s="26"/>
      <c r="AA145" s="24"/>
      <c r="AB145" s="24"/>
      <c r="AC145" s="24"/>
      <c r="AD145" s="24"/>
      <c r="AE145" s="26"/>
      <c r="AF145" s="26"/>
      <c r="AG145" s="24"/>
      <c r="AH145" s="24"/>
      <c r="AI145" s="28"/>
      <c r="AJ145" s="28"/>
      <c r="AK145" s="28"/>
      <c r="AL145" s="28"/>
      <c r="AM145" s="28"/>
      <c r="AN145" s="28"/>
      <c r="AO145" s="28"/>
      <c r="AP145" s="28"/>
      <c r="AQ145" s="28"/>
      <c r="AR145" s="28"/>
      <c r="AS145" s="28"/>
      <c r="AT145" s="28"/>
      <c r="AU145" s="28"/>
      <c r="AV145" s="24"/>
      <c r="AW145" s="28"/>
      <c r="AX145" s="28"/>
      <c r="AY145" s="28"/>
      <c r="AZ145" s="28"/>
      <c r="BA145" s="28"/>
      <c r="BB145" s="28"/>
      <c r="BC145" s="24"/>
      <c r="BD145" s="28"/>
      <c r="BE145" s="28"/>
      <c r="BF145" s="28"/>
      <c r="BG145" s="24"/>
      <c r="BH145" s="28"/>
      <c r="BI145" s="28"/>
      <c r="BJ145" s="28"/>
    </row>
    <row r="146" spans="1:62">
      <c r="A146" s="24"/>
      <c r="B146" s="28"/>
      <c r="C146" s="25"/>
      <c r="D146" s="26"/>
      <c r="E146" s="24"/>
      <c r="F146" s="24"/>
      <c r="G146" s="26"/>
      <c r="H146" s="26"/>
      <c r="I146" s="26"/>
      <c r="J146" s="26"/>
      <c r="K146" s="26"/>
      <c r="L146" s="26"/>
      <c r="M146" s="26"/>
      <c r="N146" s="26"/>
      <c r="P146" s="26"/>
      <c r="Q146" s="26"/>
      <c r="R146" s="25"/>
      <c r="S146" s="25"/>
      <c r="T146" s="25"/>
      <c r="U146" s="25"/>
      <c r="V146" s="24"/>
      <c r="W146" s="24"/>
      <c r="X146" s="24"/>
      <c r="Y146" s="26"/>
      <c r="Z146" s="26"/>
      <c r="AA146" s="24"/>
      <c r="AB146" s="24"/>
      <c r="AC146" s="24"/>
      <c r="AD146" s="24"/>
      <c r="AE146" s="26"/>
      <c r="AF146" s="26"/>
      <c r="AG146" s="24"/>
      <c r="AH146" s="24"/>
      <c r="AI146" s="28"/>
      <c r="AJ146" s="28"/>
      <c r="AK146" s="28"/>
      <c r="AL146" s="28"/>
      <c r="AM146" s="28"/>
      <c r="AN146" s="28"/>
      <c r="AO146" s="28"/>
      <c r="AP146" s="28"/>
      <c r="AQ146" s="28"/>
      <c r="AR146" s="28"/>
      <c r="AS146" s="28"/>
      <c r="AT146" s="28"/>
      <c r="AU146" s="28"/>
      <c r="AV146" s="24"/>
      <c r="AW146" s="28"/>
      <c r="AX146" s="28"/>
      <c r="AY146" s="28"/>
      <c r="AZ146" s="28"/>
      <c r="BA146" s="28"/>
      <c r="BB146" s="28"/>
      <c r="BC146" s="24"/>
      <c r="BD146" s="28"/>
      <c r="BE146" s="28"/>
      <c r="BF146" s="28"/>
      <c r="BG146" s="24"/>
      <c r="BH146" s="28"/>
      <c r="BI146" s="28"/>
      <c r="BJ146" s="28"/>
    </row>
    <row r="147" spans="1:62">
      <c r="A147" s="24"/>
      <c r="B147" s="28"/>
      <c r="C147" s="25"/>
      <c r="D147" s="26"/>
      <c r="E147" s="24"/>
      <c r="F147" s="24"/>
      <c r="G147" s="26"/>
      <c r="H147" s="26"/>
      <c r="I147" s="26"/>
      <c r="J147" s="26"/>
      <c r="K147" s="26"/>
      <c r="L147" s="26"/>
      <c r="M147" s="26"/>
      <c r="N147" s="26"/>
      <c r="P147" s="26"/>
      <c r="Q147" s="26"/>
      <c r="R147" s="25"/>
      <c r="S147" s="25"/>
      <c r="T147" s="25"/>
      <c r="U147" s="25"/>
      <c r="V147" s="24"/>
      <c r="W147" s="24"/>
      <c r="X147" s="24"/>
      <c r="Y147" s="26"/>
      <c r="Z147" s="26"/>
      <c r="AA147" s="24"/>
      <c r="AB147" s="24"/>
      <c r="AC147" s="24"/>
      <c r="AD147" s="24"/>
      <c r="AE147" s="26"/>
      <c r="AF147" s="26"/>
      <c r="AG147" s="24"/>
      <c r="AH147" s="24"/>
      <c r="AI147" s="28"/>
      <c r="AJ147" s="28"/>
      <c r="AK147" s="28"/>
      <c r="AL147" s="28"/>
      <c r="AM147" s="28"/>
      <c r="AN147" s="28"/>
      <c r="AO147" s="28"/>
      <c r="AP147" s="28"/>
      <c r="AQ147" s="28"/>
      <c r="AR147" s="28"/>
      <c r="AS147" s="28"/>
      <c r="AT147" s="28"/>
      <c r="AU147" s="28"/>
      <c r="AV147" s="24"/>
      <c r="AW147" s="28"/>
      <c r="AX147" s="28"/>
      <c r="AY147" s="28"/>
      <c r="AZ147" s="28"/>
      <c r="BA147" s="28"/>
      <c r="BB147" s="28"/>
      <c r="BC147" s="24"/>
      <c r="BD147" s="28"/>
      <c r="BE147" s="28"/>
      <c r="BF147" s="28"/>
      <c r="BG147" s="24"/>
      <c r="BH147" s="28"/>
      <c r="BI147" s="28"/>
      <c r="BJ147" s="28"/>
    </row>
    <row r="148" spans="1:62">
      <c r="A148" s="24"/>
      <c r="B148" s="28"/>
      <c r="C148" s="25"/>
      <c r="D148" s="26"/>
      <c r="E148" s="24"/>
      <c r="F148" s="24"/>
      <c r="G148" s="26"/>
      <c r="H148" s="26"/>
      <c r="I148" s="26"/>
      <c r="J148" s="26"/>
      <c r="K148" s="26"/>
      <c r="L148" s="26"/>
      <c r="M148" s="26"/>
      <c r="N148" s="26"/>
      <c r="P148" s="26"/>
      <c r="Q148" s="26"/>
      <c r="R148" s="25"/>
      <c r="S148" s="25"/>
      <c r="T148" s="25"/>
      <c r="U148" s="25"/>
      <c r="V148" s="24"/>
      <c r="W148" s="24"/>
      <c r="X148" s="24"/>
      <c r="Y148" s="26"/>
      <c r="Z148" s="26"/>
      <c r="AA148" s="24"/>
      <c r="AB148" s="24"/>
      <c r="AC148" s="24"/>
      <c r="AD148" s="24"/>
      <c r="AE148" s="26"/>
      <c r="AF148" s="26"/>
      <c r="AG148" s="24"/>
      <c r="AH148" s="24"/>
      <c r="AI148" s="28"/>
      <c r="AJ148" s="28"/>
      <c r="AK148" s="28"/>
      <c r="AL148" s="28"/>
      <c r="AM148" s="28"/>
      <c r="AN148" s="28"/>
      <c r="AO148" s="28"/>
      <c r="AP148" s="28"/>
      <c r="AQ148" s="28"/>
      <c r="AR148" s="28"/>
      <c r="AS148" s="28"/>
      <c r="AT148" s="28"/>
      <c r="AU148" s="28"/>
      <c r="AV148" s="24"/>
      <c r="AW148" s="28"/>
      <c r="AX148" s="28"/>
      <c r="AY148" s="28"/>
      <c r="AZ148" s="28"/>
      <c r="BA148" s="28"/>
      <c r="BB148" s="28"/>
      <c r="BC148" s="24"/>
      <c r="BD148" s="28"/>
      <c r="BE148" s="28"/>
      <c r="BF148" s="28"/>
      <c r="BG148" s="24"/>
      <c r="BH148" s="28"/>
      <c r="BI148" s="28"/>
      <c r="BJ148" s="28"/>
    </row>
    <row r="149" spans="1:62">
      <c r="A149" s="24"/>
      <c r="B149" s="28"/>
      <c r="C149" s="25"/>
      <c r="D149" s="26"/>
      <c r="E149" s="24"/>
      <c r="F149" s="24"/>
      <c r="G149" s="26"/>
      <c r="H149" s="26"/>
      <c r="I149" s="26"/>
      <c r="J149" s="26"/>
      <c r="K149" s="26"/>
      <c r="L149" s="26"/>
      <c r="M149" s="26"/>
      <c r="N149" s="26"/>
      <c r="P149" s="26"/>
      <c r="Q149" s="26"/>
      <c r="R149" s="25"/>
      <c r="S149" s="25"/>
      <c r="T149" s="25"/>
      <c r="U149" s="25"/>
      <c r="V149" s="24"/>
      <c r="W149" s="24"/>
      <c r="X149" s="24"/>
      <c r="Y149" s="26"/>
      <c r="Z149" s="26"/>
      <c r="AA149" s="24"/>
      <c r="AB149" s="24"/>
      <c r="AC149" s="24"/>
      <c r="AD149" s="24"/>
      <c r="AE149" s="26"/>
      <c r="AF149" s="26"/>
      <c r="AG149" s="24"/>
      <c r="AH149" s="24"/>
      <c r="AI149" s="28"/>
      <c r="AJ149" s="28"/>
      <c r="AK149" s="28"/>
      <c r="AL149" s="28"/>
      <c r="AM149" s="28"/>
      <c r="AN149" s="28"/>
      <c r="AO149" s="28"/>
      <c r="AP149" s="28"/>
      <c r="AQ149" s="28"/>
      <c r="AR149" s="28"/>
      <c r="AS149" s="28"/>
      <c r="AT149" s="28"/>
      <c r="AU149" s="28"/>
      <c r="AV149" s="24"/>
      <c r="AW149" s="28"/>
      <c r="AX149" s="28"/>
      <c r="AY149" s="28"/>
      <c r="AZ149" s="28"/>
      <c r="BA149" s="28"/>
      <c r="BB149" s="28"/>
      <c r="BC149" s="24"/>
      <c r="BD149" s="28"/>
      <c r="BE149" s="28"/>
      <c r="BF149" s="28"/>
      <c r="BG149" s="24"/>
      <c r="BH149" s="28"/>
      <c r="BI149" s="28"/>
      <c r="BJ149" s="28"/>
    </row>
    <row r="150" spans="1:62">
      <c r="A150" s="24"/>
      <c r="B150" s="28"/>
      <c r="C150" s="25"/>
      <c r="D150" s="26"/>
      <c r="E150" s="24"/>
      <c r="F150" s="24"/>
      <c r="G150" s="26"/>
      <c r="H150" s="26"/>
      <c r="I150" s="26"/>
      <c r="J150" s="26"/>
      <c r="K150" s="26"/>
      <c r="L150" s="26"/>
      <c r="M150" s="26"/>
      <c r="N150" s="26"/>
      <c r="P150" s="26"/>
      <c r="Q150" s="26"/>
      <c r="R150" s="25"/>
      <c r="S150" s="25"/>
      <c r="T150" s="25"/>
      <c r="U150" s="25"/>
      <c r="V150" s="24"/>
      <c r="W150" s="24"/>
      <c r="X150" s="24"/>
      <c r="Y150" s="26"/>
      <c r="Z150" s="26"/>
      <c r="AA150" s="24"/>
      <c r="AB150" s="24"/>
      <c r="AC150" s="24"/>
      <c r="AD150" s="24"/>
      <c r="AE150" s="26"/>
      <c r="AF150" s="26"/>
      <c r="AG150" s="24"/>
      <c r="AH150" s="24"/>
      <c r="AI150" s="28"/>
      <c r="AJ150" s="28"/>
      <c r="AK150" s="28"/>
      <c r="AL150" s="28"/>
      <c r="AM150" s="28"/>
      <c r="AN150" s="28"/>
      <c r="AO150" s="28"/>
      <c r="AP150" s="28"/>
      <c r="AQ150" s="28"/>
      <c r="AR150" s="28"/>
      <c r="AS150" s="28"/>
      <c r="AT150" s="28"/>
      <c r="AU150" s="28"/>
      <c r="AV150" s="24"/>
      <c r="AW150" s="28"/>
      <c r="AX150" s="28"/>
      <c r="AY150" s="28"/>
      <c r="AZ150" s="28"/>
      <c r="BA150" s="28"/>
      <c r="BB150" s="28"/>
      <c r="BC150" s="24"/>
      <c r="BD150" s="28"/>
      <c r="BE150" s="28"/>
      <c r="BF150" s="28"/>
      <c r="BG150" s="24"/>
      <c r="BH150" s="28"/>
      <c r="BI150" s="28"/>
      <c r="BJ150" s="28"/>
    </row>
    <row r="151" spans="1:62">
      <c r="A151" s="24"/>
      <c r="B151" s="28"/>
      <c r="C151" s="25"/>
      <c r="D151" s="26"/>
      <c r="E151" s="24"/>
      <c r="F151" s="24"/>
      <c r="G151" s="26"/>
      <c r="H151" s="26"/>
      <c r="I151" s="26"/>
      <c r="J151" s="26"/>
      <c r="K151" s="26"/>
      <c r="L151" s="26"/>
      <c r="M151" s="26"/>
      <c r="N151" s="26"/>
      <c r="P151" s="26"/>
      <c r="Q151" s="26"/>
      <c r="R151" s="25"/>
      <c r="S151" s="25"/>
      <c r="T151" s="25"/>
      <c r="U151" s="25"/>
      <c r="V151" s="24"/>
      <c r="W151" s="24"/>
      <c r="X151" s="24"/>
      <c r="Y151" s="26"/>
      <c r="Z151" s="26"/>
      <c r="AA151" s="24"/>
      <c r="AB151" s="24"/>
      <c r="AC151" s="24"/>
      <c r="AD151" s="24"/>
      <c r="AE151" s="26"/>
      <c r="AF151" s="26"/>
      <c r="AG151" s="24"/>
      <c r="AH151" s="24"/>
      <c r="AI151" s="28"/>
      <c r="AJ151" s="28"/>
      <c r="AK151" s="28"/>
      <c r="AL151" s="28"/>
      <c r="AM151" s="28"/>
      <c r="AN151" s="28"/>
      <c r="AO151" s="28"/>
      <c r="AP151" s="28"/>
      <c r="AQ151" s="28"/>
      <c r="AR151" s="28"/>
      <c r="AS151" s="28"/>
      <c r="AT151" s="28"/>
      <c r="AU151" s="28"/>
      <c r="AV151" s="24"/>
      <c r="AW151" s="28"/>
      <c r="AX151" s="28"/>
      <c r="AY151" s="28"/>
      <c r="AZ151" s="28"/>
      <c r="BA151" s="28"/>
      <c r="BB151" s="28"/>
      <c r="BC151" s="24"/>
      <c r="BD151" s="28"/>
      <c r="BE151" s="28"/>
      <c r="BF151" s="28"/>
      <c r="BG151" s="24"/>
      <c r="BH151" s="28"/>
      <c r="BI151" s="28"/>
      <c r="BJ151" s="28"/>
    </row>
    <row r="152" spans="1:62">
      <c r="A152" s="24"/>
      <c r="B152" s="28"/>
      <c r="C152" s="25"/>
      <c r="D152" s="26"/>
      <c r="E152" s="24"/>
      <c r="F152" s="24"/>
      <c r="G152" s="26"/>
      <c r="H152" s="26"/>
      <c r="I152" s="26"/>
      <c r="J152" s="26"/>
      <c r="K152" s="26"/>
      <c r="L152" s="26"/>
      <c r="M152" s="26"/>
      <c r="N152" s="26"/>
      <c r="P152" s="26"/>
      <c r="Q152" s="26"/>
      <c r="R152" s="25"/>
      <c r="S152" s="25"/>
      <c r="T152" s="25"/>
      <c r="U152" s="25"/>
      <c r="V152" s="24"/>
      <c r="W152" s="24"/>
      <c r="X152" s="24"/>
      <c r="Y152" s="26"/>
      <c r="Z152" s="26"/>
      <c r="AA152" s="24"/>
      <c r="AB152" s="24"/>
      <c r="AC152" s="24"/>
      <c r="AD152" s="24"/>
      <c r="AE152" s="26"/>
      <c r="AF152" s="26"/>
      <c r="AG152" s="24"/>
      <c r="AH152" s="24"/>
      <c r="AI152" s="28"/>
      <c r="AJ152" s="28"/>
      <c r="AK152" s="28"/>
      <c r="AL152" s="28"/>
      <c r="AM152" s="28"/>
      <c r="AN152" s="28"/>
      <c r="AO152" s="28"/>
      <c r="AP152" s="28"/>
      <c r="AQ152" s="28"/>
      <c r="AR152" s="28"/>
      <c r="AS152" s="28"/>
      <c r="AT152" s="28"/>
      <c r="AU152" s="28"/>
      <c r="AV152" s="24"/>
      <c r="AW152" s="28"/>
      <c r="AX152" s="28"/>
      <c r="AY152" s="28"/>
      <c r="AZ152" s="28"/>
      <c r="BA152" s="28"/>
      <c r="BB152" s="28"/>
      <c r="BC152" s="24"/>
      <c r="BD152" s="28"/>
      <c r="BE152" s="28"/>
      <c r="BF152" s="28"/>
      <c r="BG152" s="24"/>
      <c r="BH152" s="28"/>
      <c r="BI152" s="28"/>
      <c r="BJ152" s="28"/>
    </row>
    <row r="153" spans="1:62">
      <c r="A153" s="24"/>
      <c r="B153" s="28"/>
      <c r="C153" s="25"/>
      <c r="D153" s="26"/>
      <c r="E153" s="24"/>
      <c r="F153" s="24"/>
      <c r="G153" s="26"/>
      <c r="H153" s="26"/>
      <c r="I153" s="26"/>
      <c r="J153" s="26"/>
      <c r="K153" s="26"/>
      <c r="L153" s="26"/>
      <c r="M153" s="26"/>
      <c r="N153" s="26"/>
      <c r="P153" s="26"/>
      <c r="Q153" s="26"/>
      <c r="R153" s="25"/>
      <c r="S153" s="25"/>
      <c r="T153" s="25"/>
      <c r="U153" s="25"/>
      <c r="V153" s="24"/>
      <c r="W153" s="24"/>
      <c r="X153" s="24"/>
      <c r="Y153" s="26"/>
      <c r="Z153" s="26"/>
      <c r="AA153" s="24"/>
      <c r="AB153" s="24"/>
      <c r="AC153" s="24"/>
      <c r="AD153" s="24"/>
      <c r="AE153" s="26"/>
      <c r="AF153" s="26"/>
      <c r="AG153" s="24"/>
      <c r="AH153" s="24"/>
      <c r="AI153" s="28"/>
      <c r="AJ153" s="28"/>
      <c r="AK153" s="28"/>
      <c r="AL153" s="28"/>
      <c r="AM153" s="28"/>
      <c r="AN153" s="28"/>
      <c r="AO153" s="28"/>
      <c r="AP153" s="28"/>
      <c r="AQ153" s="28"/>
      <c r="AR153" s="28"/>
      <c r="AS153" s="28"/>
      <c r="AT153" s="28"/>
      <c r="AU153" s="28"/>
      <c r="AV153" s="24"/>
      <c r="AW153" s="28"/>
      <c r="AX153" s="28"/>
      <c r="AY153" s="28"/>
      <c r="AZ153" s="28"/>
      <c r="BA153" s="28"/>
      <c r="BB153" s="28"/>
      <c r="BC153" s="24"/>
      <c r="BD153" s="28"/>
      <c r="BE153" s="28"/>
      <c r="BF153" s="28"/>
      <c r="BG153" s="24"/>
      <c r="BH153" s="28"/>
      <c r="BI153" s="28"/>
      <c r="BJ153" s="28"/>
    </row>
    <row r="154" spans="1:62">
      <c r="A154" s="24"/>
      <c r="B154" s="28"/>
      <c r="C154" s="25"/>
      <c r="D154" s="26"/>
      <c r="E154" s="24"/>
      <c r="F154" s="24"/>
      <c r="G154" s="26"/>
      <c r="H154" s="26"/>
      <c r="I154" s="26"/>
      <c r="J154" s="26"/>
      <c r="K154" s="26"/>
      <c r="L154" s="26"/>
      <c r="M154" s="26"/>
      <c r="N154" s="26"/>
      <c r="P154" s="26"/>
      <c r="Q154" s="26"/>
      <c r="R154" s="25"/>
      <c r="S154" s="25"/>
      <c r="T154" s="25"/>
      <c r="U154" s="25"/>
      <c r="V154" s="24"/>
      <c r="W154" s="24"/>
      <c r="X154" s="24"/>
      <c r="Y154" s="26"/>
      <c r="Z154" s="26"/>
      <c r="AA154" s="24"/>
      <c r="AB154" s="24"/>
      <c r="AC154" s="24"/>
      <c r="AD154" s="24"/>
      <c r="AE154" s="26"/>
      <c r="AF154" s="26"/>
      <c r="AG154" s="24"/>
      <c r="AH154" s="24"/>
      <c r="AI154" s="28"/>
      <c r="AJ154" s="28"/>
      <c r="AK154" s="28"/>
      <c r="AL154" s="28"/>
      <c r="AM154" s="28"/>
      <c r="AN154" s="28"/>
      <c r="AO154" s="28"/>
      <c r="AP154" s="28"/>
      <c r="AQ154" s="28"/>
      <c r="AR154" s="28"/>
      <c r="AS154" s="28"/>
      <c r="AT154" s="28"/>
      <c r="AU154" s="28"/>
      <c r="AV154" s="24"/>
      <c r="AW154" s="28"/>
      <c r="AX154" s="28"/>
      <c r="AY154" s="28"/>
      <c r="AZ154" s="28"/>
      <c r="BA154" s="28"/>
      <c r="BB154" s="28"/>
      <c r="BC154" s="24"/>
      <c r="BD154" s="28"/>
      <c r="BE154" s="28"/>
      <c r="BF154" s="28"/>
      <c r="BG154" s="24"/>
      <c r="BH154" s="28"/>
      <c r="BI154" s="28"/>
      <c r="BJ154" s="28"/>
    </row>
    <row r="155" spans="1:62">
      <c r="A155" s="24"/>
      <c r="B155" s="28"/>
      <c r="C155" s="25"/>
      <c r="D155" s="26"/>
      <c r="E155" s="24"/>
      <c r="F155" s="24"/>
      <c r="G155" s="26"/>
      <c r="H155" s="26"/>
      <c r="I155" s="26"/>
      <c r="J155" s="26"/>
      <c r="K155" s="26"/>
      <c r="L155" s="26"/>
      <c r="M155" s="26"/>
      <c r="N155" s="26"/>
      <c r="P155" s="26"/>
      <c r="Q155" s="26"/>
      <c r="R155" s="25"/>
      <c r="S155" s="25"/>
      <c r="T155" s="25"/>
      <c r="U155" s="25"/>
      <c r="V155" s="24"/>
      <c r="W155" s="24"/>
      <c r="X155" s="24"/>
      <c r="Y155" s="26"/>
      <c r="Z155" s="26"/>
      <c r="AA155" s="24"/>
      <c r="AB155" s="24"/>
      <c r="AC155" s="24"/>
      <c r="AD155" s="24"/>
      <c r="AE155" s="26"/>
      <c r="AF155" s="26"/>
      <c r="AG155" s="24"/>
      <c r="AH155" s="24"/>
      <c r="AI155" s="28"/>
      <c r="AJ155" s="28"/>
      <c r="AK155" s="28"/>
      <c r="AL155" s="28"/>
      <c r="AM155" s="28"/>
      <c r="AN155" s="28"/>
      <c r="AO155" s="28"/>
      <c r="AP155" s="28"/>
      <c r="AQ155" s="28"/>
      <c r="AR155" s="28"/>
      <c r="AS155" s="28"/>
      <c r="AT155" s="28"/>
      <c r="AU155" s="28"/>
      <c r="AV155" s="24"/>
      <c r="AW155" s="28"/>
      <c r="AX155" s="28"/>
      <c r="AY155" s="28"/>
      <c r="AZ155" s="28"/>
      <c r="BA155" s="28"/>
      <c r="BB155" s="28"/>
      <c r="BC155" s="24"/>
      <c r="BD155" s="28"/>
      <c r="BE155" s="28"/>
      <c r="BF155" s="28"/>
      <c r="BG155" s="24"/>
      <c r="BH155" s="28"/>
      <c r="BI155" s="28"/>
      <c r="BJ155" s="28"/>
    </row>
    <row r="156" spans="1:62">
      <c r="A156" s="24"/>
      <c r="B156" s="28"/>
      <c r="C156" s="25"/>
      <c r="D156" s="26"/>
      <c r="E156" s="24"/>
      <c r="F156" s="24"/>
      <c r="G156" s="26"/>
      <c r="H156" s="26"/>
      <c r="I156" s="26"/>
      <c r="J156" s="26"/>
      <c r="K156" s="26"/>
      <c r="L156" s="26"/>
      <c r="M156" s="26"/>
      <c r="N156" s="26"/>
      <c r="P156" s="26"/>
      <c r="Q156" s="26"/>
      <c r="R156" s="25"/>
      <c r="S156" s="25"/>
      <c r="T156" s="25"/>
      <c r="U156" s="25"/>
      <c r="V156" s="24"/>
      <c r="W156" s="24"/>
      <c r="X156" s="24"/>
      <c r="Y156" s="26"/>
      <c r="Z156" s="26"/>
      <c r="AA156" s="24"/>
      <c r="AB156" s="24"/>
      <c r="AC156" s="24"/>
      <c r="AD156" s="24"/>
      <c r="AE156" s="26"/>
      <c r="AF156" s="26"/>
      <c r="AG156" s="24"/>
      <c r="AH156" s="24"/>
      <c r="AI156" s="28"/>
      <c r="AJ156" s="28"/>
      <c r="AK156" s="28"/>
      <c r="AL156" s="28"/>
      <c r="AM156" s="28"/>
      <c r="AN156" s="28"/>
      <c r="AO156" s="28"/>
      <c r="AP156" s="28"/>
      <c r="AQ156" s="28"/>
      <c r="AR156" s="28"/>
      <c r="AS156" s="28"/>
      <c r="AT156" s="28"/>
      <c r="AU156" s="28"/>
      <c r="AV156" s="24"/>
      <c r="AW156" s="28"/>
      <c r="AX156" s="28"/>
      <c r="AY156" s="28"/>
      <c r="AZ156" s="28"/>
      <c r="BA156" s="28"/>
      <c r="BB156" s="28"/>
      <c r="BC156" s="24"/>
      <c r="BD156" s="28"/>
      <c r="BE156" s="28"/>
      <c r="BF156" s="28"/>
      <c r="BG156" s="24"/>
      <c r="BH156" s="28"/>
      <c r="BI156" s="28"/>
      <c r="BJ156" s="28"/>
    </row>
    <row r="157" spans="1:62">
      <c r="A157" s="24"/>
      <c r="B157" s="28"/>
      <c r="C157" s="25"/>
      <c r="D157" s="26"/>
      <c r="E157" s="24"/>
      <c r="F157" s="24"/>
      <c r="G157" s="26"/>
      <c r="H157" s="26"/>
      <c r="I157" s="26"/>
      <c r="J157" s="26"/>
      <c r="K157" s="26"/>
      <c r="L157" s="26"/>
      <c r="M157" s="26"/>
      <c r="N157" s="26"/>
      <c r="P157" s="26"/>
      <c r="Q157" s="26"/>
      <c r="R157" s="25"/>
      <c r="S157" s="25"/>
      <c r="T157" s="25"/>
      <c r="U157" s="25"/>
      <c r="V157" s="24"/>
      <c r="W157" s="24"/>
      <c r="X157" s="24"/>
      <c r="Y157" s="26"/>
      <c r="Z157" s="26"/>
      <c r="AA157" s="24"/>
      <c r="AB157" s="24"/>
      <c r="AC157" s="24"/>
      <c r="AD157" s="24"/>
      <c r="AE157" s="26"/>
      <c r="AF157" s="26"/>
      <c r="AG157" s="24"/>
      <c r="AH157" s="24"/>
      <c r="AI157" s="28"/>
      <c r="AJ157" s="28"/>
      <c r="AK157" s="28"/>
      <c r="AL157" s="28"/>
      <c r="AM157" s="28"/>
      <c r="AN157" s="28"/>
      <c r="AO157" s="28"/>
      <c r="AP157" s="28"/>
      <c r="AQ157" s="28"/>
      <c r="AR157" s="28"/>
      <c r="AS157" s="28"/>
      <c r="AT157" s="28"/>
      <c r="AU157" s="28"/>
      <c r="AV157" s="24"/>
      <c r="AW157" s="28"/>
      <c r="AX157" s="28"/>
      <c r="AY157" s="28"/>
      <c r="AZ157" s="28"/>
      <c r="BA157" s="28"/>
      <c r="BB157" s="28"/>
      <c r="BC157" s="24"/>
      <c r="BD157" s="28"/>
      <c r="BE157" s="28"/>
      <c r="BF157" s="28"/>
      <c r="BG157" s="24"/>
      <c r="BH157" s="28"/>
      <c r="BI157" s="28"/>
      <c r="BJ157" s="28"/>
    </row>
    <row r="158" spans="1:62">
      <c r="A158" s="24"/>
      <c r="B158" s="28"/>
      <c r="C158" s="25"/>
      <c r="D158" s="26"/>
      <c r="E158" s="24"/>
      <c r="F158" s="24"/>
      <c r="G158" s="26"/>
      <c r="H158" s="26"/>
      <c r="I158" s="26"/>
      <c r="J158" s="26"/>
      <c r="K158" s="26"/>
      <c r="L158" s="26"/>
      <c r="M158" s="26"/>
      <c r="N158" s="26"/>
      <c r="P158" s="26"/>
      <c r="Q158" s="26"/>
      <c r="R158" s="25"/>
      <c r="S158" s="25"/>
      <c r="T158" s="25"/>
      <c r="U158" s="25"/>
      <c r="V158" s="24"/>
      <c r="W158" s="24"/>
      <c r="X158" s="24"/>
      <c r="Y158" s="26"/>
      <c r="Z158" s="26"/>
      <c r="AA158" s="24"/>
      <c r="AB158" s="24"/>
      <c r="AC158" s="24"/>
      <c r="AD158" s="24"/>
      <c r="AE158" s="26"/>
      <c r="AF158" s="26"/>
      <c r="AG158" s="24"/>
      <c r="AH158" s="24"/>
      <c r="AI158" s="28"/>
      <c r="AJ158" s="28"/>
      <c r="AK158" s="28"/>
      <c r="AL158" s="28"/>
      <c r="AM158" s="28"/>
      <c r="AN158" s="28"/>
      <c r="AO158" s="28"/>
      <c r="AP158" s="28"/>
      <c r="AQ158" s="28"/>
      <c r="AR158" s="28"/>
      <c r="AS158" s="28"/>
      <c r="AT158" s="28"/>
      <c r="AU158" s="28"/>
      <c r="AV158" s="24"/>
      <c r="AW158" s="28"/>
      <c r="AX158" s="28"/>
      <c r="AY158" s="28"/>
      <c r="AZ158" s="28"/>
      <c r="BA158" s="28"/>
      <c r="BB158" s="28"/>
      <c r="BC158" s="24"/>
      <c r="BD158" s="28"/>
      <c r="BE158" s="28"/>
      <c r="BF158" s="28"/>
      <c r="BG158" s="24"/>
      <c r="BH158" s="28"/>
      <c r="BI158" s="28"/>
      <c r="BJ158" s="28"/>
    </row>
    <row r="159" spans="1:62">
      <c r="A159" s="24"/>
      <c r="B159" s="28"/>
      <c r="C159" s="25"/>
      <c r="D159" s="26"/>
      <c r="E159" s="24"/>
      <c r="F159" s="24"/>
      <c r="G159" s="26"/>
      <c r="H159" s="26"/>
      <c r="I159" s="26"/>
      <c r="J159" s="26"/>
      <c r="K159" s="26"/>
      <c r="L159" s="26"/>
      <c r="M159" s="26"/>
      <c r="N159" s="26"/>
      <c r="P159" s="26"/>
      <c r="Q159" s="26"/>
      <c r="R159" s="25"/>
      <c r="S159" s="25"/>
      <c r="T159" s="25"/>
      <c r="U159" s="25"/>
      <c r="V159" s="24"/>
      <c r="W159" s="24"/>
      <c r="X159" s="24"/>
      <c r="Y159" s="26"/>
      <c r="Z159" s="26"/>
      <c r="AA159" s="24"/>
      <c r="AB159" s="24"/>
      <c r="AC159" s="24"/>
      <c r="AD159" s="24"/>
      <c r="AE159" s="26"/>
      <c r="AF159" s="26"/>
      <c r="AG159" s="24"/>
      <c r="AH159" s="24"/>
      <c r="AI159" s="28"/>
      <c r="AJ159" s="28"/>
      <c r="AK159" s="28"/>
      <c r="AL159" s="28"/>
      <c r="AM159" s="28"/>
      <c r="AN159" s="28"/>
      <c r="AO159" s="28"/>
      <c r="AP159" s="28"/>
      <c r="AQ159" s="28"/>
      <c r="AR159" s="28"/>
      <c r="AS159" s="28"/>
      <c r="AT159" s="28"/>
      <c r="AU159" s="28"/>
      <c r="AV159" s="24"/>
      <c r="AW159" s="28"/>
      <c r="AX159" s="28"/>
      <c r="AY159" s="28"/>
      <c r="AZ159" s="28"/>
      <c r="BA159" s="28"/>
      <c r="BB159" s="28"/>
      <c r="BC159" s="24"/>
      <c r="BD159" s="28"/>
      <c r="BE159" s="28"/>
      <c r="BF159" s="28"/>
      <c r="BG159" s="24"/>
      <c r="BH159" s="28"/>
      <c r="BI159" s="28"/>
      <c r="BJ159" s="28"/>
    </row>
    <row r="160" spans="1:62">
      <c r="A160" s="24"/>
      <c r="B160" s="28"/>
      <c r="C160" s="25"/>
      <c r="D160" s="26"/>
      <c r="E160" s="24"/>
      <c r="F160" s="24"/>
      <c r="G160" s="26"/>
      <c r="H160" s="26"/>
      <c r="I160" s="26"/>
      <c r="J160" s="26"/>
      <c r="K160" s="26"/>
      <c r="L160" s="26"/>
      <c r="M160" s="26"/>
      <c r="N160" s="26"/>
      <c r="P160" s="26"/>
      <c r="Q160" s="26"/>
      <c r="R160" s="25"/>
      <c r="S160" s="25"/>
      <c r="T160" s="25"/>
      <c r="U160" s="25"/>
      <c r="V160" s="24"/>
      <c r="W160" s="24"/>
      <c r="X160" s="24"/>
      <c r="Y160" s="26"/>
      <c r="Z160" s="26"/>
      <c r="AA160" s="24"/>
      <c r="AB160" s="24"/>
      <c r="AC160" s="24"/>
      <c r="AD160" s="24"/>
      <c r="AE160" s="26"/>
      <c r="AF160" s="26"/>
      <c r="AG160" s="24"/>
      <c r="AH160" s="24"/>
      <c r="AI160" s="28"/>
      <c r="AJ160" s="28"/>
      <c r="AK160" s="28"/>
      <c r="AL160" s="28"/>
      <c r="AM160" s="28"/>
      <c r="AN160" s="28"/>
      <c r="AO160" s="28"/>
      <c r="AP160" s="28"/>
      <c r="AQ160" s="28"/>
      <c r="AR160" s="28"/>
      <c r="AS160" s="28"/>
      <c r="AT160" s="28"/>
      <c r="AU160" s="28"/>
      <c r="AV160" s="24"/>
      <c r="AW160" s="28"/>
      <c r="AX160" s="28"/>
      <c r="AY160" s="28"/>
      <c r="AZ160" s="28"/>
      <c r="BA160" s="28"/>
      <c r="BB160" s="28"/>
      <c r="BC160" s="24"/>
      <c r="BD160" s="28"/>
      <c r="BE160" s="28"/>
      <c r="BF160" s="28"/>
      <c r="BG160" s="24"/>
      <c r="BH160" s="28"/>
      <c r="BI160" s="28"/>
      <c r="BJ160" s="28"/>
    </row>
    <row r="161" spans="1:62">
      <c r="A161" s="24"/>
      <c r="B161" s="28"/>
      <c r="C161" s="25"/>
      <c r="D161" s="26"/>
      <c r="E161" s="24"/>
      <c r="F161" s="24"/>
      <c r="G161" s="26"/>
      <c r="H161" s="26"/>
      <c r="I161" s="26"/>
      <c r="J161" s="26"/>
      <c r="K161" s="26"/>
      <c r="L161" s="26"/>
      <c r="M161" s="26"/>
      <c r="N161" s="26"/>
      <c r="P161" s="26"/>
      <c r="Q161" s="26"/>
      <c r="R161" s="25"/>
      <c r="S161" s="25"/>
      <c r="T161" s="25"/>
      <c r="U161" s="25"/>
      <c r="V161" s="24"/>
      <c r="W161" s="24"/>
      <c r="X161" s="24"/>
      <c r="Y161" s="26"/>
      <c r="Z161" s="26"/>
      <c r="AA161" s="24"/>
      <c r="AB161" s="24"/>
      <c r="AC161" s="24"/>
      <c r="AD161" s="24"/>
      <c r="AE161" s="26"/>
      <c r="AF161" s="26"/>
      <c r="AG161" s="24"/>
      <c r="AH161" s="24"/>
      <c r="AI161" s="28"/>
      <c r="AJ161" s="28"/>
      <c r="AK161" s="28"/>
      <c r="AL161" s="28"/>
      <c r="AM161" s="28"/>
      <c r="AN161" s="28"/>
      <c r="AO161" s="28"/>
      <c r="AP161" s="28"/>
      <c r="AQ161" s="28"/>
      <c r="AR161" s="28"/>
      <c r="AS161" s="28"/>
      <c r="AT161" s="28"/>
      <c r="AU161" s="28"/>
      <c r="AV161" s="24"/>
      <c r="AW161" s="28"/>
      <c r="AX161" s="28"/>
      <c r="AY161" s="28"/>
      <c r="AZ161" s="28"/>
      <c r="BA161" s="28"/>
      <c r="BB161" s="28"/>
      <c r="BC161" s="24"/>
      <c r="BD161" s="28"/>
      <c r="BE161" s="28"/>
      <c r="BF161" s="28"/>
      <c r="BG161" s="24"/>
      <c r="BH161" s="28"/>
      <c r="BI161" s="28"/>
      <c r="BJ161" s="28"/>
    </row>
    <row r="162" spans="1:62">
      <c r="A162" s="24"/>
      <c r="B162" s="28"/>
      <c r="C162" s="25"/>
      <c r="D162" s="26"/>
      <c r="E162" s="24"/>
      <c r="F162" s="24"/>
      <c r="G162" s="26"/>
      <c r="H162" s="26"/>
      <c r="I162" s="26"/>
      <c r="J162" s="26"/>
      <c r="K162" s="26"/>
      <c r="L162" s="26"/>
      <c r="M162" s="26"/>
      <c r="N162" s="26"/>
      <c r="P162" s="26"/>
      <c r="Q162" s="26"/>
      <c r="R162" s="25"/>
      <c r="S162" s="25"/>
      <c r="T162" s="25"/>
      <c r="U162" s="25"/>
      <c r="V162" s="24"/>
      <c r="W162" s="24"/>
      <c r="X162" s="24"/>
      <c r="Y162" s="26"/>
      <c r="Z162" s="26"/>
      <c r="AA162" s="24"/>
      <c r="AB162" s="24"/>
      <c r="AC162" s="24"/>
      <c r="AD162" s="24"/>
      <c r="AE162" s="26"/>
      <c r="AF162" s="26"/>
      <c r="AG162" s="24"/>
      <c r="AH162" s="24"/>
      <c r="AI162" s="28"/>
      <c r="AJ162" s="28"/>
      <c r="AK162" s="28"/>
      <c r="AL162" s="28"/>
      <c r="AM162" s="28"/>
      <c r="AN162" s="28"/>
      <c r="AO162" s="28"/>
      <c r="AP162" s="28"/>
      <c r="AQ162" s="28"/>
      <c r="AR162" s="28"/>
      <c r="AS162" s="28"/>
      <c r="AT162" s="28"/>
      <c r="AU162" s="28"/>
      <c r="AV162" s="24"/>
      <c r="AW162" s="28"/>
      <c r="AX162" s="28"/>
      <c r="AY162" s="28"/>
      <c r="AZ162" s="28"/>
      <c r="BA162" s="28"/>
      <c r="BB162" s="28"/>
      <c r="BC162" s="24"/>
      <c r="BD162" s="28"/>
      <c r="BE162" s="28"/>
      <c r="BF162" s="28"/>
      <c r="BG162" s="24"/>
      <c r="BH162" s="28"/>
      <c r="BI162" s="28"/>
      <c r="BJ162" s="28"/>
    </row>
    <row r="163" spans="1:62">
      <c r="A163" s="24"/>
      <c r="B163" s="28"/>
      <c r="C163" s="25"/>
      <c r="D163" s="26"/>
      <c r="E163" s="24"/>
      <c r="F163" s="24"/>
      <c r="G163" s="26"/>
      <c r="H163" s="26"/>
      <c r="I163" s="26"/>
      <c r="J163" s="26"/>
      <c r="K163" s="26"/>
      <c r="L163" s="26"/>
      <c r="M163" s="26"/>
      <c r="N163" s="26"/>
      <c r="P163" s="26"/>
      <c r="Q163" s="26"/>
      <c r="R163" s="25"/>
      <c r="S163" s="25"/>
      <c r="T163" s="25"/>
      <c r="U163" s="25"/>
      <c r="V163" s="24"/>
      <c r="W163" s="24"/>
      <c r="X163" s="24"/>
      <c r="Y163" s="26"/>
      <c r="Z163" s="26"/>
      <c r="AA163" s="24"/>
      <c r="AB163" s="24"/>
      <c r="AC163" s="24"/>
      <c r="AD163" s="24"/>
      <c r="AE163" s="26"/>
      <c r="AF163" s="26"/>
      <c r="AG163" s="24"/>
      <c r="AH163" s="24"/>
      <c r="AI163" s="28"/>
      <c r="AJ163" s="28"/>
      <c r="AK163" s="28"/>
      <c r="AL163" s="28"/>
      <c r="AM163" s="28"/>
      <c r="AN163" s="28"/>
      <c r="AO163" s="28"/>
      <c r="AP163" s="28"/>
      <c r="AQ163" s="28"/>
      <c r="AR163" s="28"/>
      <c r="AS163" s="28"/>
      <c r="AT163" s="28"/>
      <c r="AU163" s="28"/>
      <c r="AV163" s="24"/>
      <c r="AW163" s="28"/>
      <c r="AX163" s="28"/>
      <c r="AY163" s="28"/>
      <c r="AZ163" s="28"/>
      <c r="BA163" s="28"/>
      <c r="BB163" s="28"/>
      <c r="BC163" s="24"/>
      <c r="BD163" s="28"/>
      <c r="BE163" s="28"/>
      <c r="BF163" s="28"/>
      <c r="BG163" s="24"/>
      <c r="BH163" s="28"/>
      <c r="BI163" s="28"/>
      <c r="BJ163" s="28"/>
    </row>
    <row r="164" spans="1:62">
      <c r="A164" s="24"/>
      <c r="B164" s="28"/>
      <c r="C164" s="25"/>
      <c r="D164" s="26"/>
      <c r="E164" s="24"/>
      <c r="F164" s="24"/>
      <c r="G164" s="26"/>
      <c r="H164" s="26"/>
      <c r="I164" s="26"/>
      <c r="J164" s="26"/>
      <c r="K164" s="26"/>
      <c r="L164" s="26"/>
      <c r="M164" s="26"/>
      <c r="N164" s="26"/>
      <c r="P164" s="26"/>
      <c r="Q164" s="26"/>
      <c r="R164" s="25"/>
      <c r="S164" s="25"/>
      <c r="T164" s="25"/>
      <c r="U164" s="25"/>
      <c r="V164" s="24"/>
      <c r="W164" s="24"/>
      <c r="X164" s="24"/>
      <c r="Y164" s="26"/>
      <c r="Z164" s="26"/>
      <c r="AA164" s="24"/>
      <c r="AB164" s="24"/>
      <c r="AC164" s="24"/>
      <c r="AD164" s="24"/>
      <c r="AE164" s="26"/>
      <c r="AF164" s="26"/>
      <c r="AG164" s="24"/>
      <c r="AH164" s="24"/>
      <c r="AI164" s="28"/>
      <c r="AJ164" s="28"/>
      <c r="AK164" s="28"/>
      <c r="AL164" s="28"/>
      <c r="AM164" s="28"/>
      <c r="AN164" s="28"/>
      <c r="AO164" s="28"/>
      <c r="AP164" s="28"/>
      <c r="AQ164" s="28"/>
      <c r="AR164" s="28"/>
      <c r="AS164" s="28"/>
      <c r="AT164" s="28"/>
      <c r="AU164" s="28"/>
      <c r="AV164" s="24"/>
      <c r="AW164" s="28"/>
      <c r="AX164" s="28"/>
      <c r="AY164" s="28"/>
      <c r="AZ164" s="28"/>
      <c r="BA164" s="28"/>
      <c r="BB164" s="28"/>
      <c r="BC164" s="24"/>
      <c r="BD164" s="28"/>
      <c r="BE164" s="28"/>
      <c r="BF164" s="28"/>
      <c r="BG164" s="24"/>
      <c r="BH164" s="28"/>
      <c r="BI164" s="28"/>
      <c r="BJ164" s="28"/>
    </row>
    <row r="165" spans="1:62">
      <c r="A165" s="24"/>
      <c r="B165" s="28"/>
      <c r="C165" s="25"/>
      <c r="D165" s="26"/>
      <c r="E165" s="24"/>
      <c r="F165" s="24"/>
      <c r="G165" s="26"/>
      <c r="H165" s="26"/>
      <c r="I165" s="26"/>
      <c r="J165" s="26"/>
      <c r="K165" s="26"/>
      <c r="L165" s="26"/>
      <c r="M165" s="26"/>
      <c r="N165" s="26"/>
      <c r="P165" s="26"/>
      <c r="Q165" s="26"/>
      <c r="R165" s="25"/>
      <c r="S165" s="25"/>
      <c r="T165" s="25"/>
      <c r="U165" s="25"/>
      <c r="V165" s="24"/>
      <c r="W165" s="24"/>
      <c r="X165" s="24"/>
      <c r="Y165" s="26"/>
      <c r="Z165" s="26"/>
      <c r="AA165" s="24"/>
      <c r="AB165" s="24"/>
      <c r="AC165" s="24"/>
      <c r="AD165" s="24"/>
      <c r="AE165" s="26"/>
      <c r="AF165" s="26"/>
      <c r="AG165" s="24"/>
      <c r="AH165" s="24"/>
      <c r="AI165" s="28"/>
      <c r="AJ165" s="28"/>
      <c r="AK165" s="28"/>
      <c r="AL165" s="28"/>
      <c r="AM165" s="28"/>
      <c r="AN165" s="28"/>
      <c r="AO165" s="28"/>
      <c r="AP165" s="28"/>
      <c r="AQ165" s="28"/>
      <c r="AR165" s="28"/>
      <c r="AS165" s="28"/>
      <c r="AT165" s="28"/>
      <c r="AU165" s="28"/>
      <c r="AV165" s="24"/>
      <c r="AW165" s="28"/>
      <c r="AX165" s="28"/>
      <c r="AY165" s="28"/>
      <c r="AZ165" s="28"/>
      <c r="BA165" s="28"/>
      <c r="BB165" s="28"/>
      <c r="BC165" s="24"/>
      <c r="BD165" s="28"/>
      <c r="BE165" s="28"/>
      <c r="BF165" s="28"/>
      <c r="BG165" s="24"/>
      <c r="BH165" s="28"/>
      <c r="BI165" s="28"/>
      <c r="BJ165" s="28"/>
    </row>
    <row r="166" spans="1:62">
      <c r="A166" s="24"/>
      <c r="B166" s="28"/>
      <c r="C166" s="25"/>
      <c r="D166" s="26"/>
      <c r="E166" s="24"/>
      <c r="F166" s="24"/>
      <c r="G166" s="26"/>
      <c r="H166" s="26"/>
      <c r="I166" s="26"/>
      <c r="J166" s="26"/>
      <c r="K166" s="26"/>
      <c r="L166" s="26"/>
      <c r="M166" s="26"/>
      <c r="N166" s="26"/>
      <c r="P166" s="26"/>
      <c r="Q166" s="26"/>
      <c r="R166" s="25"/>
      <c r="S166" s="25"/>
      <c r="T166" s="25"/>
      <c r="U166" s="25"/>
      <c r="V166" s="24"/>
      <c r="W166" s="24"/>
      <c r="X166" s="24"/>
      <c r="Y166" s="26"/>
      <c r="Z166" s="26"/>
      <c r="AA166" s="24"/>
      <c r="AB166" s="24"/>
      <c r="AC166" s="24"/>
      <c r="AD166" s="24"/>
      <c r="AE166" s="26"/>
      <c r="AF166" s="26"/>
      <c r="AG166" s="24"/>
      <c r="AH166" s="24"/>
      <c r="AI166" s="28"/>
      <c r="AJ166" s="28"/>
      <c r="AK166" s="28"/>
      <c r="AL166" s="28"/>
      <c r="AM166" s="28"/>
      <c r="AN166" s="28"/>
      <c r="AO166" s="28"/>
      <c r="AP166" s="28"/>
      <c r="AQ166" s="28"/>
      <c r="AR166" s="28"/>
      <c r="AS166" s="28"/>
      <c r="AT166" s="28"/>
      <c r="AU166" s="28"/>
      <c r="AV166" s="24"/>
      <c r="AW166" s="28"/>
      <c r="AX166" s="28"/>
      <c r="AY166" s="28"/>
      <c r="AZ166" s="28"/>
      <c r="BA166" s="28"/>
      <c r="BB166" s="28"/>
      <c r="BC166" s="24"/>
      <c r="BD166" s="28"/>
      <c r="BE166" s="28"/>
      <c r="BF166" s="28"/>
      <c r="BG166" s="24"/>
      <c r="BH166" s="28"/>
      <c r="BI166" s="28"/>
      <c r="BJ166" s="28"/>
    </row>
    <row r="167" spans="1:62">
      <c r="A167" s="24"/>
      <c r="B167" s="28"/>
      <c r="C167" s="25"/>
      <c r="D167" s="26"/>
      <c r="E167" s="24"/>
      <c r="F167" s="24"/>
      <c r="G167" s="26"/>
      <c r="H167" s="26"/>
      <c r="I167" s="26"/>
      <c r="J167" s="26"/>
      <c r="K167" s="26"/>
      <c r="L167" s="26"/>
      <c r="M167" s="26"/>
      <c r="N167" s="26"/>
      <c r="P167" s="26"/>
      <c r="Q167" s="26"/>
      <c r="R167" s="25"/>
      <c r="S167" s="25"/>
      <c r="T167" s="25"/>
      <c r="U167" s="25"/>
      <c r="V167" s="24"/>
      <c r="W167" s="24"/>
      <c r="X167" s="24"/>
      <c r="Y167" s="26"/>
      <c r="Z167" s="26"/>
      <c r="AA167" s="24"/>
      <c r="AB167" s="24"/>
      <c r="AC167" s="24"/>
      <c r="AD167" s="24"/>
      <c r="AE167" s="26"/>
      <c r="AF167" s="26"/>
      <c r="AG167" s="24"/>
      <c r="AH167" s="24"/>
      <c r="AI167" s="28"/>
      <c r="AJ167" s="28"/>
      <c r="AK167" s="28"/>
      <c r="AL167" s="28"/>
      <c r="AM167" s="28"/>
      <c r="AN167" s="28"/>
      <c r="AO167" s="28"/>
      <c r="AP167" s="28"/>
      <c r="AQ167" s="28"/>
      <c r="AR167" s="28"/>
      <c r="AS167" s="28"/>
      <c r="AT167" s="28"/>
      <c r="AU167" s="28"/>
      <c r="AV167" s="24"/>
      <c r="AW167" s="28"/>
      <c r="AX167" s="28"/>
      <c r="AY167" s="28"/>
      <c r="AZ167" s="28"/>
      <c r="BA167" s="28"/>
      <c r="BB167" s="28"/>
      <c r="BC167" s="24"/>
      <c r="BD167" s="28"/>
      <c r="BE167" s="28"/>
      <c r="BF167" s="28"/>
      <c r="BG167" s="24"/>
      <c r="BH167" s="28"/>
      <c r="BI167" s="28"/>
      <c r="BJ167" s="28"/>
    </row>
    <row r="168" spans="1:62">
      <c r="A168" s="24"/>
      <c r="B168" s="28"/>
      <c r="C168" s="25"/>
      <c r="D168" s="26"/>
      <c r="E168" s="24"/>
      <c r="F168" s="24"/>
      <c r="G168" s="26"/>
      <c r="H168" s="26"/>
      <c r="I168" s="26"/>
      <c r="J168" s="26"/>
      <c r="K168" s="26"/>
      <c r="L168" s="26"/>
      <c r="M168" s="26"/>
      <c r="N168" s="26"/>
      <c r="P168" s="26"/>
      <c r="Q168" s="26"/>
      <c r="R168" s="25"/>
      <c r="S168" s="25"/>
      <c r="T168" s="25"/>
      <c r="U168" s="25"/>
      <c r="V168" s="24"/>
      <c r="W168" s="24"/>
      <c r="X168" s="24"/>
      <c r="Y168" s="26"/>
      <c r="Z168" s="26"/>
      <c r="AA168" s="24"/>
      <c r="AB168" s="24"/>
      <c r="AC168" s="24"/>
      <c r="AD168" s="24"/>
      <c r="AE168" s="26"/>
      <c r="AF168" s="26"/>
      <c r="AG168" s="24"/>
      <c r="AH168" s="24"/>
      <c r="AI168" s="28"/>
      <c r="AJ168" s="28"/>
      <c r="AK168" s="28"/>
      <c r="AL168" s="28"/>
      <c r="AM168" s="28"/>
      <c r="AN168" s="28"/>
      <c r="AO168" s="28"/>
      <c r="AP168" s="28"/>
      <c r="AQ168" s="28"/>
      <c r="AR168" s="28"/>
      <c r="AS168" s="28"/>
      <c r="AT168" s="28"/>
      <c r="AU168" s="28"/>
      <c r="AV168" s="24"/>
      <c r="AW168" s="28"/>
      <c r="AX168" s="28"/>
      <c r="AY168" s="28"/>
      <c r="AZ168" s="28"/>
      <c r="BA168" s="28"/>
      <c r="BB168" s="28"/>
      <c r="BC168" s="24"/>
      <c r="BD168" s="28"/>
      <c r="BE168" s="28"/>
      <c r="BF168" s="28"/>
      <c r="BG168" s="24"/>
      <c r="BH168" s="28"/>
      <c r="BI168" s="28"/>
      <c r="BJ168" s="28"/>
    </row>
    <row r="169" spans="1:62">
      <c r="A169" s="24"/>
      <c r="B169" s="28"/>
      <c r="C169" s="25"/>
      <c r="D169" s="26"/>
      <c r="E169" s="24"/>
      <c r="F169" s="24"/>
      <c r="G169" s="26"/>
      <c r="H169" s="26"/>
      <c r="I169" s="26"/>
      <c r="J169" s="26"/>
      <c r="K169" s="26"/>
      <c r="L169" s="26"/>
      <c r="M169" s="26"/>
      <c r="N169" s="26"/>
      <c r="P169" s="26"/>
      <c r="Q169" s="26"/>
      <c r="R169" s="25"/>
      <c r="S169" s="25"/>
      <c r="T169" s="25"/>
      <c r="U169" s="25"/>
      <c r="V169" s="24"/>
      <c r="W169" s="24"/>
      <c r="X169" s="24"/>
      <c r="Y169" s="26"/>
      <c r="Z169" s="26"/>
      <c r="AA169" s="24"/>
      <c r="AB169" s="24"/>
      <c r="AC169" s="24"/>
      <c r="AD169" s="24"/>
      <c r="AE169" s="26"/>
      <c r="AF169" s="26"/>
      <c r="AG169" s="24"/>
      <c r="AH169" s="24"/>
      <c r="AI169" s="28"/>
      <c r="AJ169" s="28"/>
      <c r="AK169" s="28"/>
      <c r="AL169" s="28"/>
      <c r="AM169" s="28"/>
      <c r="AN169" s="28"/>
      <c r="AO169" s="28"/>
      <c r="AP169" s="28"/>
      <c r="AQ169" s="28"/>
      <c r="AR169" s="28"/>
      <c r="AS169" s="28"/>
      <c r="AT169" s="28"/>
      <c r="AU169" s="28"/>
      <c r="AV169" s="24"/>
      <c r="AW169" s="28"/>
      <c r="AX169" s="28"/>
      <c r="AY169" s="28"/>
      <c r="AZ169" s="28"/>
      <c r="BA169" s="28"/>
      <c r="BB169" s="28"/>
      <c r="BC169" s="24"/>
      <c r="BD169" s="28"/>
      <c r="BE169" s="28"/>
      <c r="BF169" s="28"/>
      <c r="BG169" s="24"/>
      <c r="BH169" s="28"/>
      <c r="BI169" s="28"/>
      <c r="BJ169" s="28"/>
    </row>
    <row r="170" spans="1:62">
      <c r="A170" s="24"/>
      <c r="B170" s="28"/>
      <c r="C170" s="25"/>
      <c r="D170" s="26"/>
      <c r="E170" s="24"/>
      <c r="F170" s="24"/>
      <c r="G170" s="26"/>
      <c r="H170" s="26"/>
      <c r="I170" s="26"/>
      <c r="J170" s="26"/>
      <c r="K170" s="26"/>
      <c r="L170" s="26"/>
      <c r="M170" s="26"/>
      <c r="N170" s="26"/>
      <c r="P170" s="26"/>
      <c r="Q170" s="26"/>
      <c r="R170" s="25"/>
      <c r="S170" s="25"/>
      <c r="T170" s="25"/>
      <c r="U170" s="25"/>
      <c r="V170" s="24"/>
      <c r="W170" s="24"/>
      <c r="X170" s="24"/>
      <c r="Y170" s="26"/>
      <c r="Z170" s="26"/>
      <c r="AA170" s="24"/>
      <c r="AB170" s="24"/>
      <c r="AC170" s="24"/>
      <c r="AD170" s="24"/>
      <c r="AE170" s="26"/>
      <c r="AF170" s="26"/>
      <c r="AG170" s="24"/>
      <c r="AH170" s="24"/>
      <c r="AI170" s="28"/>
      <c r="AJ170" s="28"/>
      <c r="AK170" s="28"/>
      <c r="AL170" s="28"/>
      <c r="AM170" s="28"/>
      <c r="AN170" s="28"/>
      <c r="AO170" s="28"/>
      <c r="AP170" s="28"/>
      <c r="AQ170" s="28"/>
      <c r="AR170" s="28"/>
      <c r="AS170" s="28"/>
      <c r="AT170" s="28"/>
      <c r="AU170" s="28"/>
      <c r="AV170" s="24"/>
      <c r="AW170" s="28"/>
      <c r="AX170" s="28"/>
      <c r="AY170" s="28"/>
      <c r="AZ170" s="28"/>
      <c r="BA170" s="28"/>
      <c r="BB170" s="28"/>
      <c r="BC170" s="24"/>
      <c r="BD170" s="28"/>
      <c r="BE170" s="28"/>
      <c r="BF170" s="28"/>
      <c r="BG170" s="24"/>
      <c r="BH170" s="28"/>
      <c r="BI170" s="28"/>
      <c r="BJ170" s="28"/>
    </row>
    <row r="171" spans="1:62">
      <c r="A171" s="24"/>
      <c r="B171" s="28"/>
      <c r="C171" s="25"/>
      <c r="D171" s="26"/>
      <c r="E171" s="24"/>
      <c r="F171" s="24"/>
      <c r="G171" s="26"/>
      <c r="H171" s="26"/>
      <c r="I171" s="26"/>
      <c r="J171" s="26"/>
      <c r="K171" s="26"/>
      <c r="L171" s="26"/>
      <c r="M171" s="26"/>
      <c r="N171" s="26"/>
      <c r="P171" s="26"/>
      <c r="Q171" s="26"/>
      <c r="R171" s="25"/>
      <c r="S171" s="25"/>
      <c r="T171" s="25"/>
      <c r="U171" s="25"/>
      <c r="V171" s="24"/>
      <c r="W171" s="24"/>
      <c r="X171" s="24"/>
      <c r="Y171" s="26"/>
      <c r="Z171" s="26"/>
      <c r="AA171" s="24"/>
      <c r="AB171" s="24"/>
      <c r="AC171" s="24"/>
      <c r="AD171" s="24"/>
      <c r="AE171" s="26"/>
      <c r="AF171" s="26"/>
      <c r="AG171" s="24"/>
      <c r="AH171" s="24"/>
      <c r="AI171" s="28"/>
      <c r="AJ171" s="28"/>
      <c r="AK171" s="28"/>
      <c r="AL171" s="28"/>
      <c r="AM171" s="28"/>
      <c r="AN171" s="28"/>
      <c r="AO171" s="28"/>
      <c r="AP171" s="28"/>
      <c r="AQ171" s="28"/>
      <c r="AR171" s="28"/>
      <c r="AS171" s="28"/>
      <c r="AT171" s="28"/>
      <c r="AU171" s="28"/>
      <c r="AV171" s="24"/>
      <c r="AW171" s="28"/>
      <c r="AX171" s="28"/>
      <c r="AY171" s="28"/>
      <c r="AZ171" s="28"/>
      <c r="BA171" s="28"/>
      <c r="BB171" s="28"/>
      <c r="BC171" s="24"/>
      <c r="BD171" s="28"/>
      <c r="BE171" s="28"/>
      <c r="BF171" s="28"/>
      <c r="BG171" s="24"/>
      <c r="BH171" s="28"/>
      <c r="BI171" s="28"/>
      <c r="BJ171" s="28"/>
    </row>
    <row r="172" spans="1:62">
      <c r="A172" s="24"/>
      <c r="B172" s="28"/>
      <c r="C172" s="25"/>
      <c r="D172" s="26"/>
      <c r="E172" s="24"/>
      <c r="F172" s="24"/>
      <c r="G172" s="26"/>
      <c r="H172" s="26"/>
      <c r="I172" s="26"/>
      <c r="J172" s="26"/>
      <c r="K172" s="26"/>
      <c r="L172" s="26"/>
      <c r="M172" s="26"/>
      <c r="N172" s="26"/>
      <c r="P172" s="26"/>
      <c r="Q172" s="26"/>
      <c r="R172" s="25"/>
      <c r="S172" s="25"/>
      <c r="T172" s="25"/>
      <c r="U172" s="25"/>
      <c r="V172" s="24"/>
      <c r="W172" s="24"/>
      <c r="X172" s="24"/>
      <c r="Y172" s="26"/>
      <c r="Z172" s="26"/>
      <c r="AA172" s="24"/>
      <c r="AB172" s="24"/>
      <c r="AC172" s="24"/>
      <c r="AD172" s="24"/>
      <c r="AE172" s="26"/>
      <c r="AF172" s="26"/>
      <c r="AG172" s="24"/>
      <c r="AH172" s="24"/>
      <c r="AI172" s="28"/>
      <c r="AJ172" s="28"/>
      <c r="AK172" s="28"/>
      <c r="AL172" s="28"/>
      <c r="AM172" s="28"/>
      <c r="AN172" s="28"/>
      <c r="AO172" s="28"/>
      <c r="AP172" s="28"/>
      <c r="AQ172" s="28"/>
      <c r="AR172" s="28"/>
      <c r="AS172" s="28"/>
      <c r="AT172" s="28"/>
      <c r="AU172" s="28"/>
      <c r="AV172" s="24"/>
      <c r="AW172" s="28"/>
      <c r="AX172" s="28"/>
      <c r="AY172" s="28"/>
      <c r="AZ172" s="28"/>
      <c r="BA172" s="28"/>
      <c r="BB172" s="28"/>
      <c r="BC172" s="24"/>
      <c r="BD172" s="28"/>
      <c r="BE172" s="28"/>
      <c r="BF172" s="28"/>
      <c r="BG172" s="24"/>
      <c r="BH172" s="28"/>
      <c r="BI172" s="28"/>
      <c r="BJ172" s="28"/>
    </row>
    <row r="173" spans="1:62">
      <c r="A173" s="24"/>
      <c r="B173" s="28"/>
      <c r="C173" s="25"/>
      <c r="D173" s="26"/>
      <c r="E173" s="24"/>
      <c r="F173" s="24"/>
      <c r="G173" s="26"/>
      <c r="H173" s="26"/>
      <c r="I173" s="26"/>
      <c r="J173" s="26"/>
      <c r="K173" s="26"/>
      <c r="L173" s="26"/>
      <c r="M173" s="26"/>
      <c r="N173" s="26"/>
      <c r="P173" s="26"/>
      <c r="Q173" s="26"/>
      <c r="R173" s="25"/>
      <c r="S173" s="25"/>
      <c r="T173" s="25"/>
      <c r="U173" s="25"/>
      <c r="V173" s="24"/>
      <c r="W173" s="24"/>
      <c r="X173" s="24"/>
      <c r="Y173" s="26"/>
      <c r="Z173" s="26"/>
      <c r="AA173" s="24"/>
      <c r="AB173" s="24"/>
      <c r="AC173" s="24"/>
      <c r="AD173" s="24"/>
      <c r="AE173" s="26"/>
      <c r="AF173" s="26"/>
      <c r="AG173" s="24"/>
      <c r="AH173" s="24"/>
      <c r="AI173" s="28"/>
      <c r="AJ173" s="28"/>
      <c r="AK173" s="28"/>
      <c r="AL173" s="28"/>
      <c r="AM173" s="28"/>
      <c r="AN173" s="28"/>
      <c r="AO173" s="28"/>
      <c r="AP173" s="28"/>
      <c r="AQ173" s="28"/>
      <c r="AR173" s="28"/>
      <c r="AS173" s="28"/>
      <c r="AT173" s="28"/>
      <c r="AU173" s="28"/>
      <c r="AV173" s="24"/>
      <c r="AW173" s="28"/>
      <c r="AX173" s="28"/>
      <c r="AY173" s="28"/>
      <c r="AZ173" s="28"/>
      <c r="BA173" s="28"/>
      <c r="BB173" s="28"/>
      <c r="BC173" s="24"/>
      <c r="BD173" s="28"/>
      <c r="BE173" s="28"/>
      <c r="BF173" s="28"/>
      <c r="BG173" s="24"/>
      <c r="BH173" s="28"/>
      <c r="BI173" s="28"/>
      <c r="BJ173" s="28"/>
    </row>
    <row r="174" spans="1:62">
      <c r="A174" s="24"/>
      <c r="B174" s="28"/>
      <c r="C174" s="25"/>
      <c r="D174" s="26"/>
      <c r="E174" s="24"/>
      <c r="F174" s="24"/>
      <c r="G174" s="26"/>
      <c r="H174" s="26"/>
      <c r="I174" s="26"/>
      <c r="J174" s="26"/>
      <c r="K174" s="26"/>
      <c r="L174" s="26"/>
      <c r="M174" s="26"/>
      <c r="N174" s="26"/>
      <c r="P174" s="26"/>
      <c r="Q174" s="26"/>
      <c r="R174" s="25"/>
      <c r="S174" s="25"/>
      <c r="T174" s="25"/>
      <c r="U174" s="25"/>
      <c r="V174" s="24"/>
      <c r="W174" s="24"/>
      <c r="X174" s="24"/>
      <c r="Y174" s="26"/>
      <c r="Z174" s="26"/>
      <c r="AA174" s="24"/>
      <c r="AB174" s="24"/>
      <c r="AC174" s="24"/>
      <c r="AD174" s="24"/>
      <c r="AE174" s="26"/>
      <c r="AF174" s="26"/>
      <c r="AG174" s="24"/>
      <c r="AH174" s="24"/>
      <c r="AI174" s="28"/>
      <c r="AJ174" s="28"/>
      <c r="AK174" s="28"/>
      <c r="AL174" s="28"/>
      <c r="AM174" s="28"/>
      <c r="AN174" s="28"/>
      <c r="AO174" s="28"/>
      <c r="AP174" s="28"/>
      <c r="AQ174" s="28"/>
      <c r="AR174" s="28"/>
      <c r="AS174" s="28"/>
      <c r="AT174" s="28"/>
      <c r="AU174" s="28"/>
      <c r="AV174" s="24"/>
      <c r="AW174" s="28"/>
      <c r="AX174" s="28"/>
      <c r="AY174" s="28"/>
      <c r="AZ174" s="28"/>
      <c r="BA174" s="28"/>
      <c r="BB174" s="28"/>
      <c r="BC174" s="24"/>
      <c r="BD174" s="28"/>
      <c r="BE174" s="28"/>
      <c r="BF174" s="28"/>
      <c r="BG174" s="24"/>
      <c r="BH174" s="28"/>
      <c r="BI174" s="28"/>
      <c r="BJ174" s="28"/>
    </row>
    <row r="175" spans="1:62">
      <c r="A175" s="24"/>
      <c r="B175" s="28"/>
      <c r="C175" s="25"/>
      <c r="D175" s="26"/>
      <c r="E175" s="24"/>
      <c r="F175" s="24"/>
      <c r="G175" s="26"/>
      <c r="H175" s="26"/>
      <c r="I175" s="26"/>
      <c r="J175" s="26"/>
      <c r="K175" s="26"/>
      <c r="L175" s="26"/>
      <c r="M175" s="26"/>
      <c r="N175" s="26"/>
      <c r="P175" s="26"/>
      <c r="Q175" s="26"/>
      <c r="R175" s="25"/>
      <c r="S175" s="25"/>
      <c r="T175" s="25"/>
      <c r="U175" s="25"/>
      <c r="V175" s="24"/>
      <c r="W175" s="24"/>
      <c r="X175" s="24"/>
      <c r="Y175" s="26"/>
      <c r="Z175" s="26"/>
      <c r="AA175" s="24"/>
      <c r="AB175" s="24"/>
      <c r="AC175" s="24"/>
      <c r="AD175" s="24"/>
      <c r="AE175" s="26"/>
      <c r="AF175" s="26"/>
      <c r="AG175" s="24"/>
      <c r="AH175" s="24"/>
      <c r="AI175" s="28"/>
      <c r="AJ175" s="28"/>
      <c r="AK175" s="28"/>
      <c r="AL175" s="28"/>
      <c r="AM175" s="28"/>
      <c r="AN175" s="28"/>
      <c r="AO175" s="28"/>
      <c r="AP175" s="28"/>
      <c r="AQ175" s="28"/>
      <c r="AR175" s="28"/>
      <c r="AS175" s="28"/>
      <c r="AT175" s="28"/>
      <c r="AU175" s="28"/>
      <c r="AV175" s="24"/>
      <c r="AW175" s="28"/>
      <c r="AX175" s="28"/>
      <c r="AY175" s="28"/>
      <c r="AZ175" s="28"/>
      <c r="BA175" s="28"/>
      <c r="BB175" s="28"/>
      <c r="BC175" s="24"/>
      <c r="BD175" s="28"/>
      <c r="BE175" s="28"/>
      <c r="BF175" s="28"/>
      <c r="BG175" s="24"/>
      <c r="BH175" s="28"/>
      <c r="BI175" s="28"/>
      <c r="BJ175" s="28"/>
    </row>
    <row r="176" spans="1:62">
      <c r="A176" s="24"/>
      <c r="B176" s="28"/>
      <c r="C176" s="25"/>
      <c r="D176" s="26"/>
      <c r="E176" s="24"/>
      <c r="F176" s="24"/>
      <c r="G176" s="26"/>
      <c r="H176" s="26"/>
      <c r="I176" s="26"/>
      <c r="J176" s="26"/>
      <c r="K176" s="26"/>
      <c r="L176" s="26"/>
      <c r="M176" s="26"/>
      <c r="N176" s="26"/>
      <c r="P176" s="26"/>
      <c r="Q176" s="26"/>
      <c r="R176" s="25"/>
      <c r="S176" s="25"/>
      <c r="T176" s="25"/>
      <c r="U176" s="25"/>
      <c r="V176" s="24"/>
      <c r="W176" s="24"/>
      <c r="X176" s="24"/>
      <c r="Y176" s="26"/>
      <c r="Z176" s="26"/>
      <c r="AA176" s="24"/>
      <c r="AB176" s="24"/>
      <c r="AC176" s="24"/>
      <c r="AD176" s="24"/>
      <c r="AE176" s="26"/>
      <c r="AF176" s="26"/>
      <c r="AG176" s="24"/>
      <c r="AH176" s="24"/>
      <c r="AI176" s="28"/>
      <c r="AJ176" s="28"/>
      <c r="AK176" s="28"/>
      <c r="AL176" s="28"/>
      <c r="AM176" s="28"/>
      <c r="AN176" s="28"/>
      <c r="AO176" s="28"/>
      <c r="AP176" s="28"/>
      <c r="AQ176" s="28"/>
      <c r="AR176" s="28"/>
      <c r="AS176" s="28"/>
      <c r="AT176" s="28"/>
      <c r="AU176" s="28"/>
      <c r="AV176" s="24"/>
      <c r="AW176" s="28"/>
      <c r="AX176" s="28"/>
      <c r="AY176" s="28"/>
      <c r="AZ176" s="28"/>
      <c r="BA176" s="28"/>
      <c r="BB176" s="28"/>
      <c r="BC176" s="24"/>
      <c r="BD176" s="28"/>
      <c r="BE176" s="28"/>
      <c r="BF176" s="28"/>
      <c r="BG176" s="24"/>
      <c r="BH176" s="28"/>
      <c r="BI176" s="28"/>
      <c r="BJ176" s="28"/>
    </row>
    <row r="177" spans="1:62">
      <c r="A177" s="24"/>
      <c r="B177" s="28"/>
      <c r="C177" s="25"/>
      <c r="D177" s="26"/>
      <c r="E177" s="24"/>
      <c r="F177" s="24"/>
      <c r="G177" s="26"/>
      <c r="H177" s="26"/>
      <c r="I177" s="26"/>
      <c r="J177" s="26"/>
      <c r="K177" s="26"/>
      <c r="L177" s="26"/>
      <c r="M177" s="26"/>
      <c r="N177" s="26"/>
      <c r="P177" s="26"/>
      <c r="Q177" s="26"/>
      <c r="R177" s="25"/>
      <c r="S177" s="25"/>
      <c r="T177" s="25"/>
      <c r="U177" s="25"/>
      <c r="V177" s="24"/>
      <c r="W177" s="24"/>
      <c r="X177" s="24"/>
      <c r="Y177" s="26"/>
      <c r="Z177" s="26"/>
      <c r="AA177" s="24"/>
      <c r="AB177" s="24"/>
      <c r="AC177" s="24"/>
      <c r="AD177" s="24"/>
      <c r="AE177" s="26"/>
      <c r="AF177" s="26"/>
      <c r="AG177" s="24"/>
      <c r="AH177" s="24"/>
      <c r="AI177" s="28"/>
      <c r="AJ177" s="28"/>
      <c r="AK177" s="28"/>
      <c r="AL177" s="28"/>
      <c r="AM177" s="28"/>
      <c r="AN177" s="28"/>
      <c r="AO177" s="28"/>
      <c r="AP177" s="28"/>
      <c r="AQ177" s="28"/>
      <c r="AR177" s="28"/>
      <c r="AS177" s="28"/>
      <c r="AT177" s="28"/>
      <c r="AU177" s="28"/>
      <c r="AV177" s="24"/>
      <c r="AW177" s="28"/>
      <c r="AX177" s="28"/>
      <c r="AY177" s="28"/>
      <c r="AZ177" s="28"/>
      <c r="BA177" s="28"/>
      <c r="BB177" s="28"/>
      <c r="BC177" s="24"/>
      <c r="BD177" s="28"/>
      <c r="BE177" s="28"/>
      <c r="BF177" s="28"/>
      <c r="BG177" s="24"/>
      <c r="BH177" s="28"/>
      <c r="BI177" s="28"/>
      <c r="BJ177" s="28"/>
    </row>
    <row r="178" spans="1:62">
      <c r="A178" s="24"/>
      <c r="B178" s="28"/>
      <c r="C178" s="25"/>
      <c r="D178" s="26"/>
      <c r="E178" s="24"/>
      <c r="F178" s="24"/>
      <c r="G178" s="26"/>
      <c r="H178" s="26"/>
      <c r="I178" s="26"/>
      <c r="J178" s="26"/>
      <c r="K178" s="26"/>
      <c r="L178" s="26"/>
      <c r="M178" s="26"/>
      <c r="N178" s="26"/>
      <c r="P178" s="26"/>
      <c r="Q178" s="26"/>
      <c r="R178" s="25"/>
      <c r="S178" s="25"/>
      <c r="T178" s="25"/>
      <c r="U178" s="25"/>
      <c r="V178" s="24"/>
      <c r="W178" s="24"/>
      <c r="X178" s="24"/>
      <c r="Y178" s="26"/>
      <c r="Z178" s="26"/>
      <c r="AA178" s="24"/>
      <c r="AB178" s="24"/>
      <c r="AC178" s="24"/>
      <c r="AD178" s="24"/>
      <c r="AE178" s="26"/>
      <c r="AF178" s="26"/>
      <c r="AG178" s="24"/>
      <c r="AH178" s="24"/>
      <c r="AI178" s="28"/>
      <c r="AJ178" s="28"/>
      <c r="AK178" s="28"/>
      <c r="AL178" s="28"/>
      <c r="AM178" s="28"/>
      <c r="AN178" s="28"/>
      <c r="AO178" s="28"/>
      <c r="AP178" s="28"/>
      <c r="AQ178" s="28"/>
      <c r="AR178" s="28"/>
      <c r="AS178" s="28"/>
      <c r="AT178" s="28"/>
      <c r="AU178" s="28"/>
      <c r="AV178" s="24"/>
      <c r="AW178" s="28"/>
      <c r="AX178" s="28"/>
      <c r="AY178" s="28"/>
      <c r="AZ178" s="28"/>
      <c r="BA178" s="28"/>
      <c r="BB178" s="28"/>
      <c r="BC178" s="24"/>
      <c r="BD178" s="28"/>
      <c r="BE178" s="28"/>
      <c r="BF178" s="28"/>
      <c r="BG178" s="24"/>
      <c r="BH178" s="28"/>
      <c r="BI178" s="28"/>
      <c r="BJ178" s="28"/>
    </row>
    <row r="179" spans="1:62">
      <c r="A179" s="24"/>
      <c r="B179" s="28"/>
      <c r="C179" s="25"/>
      <c r="D179" s="26"/>
      <c r="E179" s="24"/>
      <c r="F179" s="24"/>
      <c r="G179" s="26"/>
      <c r="H179" s="26"/>
      <c r="I179" s="26"/>
      <c r="J179" s="26"/>
      <c r="K179" s="26"/>
      <c r="L179" s="26"/>
      <c r="M179" s="26"/>
      <c r="N179" s="26"/>
      <c r="P179" s="26"/>
      <c r="Q179" s="26"/>
      <c r="R179" s="25"/>
      <c r="S179" s="25"/>
      <c r="T179" s="25"/>
      <c r="U179" s="25"/>
      <c r="V179" s="24"/>
      <c r="W179" s="24"/>
      <c r="X179" s="24"/>
      <c r="Y179" s="26"/>
      <c r="Z179" s="26"/>
      <c r="AA179" s="24"/>
      <c r="AB179" s="24"/>
      <c r="AC179" s="24"/>
      <c r="AD179" s="24"/>
      <c r="AE179" s="26"/>
      <c r="AF179" s="26"/>
      <c r="AG179" s="24"/>
      <c r="AH179" s="24"/>
      <c r="AI179" s="28"/>
      <c r="AJ179" s="28"/>
      <c r="AK179" s="28"/>
      <c r="AL179" s="28"/>
      <c r="AM179" s="28"/>
      <c r="AN179" s="28"/>
      <c r="AO179" s="28"/>
      <c r="AP179" s="28"/>
      <c r="AQ179" s="28"/>
      <c r="AR179" s="28"/>
      <c r="AS179" s="28"/>
      <c r="AT179" s="28"/>
      <c r="AU179" s="28"/>
      <c r="AV179" s="24"/>
      <c r="AW179" s="28"/>
      <c r="AX179" s="28"/>
      <c r="AY179" s="28"/>
      <c r="AZ179" s="28"/>
      <c r="BA179" s="28"/>
      <c r="BB179" s="28"/>
      <c r="BC179" s="24"/>
      <c r="BD179" s="28"/>
      <c r="BE179" s="28"/>
      <c r="BF179" s="28"/>
      <c r="BG179" s="24"/>
      <c r="BH179" s="28"/>
      <c r="BI179" s="28"/>
      <c r="BJ179" s="28"/>
    </row>
    <row r="180" spans="1:62">
      <c r="A180" s="24"/>
      <c r="B180" s="28"/>
      <c r="C180" s="25"/>
      <c r="D180" s="26"/>
      <c r="E180" s="24"/>
      <c r="F180" s="24"/>
      <c r="G180" s="26"/>
      <c r="H180" s="26"/>
      <c r="I180" s="26"/>
      <c r="J180" s="26"/>
      <c r="K180" s="26"/>
      <c r="L180" s="26"/>
      <c r="M180" s="26"/>
      <c r="N180" s="26"/>
      <c r="P180" s="26"/>
      <c r="Q180" s="26"/>
      <c r="R180" s="25"/>
      <c r="S180" s="25"/>
      <c r="T180" s="25"/>
      <c r="U180" s="25"/>
      <c r="V180" s="24"/>
      <c r="W180" s="24"/>
      <c r="X180" s="24"/>
      <c r="Y180" s="26"/>
      <c r="Z180" s="26"/>
      <c r="AA180" s="24"/>
      <c r="AB180" s="24"/>
      <c r="AC180" s="24"/>
      <c r="AD180" s="24"/>
      <c r="AE180" s="26"/>
      <c r="AF180" s="26"/>
      <c r="AG180" s="24"/>
      <c r="AH180" s="24"/>
      <c r="AI180" s="28"/>
      <c r="AJ180" s="28"/>
      <c r="AK180" s="28"/>
      <c r="AL180" s="28"/>
      <c r="AM180" s="28"/>
      <c r="AN180" s="28"/>
      <c r="AO180" s="28"/>
      <c r="AP180" s="28"/>
      <c r="AQ180" s="28"/>
      <c r="AR180" s="28"/>
      <c r="AS180" s="28"/>
      <c r="AT180" s="28"/>
      <c r="AU180" s="28"/>
      <c r="AV180" s="24"/>
      <c r="AW180" s="28"/>
      <c r="AX180" s="28"/>
      <c r="AY180" s="28"/>
      <c r="AZ180" s="28"/>
      <c r="BA180" s="28"/>
      <c r="BB180" s="28"/>
      <c r="BC180" s="24"/>
      <c r="BD180" s="28"/>
      <c r="BE180" s="28"/>
      <c r="BF180" s="28"/>
      <c r="BG180" s="24"/>
      <c r="BH180" s="28"/>
      <c r="BI180" s="28"/>
      <c r="BJ180" s="28"/>
    </row>
    <row r="181" spans="1:62">
      <c r="A181" s="24"/>
      <c r="B181" s="28"/>
      <c r="C181" s="25"/>
      <c r="D181" s="26"/>
      <c r="E181" s="24"/>
      <c r="F181" s="24"/>
      <c r="G181" s="26"/>
      <c r="H181" s="26"/>
      <c r="I181" s="26"/>
      <c r="J181" s="26"/>
      <c r="K181" s="26"/>
      <c r="L181" s="26"/>
      <c r="M181" s="26"/>
      <c r="N181" s="26"/>
      <c r="P181" s="26"/>
      <c r="Q181" s="26"/>
      <c r="R181" s="25"/>
      <c r="S181" s="25"/>
      <c r="T181" s="25"/>
      <c r="U181" s="25"/>
      <c r="V181" s="24"/>
      <c r="W181" s="24"/>
      <c r="X181" s="24"/>
      <c r="Y181" s="26"/>
      <c r="Z181" s="26"/>
      <c r="AA181" s="24"/>
      <c r="AB181" s="24"/>
      <c r="AC181" s="24"/>
      <c r="AD181" s="24"/>
      <c r="AE181" s="26"/>
      <c r="AF181" s="26"/>
      <c r="AG181" s="24"/>
      <c r="AH181" s="24"/>
      <c r="AI181" s="28"/>
      <c r="AJ181" s="28"/>
      <c r="AK181" s="28"/>
      <c r="AL181" s="28"/>
      <c r="AM181" s="28"/>
      <c r="AN181" s="28"/>
      <c r="AO181" s="28"/>
      <c r="AP181" s="28"/>
      <c r="AQ181" s="28"/>
      <c r="AR181" s="28"/>
      <c r="AS181" s="28"/>
      <c r="AT181" s="28"/>
      <c r="AU181" s="28"/>
      <c r="AV181" s="24"/>
      <c r="AW181" s="28"/>
      <c r="AX181" s="28"/>
      <c r="AY181" s="28"/>
      <c r="AZ181" s="28"/>
      <c r="BA181" s="28"/>
      <c r="BB181" s="28"/>
      <c r="BC181" s="24"/>
      <c r="BD181" s="28"/>
      <c r="BE181" s="28"/>
      <c r="BF181" s="28"/>
      <c r="BG181" s="24"/>
      <c r="BH181" s="28"/>
      <c r="BI181" s="28"/>
      <c r="BJ181" s="28"/>
    </row>
    <row r="182" spans="1:62">
      <c r="A182" s="24"/>
      <c r="B182" s="28"/>
      <c r="C182" s="25"/>
      <c r="D182" s="26"/>
      <c r="E182" s="24"/>
      <c r="F182" s="24"/>
      <c r="G182" s="26"/>
      <c r="H182" s="26"/>
      <c r="I182" s="26"/>
      <c r="J182" s="26"/>
      <c r="K182" s="26"/>
      <c r="L182" s="26"/>
      <c r="M182" s="26"/>
      <c r="N182" s="26"/>
      <c r="P182" s="26"/>
      <c r="Q182" s="26"/>
      <c r="R182" s="25"/>
      <c r="S182" s="25"/>
      <c r="T182" s="25"/>
      <c r="U182" s="25"/>
      <c r="V182" s="24"/>
      <c r="W182" s="24"/>
      <c r="X182" s="24"/>
      <c r="Y182" s="26"/>
      <c r="Z182" s="26"/>
      <c r="AA182" s="24"/>
      <c r="AB182" s="24"/>
      <c r="AC182" s="24"/>
      <c r="AD182" s="24"/>
      <c r="AE182" s="26"/>
      <c r="AF182" s="26"/>
      <c r="AG182" s="24"/>
      <c r="AH182" s="24"/>
      <c r="AI182" s="28"/>
      <c r="AJ182" s="28"/>
      <c r="AK182" s="28"/>
      <c r="AL182" s="28"/>
      <c r="AM182" s="28"/>
      <c r="AN182" s="28"/>
      <c r="AO182" s="28"/>
      <c r="AP182" s="28"/>
      <c r="AQ182" s="28"/>
      <c r="AR182" s="28"/>
      <c r="AS182" s="28"/>
      <c r="AT182" s="28"/>
      <c r="AU182" s="28"/>
      <c r="AV182" s="24"/>
      <c r="AW182" s="28"/>
      <c r="AX182" s="28"/>
      <c r="AY182" s="28"/>
      <c r="AZ182" s="28"/>
      <c r="BA182" s="28"/>
      <c r="BB182" s="28"/>
      <c r="BC182" s="24"/>
      <c r="BD182" s="28"/>
      <c r="BE182" s="28"/>
      <c r="BF182" s="28"/>
      <c r="BG182" s="24"/>
      <c r="BH182" s="28"/>
      <c r="BI182" s="28"/>
      <c r="BJ182" s="28"/>
    </row>
    <row r="183" spans="1:62">
      <c r="A183" s="24"/>
      <c r="B183" s="28"/>
      <c r="C183" s="25"/>
      <c r="D183" s="26"/>
      <c r="E183" s="24"/>
      <c r="F183" s="24"/>
      <c r="G183" s="26"/>
      <c r="H183" s="26"/>
      <c r="I183" s="26"/>
      <c r="J183" s="26"/>
      <c r="K183" s="26"/>
      <c r="L183" s="26"/>
      <c r="M183" s="26"/>
      <c r="N183" s="26"/>
      <c r="P183" s="26"/>
      <c r="Q183" s="26"/>
      <c r="R183" s="25"/>
      <c r="S183" s="25"/>
      <c r="T183" s="25"/>
      <c r="U183" s="25"/>
      <c r="V183" s="24"/>
      <c r="W183" s="24"/>
      <c r="X183" s="24"/>
      <c r="Y183" s="26"/>
      <c r="Z183" s="26"/>
      <c r="AA183" s="24"/>
      <c r="AB183" s="24"/>
      <c r="AC183" s="24"/>
      <c r="AD183" s="24"/>
      <c r="AE183" s="26"/>
      <c r="AF183" s="26"/>
      <c r="AG183" s="24"/>
      <c r="AH183" s="24"/>
      <c r="AI183" s="28"/>
      <c r="AJ183" s="28"/>
      <c r="AK183" s="28"/>
      <c r="AL183" s="28"/>
      <c r="AM183" s="28"/>
      <c r="AN183" s="28"/>
      <c r="AO183" s="28"/>
      <c r="AP183" s="28"/>
      <c r="AQ183" s="28"/>
      <c r="AR183" s="28"/>
      <c r="AS183" s="28"/>
      <c r="AT183" s="28"/>
      <c r="AU183" s="28"/>
      <c r="AV183" s="24"/>
      <c r="AW183" s="28"/>
      <c r="AX183" s="28"/>
      <c r="AY183" s="28"/>
      <c r="AZ183" s="28"/>
      <c r="BA183" s="28"/>
      <c r="BB183" s="28"/>
      <c r="BC183" s="24"/>
      <c r="BD183" s="28"/>
      <c r="BE183" s="28"/>
      <c r="BF183" s="28"/>
      <c r="BG183" s="24"/>
      <c r="BH183" s="28"/>
      <c r="BI183" s="28"/>
      <c r="BJ183" s="28"/>
    </row>
    <row r="184" spans="1:62">
      <c r="A184" s="24"/>
      <c r="B184" s="28"/>
      <c r="C184" s="25"/>
      <c r="D184" s="26"/>
      <c r="E184" s="24"/>
      <c r="F184" s="24"/>
      <c r="G184" s="26"/>
      <c r="H184" s="26"/>
      <c r="I184" s="26"/>
      <c r="J184" s="26"/>
      <c r="K184" s="26"/>
      <c r="L184" s="26"/>
      <c r="M184" s="26"/>
      <c r="N184" s="26"/>
      <c r="P184" s="26"/>
      <c r="Q184" s="26"/>
      <c r="R184" s="25"/>
      <c r="S184" s="25"/>
      <c r="T184" s="25"/>
      <c r="U184" s="25"/>
      <c r="V184" s="24"/>
      <c r="W184" s="24"/>
      <c r="X184" s="24"/>
      <c r="Y184" s="26"/>
      <c r="Z184" s="26"/>
      <c r="AA184" s="24"/>
      <c r="AB184" s="24"/>
      <c r="AC184" s="24"/>
      <c r="AD184" s="24"/>
      <c r="AE184" s="26"/>
      <c r="AF184" s="26"/>
      <c r="AG184" s="24"/>
      <c r="AH184" s="24"/>
      <c r="AI184" s="28"/>
      <c r="AJ184" s="28"/>
      <c r="AK184" s="28"/>
      <c r="AL184" s="28"/>
      <c r="AM184" s="28"/>
      <c r="AN184" s="28"/>
      <c r="AO184" s="28"/>
      <c r="AP184" s="28"/>
      <c r="AQ184" s="28"/>
      <c r="AR184" s="28"/>
      <c r="AS184" s="28"/>
      <c r="AT184" s="28"/>
      <c r="AU184" s="28"/>
      <c r="AV184" s="24"/>
      <c r="AW184" s="28"/>
      <c r="AX184" s="28"/>
      <c r="AY184" s="28"/>
      <c r="AZ184" s="28"/>
      <c r="BA184" s="28"/>
      <c r="BB184" s="28"/>
      <c r="BC184" s="24"/>
      <c r="BD184" s="28"/>
      <c r="BE184" s="28"/>
      <c r="BF184" s="28"/>
      <c r="BG184" s="24"/>
      <c r="BH184" s="28"/>
      <c r="BI184" s="28"/>
      <c r="BJ184" s="28"/>
    </row>
    <row r="185" spans="1:62">
      <c r="A185" s="24"/>
      <c r="B185" s="28"/>
      <c r="C185" s="25"/>
      <c r="D185" s="26"/>
      <c r="E185" s="24"/>
      <c r="F185" s="24"/>
      <c r="G185" s="26"/>
      <c r="H185" s="26"/>
      <c r="I185" s="26"/>
      <c r="J185" s="26"/>
      <c r="K185" s="26"/>
      <c r="L185" s="26"/>
      <c r="M185" s="26"/>
      <c r="N185" s="26"/>
      <c r="P185" s="26"/>
      <c r="Q185" s="26"/>
      <c r="R185" s="25"/>
      <c r="S185" s="25"/>
      <c r="T185" s="25"/>
      <c r="U185" s="25"/>
      <c r="V185" s="24"/>
      <c r="W185" s="24"/>
      <c r="X185" s="24"/>
      <c r="Y185" s="26"/>
      <c r="Z185" s="26"/>
      <c r="AA185" s="24"/>
      <c r="AB185" s="24"/>
      <c r="AC185" s="24"/>
      <c r="AD185" s="24"/>
      <c r="AE185" s="26"/>
      <c r="AF185" s="26"/>
      <c r="AG185" s="24"/>
      <c r="AH185" s="24"/>
      <c r="AI185" s="28"/>
      <c r="AJ185" s="28"/>
      <c r="AK185" s="28"/>
      <c r="AL185" s="28"/>
      <c r="AM185" s="28"/>
      <c r="AN185" s="28"/>
      <c r="AO185" s="28"/>
      <c r="AP185" s="28"/>
      <c r="AQ185" s="28"/>
      <c r="AR185" s="28"/>
      <c r="AS185" s="28"/>
      <c r="AT185" s="28"/>
      <c r="AU185" s="28"/>
      <c r="AV185" s="24"/>
      <c r="AW185" s="28"/>
      <c r="AX185" s="28"/>
      <c r="AY185" s="28"/>
      <c r="AZ185" s="28"/>
      <c r="BA185" s="28"/>
      <c r="BB185" s="28"/>
      <c r="BC185" s="24"/>
      <c r="BD185" s="28"/>
      <c r="BE185" s="28"/>
      <c r="BF185" s="28"/>
      <c r="BG185" s="24"/>
      <c r="BH185" s="28"/>
      <c r="BI185" s="28"/>
      <c r="BJ185" s="28"/>
    </row>
    <row r="186" spans="1:62">
      <c r="A186" s="24"/>
      <c r="B186" s="28"/>
      <c r="C186" s="25"/>
      <c r="D186" s="26"/>
      <c r="E186" s="24"/>
      <c r="F186" s="24"/>
      <c r="G186" s="26"/>
      <c r="H186" s="26"/>
      <c r="I186" s="26"/>
      <c r="J186" s="26"/>
      <c r="K186" s="26"/>
      <c r="L186" s="26"/>
      <c r="M186" s="26"/>
      <c r="N186" s="26"/>
      <c r="P186" s="26"/>
      <c r="Q186" s="26"/>
      <c r="R186" s="25"/>
      <c r="S186" s="25"/>
      <c r="T186" s="25"/>
      <c r="U186" s="25"/>
      <c r="V186" s="24"/>
      <c r="W186" s="24"/>
      <c r="X186" s="24"/>
      <c r="Y186" s="26"/>
      <c r="Z186" s="26"/>
      <c r="AA186" s="24"/>
      <c r="AB186" s="24"/>
      <c r="AC186" s="24"/>
      <c r="AD186" s="24"/>
      <c r="AE186" s="26"/>
      <c r="AF186" s="26"/>
      <c r="AG186" s="24"/>
      <c r="AH186" s="24"/>
      <c r="AI186" s="28"/>
      <c r="AJ186" s="28"/>
      <c r="AK186" s="28"/>
      <c r="AL186" s="28"/>
      <c r="AM186" s="28"/>
      <c r="AN186" s="28"/>
      <c r="AO186" s="28"/>
      <c r="AP186" s="28"/>
      <c r="AQ186" s="28"/>
      <c r="AR186" s="28"/>
      <c r="AS186" s="28"/>
      <c r="AT186" s="28"/>
      <c r="AU186" s="28"/>
      <c r="AV186" s="24"/>
      <c r="AW186" s="28"/>
      <c r="AX186" s="28"/>
      <c r="AY186" s="28"/>
      <c r="AZ186" s="28"/>
      <c r="BA186" s="28"/>
      <c r="BB186" s="28"/>
      <c r="BC186" s="24"/>
      <c r="BD186" s="28"/>
      <c r="BE186" s="28"/>
      <c r="BF186" s="28"/>
      <c r="BG186" s="24"/>
      <c r="BH186" s="28"/>
      <c r="BI186" s="28"/>
      <c r="BJ186" s="28"/>
    </row>
    <row r="187" spans="1:62">
      <c r="A187" s="24"/>
      <c r="B187" s="28"/>
      <c r="C187" s="25"/>
      <c r="D187" s="26"/>
      <c r="E187" s="24"/>
      <c r="F187" s="24"/>
      <c r="G187" s="26"/>
      <c r="H187" s="26"/>
      <c r="I187" s="26"/>
      <c r="J187" s="26"/>
      <c r="K187" s="26"/>
      <c r="L187" s="26"/>
      <c r="M187" s="26"/>
      <c r="N187" s="26"/>
      <c r="P187" s="26"/>
      <c r="Q187" s="26"/>
      <c r="R187" s="25"/>
      <c r="S187" s="25"/>
      <c r="T187" s="25"/>
      <c r="U187" s="25"/>
      <c r="V187" s="24"/>
      <c r="W187" s="24"/>
      <c r="X187" s="24"/>
      <c r="Y187" s="26"/>
      <c r="Z187" s="26"/>
      <c r="AA187" s="24"/>
      <c r="AB187" s="24"/>
      <c r="AC187" s="24"/>
      <c r="AD187" s="24"/>
      <c r="AE187" s="26"/>
      <c r="AF187" s="26"/>
      <c r="AG187" s="24"/>
      <c r="AH187" s="24"/>
      <c r="AI187" s="28"/>
      <c r="AJ187" s="28"/>
      <c r="AK187" s="28"/>
      <c r="AL187" s="28"/>
      <c r="AM187" s="28"/>
      <c r="AN187" s="28"/>
      <c r="AO187" s="28"/>
      <c r="AP187" s="28"/>
      <c r="AQ187" s="28"/>
      <c r="AR187" s="28"/>
      <c r="AS187" s="28"/>
      <c r="AT187" s="28"/>
      <c r="AU187" s="28"/>
      <c r="AV187" s="24"/>
      <c r="AW187" s="28"/>
      <c r="AX187" s="28"/>
      <c r="AY187" s="28"/>
      <c r="AZ187" s="28"/>
      <c r="BA187" s="28"/>
      <c r="BB187" s="28"/>
      <c r="BC187" s="24"/>
      <c r="BD187" s="28"/>
      <c r="BE187" s="28"/>
      <c r="BF187" s="28"/>
      <c r="BG187" s="24"/>
      <c r="BH187" s="28"/>
      <c r="BI187" s="28"/>
      <c r="BJ187" s="28"/>
    </row>
    <row r="188" spans="1:62">
      <c r="A188" s="24"/>
      <c r="B188" s="28"/>
      <c r="C188" s="25"/>
      <c r="D188" s="26"/>
      <c r="E188" s="24"/>
      <c r="F188" s="24"/>
      <c r="G188" s="26"/>
      <c r="H188" s="26"/>
      <c r="I188" s="26"/>
      <c r="J188" s="26"/>
      <c r="K188" s="26"/>
      <c r="L188" s="26"/>
      <c r="M188" s="26"/>
      <c r="N188" s="26"/>
      <c r="P188" s="26"/>
      <c r="Q188" s="26"/>
      <c r="R188" s="25"/>
      <c r="S188" s="25"/>
      <c r="T188" s="25"/>
      <c r="U188" s="25"/>
      <c r="V188" s="24"/>
      <c r="W188" s="24"/>
      <c r="X188" s="24"/>
      <c r="Y188" s="26"/>
      <c r="Z188" s="26"/>
      <c r="AA188" s="24"/>
      <c r="AB188" s="24"/>
      <c r="AC188" s="24"/>
      <c r="AD188" s="24"/>
      <c r="AE188" s="26"/>
      <c r="AF188" s="26"/>
      <c r="AG188" s="24"/>
      <c r="AH188" s="24"/>
      <c r="AI188" s="28"/>
      <c r="AJ188" s="28"/>
      <c r="AK188" s="28"/>
      <c r="AL188" s="28"/>
      <c r="AM188" s="28"/>
      <c r="AN188" s="28"/>
      <c r="AO188" s="28"/>
      <c r="AP188" s="28"/>
      <c r="AQ188" s="28"/>
      <c r="AR188" s="28"/>
      <c r="AS188" s="28"/>
      <c r="AT188" s="28"/>
      <c r="AU188" s="28"/>
      <c r="AV188" s="24"/>
      <c r="AW188" s="28"/>
      <c r="AX188" s="28"/>
      <c r="AY188" s="28"/>
      <c r="AZ188" s="28"/>
      <c r="BA188" s="28"/>
      <c r="BB188" s="28"/>
      <c r="BC188" s="24"/>
      <c r="BD188" s="28"/>
      <c r="BE188" s="28"/>
      <c r="BF188" s="28"/>
      <c r="BG188" s="24"/>
      <c r="BH188" s="28"/>
      <c r="BI188" s="28"/>
      <c r="BJ188" s="28"/>
    </row>
    <row r="189" spans="1:62">
      <c r="A189" s="24"/>
      <c r="B189" s="28"/>
      <c r="C189" s="25"/>
      <c r="D189" s="26"/>
      <c r="E189" s="24"/>
      <c r="F189" s="24"/>
      <c r="G189" s="26"/>
      <c r="H189" s="26"/>
      <c r="I189" s="26"/>
      <c r="J189" s="26"/>
      <c r="K189" s="26"/>
      <c r="L189" s="26"/>
      <c r="M189" s="26"/>
      <c r="N189" s="26"/>
      <c r="P189" s="26"/>
      <c r="Q189" s="26"/>
      <c r="R189" s="25"/>
      <c r="S189" s="25"/>
      <c r="T189" s="25"/>
      <c r="U189" s="25"/>
      <c r="V189" s="24"/>
      <c r="W189" s="24"/>
      <c r="X189" s="24"/>
      <c r="Y189" s="26"/>
      <c r="Z189" s="26"/>
      <c r="AA189" s="24"/>
      <c r="AB189" s="24"/>
      <c r="AC189" s="24"/>
      <c r="AD189" s="24"/>
      <c r="AE189" s="26"/>
      <c r="AF189" s="26"/>
      <c r="AG189" s="24"/>
      <c r="AH189" s="24"/>
      <c r="AI189" s="28"/>
      <c r="AJ189" s="28"/>
      <c r="AK189" s="28"/>
      <c r="AL189" s="28"/>
      <c r="AM189" s="28"/>
      <c r="AN189" s="28"/>
      <c r="AO189" s="28"/>
      <c r="AP189" s="28"/>
      <c r="AQ189" s="28"/>
      <c r="AR189" s="28"/>
      <c r="AS189" s="28"/>
      <c r="AT189" s="28"/>
      <c r="AU189" s="28"/>
      <c r="AV189" s="24"/>
      <c r="AW189" s="28"/>
      <c r="AX189" s="28"/>
      <c r="AY189" s="28"/>
      <c r="AZ189" s="28"/>
      <c r="BA189" s="28"/>
      <c r="BB189" s="28"/>
      <c r="BC189" s="24"/>
      <c r="BD189" s="28"/>
      <c r="BE189" s="28"/>
      <c r="BF189" s="28"/>
      <c r="BG189" s="24"/>
      <c r="BH189" s="28"/>
      <c r="BI189" s="28"/>
      <c r="BJ189" s="28"/>
    </row>
    <row r="190" spans="1:62">
      <c r="A190" s="24"/>
      <c r="B190" s="28"/>
      <c r="C190" s="25"/>
      <c r="D190" s="26"/>
      <c r="E190" s="24"/>
      <c r="F190" s="24"/>
      <c r="G190" s="26"/>
      <c r="H190" s="26"/>
      <c r="I190" s="26"/>
      <c r="J190" s="26"/>
      <c r="K190" s="26"/>
      <c r="L190" s="26"/>
      <c r="M190" s="26"/>
      <c r="N190" s="26"/>
      <c r="P190" s="26"/>
      <c r="Q190" s="26"/>
      <c r="R190" s="25"/>
      <c r="S190" s="25"/>
      <c r="T190" s="25"/>
      <c r="U190" s="25"/>
      <c r="V190" s="24"/>
      <c r="W190" s="24"/>
      <c r="X190" s="24"/>
      <c r="Y190" s="26"/>
      <c r="Z190" s="26"/>
      <c r="AA190" s="24"/>
      <c r="AB190" s="24"/>
      <c r="AC190" s="24"/>
      <c r="AD190" s="24"/>
      <c r="AE190" s="26"/>
      <c r="AF190" s="26"/>
      <c r="AG190" s="24"/>
      <c r="AH190" s="24"/>
      <c r="AI190" s="28"/>
      <c r="AJ190" s="28"/>
      <c r="AK190" s="28"/>
      <c r="AL190" s="28"/>
      <c r="AM190" s="28"/>
      <c r="AN190" s="28"/>
      <c r="AO190" s="28"/>
      <c r="AP190" s="28"/>
      <c r="AQ190" s="28"/>
      <c r="AR190" s="28"/>
      <c r="AS190" s="28"/>
      <c r="AT190" s="28"/>
      <c r="AU190" s="28"/>
      <c r="AV190" s="24"/>
      <c r="AW190" s="28"/>
      <c r="AX190" s="28"/>
      <c r="AY190" s="28"/>
      <c r="AZ190" s="28"/>
      <c r="BA190" s="28"/>
      <c r="BB190" s="28"/>
      <c r="BC190" s="24"/>
      <c r="BD190" s="28"/>
      <c r="BE190" s="28"/>
      <c r="BF190" s="28"/>
      <c r="BG190" s="24"/>
      <c r="BH190" s="28"/>
      <c r="BI190" s="28"/>
      <c r="BJ190" s="28"/>
    </row>
    <row r="191" spans="1:62">
      <c r="A191" s="24"/>
      <c r="B191" s="28"/>
      <c r="C191" s="25"/>
      <c r="D191" s="26"/>
      <c r="E191" s="24"/>
      <c r="F191" s="24"/>
      <c r="G191" s="26"/>
      <c r="H191" s="26"/>
      <c r="I191" s="26"/>
      <c r="J191" s="26"/>
      <c r="K191" s="26"/>
      <c r="L191" s="26"/>
      <c r="M191" s="26"/>
      <c r="N191" s="26"/>
      <c r="P191" s="26"/>
      <c r="Q191" s="26"/>
      <c r="R191" s="25"/>
      <c r="S191" s="25"/>
      <c r="T191" s="25"/>
      <c r="U191" s="25"/>
      <c r="V191" s="24"/>
      <c r="W191" s="24"/>
      <c r="X191" s="24"/>
      <c r="Y191" s="26"/>
      <c r="Z191" s="26"/>
      <c r="AA191" s="24"/>
      <c r="AB191" s="24"/>
      <c r="AC191" s="24"/>
      <c r="AD191" s="24"/>
      <c r="AE191" s="26"/>
      <c r="AF191" s="26"/>
      <c r="AG191" s="24"/>
      <c r="AH191" s="24"/>
      <c r="AI191" s="28"/>
      <c r="AJ191" s="28"/>
      <c r="AK191" s="28"/>
      <c r="AL191" s="28"/>
      <c r="AM191" s="28"/>
      <c r="AN191" s="28"/>
      <c r="AO191" s="28"/>
      <c r="AP191" s="28"/>
      <c r="AQ191" s="28"/>
      <c r="AR191" s="28"/>
      <c r="AS191" s="28"/>
      <c r="AT191" s="28"/>
      <c r="AU191" s="28"/>
      <c r="AV191" s="24"/>
      <c r="AW191" s="28"/>
      <c r="AX191" s="28"/>
      <c r="AY191" s="28"/>
      <c r="AZ191" s="28"/>
      <c r="BA191" s="28"/>
      <c r="BB191" s="28"/>
      <c r="BC191" s="24"/>
      <c r="BD191" s="28"/>
      <c r="BE191" s="28"/>
      <c r="BF191" s="28"/>
      <c r="BG191" s="24"/>
      <c r="BH191" s="28"/>
      <c r="BI191" s="28"/>
      <c r="BJ191" s="28"/>
    </row>
    <row r="192" spans="1:62">
      <c r="A192" s="24"/>
      <c r="B192" s="28"/>
      <c r="C192" s="25"/>
      <c r="D192" s="26"/>
      <c r="E192" s="24"/>
      <c r="F192" s="24"/>
      <c r="G192" s="26"/>
      <c r="H192" s="26"/>
      <c r="I192" s="26"/>
      <c r="J192" s="26"/>
      <c r="K192" s="26"/>
      <c r="L192" s="26"/>
      <c r="M192" s="26"/>
      <c r="N192" s="26"/>
      <c r="P192" s="26"/>
      <c r="Q192" s="26"/>
      <c r="R192" s="25"/>
      <c r="S192" s="25"/>
      <c r="T192" s="25"/>
      <c r="U192" s="25"/>
      <c r="V192" s="24"/>
      <c r="W192" s="24"/>
      <c r="X192" s="24"/>
      <c r="Y192" s="26"/>
      <c r="Z192" s="26"/>
      <c r="AA192" s="24"/>
      <c r="AB192" s="24"/>
      <c r="AC192" s="24"/>
      <c r="AD192" s="24"/>
      <c r="AE192" s="26"/>
      <c r="AF192" s="26"/>
      <c r="AG192" s="24"/>
      <c r="AH192" s="24"/>
      <c r="AI192" s="28"/>
      <c r="AJ192" s="28"/>
      <c r="AK192" s="28"/>
      <c r="AL192" s="28"/>
      <c r="AM192" s="28"/>
      <c r="AN192" s="28"/>
      <c r="AO192" s="28"/>
      <c r="AP192" s="28"/>
      <c r="AQ192" s="28"/>
      <c r="AR192" s="28"/>
      <c r="AS192" s="28"/>
      <c r="AT192" s="28"/>
      <c r="AU192" s="28"/>
      <c r="AV192" s="24"/>
      <c r="AW192" s="28"/>
      <c r="AX192" s="28"/>
      <c r="AY192" s="28"/>
      <c r="AZ192" s="28"/>
      <c r="BA192" s="28"/>
      <c r="BB192" s="28"/>
      <c r="BC192" s="24"/>
      <c r="BD192" s="28"/>
      <c r="BE192" s="28"/>
      <c r="BF192" s="28"/>
      <c r="BG192" s="24"/>
      <c r="BH192" s="28"/>
      <c r="BI192" s="28"/>
      <c r="BJ192" s="28"/>
    </row>
    <row r="193" spans="1:62">
      <c r="A193" s="24"/>
      <c r="B193" s="28"/>
      <c r="C193" s="25"/>
      <c r="D193" s="26"/>
      <c r="E193" s="24"/>
      <c r="F193" s="24"/>
      <c r="G193" s="26"/>
      <c r="H193" s="26"/>
      <c r="I193" s="26"/>
      <c r="J193" s="26"/>
      <c r="K193" s="26"/>
      <c r="L193" s="26"/>
      <c r="M193" s="26"/>
      <c r="N193" s="26"/>
      <c r="P193" s="26"/>
      <c r="Q193" s="26"/>
      <c r="R193" s="25"/>
      <c r="S193" s="25"/>
      <c r="T193" s="25"/>
      <c r="U193" s="25"/>
      <c r="V193" s="24"/>
      <c r="W193" s="24"/>
      <c r="X193" s="24"/>
      <c r="Y193" s="26"/>
      <c r="Z193" s="26"/>
      <c r="AA193" s="24"/>
      <c r="AB193" s="24"/>
      <c r="AC193" s="24"/>
      <c r="AD193" s="24"/>
      <c r="AE193" s="26"/>
      <c r="AF193" s="26"/>
      <c r="AG193" s="24"/>
      <c r="AH193" s="24"/>
      <c r="AI193" s="28"/>
      <c r="AJ193" s="28"/>
      <c r="AK193" s="28"/>
      <c r="AL193" s="28"/>
      <c r="AM193" s="28"/>
      <c r="AN193" s="28"/>
      <c r="AO193" s="28"/>
      <c r="AP193" s="28"/>
      <c r="AQ193" s="28"/>
      <c r="AR193" s="28"/>
      <c r="AS193" s="28"/>
      <c r="AT193" s="28"/>
      <c r="AU193" s="28"/>
      <c r="AV193" s="24"/>
      <c r="AW193" s="28"/>
      <c r="AX193" s="28"/>
      <c r="AY193" s="28"/>
      <c r="AZ193" s="28"/>
      <c r="BA193" s="28"/>
      <c r="BB193" s="28"/>
      <c r="BC193" s="24"/>
      <c r="BD193" s="28"/>
      <c r="BE193" s="28"/>
      <c r="BF193" s="28"/>
      <c r="BG193" s="24"/>
      <c r="BH193" s="28"/>
      <c r="BI193" s="28"/>
      <c r="BJ193" s="28"/>
    </row>
    <row r="194" spans="1:62">
      <c r="A194" s="24"/>
      <c r="B194" s="28"/>
      <c r="C194" s="25"/>
      <c r="D194" s="26"/>
      <c r="E194" s="24"/>
      <c r="F194" s="24"/>
      <c r="G194" s="26"/>
      <c r="H194" s="26"/>
      <c r="I194" s="26"/>
      <c r="J194" s="26"/>
      <c r="K194" s="26"/>
      <c r="L194" s="26"/>
      <c r="M194" s="26"/>
      <c r="N194" s="26"/>
      <c r="P194" s="26"/>
      <c r="Q194" s="26"/>
      <c r="R194" s="25"/>
      <c r="S194" s="25"/>
      <c r="T194" s="25"/>
      <c r="U194" s="25"/>
      <c r="V194" s="24"/>
      <c r="W194" s="24"/>
      <c r="X194" s="24"/>
      <c r="Y194" s="26"/>
      <c r="Z194" s="26"/>
      <c r="AA194" s="24"/>
      <c r="AB194" s="24"/>
      <c r="AC194" s="24"/>
      <c r="AD194" s="24"/>
      <c r="AE194" s="26"/>
      <c r="AF194" s="26"/>
      <c r="AG194" s="24"/>
      <c r="AH194" s="24"/>
      <c r="AI194" s="28"/>
      <c r="AJ194" s="28"/>
      <c r="AK194" s="28"/>
      <c r="AL194" s="28"/>
      <c r="AM194" s="28"/>
      <c r="AN194" s="28"/>
      <c r="AO194" s="28"/>
      <c r="AP194" s="28"/>
      <c r="AQ194" s="28"/>
      <c r="AR194" s="28"/>
      <c r="AS194" s="28"/>
      <c r="AT194" s="28"/>
      <c r="AU194" s="28"/>
      <c r="AV194" s="24"/>
      <c r="AW194" s="28"/>
      <c r="AX194" s="28"/>
      <c r="AY194" s="28"/>
      <c r="AZ194" s="28"/>
      <c r="BA194" s="28"/>
      <c r="BB194" s="28"/>
      <c r="BC194" s="24"/>
      <c r="BD194" s="28"/>
      <c r="BE194" s="28"/>
      <c r="BF194" s="28"/>
      <c r="BG194" s="24"/>
      <c r="BH194" s="28"/>
      <c r="BI194" s="28"/>
      <c r="BJ194" s="28"/>
    </row>
    <row r="195" spans="1:62">
      <c r="A195" s="24"/>
      <c r="B195" s="28"/>
      <c r="C195" s="25"/>
      <c r="D195" s="26"/>
      <c r="E195" s="24"/>
      <c r="F195" s="24"/>
      <c r="G195" s="26"/>
      <c r="H195" s="26"/>
      <c r="I195" s="26"/>
      <c r="J195" s="26"/>
      <c r="K195" s="26"/>
      <c r="L195" s="26"/>
      <c r="M195" s="26"/>
      <c r="N195" s="26"/>
      <c r="P195" s="26"/>
      <c r="Q195" s="26"/>
      <c r="R195" s="25"/>
      <c r="S195" s="25"/>
      <c r="T195" s="25"/>
      <c r="U195" s="25"/>
      <c r="V195" s="24"/>
      <c r="W195" s="24"/>
      <c r="X195" s="24"/>
      <c r="Y195" s="26"/>
      <c r="Z195" s="26"/>
      <c r="AA195" s="24"/>
      <c r="AB195" s="24"/>
      <c r="AC195" s="24"/>
      <c r="AD195" s="24"/>
      <c r="AE195" s="26"/>
      <c r="AF195" s="26"/>
      <c r="AG195" s="24"/>
      <c r="AH195" s="24"/>
      <c r="AI195" s="28"/>
      <c r="AJ195" s="28"/>
      <c r="AK195" s="28"/>
      <c r="AL195" s="28"/>
      <c r="AM195" s="28"/>
      <c r="AN195" s="28"/>
      <c r="AO195" s="28"/>
      <c r="AP195" s="28"/>
      <c r="AQ195" s="28"/>
      <c r="AR195" s="28"/>
      <c r="AS195" s="28"/>
      <c r="AT195" s="28"/>
      <c r="AU195" s="28"/>
      <c r="AV195" s="24"/>
      <c r="AW195" s="28"/>
      <c r="AX195" s="28"/>
      <c r="AY195" s="28"/>
      <c r="AZ195" s="28"/>
      <c r="BA195" s="28"/>
      <c r="BB195" s="28"/>
      <c r="BC195" s="24"/>
      <c r="BD195" s="28"/>
      <c r="BE195" s="28"/>
      <c r="BF195" s="28"/>
      <c r="BG195" s="24"/>
      <c r="BH195" s="28"/>
      <c r="BI195" s="28"/>
      <c r="BJ195" s="28"/>
    </row>
    <row r="196" spans="1:62">
      <c r="A196" s="24"/>
      <c r="B196" s="28"/>
      <c r="C196" s="25"/>
      <c r="D196" s="26"/>
      <c r="E196" s="24"/>
      <c r="F196" s="24"/>
      <c r="G196" s="26"/>
      <c r="H196" s="26"/>
      <c r="I196" s="26"/>
      <c r="J196" s="26"/>
      <c r="K196" s="26"/>
      <c r="L196" s="26"/>
      <c r="M196" s="26"/>
      <c r="N196" s="26"/>
      <c r="P196" s="26"/>
      <c r="Q196" s="26"/>
      <c r="R196" s="25"/>
      <c r="S196" s="25"/>
      <c r="T196" s="25"/>
      <c r="U196" s="25"/>
      <c r="V196" s="24"/>
      <c r="W196" s="24"/>
      <c r="X196" s="24"/>
      <c r="Y196" s="26"/>
      <c r="Z196" s="26"/>
      <c r="AA196" s="24"/>
      <c r="AB196" s="24"/>
      <c r="AC196" s="24"/>
      <c r="AD196" s="24"/>
      <c r="AE196" s="26"/>
      <c r="AF196" s="26"/>
      <c r="AG196" s="24"/>
      <c r="AH196" s="24"/>
      <c r="AI196" s="28"/>
      <c r="AJ196" s="28"/>
      <c r="AK196" s="28"/>
      <c r="AL196" s="28"/>
      <c r="AM196" s="28"/>
      <c r="AN196" s="28"/>
      <c r="AO196" s="28"/>
      <c r="AP196" s="28"/>
      <c r="AQ196" s="28"/>
      <c r="AR196" s="28"/>
      <c r="AS196" s="28"/>
      <c r="AT196" s="28"/>
      <c r="AU196" s="28"/>
      <c r="AV196" s="24"/>
      <c r="AW196" s="28"/>
      <c r="AX196" s="28"/>
      <c r="AY196" s="28"/>
      <c r="AZ196" s="28"/>
      <c r="BA196" s="28"/>
      <c r="BB196" s="28"/>
      <c r="BC196" s="24"/>
      <c r="BD196" s="28"/>
      <c r="BE196" s="28"/>
      <c r="BF196" s="28"/>
      <c r="BG196" s="24"/>
      <c r="BH196" s="28"/>
      <c r="BI196" s="28"/>
      <c r="BJ196" s="28"/>
    </row>
    <row r="197" spans="1:62">
      <c r="A197" s="24"/>
      <c r="B197" s="28"/>
      <c r="C197" s="25"/>
      <c r="D197" s="26"/>
      <c r="E197" s="24"/>
      <c r="F197" s="24"/>
      <c r="G197" s="26"/>
      <c r="H197" s="26"/>
      <c r="I197" s="26"/>
      <c r="J197" s="26"/>
      <c r="K197" s="26"/>
      <c r="L197" s="26"/>
      <c r="M197" s="26"/>
      <c r="N197" s="26"/>
      <c r="P197" s="26"/>
      <c r="Q197" s="26"/>
      <c r="R197" s="25"/>
      <c r="S197" s="25"/>
      <c r="T197" s="25"/>
      <c r="U197" s="25"/>
      <c r="V197" s="24"/>
      <c r="W197" s="24"/>
      <c r="X197" s="24"/>
      <c r="Y197" s="26"/>
      <c r="Z197" s="26"/>
      <c r="AA197" s="24"/>
      <c r="AB197" s="24"/>
      <c r="AC197" s="24"/>
      <c r="AD197" s="24"/>
      <c r="AE197" s="26"/>
      <c r="AF197" s="26"/>
      <c r="AG197" s="24"/>
      <c r="AH197" s="24"/>
      <c r="AI197" s="28"/>
      <c r="AJ197" s="28"/>
      <c r="AK197" s="28"/>
      <c r="AL197" s="28"/>
      <c r="AM197" s="28"/>
      <c r="AN197" s="28"/>
      <c r="AO197" s="28"/>
      <c r="AP197" s="28"/>
      <c r="AQ197" s="28"/>
      <c r="AR197" s="28"/>
      <c r="AS197" s="28"/>
      <c r="AT197" s="28"/>
      <c r="AU197" s="28"/>
      <c r="AV197" s="24"/>
      <c r="AW197" s="28"/>
      <c r="AX197" s="28"/>
      <c r="AY197" s="28"/>
      <c r="AZ197" s="28"/>
      <c r="BA197" s="28"/>
      <c r="BB197" s="28"/>
      <c r="BC197" s="24"/>
      <c r="BD197" s="28"/>
      <c r="BE197" s="28"/>
      <c r="BF197" s="28"/>
      <c r="BG197" s="24"/>
      <c r="BH197" s="28"/>
      <c r="BI197" s="28"/>
      <c r="BJ197" s="28"/>
    </row>
    <row r="198" spans="1:62">
      <c r="A198" s="24"/>
      <c r="B198" s="28"/>
      <c r="C198" s="25"/>
      <c r="D198" s="26"/>
      <c r="E198" s="24"/>
      <c r="F198" s="24"/>
      <c r="G198" s="26"/>
      <c r="H198" s="26"/>
      <c r="I198" s="26"/>
      <c r="J198" s="26"/>
      <c r="K198" s="26"/>
      <c r="L198" s="26"/>
      <c r="M198" s="26"/>
      <c r="N198" s="26"/>
      <c r="P198" s="26"/>
      <c r="Q198" s="26"/>
      <c r="R198" s="25"/>
      <c r="S198" s="25"/>
      <c r="T198" s="25"/>
      <c r="U198" s="25"/>
      <c r="V198" s="24"/>
      <c r="W198" s="24"/>
      <c r="X198" s="24"/>
      <c r="Y198" s="26"/>
      <c r="Z198" s="26"/>
      <c r="AA198" s="24"/>
      <c r="AB198" s="24"/>
      <c r="AC198" s="24"/>
      <c r="AD198" s="24"/>
      <c r="AE198" s="26"/>
      <c r="AF198" s="26"/>
      <c r="AG198" s="24"/>
      <c r="AH198" s="24"/>
      <c r="AI198" s="28"/>
      <c r="AJ198" s="28"/>
      <c r="AK198" s="28"/>
      <c r="AL198" s="28"/>
      <c r="AM198" s="28"/>
      <c r="AN198" s="28"/>
      <c r="AO198" s="28"/>
      <c r="AP198" s="28"/>
      <c r="AQ198" s="28"/>
      <c r="AR198" s="28"/>
      <c r="AS198" s="28"/>
      <c r="AT198" s="28"/>
      <c r="AU198" s="28"/>
      <c r="AV198" s="24"/>
      <c r="AW198" s="28"/>
      <c r="AX198" s="28"/>
      <c r="AY198" s="28"/>
      <c r="AZ198" s="28"/>
      <c r="BA198" s="28"/>
      <c r="BB198" s="28"/>
      <c r="BC198" s="24"/>
      <c r="BD198" s="28"/>
      <c r="BE198" s="28"/>
      <c r="BF198" s="28"/>
      <c r="BG198" s="24"/>
      <c r="BH198" s="28"/>
      <c r="BI198" s="28"/>
      <c r="BJ198" s="28"/>
    </row>
    <row r="199" spans="1:62">
      <c r="A199" s="24"/>
      <c r="B199" s="28"/>
      <c r="C199" s="25"/>
      <c r="D199" s="26"/>
      <c r="E199" s="24"/>
      <c r="F199" s="24"/>
      <c r="G199" s="26"/>
      <c r="H199" s="26"/>
      <c r="I199" s="26"/>
      <c r="J199" s="26"/>
      <c r="K199" s="26"/>
      <c r="L199" s="26"/>
      <c r="M199" s="26"/>
      <c r="N199" s="26"/>
      <c r="P199" s="26"/>
      <c r="Q199" s="26"/>
      <c r="R199" s="25"/>
      <c r="S199" s="25"/>
      <c r="T199" s="25"/>
      <c r="U199" s="25"/>
      <c r="V199" s="24"/>
      <c r="W199" s="24"/>
      <c r="X199" s="24"/>
      <c r="Y199" s="26"/>
      <c r="Z199" s="26"/>
      <c r="AA199" s="24"/>
      <c r="AB199" s="24"/>
      <c r="AC199" s="24"/>
      <c r="AD199" s="24"/>
      <c r="AE199" s="26"/>
      <c r="AF199" s="26"/>
      <c r="AG199" s="24"/>
      <c r="AH199" s="24"/>
      <c r="AI199" s="28"/>
      <c r="AJ199" s="28"/>
      <c r="AK199" s="28"/>
      <c r="AL199" s="28"/>
      <c r="AM199" s="28"/>
      <c r="AN199" s="28"/>
      <c r="AO199" s="28"/>
      <c r="AP199" s="28"/>
      <c r="AQ199" s="28"/>
      <c r="AR199" s="28"/>
      <c r="AS199" s="28"/>
      <c r="AT199" s="28"/>
      <c r="AU199" s="28"/>
      <c r="AV199" s="24"/>
      <c r="AW199" s="28"/>
      <c r="AX199" s="28"/>
      <c r="AY199" s="28"/>
      <c r="AZ199" s="28"/>
      <c r="BA199" s="28"/>
      <c r="BB199" s="28"/>
      <c r="BC199" s="24"/>
      <c r="BD199" s="28"/>
      <c r="BE199" s="28"/>
      <c r="BF199" s="28"/>
      <c r="BG199" s="24"/>
      <c r="BH199" s="28"/>
      <c r="BI199" s="28"/>
      <c r="BJ199" s="28"/>
    </row>
    <row r="200" spans="1:62">
      <c r="A200" s="24"/>
      <c r="B200" s="28"/>
      <c r="C200" s="25"/>
      <c r="D200" s="26"/>
      <c r="E200" s="24"/>
      <c r="F200" s="24"/>
      <c r="G200" s="26"/>
      <c r="H200" s="26"/>
      <c r="I200" s="26"/>
      <c r="J200" s="26"/>
      <c r="K200" s="26"/>
      <c r="L200" s="26"/>
      <c r="M200" s="26"/>
      <c r="N200" s="26"/>
      <c r="P200" s="26"/>
      <c r="Q200" s="26"/>
      <c r="R200" s="25"/>
      <c r="S200" s="25"/>
      <c r="T200" s="25"/>
      <c r="U200" s="25"/>
      <c r="V200" s="24"/>
      <c r="W200" s="24"/>
      <c r="X200" s="24"/>
      <c r="Y200" s="26"/>
      <c r="Z200" s="26"/>
      <c r="AA200" s="24"/>
      <c r="AB200" s="24"/>
      <c r="AC200" s="24"/>
      <c r="AD200" s="24"/>
      <c r="AE200" s="26"/>
      <c r="AF200" s="26"/>
      <c r="AG200" s="24"/>
      <c r="AH200" s="24"/>
      <c r="AI200" s="28"/>
      <c r="AJ200" s="28"/>
      <c r="AK200" s="28"/>
      <c r="AL200" s="28"/>
      <c r="AM200" s="28"/>
      <c r="AN200" s="28"/>
      <c r="AO200" s="28"/>
      <c r="AP200" s="28"/>
      <c r="AQ200" s="28"/>
      <c r="AR200" s="28"/>
      <c r="AS200" s="28"/>
      <c r="AT200" s="28"/>
      <c r="AU200" s="28"/>
      <c r="AV200" s="24"/>
      <c r="AW200" s="28"/>
      <c r="AX200" s="28"/>
      <c r="AY200" s="28"/>
      <c r="AZ200" s="28"/>
      <c r="BA200" s="28"/>
      <c r="BB200" s="28"/>
      <c r="BC200" s="24"/>
      <c r="BD200" s="28"/>
      <c r="BE200" s="28"/>
      <c r="BF200" s="28"/>
      <c r="BG200" s="24"/>
      <c r="BH200" s="28"/>
      <c r="BI200" s="28"/>
      <c r="BJ200" s="28"/>
    </row>
    <row r="201" spans="1:62">
      <c r="A201" s="24"/>
      <c r="B201" s="28"/>
      <c r="C201" s="25"/>
      <c r="D201" s="26"/>
      <c r="E201" s="24"/>
      <c r="F201" s="24"/>
      <c r="G201" s="26"/>
      <c r="H201" s="26"/>
      <c r="I201" s="26"/>
      <c r="J201" s="26"/>
      <c r="K201" s="26"/>
      <c r="L201" s="26"/>
      <c r="M201" s="26"/>
      <c r="N201" s="26"/>
      <c r="P201" s="26"/>
      <c r="Q201" s="26"/>
      <c r="R201" s="25"/>
      <c r="S201" s="25"/>
      <c r="T201" s="25"/>
      <c r="U201" s="25"/>
      <c r="V201" s="24"/>
      <c r="W201" s="24"/>
      <c r="X201" s="24"/>
      <c r="Y201" s="26"/>
      <c r="Z201" s="26"/>
      <c r="AA201" s="24"/>
      <c r="AB201" s="24"/>
      <c r="AC201" s="24"/>
      <c r="AD201" s="24"/>
      <c r="AE201" s="26"/>
      <c r="AF201" s="26"/>
      <c r="AG201" s="24"/>
      <c r="AH201" s="24"/>
      <c r="AI201" s="28"/>
      <c r="AJ201" s="28"/>
      <c r="AK201" s="28"/>
      <c r="AL201" s="28"/>
      <c r="AM201" s="28"/>
      <c r="AN201" s="28"/>
      <c r="AO201" s="28"/>
      <c r="AP201" s="28"/>
      <c r="AQ201" s="28"/>
      <c r="AR201" s="28"/>
      <c r="AS201" s="28"/>
      <c r="AT201" s="28"/>
      <c r="AU201" s="28"/>
      <c r="AV201" s="24"/>
      <c r="AW201" s="28"/>
      <c r="AX201" s="28"/>
      <c r="AY201" s="28"/>
      <c r="AZ201" s="28"/>
      <c r="BA201" s="28"/>
      <c r="BB201" s="28"/>
      <c r="BC201" s="24"/>
      <c r="BD201" s="28"/>
      <c r="BE201" s="28"/>
      <c r="BF201" s="28"/>
      <c r="BG201" s="24"/>
      <c r="BH201" s="28"/>
      <c r="BI201" s="28"/>
      <c r="BJ201" s="28"/>
    </row>
    <row r="202" spans="1:62">
      <c r="A202" s="24"/>
      <c r="B202" s="28"/>
      <c r="C202" s="25"/>
      <c r="D202" s="26"/>
      <c r="E202" s="24"/>
      <c r="F202" s="24"/>
      <c r="G202" s="26"/>
      <c r="H202" s="26"/>
      <c r="I202" s="26"/>
      <c r="J202" s="26"/>
      <c r="K202" s="26"/>
      <c r="L202" s="26"/>
      <c r="M202" s="26"/>
      <c r="N202" s="26"/>
      <c r="P202" s="26"/>
      <c r="Q202" s="26"/>
      <c r="R202" s="25"/>
      <c r="S202" s="25"/>
      <c r="T202" s="25"/>
      <c r="U202" s="25"/>
      <c r="V202" s="24"/>
      <c r="W202" s="24"/>
      <c r="X202" s="24"/>
      <c r="Y202" s="26"/>
      <c r="Z202" s="26"/>
      <c r="AA202" s="24"/>
      <c r="AB202" s="24"/>
      <c r="AC202" s="24"/>
      <c r="AD202" s="24"/>
      <c r="AE202" s="26"/>
      <c r="AF202" s="26"/>
      <c r="AG202" s="24"/>
      <c r="AH202" s="24"/>
      <c r="AI202" s="28"/>
      <c r="AJ202" s="28"/>
      <c r="AK202" s="28"/>
      <c r="AL202" s="28"/>
      <c r="AM202" s="28"/>
      <c r="AN202" s="28"/>
      <c r="AO202" s="28"/>
      <c r="AP202" s="28"/>
      <c r="AQ202" s="28"/>
      <c r="AR202" s="28"/>
      <c r="AS202" s="28"/>
      <c r="AT202" s="28"/>
      <c r="AU202" s="28"/>
      <c r="AV202" s="24"/>
      <c r="AW202" s="28"/>
      <c r="AX202" s="28"/>
      <c r="AY202" s="28"/>
      <c r="AZ202" s="28"/>
      <c r="BA202" s="28"/>
      <c r="BB202" s="28"/>
      <c r="BC202" s="24"/>
      <c r="BD202" s="28"/>
      <c r="BE202" s="28"/>
      <c r="BF202" s="28"/>
      <c r="BG202" s="24"/>
      <c r="BH202" s="28"/>
      <c r="BI202" s="28"/>
      <c r="BJ202" s="28"/>
    </row>
    <row r="203" spans="1:62">
      <c r="A203" s="24"/>
      <c r="B203" s="28"/>
      <c r="C203" s="25"/>
      <c r="D203" s="26"/>
      <c r="E203" s="24"/>
      <c r="F203" s="24"/>
      <c r="G203" s="26"/>
      <c r="H203" s="26"/>
      <c r="I203" s="26"/>
      <c r="J203" s="26"/>
      <c r="K203" s="26"/>
      <c r="L203" s="26"/>
      <c r="M203" s="26"/>
      <c r="N203" s="26"/>
      <c r="P203" s="26"/>
      <c r="Q203" s="26"/>
      <c r="R203" s="25"/>
      <c r="S203" s="25"/>
      <c r="T203" s="25"/>
      <c r="U203" s="25"/>
      <c r="V203" s="24"/>
      <c r="W203" s="24"/>
      <c r="X203" s="24"/>
      <c r="Y203" s="26"/>
      <c r="Z203" s="26"/>
      <c r="AA203" s="24"/>
      <c r="AB203" s="24"/>
      <c r="AC203" s="24"/>
      <c r="AD203" s="24"/>
      <c r="AE203" s="26"/>
      <c r="AF203" s="26"/>
      <c r="AG203" s="24"/>
      <c r="AH203" s="24"/>
      <c r="AI203" s="28"/>
      <c r="AJ203" s="28"/>
      <c r="AK203" s="28"/>
      <c r="AL203" s="28"/>
      <c r="AM203" s="28"/>
      <c r="AN203" s="28"/>
      <c r="AO203" s="28"/>
      <c r="AP203" s="28"/>
      <c r="AQ203" s="28"/>
      <c r="AR203" s="28"/>
      <c r="AS203" s="28"/>
      <c r="AT203" s="28"/>
      <c r="AU203" s="28"/>
      <c r="AV203" s="24"/>
      <c r="AW203" s="28"/>
      <c r="AX203" s="28"/>
      <c r="AY203" s="28"/>
      <c r="AZ203" s="28"/>
      <c r="BA203" s="28"/>
      <c r="BB203" s="28"/>
      <c r="BC203" s="24"/>
      <c r="BD203" s="28"/>
      <c r="BE203" s="28"/>
      <c r="BF203" s="28"/>
      <c r="BG203" s="24"/>
      <c r="BH203" s="28"/>
      <c r="BI203" s="28"/>
      <c r="BJ203" s="28"/>
    </row>
    <row r="204" spans="1:62">
      <c r="A204" s="24"/>
      <c r="B204" s="28"/>
      <c r="C204" s="25"/>
      <c r="D204" s="26"/>
      <c r="E204" s="24"/>
      <c r="F204" s="24"/>
      <c r="G204" s="26"/>
      <c r="H204" s="26"/>
      <c r="I204" s="26"/>
      <c r="J204" s="26"/>
      <c r="K204" s="26"/>
      <c r="L204" s="26"/>
      <c r="M204" s="26"/>
      <c r="N204" s="26"/>
      <c r="P204" s="26"/>
      <c r="Q204" s="26"/>
      <c r="R204" s="25"/>
      <c r="S204" s="25"/>
      <c r="T204" s="25"/>
      <c r="U204" s="25"/>
      <c r="V204" s="24"/>
      <c r="W204" s="24"/>
      <c r="X204" s="24"/>
      <c r="Y204" s="26"/>
      <c r="Z204" s="26"/>
      <c r="AA204" s="24"/>
      <c r="AB204" s="24"/>
      <c r="AC204" s="24"/>
      <c r="AD204" s="24"/>
      <c r="AE204" s="26"/>
      <c r="AF204" s="26"/>
      <c r="AG204" s="24"/>
      <c r="AH204" s="24"/>
      <c r="AI204" s="28"/>
      <c r="AJ204" s="28"/>
      <c r="AK204" s="28"/>
      <c r="AL204" s="28"/>
      <c r="AM204" s="28"/>
      <c r="AN204" s="28"/>
      <c r="AO204" s="28"/>
      <c r="AP204" s="28"/>
      <c r="AQ204" s="28"/>
      <c r="AR204" s="28"/>
      <c r="AS204" s="28"/>
      <c r="AT204" s="28"/>
      <c r="AU204" s="28"/>
      <c r="AV204" s="24"/>
      <c r="AW204" s="28"/>
      <c r="AX204" s="28"/>
      <c r="AY204" s="28"/>
      <c r="AZ204" s="28"/>
      <c r="BA204" s="28"/>
      <c r="BB204" s="28"/>
      <c r="BC204" s="24"/>
      <c r="BD204" s="28"/>
      <c r="BE204" s="28"/>
      <c r="BF204" s="28"/>
      <c r="BG204" s="24"/>
      <c r="BH204" s="28"/>
      <c r="BI204" s="28"/>
      <c r="BJ204" s="28"/>
    </row>
    <row r="205" spans="1:62">
      <c r="A205" s="24"/>
      <c r="B205" s="28"/>
      <c r="C205" s="25"/>
      <c r="D205" s="26"/>
      <c r="E205" s="24"/>
      <c r="F205" s="24"/>
      <c r="G205" s="26"/>
      <c r="H205" s="26"/>
      <c r="I205" s="26"/>
      <c r="J205" s="26"/>
      <c r="K205" s="26"/>
      <c r="L205" s="26"/>
      <c r="M205" s="26"/>
      <c r="N205" s="26"/>
      <c r="P205" s="26"/>
      <c r="Q205" s="26"/>
      <c r="R205" s="25"/>
      <c r="S205" s="25"/>
      <c r="T205" s="25"/>
      <c r="U205" s="25"/>
      <c r="V205" s="24"/>
      <c r="W205" s="24"/>
      <c r="X205" s="24"/>
      <c r="Y205" s="26"/>
      <c r="Z205" s="26"/>
      <c r="AA205" s="24"/>
      <c r="AB205" s="24"/>
      <c r="AC205" s="24"/>
      <c r="AD205" s="24"/>
      <c r="AE205" s="26"/>
      <c r="AF205" s="26"/>
      <c r="AG205" s="24"/>
      <c r="AH205" s="24"/>
      <c r="AI205" s="28"/>
      <c r="AJ205" s="28"/>
      <c r="AK205" s="28"/>
      <c r="AL205" s="28"/>
      <c r="AM205" s="28"/>
      <c r="AN205" s="28"/>
      <c r="AO205" s="28"/>
      <c r="AP205" s="28"/>
      <c r="AQ205" s="28"/>
      <c r="AR205" s="28"/>
      <c r="AS205" s="28"/>
      <c r="AT205" s="28"/>
      <c r="AU205" s="28"/>
      <c r="AV205" s="24"/>
      <c r="AW205" s="28"/>
      <c r="AX205" s="28"/>
      <c r="AY205" s="28"/>
      <c r="AZ205" s="28"/>
      <c r="BA205" s="28"/>
      <c r="BB205" s="28"/>
      <c r="BC205" s="24"/>
      <c r="BD205" s="28"/>
      <c r="BE205" s="28"/>
      <c r="BF205" s="28"/>
      <c r="BG205" s="24"/>
      <c r="BH205" s="28"/>
      <c r="BI205" s="28"/>
      <c r="BJ205" s="28"/>
    </row>
    <row r="206" spans="1:62">
      <c r="A206" s="24"/>
      <c r="B206" s="28"/>
      <c r="C206" s="25"/>
      <c r="D206" s="26"/>
      <c r="E206" s="24"/>
      <c r="F206" s="24"/>
      <c r="G206" s="26"/>
      <c r="H206" s="26"/>
      <c r="I206" s="26"/>
      <c r="J206" s="26"/>
      <c r="K206" s="26"/>
      <c r="L206" s="26"/>
      <c r="M206" s="26"/>
      <c r="N206" s="26"/>
      <c r="P206" s="26"/>
      <c r="Q206" s="26"/>
      <c r="R206" s="25"/>
      <c r="S206" s="25"/>
      <c r="T206" s="25"/>
      <c r="U206" s="25"/>
      <c r="V206" s="24"/>
      <c r="W206" s="24"/>
      <c r="X206" s="24"/>
      <c r="Y206" s="26"/>
      <c r="Z206" s="26"/>
      <c r="AA206" s="24"/>
      <c r="AB206" s="24"/>
      <c r="AC206" s="24"/>
      <c r="AD206" s="24"/>
      <c r="AE206" s="26"/>
      <c r="AF206" s="26"/>
      <c r="AG206" s="24"/>
      <c r="AH206" s="24"/>
      <c r="AI206" s="28"/>
      <c r="AJ206" s="28"/>
      <c r="AK206" s="28"/>
      <c r="AL206" s="28"/>
      <c r="AM206" s="28"/>
      <c r="AN206" s="28"/>
      <c r="AO206" s="28"/>
      <c r="AP206" s="28"/>
      <c r="AQ206" s="28"/>
      <c r="AR206" s="28"/>
      <c r="AS206" s="28"/>
      <c r="AT206" s="28"/>
      <c r="AU206" s="28"/>
      <c r="AV206" s="24"/>
      <c r="AW206" s="28"/>
      <c r="AX206" s="28"/>
      <c r="AY206" s="28"/>
      <c r="AZ206" s="28"/>
      <c r="BA206" s="28"/>
      <c r="BB206" s="28"/>
      <c r="BC206" s="24"/>
      <c r="BD206" s="28"/>
      <c r="BE206" s="28"/>
      <c r="BF206" s="28"/>
      <c r="BG206" s="24"/>
      <c r="BH206" s="28"/>
      <c r="BI206" s="28"/>
      <c r="BJ206" s="28"/>
    </row>
    <row r="207" spans="1:62">
      <c r="A207" s="24"/>
      <c r="B207" s="28"/>
      <c r="C207" s="25"/>
      <c r="D207" s="26"/>
      <c r="E207" s="24"/>
      <c r="F207" s="24"/>
      <c r="G207" s="26"/>
      <c r="H207" s="26"/>
      <c r="I207" s="26"/>
      <c r="J207" s="26"/>
      <c r="K207" s="26"/>
      <c r="L207" s="26"/>
      <c r="M207" s="26"/>
      <c r="N207" s="26"/>
      <c r="P207" s="26"/>
      <c r="Q207" s="26"/>
      <c r="R207" s="25"/>
      <c r="S207" s="25"/>
      <c r="T207" s="25"/>
      <c r="U207" s="25"/>
      <c r="V207" s="24"/>
      <c r="W207" s="24"/>
      <c r="X207" s="24"/>
      <c r="Y207" s="26"/>
      <c r="Z207" s="26"/>
      <c r="AA207" s="24"/>
      <c r="AB207" s="24"/>
      <c r="AC207" s="24"/>
      <c r="AD207" s="24"/>
      <c r="AE207" s="26"/>
      <c r="AF207" s="26"/>
      <c r="AG207" s="24"/>
      <c r="AH207" s="24"/>
      <c r="AI207" s="28"/>
      <c r="AJ207" s="28"/>
      <c r="AK207" s="28"/>
      <c r="AL207" s="28"/>
      <c r="AM207" s="28"/>
      <c r="AN207" s="28"/>
      <c r="AO207" s="28"/>
      <c r="AP207" s="28"/>
      <c r="AQ207" s="28"/>
      <c r="AR207" s="28"/>
      <c r="AS207" s="28"/>
      <c r="AT207" s="28"/>
      <c r="AU207" s="28"/>
      <c r="AV207" s="24"/>
      <c r="AW207" s="28"/>
      <c r="AX207" s="28"/>
      <c r="AY207" s="28"/>
      <c r="AZ207" s="28"/>
      <c r="BA207" s="28"/>
      <c r="BB207" s="28"/>
      <c r="BC207" s="24"/>
      <c r="BD207" s="28"/>
      <c r="BE207" s="28"/>
      <c r="BF207" s="28"/>
      <c r="BG207" s="24"/>
      <c r="BH207" s="28"/>
      <c r="BI207" s="28"/>
      <c r="BJ207" s="28"/>
    </row>
    <row r="208" spans="1:62">
      <c r="A208" s="24"/>
      <c r="B208" s="28"/>
      <c r="C208" s="25"/>
      <c r="D208" s="26"/>
      <c r="E208" s="24"/>
      <c r="F208" s="24"/>
      <c r="G208" s="26"/>
      <c r="H208" s="26"/>
      <c r="I208" s="26"/>
      <c r="J208" s="26"/>
      <c r="K208" s="26"/>
      <c r="L208" s="26"/>
      <c r="M208" s="26"/>
      <c r="N208" s="26"/>
      <c r="P208" s="26"/>
      <c r="Q208" s="26"/>
      <c r="R208" s="25"/>
      <c r="S208" s="25"/>
      <c r="T208" s="25"/>
      <c r="U208" s="25"/>
      <c r="V208" s="24"/>
      <c r="W208" s="24"/>
      <c r="X208" s="24"/>
      <c r="Y208" s="26"/>
      <c r="Z208" s="26"/>
      <c r="AA208" s="24"/>
      <c r="AB208" s="24"/>
      <c r="AC208" s="24"/>
      <c r="AD208" s="24"/>
      <c r="AE208" s="26"/>
      <c r="AF208" s="26"/>
      <c r="AG208" s="24"/>
      <c r="AH208" s="24"/>
      <c r="AI208" s="28"/>
      <c r="AJ208" s="28"/>
      <c r="AK208" s="28"/>
      <c r="AL208" s="28"/>
      <c r="AM208" s="28"/>
      <c r="AN208" s="28"/>
      <c r="AO208" s="28"/>
      <c r="AP208" s="28"/>
      <c r="AQ208" s="28"/>
      <c r="AR208" s="28"/>
      <c r="AS208" s="28"/>
      <c r="AT208" s="28"/>
      <c r="AU208" s="28"/>
      <c r="AV208" s="24"/>
      <c r="AW208" s="28"/>
      <c r="AX208" s="28"/>
      <c r="AY208" s="28"/>
      <c r="AZ208" s="28"/>
      <c r="BA208" s="28"/>
      <c r="BB208" s="28"/>
      <c r="BC208" s="24"/>
      <c r="BD208" s="28"/>
      <c r="BE208" s="28"/>
      <c r="BF208" s="28"/>
      <c r="BG208" s="24"/>
      <c r="BH208" s="28"/>
      <c r="BI208" s="28"/>
      <c r="BJ208" s="28"/>
    </row>
    <row r="209" spans="1:62">
      <c r="A209" s="24"/>
      <c r="B209" s="28"/>
      <c r="C209" s="25"/>
      <c r="D209" s="26"/>
      <c r="E209" s="24"/>
      <c r="F209" s="24"/>
      <c r="G209" s="26"/>
      <c r="H209" s="26"/>
      <c r="I209" s="26"/>
      <c r="J209" s="26"/>
      <c r="K209" s="26"/>
      <c r="L209" s="26"/>
      <c r="M209" s="26"/>
      <c r="N209" s="26"/>
      <c r="P209" s="26"/>
      <c r="Q209" s="26"/>
      <c r="R209" s="25"/>
      <c r="S209" s="25"/>
      <c r="T209" s="25"/>
      <c r="U209" s="25"/>
      <c r="V209" s="24"/>
      <c r="W209" s="24"/>
      <c r="X209" s="24"/>
      <c r="Y209" s="26"/>
      <c r="Z209" s="26"/>
      <c r="AA209" s="24"/>
      <c r="AB209" s="24"/>
      <c r="AC209" s="24"/>
      <c r="AD209" s="24"/>
      <c r="AE209" s="26"/>
      <c r="AF209" s="26"/>
      <c r="AG209" s="24"/>
      <c r="AH209" s="24"/>
      <c r="AI209" s="28"/>
      <c r="AJ209" s="28"/>
      <c r="AK209" s="28"/>
      <c r="AL209" s="28"/>
      <c r="AM209" s="28"/>
      <c r="AN209" s="28"/>
      <c r="AO209" s="28"/>
      <c r="AP209" s="28"/>
      <c r="AQ209" s="28"/>
      <c r="AR209" s="28"/>
      <c r="AS209" s="28"/>
      <c r="AT209" s="28"/>
      <c r="AU209" s="28"/>
      <c r="AV209" s="24"/>
      <c r="AW209" s="28"/>
      <c r="AX209" s="28"/>
      <c r="AY209" s="28"/>
      <c r="AZ209" s="28"/>
      <c r="BA209" s="28"/>
      <c r="BB209" s="28"/>
      <c r="BC209" s="24"/>
      <c r="BD209" s="28"/>
      <c r="BE209" s="28"/>
      <c r="BF209" s="28"/>
      <c r="BG209" s="24"/>
      <c r="BH209" s="28"/>
      <c r="BI209" s="28"/>
      <c r="BJ209" s="28"/>
    </row>
    <row r="210" spans="1:62">
      <c r="A210" s="24"/>
      <c r="B210" s="28"/>
      <c r="C210" s="25"/>
      <c r="D210" s="26"/>
      <c r="E210" s="24"/>
      <c r="F210" s="24"/>
      <c r="G210" s="26"/>
      <c r="H210" s="26"/>
      <c r="I210" s="26"/>
      <c r="J210" s="26"/>
      <c r="K210" s="26"/>
      <c r="L210" s="26"/>
      <c r="M210" s="26"/>
      <c r="N210" s="26"/>
      <c r="P210" s="26"/>
      <c r="Q210" s="26"/>
      <c r="R210" s="25"/>
      <c r="S210" s="25"/>
      <c r="T210" s="25"/>
      <c r="U210" s="25"/>
      <c r="V210" s="24"/>
      <c r="W210" s="24"/>
      <c r="X210" s="24"/>
      <c r="Y210" s="26"/>
      <c r="Z210" s="26"/>
      <c r="AA210" s="24"/>
      <c r="AB210" s="24"/>
      <c r="AC210" s="24"/>
      <c r="AD210" s="24"/>
      <c r="AE210" s="26"/>
      <c r="AF210" s="26"/>
      <c r="AG210" s="24"/>
      <c r="AH210" s="24"/>
      <c r="AI210" s="28"/>
      <c r="AJ210" s="28"/>
      <c r="AK210" s="28"/>
      <c r="AL210" s="28"/>
      <c r="AM210" s="28"/>
      <c r="AN210" s="28"/>
      <c r="AO210" s="28"/>
      <c r="AP210" s="28"/>
      <c r="AQ210" s="28"/>
      <c r="AR210" s="28"/>
      <c r="AS210" s="28"/>
      <c r="AT210" s="28"/>
      <c r="AU210" s="28"/>
      <c r="AV210" s="24"/>
      <c r="AW210" s="28"/>
      <c r="AX210" s="28"/>
      <c r="AY210" s="28"/>
      <c r="AZ210" s="28"/>
      <c r="BA210" s="28"/>
      <c r="BB210" s="28"/>
      <c r="BC210" s="24"/>
      <c r="BD210" s="28"/>
      <c r="BE210" s="28"/>
      <c r="BF210" s="28"/>
      <c r="BG210" s="24"/>
      <c r="BH210" s="28"/>
      <c r="BI210" s="28"/>
      <c r="BJ210" s="28"/>
    </row>
    <row r="211" spans="1:62">
      <c r="A211" s="24"/>
      <c r="B211" s="28"/>
      <c r="C211" s="25"/>
      <c r="D211" s="26"/>
      <c r="E211" s="24"/>
      <c r="F211" s="24"/>
      <c r="G211" s="26"/>
      <c r="H211" s="26"/>
      <c r="I211" s="26"/>
      <c r="J211" s="26"/>
      <c r="K211" s="26"/>
      <c r="L211" s="26"/>
      <c r="M211" s="26"/>
      <c r="N211" s="26"/>
      <c r="P211" s="26"/>
      <c r="Q211" s="26"/>
      <c r="R211" s="25"/>
      <c r="S211" s="25"/>
      <c r="T211" s="25"/>
      <c r="U211" s="25"/>
      <c r="V211" s="24"/>
      <c r="W211" s="24"/>
      <c r="X211" s="24"/>
      <c r="Y211" s="26"/>
      <c r="Z211" s="26"/>
      <c r="AA211" s="24"/>
      <c r="AB211" s="24"/>
      <c r="AC211" s="24"/>
      <c r="AD211" s="24"/>
      <c r="AE211" s="26"/>
      <c r="AF211" s="26"/>
      <c r="AG211" s="24"/>
      <c r="AH211" s="24"/>
      <c r="AI211" s="28"/>
      <c r="AJ211" s="28"/>
      <c r="AK211" s="28"/>
      <c r="AL211" s="28"/>
      <c r="AM211" s="28"/>
      <c r="AN211" s="28"/>
      <c r="AO211" s="28"/>
      <c r="AP211" s="28"/>
      <c r="AQ211" s="28"/>
      <c r="AR211" s="28"/>
      <c r="AS211" s="28"/>
      <c r="AT211" s="28"/>
      <c r="AU211" s="28"/>
      <c r="AV211" s="24"/>
      <c r="AW211" s="28"/>
      <c r="AX211" s="28"/>
      <c r="AY211" s="28"/>
      <c r="AZ211" s="28"/>
      <c r="BA211" s="28"/>
      <c r="BB211" s="28"/>
      <c r="BC211" s="24"/>
      <c r="BD211" s="28"/>
      <c r="BE211" s="28"/>
      <c r="BF211" s="28"/>
      <c r="BG211" s="24"/>
      <c r="BH211" s="28"/>
      <c r="BI211" s="28"/>
      <c r="BJ211" s="28"/>
    </row>
    <row r="212" spans="1:62">
      <c r="A212" s="24"/>
      <c r="B212" s="28"/>
      <c r="C212" s="25"/>
      <c r="D212" s="26"/>
      <c r="E212" s="24"/>
      <c r="F212" s="24"/>
      <c r="G212" s="26"/>
      <c r="H212" s="26"/>
      <c r="I212" s="26"/>
      <c r="J212" s="26"/>
      <c r="K212" s="26"/>
      <c r="L212" s="26"/>
      <c r="M212" s="26"/>
      <c r="N212" s="26"/>
      <c r="P212" s="26"/>
      <c r="Q212" s="26"/>
      <c r="R212" s="25"/>
      <c r="S212" s="25"/>
      <c r="T212" s="25"/>
      <c r="U212" s="25"/>
      <c r="V212" s="24"/>
      <c r="W212" s="24"/>
      <c r="X212" s="24"/>
      <c r="Y212" s="26"/>
      <c r="Z212" s="26"/>
      <c r="AA212" s="24"/>
      <c r="AB212" s="24"/>
      <c r="AC212" s="24"/>
      <c r="AD212" s="24"/>
      <c r="AE212" s="26"/>
      <c r="AF212" s="26"/>
      <c r="AG212" s="24"/>
      <c r="AH212" s="24"/>
      <c r="AI212" s="28"/>
      <c r="AJ212" s="28"/>
      <c r="AK212" s="28"/>
      <c r="AL212" s="28"/>
      <c r="AM212" s="28"/>
      <c r="AN212" s="28"/>
      <c r="AO212" s="28"/>
      <c r="AP212" s="28"/>
      <c r="AQ212" s="28"/>
      <c r="AR212" s="28"/>
      <c r="AS212" s="28"/>
      <c r="AT212" s="28"/>
      <c r="AU212" s="28"/>
      <c r="AV212" s="24"/>
      <c r="AW212" s="28"/>
      <c r="AX212" s="28"/>
      <c r="AY212" s="28"/>
      <c r="AZ212" s="28"/>
      <c r="BA212" s="28"/>
      <c r="BB212" s="28"/>
      <c r="BC212" s="24"/>
      <c r="BD212" s="28"/>
      <c r="BE212" s="28"/>
      <c r="BF212" s="28"/>
      <c r="BG212" s="24"/>
      <c r="BH212" s="28"/>
      <c r="BI212" s="28"/>
      <c r="BJ212" s="28"/>
    </row>
    <row r="213" spans="1:62">
      <c r="A213" s="24"/>
      <c r="B213" s="28"/>
      <c r="C213" s="25"/>
      <c r="D213" s="26"/>
      <c r="E213" s="24"/>
      <c r="F213" s="24"/>
      <c r="G213" s="26"/>
      <c r="H213" s="26"/>
      <c r="I213" s="26"/>
      <c r="J213" s="26"/>
      <c r="K213" s="26"/>
      <c r="L213" s="26"/>
      <c r="M213" s="26"/>
      <c r="N213" s="26"/>
      <c r="P213" s="26"/>
      <c r="Q213" s="26"/>
      <c r="R213" s="25"/>
      <c r="S213" s="25"/>
      <c r="T213" s="25"/>
      <c r="U213" s="25"/>
      <c r="V213" s="24"/>
      <c r="W213" s="24"/>
      <c r="X213" s="24"/>
      <c r="Y213" s="26"/>
      <c r="Z213" s="26"/>
      <c r="AA213" s="24"/>
      <c r="AB213" s="24"/>
      <c r="AC213" s="24"/>
      <c r="AD213" s="24"/>
      <c r="AE213" s="26"/>
      <c r="AF213" s="26"/>
      <c r="AG213" s="24"/>
      <c r="AH213" s="24"/>
      <c r="AI213" s="28"/>
      <c r="AJ213" s="28"/>
      <c r="AK213" s="28"/>
      <c r="AL213" s="28"/>
      <c r="AM213" s="28"/>
      <c r="AN213" s="28"/>
      <c r="AO213" s="28"/>
      <c r="AP213" s="28"/>
      <c r="AQ213" s="28"/>
      <c r="AR213" s="28"/>
      <c r="AS213" s="28"/>
      <c r="AT213" s="28"/>
      <c r="AU213" s="28"/>
      <c r="AV213" s="24"/>
      <c r="AW213" s="28"/>
      <c r="AX213" s="28"/>
      <c r="AY213" s="28"/>
      <c r="AZ213" s="28"/>
      <c r="BA213" s="28"/>
      <c r="BB213" s="28"/>
      <c r="BC213" s="24"/>
      <c r="BD213" s="28"/>
      <c r="BE213" s="28"/>
      <c r="BF213" s="28"/>
      <c r="BG213" s="24"/>
      <c r="BH213" s="28"/>
      <c r="BI213" s="28"/>
      <c r="BJ213" s="28"/>
    </row>
    <row r="214" spans="1:62">
      <c r="A214" s="24"/>
      <c r="B214" s="28"/>
      <c r="C214" s="25"/>
      <c r="D214" s="26"/>
      <c r="E214" s="24"/>
      <c r="F214" s="24"/>
      <c r="G214" s="26"/>
      <c r="H214" s="26"/>
      <c r="I214" s="26"/>
      <c r="J214" s="26"/>
      <c r="K214" s="26"/>
      <c r="L214" s="26"/>
      <c r="M214" s="26"/>
      <c r="N214" s="26"/>
      <c r="P214" s="26"/>
      <c r="Q214" s="26"/>
      <c r="R214" s="25"/>
      <c r="S214" s="25"/>
      <c r="T214" s="25"/>
      <c r="U214" s="25"/>
      <c r="V214" s="24"/>
      <c r="W214" s="24"/>
      <c r="X214" s="24"/>
      <c r="Y214" s="26"/>
      <c r="Z214" s="26"/>
      <c r="AA214" s="24"/>
      <c r="AB214" s="24"/>
      <c r="AC214" s="24"/>
      <c r="AD214" s="24"/>
      <c r="AE214" s="26"/>
      <c r="AF214" s="26"/>
      <c r="AG214" s="24"/>
      <c r="AH214" s="24"/>
      <c r="AI214" s="28"/>
      <c r="AJ214" s="28"/>
      <c r="AK214" s="28"/>
      <c r="AL214" s="28"/>
      <c r="AM214" s="28"/>
      <c r="AN214" s="28"/>
      <c r="AO214" s="28"/>
      <c r="AP214" s="28"/>
      <c r="AQ214" s="28"/>
      <c r="AR214" s="28"/>
      <c r="AS214" s="28"/>
      <c r="AT214" s="28"/>
      <c r="AU214" s="28"/>
      <c r="AV214" s="24"/>
      <c r="AW214" s="28"/>
      <c r="AX214" s="28"/>
      <c r="AY214" s="28"/>
      <c r="AZ214" s="28"/>
      <c r="BA214" s="28"/>
      <c r="BB214" s="28"/>
      <c r="BC214" s="24"/>
      <c r="BD214" s="28"/>
      <c r="BE214" s="28"/>
      <c r="BF214" s="28"/>
      <c r="BG214" s="24"/>
      <c r="BH214" s="28"/>
      <c r="BI214" s="28"/>
      <c r="BJ214" s="28"/>
    </row>
    <row r="215" spans="1:62">
      <c r="A215" s="24"/>
      <c r="B215" s="28"/>
      <c r="C215" s="25"/>
      <c r="D215" s="26"/>
      <c r="E215" s="24"/>
      <c r="F215" s="24"/>
      <c r="G215" s="26"/>
      <c r="H215" s="26"/>
      <c r="I215" s="26"/>
      <c r="J215" s="26"/>
      <c r="K215" s="26"/>
      <c r="L215" s="26"/>
      <c r="M215" s="26"/>
      <c r="N215" s="26"/>
      <c r="P215" s="26"/>
      <c r="Q215" s="26"/>
      <c r="R215" s="25"/>
      <c r="S215" s="25"/>
      <c r="T215" s="25"/>
      <c r="U215" s="25"/>
      <c r="V215" s="24"/>
      <c r="W215" s="24"/>
      <c r="X215" s="24"/>
      <c r="Y215" s="26"/>
      <c r="Z215" s="26"/>
      <c r="AA215" s="24"/>
      <c r="AB215" s="24"/>
      <c r="AC215" s="24"/>
      <c r="AD215" s="24"/>
      <c r="AE215" s="26"/>
      <c r="AF215" s="26"/>
      <c r="AG215" s="24"/>
      <c r="AH215" s="24"/>
      <c r="AI215" s="28"/>
      <c r="AJ215" s="28"/>
      <c r="AK215" s="28"/>
      <c r="AL215" s="28"/>
      <c r="AM215" s="28"/>
      <c r="AN215" s="28"/>
      <c r="AO215" s="28"/>
      <c r="AP215" s="28"/>
      <c r="AQ215" s="28"/>
      <c r="AR215" s="28"/>
      <c r="AS215" s="28"/>
      <c r="AT215" s="28"/>
      <c r="AU215" s="28"/>
      <c r="AV215" s="24"/>
      <c r="AW215" s="28"/>
      <c r="AX215" s="28"/>
      <c r="AY215" s="28"/>
      <c r="AZ215" s="28"/>
      <c r="BA215" s="28"/>
      <c r="BB215" s="28"/>
      <c r="BC215" s="24"/>
      <c r="BD215" s="28"/>
      <c r="BE215" s="28"/>
      <c r="BF215" s="28"/>
      <c r="BG215" s="24"/>
      <c r="BH215" s="28"/>
      <c r="BI215" s="28"/>
      <c r="BJ215" s="28"/>
    </row>
    <row r="216" spans="1:62">
      <c r="A216" s="24"/>
      <c r="B216" s="28"/>
      <c r="C216" s="25"/>
      <c r="D216" s="26"/>
      <c r="E216" s="24"/>
      <c r="F216" s="24"/>
      <c r="G216" s="26"/>
      <c r="H216" s="26"/>
      <c r="I216" s="26"/>
      <c r="J216" s="26"/>
      <c r="K216" s="26"/>
      <c r="L216" s="26"/>
      <c r="M216" s="26"/>
      <c r="N216" s="26"/>
      <c r="P216" s="26"/>
      <c r="Q216" s="26"/>
      <c r="R216" s="25"/>
      <c r="S216" s="25"/>
      <c r="T216" s="25"/>
      <c r="U216" s="25"/>
      <c r="V216" s="24"/>
      <c r="W216" s="24"/>
      <c r="X216" s="24"/>
      <c r="Y216" s="26"/>
      <c r="Z216" s="26"/>
      <c r="AA216" s="24"/>
      <c r="AB216" s="24"/>
      <c r="AC216" s="24"/>
      <c r="AD216" s="24"/>
      <c r="AE216" s="26"/>
      <c r="AF216" s="26"/>
      <c r="AG216" s="24"/>
      <c r="AH216" s="24"/>
      <c r="AI216" s="28"/>
      <c r="AJ216" s="28"/>
      <c r="AK216" s="28"/>
      <c r="AL216" s="28"/>
      <c r="AM216" s="28"/>
      <c r="AN216" s="28"/>
      <c r="AO216" s="28"/>
      <c r="AP216" s="28"/>
      <c r="AQ216" s="28"/>
      <c r="AR216" s="28"/>
      <c r="AS216" s="28"/>
      <c r="AT216" s="28"/>
      <c r="AU216" s="28"/>
      <c r="AV216" s="24"/>
      <c r="AW216" s="28"/>
      <c r="AX216" s="28"/>
      <c r="AY216" s="28"/>
      <c r="AZ216" s="28"/>
      <c r="BA216" s="28"/>
      <c r="BB216" s="28"/>
      <c r="BC216" s="24"/>
      <c r="BD216" s="28"/>
      <c r="BE216" s="28"/>
      <c r="BF216" s="28"/>
      <c r="BG216" s="24"/>
      <c r="BH216" s="28"/>
      <c r="BI216" s="28"/>
      <c r="BJ216" s="28"/>
    </row>
    <row r="217" spans="1:62">
      <c r="A217" s="24"/>
      <c r="B217" s="28"/>
      <c r="C217" s="25"/>
      <c r="D217" s="26"/>
      <c r="E217" s="24"/>
      <c r="F217" s="24"/>
      <c r="G217" s="26"/>
      <c r="H217" s="26"/>
      <c r="I217" s="26"/>
      <c r="J217" s="26"/>
      <c r="K217" s="26"/>
      <c r="L217" s="26"/>
      <c r="M217" s="26"/>
      <c r="N217" s="26"/>
      <c r="P217" s="26"/>
      <c r="Q217" s="26"/>
      <c r="R217" s="25"/>
      <c r="S217" s="25"/>
      <c r="T217" s="25"/>
      <c r="U217" s="25"/>
      <c r="V217" s="24"/>
      <c r="W217" s="24"/>
      <c r="X217" s="24"/>
      <c r="Y217" s="26"/>
      <c r="Z217" s="26"/>
      <c r="AA217" s="24"/>
      <c r="AB217" s="24"/>
      <c r="AC217" s="24"/>
      <c r="AD217" s="24"/>
      <c r="AE217" s="26"/>
      <c r="AF217" s="26"/>
      <c r="AG217" s="24"/>
      <c r="AH217" s="24"/>
      <c r="AI217" s="28"/>
      <c r="AJ217" s="28"/>
      <c r="AK217" s="28"/>
      <c r="AL217" s="28"/>
      <c r="AM217" s="28"/>
      <c r="AN217" s="28"/>
      <c r="AO217" s="28"/>
      <c r="AP217" s="28"/>
      <c r="AQ217" s="28"/>
      <c r="AR217" s="28"/>
      <c r="AS217" s="28"/>
      <c r="AT217" s="28"/>
      <c r="AU217" s="28"/>
      <c r="AV217" s="24"/>
      <c r="AW217" s="28"/>
      <c r="AX217" s="28"/>
      <c r="AY217" s="28"/>
      <c r="AZ217" s="28"/>
      <c r="BA217" s="28"/>
      <c r="BB217" s="28"/>
      <c r="BC217" s="24"/>
      <c r="BD217" s="28"/>
      <c r="BE217" s="28"/>
      <c r="BF217" s="28"/>
      <c r="BG217" s="24"/>
      <c r="BH217" s="28"/>
      <c r="BI217" s="28"/>
      <c r="BJ217" s="28"/>
    </row>
    <row r="218" spans="1:62">
      <c r="A218" s="24"/>
      <c r="B218" s="28"/>
      <c r="C218" s="25"/>
      <c r="D218" s="26"/>
      <c r="E218" s="24"/>
      <c r="F218" s="24"/>
      <c r="G218" s="26"/>
      <c r="H218" s="26"/>
      <c r="I218" s="26"/>
      <c r="J218" s="26"/>
      <c r="K218" s="26"/>
      <c r="L218" s="26"/>
      <c r="M218" s="26"/>
      <c r="N218" s="26"/>
      <c r="P218" s="26"/>
      <c r="Q218" s="26"/>
      <c r="R218" s="25"/>
      <c r="S218" s="25"/>
      <c r="T218" s="25"/>
      <c r="U218" s="25"/>
      <c r="V218" s="24"/>
      <c r="W218" s="24"/>
      <c r="X218" s="24"/>
      <c r="Y218" s="26"/>
      <c r="Z218" s="26"/>
      <c r="AA218" s="24"/>
      <c r="AB218" s="24"/>
      <c r="AC218" s="24"/>
      <c r="AD218" s="24"/>
      <c r="AE218" s="26"/>
      <c r="AF218" s="26"/>
      <c r="AG218" s="24"/>
      <c r="AH218" s="24"/>
      <c r="AI218" s="28"/>
      <c r="AJ218" s="28"/>
      <c r="AK218" s="28"/>
      <c r="AL218" s="28"/>
      <c r="AM218" s="28"/>
      <c r="AN218" s="28"/>
      <c r="AO218" s="28"/>
      <c r="AP218" s="28"/>
      <c r="AQ218" s="28"/>
      <c r="AR218" s="28"/>
      <c r="AS218" s="28"/>
      <c r="AT218" s="28"/>
      <c r="AU218" s="28"/>
      <c r="AV218" s="24"/>
      <c r="AW218" s="28"/>
      <c r="AX218" s="28"/>
      <c r="AY218" s="28"/>
      <c r="AZ218" s="28"/>
      <c r="BA218" s="28"/>
      <c r="BB218" s="28"/>
      <c r="BC218" s="24"/>
      <c r="BD218" s="28"/>
      <c r="BE218" s="28"/>
      <c r="BF218" s="28"/>
      <c r="BG218" s="24"/>
      <c r="BH218" s="28"/>
      <c r="BI218" s="28"/>
      <c r="BJ218" s="28"/>
    </row>
    <row r="219" spans="1:62">
      <c r="A219" s="24"/>
      <c r="B219" s="28"/>
      <c r="C219" s="25"/>
      <c r="D219" s="26"/>
      <c r="E219" s="24"/>
      <c r="F219" s="24"/>
      <c r="G219" s="26"/>
      <c r="H219" s="26"/>
      <c r="I219" s="26"/>
      <c r="J219" s="26"/>
      <c r="K219" s="26"/>
      <c r="L219" s="26"/>
      <c r="M219" s="26"/>
      <c r="N219" s="26"/>
      <c r="P219" s="26"/>
      <c r="Q219" s="26"/>
      <c r="R219" s="25"/>
      <c r="S219" s="25"/>
      <c r="T219" s="25"/>
      <c r="U219" s="25"/>
      <c r="V219" s="24"/>
      <c r="W219" s="24"/>
      <c r="X219" s="24"/>
      <c r="Y219" s="26"/>
      <c r="Z219" s="26"/>
      <c r="AA219" s="24"/>
      <c r="AB219" s="24"/>
      <c r="AC219" s="24"/>
      <c r="AD219" s="24"/>
      <c r="AE219" s="26"/>
      <c r="AF219" s="26"/>
      <c r="AG219" s="24"/>
      <c r="AH219" s="24"/>
      <c r="AI219" s="28"/>
      <c r="AJ219" s="28"/>
      <c r="AK219" s="28"/>
      <c r="AL219" s="28"/>
      <c r="AM219" s="28"/>
      <c r="AN219" s="28"/>
      <c r="AO219" s="28"/>
      <c r="AP219" s="28"/>
      <c r="AQ219" s="28"/>
      <c r="AR219" s="28"/>
      <c r="AS219" s="28"/>
      <c r="AT219" s="28"/>
      <c r="AU219" s="28"/>
      <c r="AV219" s="24"/>
      <c r="AW219" s="28"/>
      <c r="AX219" s="28"/>
      <c r="AY219" s="28"/>
      <c r="AZ219" s="28"/>
      <c r="BA219" s="28"/>
      <c r="BB219" s="28"/>
      <c r="BC219" s="24"/>
      <c r="BD219" s="28"/>
      <c r="BE219" s="28"/>
      <c r="BF219" s="28"/>
      <c r="BG219" s="24"/>
      <c r="BH219" s="28"/>
      <c r="BI219" s="28"/>
      <c r="BJ219" s="28"/>
    </row>
    <row r="220" spans="1:62">
      <c r="A220" s="24"/>
      <c r="B220" s="28"/>
      <c r="C220" s="25"/>
      <c r="D220" s="26"/>
      <c r="E220" s="24"/>
      <c r="F220" s="24"/>
      <c r="G220" s="26"/>
      <c r="H220" s="26"/>
      <c r="I220" s="26"/>
      <c r="J220" s="26"/>
      <c r="K220" s="26"/>
      <c r="L220" s="26"/>
      <c r="M220" s="26"/>
      <c r="N220" s="26"/>
      <c r="P220" s="26"/>
      <c r="Q220" s="26"/>
      <c r="R220" s="25"/>
      <c r="S220" s="25"/>
      <c r="T220" s="25"/>
      <c r="U220" s="25"/>
      <c r="V220" s="24"/>
      <c r="W220" s="24"/>
      <c r="X220" s="24"/>
      <c r="Y220" s="26"/>
      <c r="Z220" s="26"/>
      <c r="AA220" s="24"/>
      <c r="AB220" s="24"/>
      <c r="AC220" s="24"/>
      <c r="AD220" s="24"/>
      <c r="AE220" s="26"/>
      <c r="AF220" s="26"/>
      <c r="AG220" s="24"/>
      <c r="AH220" s="24"/>
      <c r="AI220" s="28"/>
      <c r="AJ220" s="28"/>
      <c r="AK220" s="28"/>
      <c r="AL220" s="28"/>
      <c r="AM220" s="28"/>
      <c r="AN220" s="28"/>
      <c r="AO220" s="28"/>
      <c r="AP220" s="28"/>
      <c r="AQ220" s="28"/>
      <c r="AR220" s="28"/>
      <c r="AS220" s="28"/>
      <c r="AT220" s="28"/>
      <c r="AU220" s="28"/>
      <c r="AV220" s="24"/>
      <c r="AW220" s="28"/>
      <c r="AX220" s="28"/>
      <c r="AY220" s="28"/>
      <c r="AZ220" s="28"/>
      <c r="BA220" s="28"/>
      <c r="BB220" s="28"/>
      <c r="BC220" s="24"/>
      <c r="BD220" s="28"/>
      <c r="BE220" s="28"/>
      <c r="BF220" s="28"/>
      <c r="BG220" s="24"/>
      <c r="BH220" s="28"/>
      <c r="BI220" s="28"/>
      <c r="BJ220" s="28"/>
    </row>
    <row r="221" spans="1:62">
      <c r="A221" s="24"/>
      <c r="B221" s="28"/>
      <c r="C221" s="25"/>
      <c r="D221" s="26"/>
      <c r="E221" s="24"/>
      <c r="F221" s="24"/>
      <c r="G221" s="26"/>
      <c r="H221" s="26"/>
      <c r="I221" s="26"/>
      <c r="J221" s="26"/>
      <c r="K221" s="26"/>
      <c r="L221" s="26"/>
      <c r="M221" s="26"/>
      <c r="N221" s="26"/>
      <c r="P221" s="26"/>
      <c r="Q221" s="26"/>
      <c r="R221" s="25"/>
      <c r="S221" s="25"/>
      <c r="T221" s="25"/>
      <c r="U221" s="25"/>
      <c r="V221" s="24"/>
      <c r="W221" s="24"/>
      <c r="X221" s="24"/>
      <c r="Y221" s="26"/>
      <c r="Z221" s="26"/>
      <c r="AA221" s="24"/>
      <c r="AB221" s="24"/>
      <c r="AC221" s="24"/>
      <c r="AD221" s="24"/>
      <c r="AE221" s="26"/>
      <c r="AF221" s="26"/>
      <c r="AG221" s="24"/>
      <c r="AH221" s="24"/>
      <c r="AI221" s="28"/>
      <c r="AJ221" s="28"/>
      <c r="AK221" s="28"/>
      <c r="AL221" s="28"/>
      <c r="AM221" s="28"/>
      <c r="AN221" s="28"/>
      <c r="AO221" s="28"/>
      <c r="AP221" s="28"/>
      <c r="AQ221" s="28"/>
      <c r="AR221" s="28"/>
      <c r="AS221" s="28"/>
      <c r="AT221" s="28"/>
      <c r="AU221" s="28"/>
      <c r="AV221" s="24"/>
      <c r="AW221" s="28"/>
      <c r="AX221" s="28"/>
      <c r="AY221" s="28"/>
      <c r="AZ221" s="28"/>
      <c r="BA221" s="28"/>
      <c r="BB221" s="28"/>
      <c r="BC221" s="24"/>
      <c r="BD221" s="28"/>
      <c r="BE221" s="28"/>
      <c r="BF221" s="28"/>
      <c r="BG221" s="24"/>
      <c r="BH221" s="28"/>
      <c r="BI221" s="28"/>
      <c r="BJ221" s="28"/>
    </row>
    <row r="222" spans="1:62">
      <c r="A222" s="24"/>
      <c r="B222" s="28"/>
      <c r="C222" s="25"/>
      <c r="D222" s="26"/>
      <c r="E222" s="24"/>
      <c r="F222" s="24"/>
      <c r="G222" s="26"/>
      <c r="H222" s="26"/>
      <c r="I222" s="26"/>
      <c r="J222" s="26"/>
      <c r="K222" s="26"/>
      <c r="L222" s="26"/>
      <c r="M222" s="26"/>
      <c r="N222" s="26"/>
      <c r="P222" s="26"/>
      <c r="Q222" s="26"/>
      <c r="R222" s="25"/>
      <c r="S222" s="25"/>
      <c r="T222" s="25"/>
      <c r="U222" s="25"/>
      <c r="V222" s="24"/>
      <c r="W222" s="24"/>
      <c r="X222" s="24"/>
      <c r="Y222" s="26"/>
      <c r="Z222" s="26"/>
      <c r="AA222" s="24"/>
      <c r="AB222" s="24"/>
      <c r="AC222" s="24"/>
      <c r="AD222" s="24"/>
      <c r="AE222" s="26"/>
      <c r="AF222" s="26"/>
      <c r="AG222" s="24"/>
      <c r="AH222" s="24"/>
      <c r="AI222" s="28"/>
      <c r="AJ222" s="28"/>
      <c r="AK222" s="28"/>
      <c r="AL222" s="28"/>
      <c r="AM222" s="28"/>
      <c r="AN222" s="28"/>
      <c r="AO222" s="28"/>
      <c r="AP222" s="28"/>
      <c r="AQ222" s="28"/>
      <c r="AR222" s="28"/>
      <c r="AS222" s="28"/>
      <c r="AT222" s="28"/>
      <c r="AU222" s="28"/>
      <c r="AV222" s="24"/>
      <c r="AW222" s="28"/>
      <c r="AX222" s="28"/>
      <c r="AY222" s="28"/>
      <c r="AZ222" s="28"/>
      <c r="BA222" s="28"/>
      <c r="BB222" s="28"/>
      <c r="BC222" s="24"/>
      <c r="BD222" s="28"/>
      <c r="BE222" s="28"/>
      <c r="BF222" s="28"/>
      <c r="BG222" s="24"/>
      <c r="BH222" s="28"/>
      <c r="BI222" s="28"/>
      <c r="BJ222" s="28"/>
    </row>
    <row r="223" spans="1:62">
      <c r="A223" s="24"/>
      <c r="B223" s="28"/>
      <c r="C223" s="25"/>
      <c r="D223" s="26"/>
      <c r="E223" s="24"/>
      <c r="F223" s="24"/>
      <c r="G223" s="26"/>
      <c r="H223" s="26"/>
      <c r="I223" s="26"/>
      <c r="J223" s="26"/>
      <c r="K223" s="26"/>
      <c r="L223" s="26"/>
      <c r="M223" s="26"/>
      <c r="N223" s="26"/>
      <c r="P223" s="26"/>
      <c r="Q223" s="26"/>
      <c r="R223" s="25"/>
      <c r="S223" s="25"/>
      <c r="T223" s="25"/>
      <c r="U223" s="25"/>
      <c r="V223" s="24"/>
      <c r="W223" s="24"/>
      <c r="X223" s="24"/>
      <c r="Y223" s="26"/>
      <c r="Z223" s="26"/>
      <c r="AA223" s="24"/>
      <c r="AB223" s="24"/>
      <c r="AC223" s="24"/>
      <c r="AD223" s="24"/>
      <c r="AE223" s="26"/>
      <c r="AF223" s="26"/>
      <c r="AG223" s="24"/>
      <c r="AH223" s="24"/>
      <c r="AI223" s="28"/>
      <c r="AJ223" s="28"/>
      <c r="AK223" s="28"/>
      <c r="AL223" s="28"/>
      <c r="AM223" s="28"/>
      <c r="AN223" s="28"/>
      <c r="AO223" s="28"/>
      <c r="AP223" s="28"/>
      <c r="AQ223" s="28"/>
      <c r="AR223" s="28"/>
      <c r="AS223" s="28"/>
      <c r="AT223" s="28"/>
      <c r="AU223" s="28"/>
      <c r="AV223" s="24"/>
      <c r="AW223" s="28"/>
      <c r="AX223" s="28"/>
      <c r="AY223" s="28"/>
      <c r="AZ223" s="28"/>
      <c r="BA223" s="28"/>
      <c r="BB223" s="28"/>
      <c r="BC223" s="24"/>
      <c r="BD223" s="28"/>
      <c r="BE223" s="28"/>
      <c r="BF223" s="28"/>
      <c r="BG223" s="24"/>
      <c r="BH223" s="28"/>
      <c r="BI223" s="28"/>
      <c r="BJ223" s="28"/>
    </row>
    <row r="224" spans="1:62">
      <c r="A224" s="24"/>
      <c r="B224" s="28"/>
      <c r="C224" s="25"/>
      <c r="D224" s="26"/>
      <c r="E224" s="24"/>
      <c r="F224" s="24"/>
      <c r="G224" s="26"/>
      <c r="H224" s="26"/>
      <c r="I224" s="26"/>
      <c r="J224" s="26"/>
      <c r="K224" s="26"/>
      <c r="L224" s="26"/>
      <c r="M224" s="26"/>
      <c r="N224" s="26"/>
      <c r="P224" s="26"/>
      <c r="Q224" s="26"/>
      <c r="R224" s="25"/>
      <c r="S224" s="25"/>
      <c r="T224" s="25"/>
      <c r="U224" s="25"/>
      <c r="V224" s="24"/>
      <c r="W224" s="24"/>
      <c r="X224" s="24"/>
      <c r="Y224" s="26"/>
      <c r="Z224" s="26"/>
      <c r="AA224" s="24"/>
      <c r="AB224" s="24"/>
      <c r="AC224" s="24"/>
      <c r="AD224" s="24"/>
      <c r="AE224" s="26"/>
      <c r="AF224" s="26"/>
      <c r="AG224" s="24"/>
      <c r="AH224" s="24"/>
      <c r="AI224" s="28"/>
      <c r="AJ224" s="28"/>
      <c r="AK224" s="28"/>
      <c r="AL224" s="28"/>
      <c r="AM224" s="28"/>
      <c r="AN224" s="28"/>
      <c r="AO224" s="28"/>
      <c r="AP224" s="28"/>
      <c r="AQ224" s="28"/>
      <c r="AR224" s="28"/>
      <c r="AS224" s="28"/>
      <c r="AT224" s="28"/>
      <c r="AU224" s="28"/>
      <c r="AV224" s="24"/>
      <c r="AW224" s="28"/>
      <c r="AX224" s="28"/>
      <c r="AY224" s="28"/>
      <c r="AZ224" s="28"/>
      <c r="BA224" s="28"/>
      <c r="BB224" s="28"/>
      <c r="BC224" s="24"/>
      <c r="BD224" s="28"/>
      <c r="BE224" s="28"/>
      <c r="BF224" s="28"/>
      <c r="BG224" s="24"/>
      <c r="BH224" s="28"/>
      <c r="BI224" s="28"/>
      <c r="BJ224" s="28"/>
    </row>
    <row r="225" spans="1:62">
      <c r="A225" s="24"/>
      <c r="B225" s="28"/>
      <c r="C225" s="25"/>
      <c r="D225" s="26"/>
      <c r="E225" s="24"/>
      <c r="F225" s="24"/>
      <c r="G225" s="26"/>
      <c r="H225" s="26"/>
      <c r="I225" s="26"/>
      <c r="J225" s="26"/>
      <c r="K225" s="26"/>
      <c r="L225" s="26"/>
      <c r="M225" s="26"/>
      <c r="N225" s="26"/>
      <c r="P225" s="26"/>
      <c r="Q225" s="26"/>
      <c r="R225" s="25"/>
      <c r="S225" s="25"/>
      <c r="T225" s="25"/>
      <c r="U225" s="25"/>
      <c r="V225" s="24"/>
      <c r="W225" s="24"/>
      <c r="X225" s="24"/>
      <c r="Y225" s="26"/>
      <c r="Z225" s="26"/>
      <c r="AA225" s="24"/>
      <c r="AB225" s="24"/>
      <c r="AC225" s="24"/>
      <c r="AD225" s="24"/>
      <c r="AE225" s="26"/>
      <c r="AF225" s="26"/>
      <c r="AG225" s="24"/>
      <c r="AH225" s="24"/>
      <c r="AI225" s="28"/>
      <c r="AJ225" s="28"/>
      <c r="AK225" s="28"/>
      <c r="AL225" s="28"/>
      <c r="AM225" s="28"/>
      <c r="AN225" s="28"/>
      <c r="AO225" s="28"/>
      <c r="AP225" s="28"/>
      <c r="AQ225" s="28"/>
      <c r="AR225" s="28"/>
      <c r="AS225" s="28"/>
      <c r="AT225" s="28"/>
      <c r="AU225" s="28"/>
      <c r="AV225" s="24"/>
      <c r="AW225" s="28"/>
      <c r="AX225" s="28"/>
      <c r="AY225" s="28"/>
      <c r="AZ225" s="28"/>
      <c r="BA225" s="28"/>
      <c r="BB225" s="28"/>
      <c r="BC225" s="24"/>
      <c r="BD225" s="28"/>
      <c r="BE225" s="28"/>
      <c r="BF225" s="28"/>
      <c r="BG225" s="24"/>
      <c r="BH225" s="28"/>
      <c r="BI225" s="28"/>
      <c r="BJ225" s="28"/>
    </row>
    <row r="226" spans="1:62">
      <c r="A226" s="24"/>
      <c r="B226" s="28"/>
      <c r="C226" s="25"/>
      <c r="D226" s="26"/>
      <c r="E226" s="24"/>
      <c r="F226" s="24"/>
      <c r="G226" s="26"/>
      <c r="H226" s="26"/>
      <c r="I226" s="26"/>
      <c r="J226" s="26"/>
      <c r="K226" s="26"/>
      <c r="L226" s="26"/>
      <c r="M226" s="26"/>
      <c r="N226" s="26"/>
      <c r="P226" s="26"/>
      <c r="Q226" s="26"/>
      <c r="R226" s="25"/>
      <c r="S226" s="25"/>
      <c r="T226" s="25"/>
      <c r="U226" s="25"/>
      <c r="V226" s="24"/>
      <c r="W226" s="24"/>
      <c r="X226" s="24"/>
      <c r="Y226" s="26"/>
      <c r="Z226" s="26"/>
      <c r="AA226" s="24"/>
      <c r="AB226" s="24"/>
      <c r="AC226" s="24"/>
      <c r="AD226" s="24"/>
      <c r="AE226" s="26"/>
      <c r="AF226" s="26"/>
      <c r="AG226" s="24"/>
      <c r="AH226" s="24"/>
      <c r="AI226" s="28"/>
      <c r="AJ226" s="28"/>
      <c r="AK226" s="28"/>
      <c r="AL226" s="28"/>
      <c r="AM226" s="28"/>
      <c r="AN226" s="28"/>
      <c r="AO226" s="28"/>
      <c r="AP226" s="28"/>
      <c r="AQ226" s="28"/>
      <c r="AR226" s="28"/>
      <c r="AS226" s="28"/>
      <c r="AT226" s="28"/>
      <c r="AU226" s="28"/>
      <c r="AV226" s="24"/>
      <c r="AW226" s="28"/>
      <c r="AX226" s="28"/>
      <c r="AY226" s="28"/>
      <c r="AZ226" s="28"/>
      <c r="BA226" s="28"/>
      <c r="BB226" s="28"/>
      <c r="BC226" s="24"/>
      <c r="BD226" s="28"/>
      <c r="BE226" s="28"/>
      <c r="BF226" s="28"/>
      <c r="BG226" s="24"/>
      <c r="BH226" s="28"/>
      <c r="BI226" s="28"/>
      <c r="BJ226" s="28"/>
    </row>
    <row r="227" spans="1:62">
      <c r="A227" s="24"/>
      <c r="B227" s="28"/>
      <c r="C227" s="25"/>
      <c r="D227" s="26"/>
      <c r="E227" s="24"/>
      <c r="F227" s="24"/>
      <c r="G227" s="26"/>
      <c r="H227" s="26"/>
      <c r="I227" s="26"/>
      <c r="J227" s="26"/>
      <c r="K227" s="26"/>
      <c r="L227" s="26"/>
      <c r="M227" s="26"/>
      <c r="N227" s="26"/>
      <c r="P227" s="26"/>
      <c r="Q227" s="26"/>
      <c r="R227" s="25"/>
      <c r="S227" s="25"/>
      <c r="T227" s="25"/>
      <c r="U227" s="25"/>
      <c r="V227" s="24"/>
      <c r="W227" s="24"/>
      <c r="X227" s="24"/>
      <c r="Y227" s="26"/>
      <c r="Z227" s="26"/>
      <c r="AA227" s="24"/>
      <c r="AB227" s="24"/>
      <c r="AC227" s="24"/>
      <c r="AD227" s="24"/>
      <c r="AE227" s="26"/>
      <c r="AF227" s="26"/>
      <c r="AG227" s="24"/>
      <c r="AH227" s="24"/>
      <c r="AI227" s="28"/>
      <c r="AJ227" s="28"/>
      <c r="AK227" s="28"/>
      <c r="AL227" s="28"/>
      <c r="AM227" s="28"/>
      <c r="AN227" s="28"/>
      <c r="AO227" s="28"/>
      <c r="AP227" s="28"/>
      <c r="AQ227" s="28"/>
      <c r="AR227" s="28"/>
      <c r="AS227" s="28"/>
      <c r="AT227" s="28"/>
      <c r="AU227" s="28"/>
      <c r="AV227" s="24"/>
      <c r="AW227" s="28"/>
      <c r="AX227" s="28"/>
      <c r="AY227" s="28"/>
      <c r="AZ227" s="28"/>
      <c r="BA227" s="28"/>
      <c r="BB227" s="28"/>
      <c r="BC227" s="24"/>
      <c r="BD227" s="28"/>
      <c r="BE227" s="28"/>
      <c r="BF227" s="28"/>
      <c r="BG227" s="24"/>
      <c r="BH227" s="28"/>
      <c r="BI227" s="28"/>
      <c r="BJ227" s="28"/>
    </row>
    <row r="228" spans="1:62">
      <c r="A228" s="24"/>
      <c r="B228" s="28"/>
      <c r="C228" s="25"/>
      <c r="D228" s="26"/>
      <c r="E228" s="24"/>
      <c r="F228" s="24"/>
      <c r="G228" s="26"/>
      <c r="H228" s="26"/>
      <c r="I228" s="26"/>
      <c r="J228" s="26"/>
      <c r="K228" s="26"/>
      <c r="L228" s="26"/>
      <c r="M228" s="26"/>
      <c r="N228" s="26"/>
      <c r="P228" s="26"/>
      <c r="Q228" s="26"/>
      <c r="R228" s="25"/>
      <c r="S228" s="25"/>
      <c r="T228" s="25"/>
      <c r="U228" s="25"/>
      <c r="V228" s="24"/>
      <c r="W228" s="24"/>
      <c r="X228" s="24"/>
      <c r="Y228" s="26"/>
      <c r="Z228" s="26"/>
      <c r="AA228" s="24"/>
      <c r="AB228" s="24"/>
      <c r="AC228" s="24"/>
      <c r="AD228" s="24"/>
      <c r="AE228" s="26"/>
      <c r="AF228" s="26"/>
      <c r="AG228" s="24"/>
      <c r="AH228" s="24"/>
      <c r="AI228" s="28"/>
      <c r="AJ228" s="28"/>
      <c r="AK228" s="28"/>
      <c r="AL228" s="28"/>
      <c r="AM228" s="28"/>
      <c r="AN228" s="28"/>
      <c r="AO228" s="28"/>
      <c r="AP228" s="28"/>
      <c r="AQ228" s="28"/>
      <c r="AR228" s="28"/>
      <c r="AS228" s="28"/>
      <c r="AT228" s="28"/>
      <c r="AU228" s="28"/>
      <c r="AV228" s="24"/>
      <c r="AW228" s="28"/>
      <c r="AX228" s="28"/>
      <c r="AY228" s="28"/>
      <c r="AZ228" s="28"/>
      <c r="BA228" s="28"/>
      <c r="BB228" s="28"/>
      <c r="BC228" s="24"/>
      <c r="BD228" s="28"/>
      <c r="BE228" s="28"/>
      <c r="BF228" s="28"/>
      <c r="BG228" s="24"/>
      <c r="BH228" s="28"/>
      <c r="BI228" s="28"/>
      <c r="BJ228" s="28"/>
    </row>
    <row r="229" spans="1:62">
      <c r="A229" s="24"/>
      <c r="B229" s="28"/>
      <c r="C229" s="25"/>
      <c r="D229" s="26"/>
      <c r="E229" s="24"/>
      <c r="F229" s="24"/>
      <c r="G229" s="26"/>
      <c r="H229" s="26"/>
      <c r="I229" s="26"/>
      <c r="J229" s="26"/>
      <c r="K229" s="26"/>
      <c r="L229" s="26"/>
      <c r="M229" s="26"/>
      <c r="N229" s="26"/>
      <c r="P229" s="26"/>
      <c r="Q229" s="26"/>
      <c r="R229" s="25"/>
      <c r="S229" s="25"/>
      <c r="T229" s="25"/>
      <c r="U229" s="25"/>
      <c r="V229" s="24"/>
      <c r="W229" s="24"/>
      <c r="X229" s="24"/>
      <c r="Y229" s="26"/>
      <c r="Z229" s="26"/>
      <c r="AA229" s="24"/>
      <c r="AB229" s="24"/>
      <c r="AC229" s="24"/>
      <c r="AD229" s="24"/>
      <c r="AE229" s="26"/>
      <c r="AF229" s="26"/>
      <c r="AG229" s="24"/>
      <c r="AH229" s="24"/>
      <c r="AI229" s="28"/>
      <c r="AJ229" s="28"/>
      <c r="AK229" s="28"/>
      <c r="AL229" s="28"/>
      <c r="AM229" s="28"/>
      <c r="AN229" s="28"/>
      <c r="AO229" s="28"/>
      <c r="AP229" s="28"/>
      <c r="AQ229" s="28"/>
      <c r="AR229" s="28"/>
      <c r="AS229" s="28"/>
      <c r="AT229" s="28"/>
      <c r="AU229" s="28"/>
      <c r="AV229" s="24"/>
      <c r="AW229" s="28"/>
      <c r="AX229" s="28"/>
      <c r="AY229" s="28"/>
      <c r="AZ229" s="28"/>
      <c r="BA229" s="28"/>
      <c r="BB229" s="28"/>
      <c r="BC229" s="24"/>
      <c r="BD229" s="28"/>
      <c r="BE229" s="28"/>
      <c r="BF229" s="28"/>
      <c r="BG229" s="24"/>
      <c r="BH229" s="28"/>
      <c r="BI229" s="28"/>
      <c r="BJ229" s="28"/>
    </row>
    <row r="230" spans="1:62">
      <c r="A230" s="24"/>
      <c r="B230" s="28"/>
      <c r="C230" s="25"/>
      <c r="D230" s="26"/>
      <c r="E230" s="24"/>
      <c r="F230" s="24"/>
      <c r="G230" s="26"/>
      <c r="H230" s="26"/>
      <c r="I230" s="26"/>
      <c r="J230" s="26"/>
      <c r="K230" s="26"/>
      <c r="L230" s="26"/>
      <c r="M230" s="26"/>
      <c r="N230" s="26"/>
      <c r="P230" s="26"/>
      <c r="Q230" s="26"/>
      <c r="R230" s="25"/>
      <c r="S230" s="25"/>
      <c r="T230" s="25"/>
      <c r="U230" s="25"/>
      <c r="V230" s="24"/>
      <c r="W230" s="24"/>
      <c r="X230" s="24"/>
      <c r="Y230" s="26"/>
      <c r="Z230" s="26"/>
      <c r="AA230" s="24"/>
      <c r="AB230" s="24"/>
      <c r="AC230" s="24"/>
      <c r="AD230" s="24"/>
      <c r="AE230" s="26"/>
      <c r="AF230" s="26"/>
      <c r="AG230" s="24"/>
      <c r="AH230" s="24"/>
      <c r="AI230" s="28"/>
      <c r="AJ230" s="28"/>
      <c r="AK230" s="28"/>
      <c r="AL230" s="28"/>
      <c r="AM230" s="28"/>
      <c r="AN230" s="28"/>
      <c r="AO230" s="28"/>
      <c r="AP230" s="28"/>
      <c r="AQ230" s="28"/>
      <c r="AR230" s="28"/>
      <c r="AS230" s="28"/>
      <c r="AT230" s="28"/>
      <c r="AU230" s="28"/>
      <c r="AV230" s="24"/>
      <c r="AW230" s="28"/>
      <c r="AX230" s="28"/>
      <c r="AY230" s="28"/>
      <c r="AZ230" s="28"/>
      <c r="BA230" s="28"/>
      <c r="BB230" s="28"/>
      <c r="BC230" s="24"/>
      <c r="BD230" s="28"/>
      <c r="BE230" s="28"/>
      <c r="BF230" s="28"/>
      <c r="BG230" s="24"/>
      <c r="BH230" s="28"/>
      <c r="BI230" s="28"/>
      <c r="BJ230" s="28"/>
    </row>
    <row r="231" spans="1:62">
      <c r="A231" s="24"/>
      <c r="B231" s="28"/>
      <c r="C231" s="25"/>
      <c r="D231" s="26"/>
      <c r="E231" s="24"/>
      <c r="F231" s="24"/>
      <c r="G231" s="26"/>
      <c r="H231" s="26"/>
      <c r="I231" s="26"/>
      <c r="J231" s="26"/>
      <c r="K231" s="26"/>
      <c r="L231" s="26"/>
      <c r="M231" s="26"/>
      <c r="N231" s="26"/>
      <c r="P231" s="26"/>
      <c r="Q231" s="26"/>
      <c r="R231" s="25"/>
      <c r="S231" s="25"/>
      <c r="T231" s="25"/>
      <c r="U231" s="25"/>
      <c r="V231" s="24"/>
      <c r="W231" s="24"/>
      <c r="X231" s="24"/>
      <c r="Y231" s="26"/>
      <c r="Z231" s="26"/>
      <c r="AA231" s="24"/>
      <c r="AB231" s="24"/>
      <c r="AC231" s="24"/>
      <c r="AD231" s="24"/>
      <c r="AE231" s="26"/>
      <c r="AF231" s="26"/>
      <c r="AG231" s="24"/>
      <c r="AH231" s="24"/>
      <c r="AI231" s="28"/>
      <c r="AJ231" s="28"/>
      <c r="AK231" s="28"/>
      <c r="AL231" s="28"/>
      <c r="AM231" s="28"/>
      <c r="AN231" s="28"/>
      <c r="AO231" s="28"/>
      <c r="AP231" s="28"/>
      <c r="AQ231" s="28"/>
      <c r="AR231" s="28"/>
      <c r="AS231" s="28"/>
      <c r="AT231" s="28"/>
      <c r="AU231" s="28"/>
      <c r="AV231" s="24"/>
      <c r="AW231" s="28"/>
      <c r="AX231" s="28"/>
      <c r="AY231" s="28"/>
      <c r="AZ231" s="28"/>
      <c r="BA231" s="28"/>
      <c r="BB231" s="28"/>
      <c r="BC231" s="24"/>
      <c r="BD231" s="28"/>
      <c r="BE231" s="28"/>
      <c r="BF231" s="28"/>
      <c r="BG231" s="24"/>
      <c r="BH231" s="28"/>
      <c r="BI231" s="28"/>
      <c r="BJ231" s="28"/>
    </row>
    <row r="232" spans="1:62">
      <c r="A232" s="24"/>
      <c r="B232" s="28"/>
      <c r="C232" s="25"/>
      <c r="D232" s="26"/>
      <c r="E232" s="24"/>
      <c r="F232" s="24"/>
      <c r="G232" s="26"/>
      <c r="H232" s="26"/>
      <c r="I232" s="26"/>
      <c r="J232" s="26"/>
      <c r="K232" s="26"/>
      <c r="L232" s="26"/>
      <c r="M232" s="26"/>
      <c r="N232" s="26"/>
      <c r="P232" s="26"/>
      <c r="Q232" s="26"/>
      <c r="R232" s="25"/>
      <c r="S232" s="25"/>
      <c r="T232" s="25"/>
      <c r="U232" s="25"/>
      <c r="V232" s="24"/>
      <c r="W232" s="24"/>
      <c r="X232" s="24"/>
      <c r="Y232" s="26"/>
      <c r="Z232" s="26"/>
      <c r="AA232" s="24"/>
      <c r="AB232" s="24"/>
      <c r="AC232" s="24"/>
      <c r="AD232" s="24"/>
      <c r="AE232" s="26"/>
      <c r="AF232" s="26"/>
      <c r="AG232" s="24"/>
      <c r="AH232" s="24"/>
      <c r="AI232" s="28"/>
      <c r="AJ232" s="28"/>
      <c r="AK232" s="28"/>
      <c r="AL232" s="28"/>
      <c r="AM232" s="28"/>
      <c r="AN232" s="28"/>
      <c r="AO232" s="28"/>
      <c r="AP232" s="28"/>
      <c r="AQ232" s="28"/>
      <c r="AR232" s="28"/>
      <c r="AS232" s="28"/>
      <c r="AT232" s="28"/>
      <c r="AU232" s="28"/>
      <c r="AV232" s="24"/>
      <c r="AW232" s="28"/>
      <c r="AX232" s="28"/>
      <c r="AY232" s="28"/>
      <c r="AZ232" s="28"/>
      <c r="BA232" s="28"/>
      <c r="BB232" s="28"/>
      <c r="BC232" s="24"/>
      <c r="BD232" s="28"/>
      <c r="BE232" s="28"/>
      <c r="BF232" s="28"/>
      <c r="BG232" s="24"/>
      <c r="BH232" s="28"/>
      <c r="BI232" s="28"/>
      <c r="BJ232" s="28"/>
    </row>
    <row r="233" spans="1:62">
      <c r="A233" s="24"/>
      <c r="B233" s="28"/>
      <c r="C233" s="25"/>
      <c r="D233" s="26"/>
      <c r="E233" s="24"/>
      <c r="F233" s="24"/>
      <c r="G233" s="26"/>
      <c r="H233" s="26"/>
      <c r="I233" s="26"/>
      <c r="J233" s="26"/>
      <c r="K233" s="26"/>
      <c r="L233" s="26"/>
      <c r="M233" s="26"/>
      <c r="N233" s="26"/>
      <c r="P233" s="26"/>
      <c r="Q233" s="26"/>
      <c r="R233" s="25"/>
      <c r="S233" s="25"/>
      <c r="T233" s="25"/>
      <c r="U233" s="25"/>
      <c r="V233" s="24"/>
      <c r="W233" s="24"/>
      <c r="X233" s="24"/>
      <c r="Y233" s="26"/>
      <c r="Z233" s="26"/>
      <c r="AA233" s="24"/>
      <c r="AB233" s="24"/>
      <c r="AC233" s="24"/>
      <c r="AD233" s="24"/>
      <c r="AE233" s="26"/>
      <c r="AF233" s="26"/>
      <c r="AG233" s="24"/>
      <c r="AH233" s="24"/>
      <c r="AI233" s="28"/>
      <c r="AJ233" s="28"/>
      <c r="AK233" s="28"/>
      <c r="AL233" s="28"/>
      <c r="AM233" s="28"/>
      <c r="AN233" s="28"/>
      <c r="AO233" s="28"/>
      <c r="AP233" s="28"/>
      <c r="AQ233" s="28"/>
      <c r="AR233" s="28"/>
      <c r="AS233" s="28"/>
      <c r="AT233" s="28"/>
      <c r="AU233" s="28"/>
      <c r="AV233" s="24"/>
      <c r="AW233" s="28"/>
      <c r="AX233" s="28"/>
      <c r="AY233" s="28"/>
      <c r="AZ233" s="28"/>
      <c r="BA233" s="28"/>
      <c r="BB233" s="28"/>
      <c r="BC233" s="24"/>
      <c r="BD233" s="28"/>
      <c r="BE233" s="28"/>
      <c r="BF233" s="28"/>
      <c r="BG233" s="24"/>
      <c r="BH233" s="28"/>
      <c r="BI233" s="28"/>
      <c r="BJ233" s="28"/>
    </row>
    <row r="234" spans="1:62">
      <c r="A234" s="24"/>
      <c r="B234" s="28"/>
      <c r="C234" s="25"/>
      <c r="D234" s="26"/>
      <c r="E234" s="24"/>
      <c r="F234" s="24"/>
      <c r="G234" s="26"/>
      <c r="H234" s="26"/>
      <c r="I234" s="26"/>
      <c r="J234" s="26"/>
      <c r="K234" s="26"/>
      <c r="L234" s="26"/>
      <c r="M234" s="26"/>
      <c r="N234" s="26"/>
      <c r="P234" s="26"/>
      <c r="Q234" s="26"/>
      <c r="R234" s="25"/>
      <c r="S234" s="25"/>
      <c r="T234" s="25"/>
      <c r="U234" s="25"/>
      <c r="V234" s="24"/>
      <c r="W234" s="24"/>
      <c r="X234" s="24"/>
      <c r="Y234" s="26"/>
      <c r="Z234" s="26"/>
      <c r="AA234" s="24"/>
      <c r="AB234" s="24"/>
      <c r="AC234" s="24"/>
      <c r="AD234" s="24"/>
      <c r="AE234" s="26"/>
      <c r="AF234" s="26"/>
      <c r="AG234" s="24"/>
      <c r="AH234" s="24"/>
      <c r="AI234" s="28"/>
      <c r="AJ234" s="28"/>
      <c r="AK234" s="28"/>
      <c r="AL234" s="28"/>
      <c r="AM234" s="28"/>
      <c r="AN234" s="28"/>
      <c r="AO234" s="28"/>
      <c r="AP234" s="28"/>
      <c r="AQ234" s="28"/>
      <c r="AR234" s="28"/>
      <c r="AS234" s="28"/>
      <c r="AT234" s="28"/>
      <c r="AU234" s="28"/>
      <c r="AV234" s="24"/>
      <c r="AW234" s="28"/>
      <c r="AX234" s="28"/>
      <c r="AY234" s="28"/>
      <c r="AZ234" s="28"/>
      <c r="BA234" s="28"/>
      <c r="BB234" s="28"/>
      <c r="BC234" s="24"/>
      <c r="BD234" s="28"/>
      <c r="BE234" s="28"/>
      <c r="BF234" s="28"/>
      <c r="BG234" s="24"/>
      <c r="BH234" s="28"/>
      <c r="BI234" s="28"/>
      <c r="BJ234" s="28"/>
    </row>
    <row r="235" spans="1:62">
      <c r="A235" s="24"/>
      <c r="B235" s="28"/>
      <c r="C235" s="25"/>
      <c r="D235" s="26"/>
      <c r="E235" s="24"/>
      <c r="F235" s="24"/>
      <c r="G235" s="26"/>
      <c r="H235" s="26"/>
      <c r="I235" s="26"/>
      <c r="J235" s="26"/>
      <c r="K235" s="26"/>
      <c r="L235" s="26"/>
      <c r="M235" s="26"/>
      <c r="N235" s="26"/>
      <c r="P235" s="26"/>
      <c r="Q235" s="26"/>
      <c r="R235" s="25"/>
      <c r="S235" s="25"/>
      <c r="T235" s="25"/>
      <c r="U235" s="25"/>
      <c r="V235" s="24"/>
      <c r="W235" s="24"/>
      <c r="X235" s="24"/>
      <c r="Y235" s="26"/>
      <c r="Z235" s="26"/>
      <c r="AA235" s="24"/>
      <c r="AB235" s="24"/>
      <c r="AC235" s="24"/>
      <c r="AD235" s="24"/>
      <c r="AE235" s="26"/>
      <c r="AF235" s="26"/>
      <c r="AG235" s="24"/>
      <c r="AH235" s="24"/>
      <c r="AI235" s="28"/>
      <c r="AJ235" s="28"/>
      <c r="AK235" s="28"/>
      <c r="AL235" s="28"/>
      <c r="AM235" s="28"/>
      <c r="AN235" s="28"/>
      <c r="AO235" s="28"/>
      <c r="AP235" s="28"/>
      <c r="AQ235" s="28"/>
      <c r="AR235" s="28"/>
      <c r="AS235" s="28"/>
      <c r="AT235" s="28"/>
      <c r="AU235" s="28"/>
      <c r="AV235" s="24"/>
      <c r="AW235" s="28"/>
      <c r="AX235" s="28"/>
      <c r="AY235" s="28"/>
      <c r="AZ235" s="28"/>
      <c r="BA235" s="28"/>
      <c r="BB235" s="28"/>
      <c r="BC235" s="24"/>
      <c r="BD235" s="28"/>
      <c r="BE235" s="28"/>
      <c r="BF235" s="28"/>
      <c r="BG235" s="24"/>
      <c r="BH235" s="28"/>
      <c r="BI235" s="28"/>
      <c r="BJ235" s="28"/>
    </row>
    <row r="236" spans="1:62">
      <c r="A236" s="24"/>
      <c r="B236" s="28"/>
      <c r="C236" s="25"/>
      <c r="D236" s="26"/>
      <c r="E236" s="24"/>
      <c r="F236" s="24"/>
      <c r="G236" s="26"/>
      <c r="H236" s="26"/>
      <c r="I236" s="26"/>
      <c r="J236" s="26"/>
      <c r="K236" s="26"/>
      <c r="L236" s="26"/>
      <c r="M236" s="26"/>
      <c r="N236" s="26"/>
      <c r="P236" s="26"/>
      <c r="Q236" s="26"/>
      <c r="R236" s="25"/>
      <c r="S236" s="25"/>
      <c r="T236" s="25"/>
      <c r="U236" s="25"/>
      <c r="V236" s="24"/>
      <c r="W236" s="24"/>
      <c r="X236" s="24"/>
      <c r="Y236" s="26"/>
      <c r="Z236" s="26"/>
      <c r="AA236" s="24"/>
      <c r="AB236" s="24"/>
      <c r="AC236" s="24"/>
      <c r="AD236" s="24"/>
      <c r="AE236" s="26"/>
      <c r="AF236" s="26"/>
      <c r="AG236" s="24"/>
      <c r="AH236" s="24"/>
      <c r="AI236" s="28"/>
      <c r="AJ236" s="28"/>
      <c r="AK236" s="28"/>
      <c r="AL236" s="28"/>
      <c r="AM236" s="28"/>
      <c r="AN236" s="28"/>
      <c r="AO236" s="28"/>
      <c r="AP236" s="28"/>
      <c r="AQ236" s="28"/>
      <c r="AR236" s="28"/>
      <c r="AS236" s="28"/>
      <c r="AT236" s="28"/>
      <c r="AU236" s="28"/>
      <c r="AV236" s="24"/>
      <c r="AW236" s="28"/>
      <c r="AX236" s="28"/>
      <c r="AY236" s="28"/>
      <c r="AZ236" s="28"/>
      <c r="BA236" s="28"/>
      <c r="BB236" s="28"/>
      <c r="BC236" s="24"/>
      <c r="BD236" s="28"/>
      <c r="BE236" s="28"/>
      <c r="BF236" s="28"/>
      <c r="BG236" s="24"/>
      <c r="BH236" s="28"/>
      <c r="BI236" s="28"/>
      <c r="BJ236" s="28"/>
    </row>
    <row r="237" spans="1:62">
      <c r="A237" s="24"/>
      <c r="B237" s="28"/>
      <c r="C237" s="25"/>
      <c r="D237" s="26"/>
      <c r="E237" s="24"/>
      <c r="F237" s="24"/>
      <c r="G237" s="26"/>
      <c r="H237" s="26"/>
      <c r="I237" s="26"/>
      <c r="J237" s="26"/>
      <c r="K237" s="26"/>
      <c r="L237" s="26"/>
      <c r="M237" s="26"/>
      <c r="N237" s="26"/>
      <c r="P237" s="26"/>
      <c r="Q237" s="26"/>
      <c r="R237" s="25"/>
      <c r="S237" s="25"/>
      <c r="T237" s="25"/>
      <c r="U237" s="25"/>
      <c r="V237" s="24"/>
      <c r="W237" s="24"/>
      <c r="X237" s="24"/>
      <c r="Y237" s="26"/>
      <c r="Z237" s="26"/>
      <c r="AA237" s="24"/>
      <c r="AB237" s="24"/>
      <c r="AC237" s="24"/>
      <c r="AD237" s="24"/>
      <c r="AE237" s="26"/>
      <c r="AF237" s="26"/>
      <c r="AG237" s="24"/>
      <c r="AH237" s="24"/>
      <c r="AI237" s="28"/>
      <c r="AJ237" s="28"/>
      <c r="AK237" s="28"/>
      <c r="AL237" s="28"/>
      <c r="AM237" s="28"/>
      <c r="AN237" s="28"/>
      <c r="AO237" s="28"/>
      <c r="AP237" s="28"/>
      <c r="AQ237" s="28"/>
      <c r="AR237" s="28"/>
      <c r="AS237" s="28"/>
      <c r="AT237" s="28"/>
      <c r="AU237" s="28"/>
      <c r="AV237" s="24"/>
      <c r="AW237" s="28"/>
      <c r="AX237" s="28"/>
      <c r="AY237" s="28"/>
      <c r="AZ237" s="28"/>
      <c r="BA237" s="28"/>
      <c r="BB237" s="28"/>
      <c r="BC237" s="24"/>
      <c r="BD237" s="28"/>
      <c r="BE237" s="28"/>
      <c r="BF237" s="28"/>
      <c r="BG237" s="24"/>
      <c r="BH237" s="28"/>
      <c r="BI237" s="28"/>
      <c r="BJ237" s="28"/>
    </row>
    <row r="238" spans="1:62">
      <c r="A238" s="24"/>
      <c r="B238" s="28"/>
      <c r="C238" s="25"/>
      <c r="D238" s="26"/>
      <c r="E238" s="24"/>
      <c r="F238" s="24"/>
      <c r="G238" s="26"/>
      <c r="H238" s="26"/>
      <c r="I238" s="26"/>
      <c r="J238" s="26"/>
      <c r="K238" s="26"/>
      <c r="L238" s="26"/>
      <c r="M238" s="26"/>
      <c r="N238" s="26"/>
      <c r="P238" s="26"/>
      <c r="Q238" s="26"/>
      <c r="R238" s="25"/>
      <c r="S238" s="25"/>
      <c r="T238" s="25"/>
      <c r="U238" s="25"/>
      <c r="V238" s="24"/>
      <c r="W238" s="24"/>
      <c r="X238" s="24"/>
      <c r="Y238" s="26"/>
      <c r="Z238" s="26"/>
      <c r="AA238" s="24"/>
      <c r="AB238" s="24"/>
      <c r="AC238" s="24"/>
      <c r="AD238" s="24"/>
      <c r="AE238" s="26"/>
      <c r="AF238" s="26"/>
      <c r="AG238" s="24"/>
      <c r="AH238" s="24"/>
      <c r="AI238" s="28"/>
      <c r="AJ238" s="28"/>
      <c r="AK238" s="28"/>
      <c r="AL238" s="28"/>
      <c r="AM238" s="28"/>
      <c r="AN238" s="28"/>
      <c r="AO238" s="28"/>
      <c r="AP238" s="28"/>
      <c r="AQ238" s="28"/>
      <c r="AR238" s="28"/>
      <c r="AS238" s="28"/>
      <c r="AT238" s="28"/>
      <c r="AU238" s="28"/>
      <c r="AV238" s="24"/>
      <c r="AW238" s="28"/>
      <c r="AX238" s="28"/>
      <c r="AY238" s="28"/>
      <c r="AZ238" s="28"/>
      <c r="BA238" s="28"/>
      <c r="BB238" s="28"/>
      <c r="BC238" s="24"/>
      <c r="BD238" s="28"/>
      <c r="BE238" s="28"/>
      <c r="BF238" s="28"/>
      <c r="BG238" s="24"/>
      <c r="BH238" s="28"/>
      <c r="BI238" s="28"/>
      <c r="BJ238" s="28"/>
    </row>
    <row r="239" spans="1:62">
      <c r="A239" s="24"/>
      <c r="B239" s="28"/>
      <c r="C239" s="25"/>
      <c r="D239" s="26"/>
      <c r="E239" s="24"/>
      <c r="F239" s="24"/>
      <c r="G239" s="26"/>
      <c r="H239" s="26"/>
      <c r="I239" s="26"/>
      <c r="J239" s="26"/>
      <c r="K239" s="26"/>
      <c r="L239" s="26"/>
      <c r="M239" s="26"/>
      <c r="N239" s="26"/>
      <c r="P239" s="26"/>
      <c r="Q239" s="26"/>
      <c r="R239" s="25"/>
      <c r="S239" s="25"/>
      <c r="T239" s="25"/>
      <c r="U239" s="25"/>
      <c r="V239" s="24"/>
      <c r="W239" s="24"/>
      <c r="X239" s="24"/>
      <c r="Y239" s="26"/>
      <c r="Z239" s="26"/>
      <c r="AA239" s="24"/>
      <c r="AB239" s="24"/>
      <c r="AC239" s="24"/>
      <c r="AD239" s="24"/>
      <c r="AE239" s="26"/>
      <c r="AF239" s="26"/>
      <c r="AG239" s="24"/>
      <c r="AH239" s="24"/>
      <c r="AI239" s="28"/>
      <c r="AJ239" s="28"/>
      <c r="AK239" s="28"/>
      <c r="AL239" s="28"/>
      <c r="AM239" s="28"/>
      <c r="AN239" s="28"/>
      <c r="AO239" s="28"/>
      <c r="AP239" s="28"/>
      <c r="AQ239" s="28"/>
      <c r="AR239" s="28"/>
      <c r="AS239" s="28"/>
      <c r="AT239" s="28"/>
      <c r="AU239" s="28"/>
      <c r="AV239" s="24"/>
      <c r="AW239" s="28"/>
      <c r="AX239" s="28"/>
      <c r="AY239" s="28"/>
      <c r="AZ239" s="28"/>
      <c r="BA239" s="28"/>
      <c r="BB239" s="28"/>
      <c r="BC239" s="24"/>
      <c r="BD239" s="28"/>
      <c r="BE239" s="28"/>
      <c r="BF239" s="28"/>
      <c r="BG239" s="24"/>
      <c r="BH239" s="28"/>
      <c r="BI239" s="28"/>
      <c r="BJ239" s="28"/>
    </row>
    <row r="240" spans="1:62">
      <c r="A240" s="24"/>
      <c r="B240" s="28"/>
      <c r="C240" s="25"/>
      <c r="D240" s="26"/>
      <c r="E240" s="24"/>
      <c r="F240" s="24"/>
      <c r="G240" s="26"/>
      <c r="H240" s="26"/>
      <c r="I240" s="26"/>
      <c r="J240" s="26"/>
      <c r="K240" s="26"/>
      <c r="L240" s="26"/>
      <c r="M240" s="26"/>
      <c r="N240" s="26"/>
      <c r="P240" s="26"/>
      <c r="Q240" s="26"/>
      <c r="R240" s="25"/>
      <c r="S240" s="25"/>
      <c r="T240" s="25"/>
      <c r="U240" s="25"/>
      <c r="V240" s="24"/>
      <c r="W240" s="24"/>
      <c r="X240" s="24"/>
      <c r="Y240" s="26"/>
      <c r="Z240" s="26"/>
      <c r="AA240" s="24"/>
      <c r="AB240" s="24"/>
      <c r="AC240" s="24"/>
      <c r="AD240" s="24"/>
      <c r="AE240" s="26"/>
      <c r="AF240" s="26"/>
      <c r="AG240" s="24"/>
      <c r="AH240" s="24"/>
      <c r="AI240" s="28"/>
      <c r="AJ240" s="28"/>
      <c r="AK240" s="28"/>
      <c r="AL240" s="28"/>
      <c r="AM240" s="28"/>
      <c r="AN240" s="28"/>
      <c r="AO240" s="28"/>
      <c r="AP240" s="28"/>
      <c r="AQ240" s="28"/>
      <c r="AR240" s="28"/>
      <c r="AS240" s="28"/>
      <c r="AT240" s="28"/>
      <c r="AU240" s="28"/>
      <c r="AV240" s="24"/>
      <c r="AW240" s="28"/>
      <c r="AX240" s="28"/>
      <c r="AY240" s="28"/>
      <c r="AZ240" s="28"/>
      <c r="BA240" s="28"/>
      <c r="BB240" s="28"/>
      <c r="BC240" s="24"/>
      <c r="BD240" s="28"/>
      <c r="BE240" s="28"/>
      <c r="BF240" s="28"/>
      <c r="BG240" s="24"/>
      <c r="BH240" s="28"/>
      <c r="BI240" s="28"/>
      <c r="BJ240" s="28"/>
    </row>
    <row r="241" spans="1:62">
      <c r="A241" s="24"/>
      <c r="B241" s="28"/>
      <c r="C241" s="25"/>
      <c r="D241" s="26"/>
      <c r="E241" s="24"/>
      <c r="F241" s="24"/>
      <c r="G241" s="26"/>
      <c r="H241" s="26"/>
      <c r="I241" s="26"/>
      <c r="J241" s="26"/>
      <c r="K241" s="26"/>
      <c r="L241" s="26"/>
      <c r="M241" s="26"/>
      <c r="N241" s="26"/>
      <c r="P241" s="26"/>
      <c r="Q241" s="26"/>
      <c r="R241" s="25"/>
      <c r="S241" s="25"/>
      <c r="T241" s="25"/>
      <c r="U241" s="25"/>
      <c r="V241" s="24"/>
      <c r="W241" s="24"/>
      <c r="X241" s="24"/>
      <c r="Y241" s="26"/>
      <c r="Z241" s="26"/>
      <c r="AA241" s="24"/>
      <c r="AB241" s="24"/>
      <c r="AC241" s="24"/>
      <c r="AD241" s="24"/>
      <c r="AE241" s="26"/>
      <c r="AF241" s="26"/>
      <c r="AG241" s="24"/>
      <c r="AH241" s="24"/>
      <c r="AI241" s="28"/>
      <c r="AJ241" s="28"/>
      <c r="AK241" s="28"/>
      <c r="AL241" s="28"/>
      <c r="AM241" s="28"/>
      <c r="AN241" s="28"/>
      <c r="AO241" s="28"/>
      <c r="AP241" s="28"/>
      <c r="AQ241" s="28"/>
      <c r="AR241" s="28"/>
      <c r="AS241" s="28"/>
      <c r="AT241" s="28"/>
      <c r="AU241" s="28"/>
      <c r="AV241" s="24"/>
      <c r="AW241" s="28"/>
      <c r="AX241" s="28"/>
      <c r="AY241" s="28"/>
      <c r="AZ241" s="28"/>
      <c r="BA241" s="28"/>
      <c r="BB241" s="28"/>
      <c r="BC241" s="24"/>
      <c r="BD241" s="28"/>
      <c r="BE241" s="28"/>
      <c r="BF241" s="28"/>
      <c r="BG241" s="24"/>
      <c r="BH241" s="28"/>
      <c r="BI241" s="28"/>
      <c r="BJ241" s="28"/>
    </row>
    <row r="242" spans="1:62">
      <c r="A242" s="24"/>
      <c r="B242" s="28"/>
      <c r="C242" s="25"/>
      <c r="D242" s="26"/>
      <c r="E242" s="24"/>
      <c r="F242" s="24"/>
      <c r="G242" s="26"/>
      <c r="H242" s="26"/>
      <c r="I242" s="26"/>
      <c r="J242" s="26"/>
      <c r="K242" s="26"/>
      <c r="L242" s="26"/>
      <c r="M242" s="26"/>
      <c r="N242" s="26"/>
      <c r="P242" s="26"/>
      <c r="Q242" s="26"/>
      <c r="R242" s="25"/>
      <c r="S242" s="25"/>
      <c r="T242" s="25"/>
      <c r="U242" s="25"/>
      <c r="V242" s="24"/>
      <c r="W242" s="24"/>
      <c r="X242" s="24"/>
      <c r="Y242" s="26"/>
      <c r="Z242" s="26"/>
      <c r="AA242" s="24"/>
      <c r="AB242" s="24"/>
      <c r="AC242" s="24"/>
      <c r="AD242" s="24"/>
      <c r="AE242" s="26"/>
      <c r="AF242" s="26"/>
      <c r="AG242" s="24"/>
      <c r="AH242" s="24"/>
      <c r="AI242" s="28"/>
      <c r="AJ242" s="28"/>
      <c r="AK242" s="28"/>
      <c r="AL242" s="28"/>
      <c r="AM242" s="28"/>
      <c r="AN242" s="28"/>
      <c r="AO242" s="28"/>
      <c r="AP242" s="28"/>
      <c r="AQ242" s="28"/>
      <c r="AR242" s="28"/>
      <c r="AS242" s="28"/>
      <c r="AT242" s="28"/>
      <c r="AU242" s="28"/>
      <c r="AV242" s="24"/>
      <c r="AW242" s="28"/>
      <c r="AX242" s="28"/>
      <c r="AY242" s="28"/>
      <c r="AZ242" s="28"/>
      <c r="BA242" s="28"/>
      <c r="BB242" s="28"/>
      <c r="BC242" s="24"/>
      <c r="BD242" s="28"/>
      <c r="BE242" s="28"/>
      <c r="BF242" s="28"/>
      <c r="BG242" s="24"/>
      <c r="BH242" s="28"/>
      <c r="BI242" s="28"/>
      <c r="BJ242" s="28"/>
    </row>
    <row r="243" spans="1:62">
      <c r="A243" s="24"/>
      <c r="B243" s="28"/>
      <c r="C243" s="25"/>
      <c r="D243" s="26"/>
      <c r="E243" s="24"/>
      <c r="F243" s="24"/>
      <c r="G243" s="26"/>
      <c r="H243" s="26"/>
      <c r="I243" s="26"/>
      <c r="J243" s="26"/>
      <c r="K243" s="26"/>
      <c r="L243" s="26"/>
      <c r="M243" s="26"/>
      <c r="N243" s="26"/>
      <c r="P243" s="26"/>
      <c r="Q243" s="26"/>
      <c r="R243" s="25"/>
      <c r="S243" s="25"/>
      <c r="T243" s="25"/>
      <c r="U243" s="25"/>
      <c r="V243" s="24"/>
      <c r="W243" s="24"/>
      <c r="X243" s="24"/>
      <c r="Y243" s="26"/>
      <c r="Z243" s="26"/>
      <c r="AA243" s="24"/>
      <c r="AB243" s="24"/>
      <c r="AC243" s="24"/>
      <c r="AD243" s="24"/>
      <c r="AE243" s="26"/>
      <c r="AF243" s="26"/>
      <c r="AG243" s="24"/>
      <c r="AH243" s="24"/>
      <c r="AI243" s="28"/>
      <c r="AJ243" s="28"/>
      <c r="AK243" s="28"/>
      <c r="AL243" s="28"/>
      <c r="AM243" s="28"/>
      <c r="AN243" s="28"/>
      <c r="AO243" s="28"/>
      <c r="AP243" s="28"/>
      <c r="AQ243" s="28"/>
      <c r="AR243" s="28"/>
      <c r="AS243" s="28"/>
      <c r="AT243" s="28"/>
      <c r="AU243" s="28"/>
      <c r="AV243" s="24"/>
      <c r="AW243" s="28"/>
      <c r="AX243" s="28"/>
      <c r="AY243" s="28"/>
      <c r="AZ243" s="28"/>
      <c r="BA243" s="28"/>
      <c r="BB243" s="28"/>
      <c r="BC243" s="24"/>
      <c r="BD243" s="28"/>
      <c r="BE243" s="28"/>
      <c r="BF243" s="28"/>
      <c r="BG243" s="24"/>
      <c r="BH243" s="28"/>
      <c r="BI243" s="28"/>
      <c r="BJ243" s="28"/>
    </row>
    <row r="244" spans="1:62">
      <c r="A244" s="24"/>
      <c r="B244" s="28"/>
      <c r="C244" s="25"/>
      <c r="D244" s="26"/>
      <c r="E244" s="24"/>
      <c r="F244" s="24"/>
      <c r="G244" s="26"/>
      <c r="H244" s="26"/>
      <c r="I244" s="26"/>
      <c r="J244" s="26"/>
      <c r="K244" s="26"/>
      <c r="L244" s="26"/>
      <c r="M244" s="26"/>
      <c r="N244" s="26"/>
      <c r="P244" s="26"/>
      <c r="Q244" s="26"/>
      <c r="R244" s="25"/>
      <c r="S244" s="25"/>
      <c r="T244" s="25"/>
      <c r="U244" s="25"/>
      <c r="V244" s="24"/>
      <c r="W244" s="24"/>
      <c r="X244" s="24"/>
      <c r="Y244" s="26"/>
      <c r="Z244" s="26"/>
      <c r="AA244" s="24"/>
      <c r="AB244" s="24"/>
      <c r="AC244" s="24"/>
      <c r="AD244" s="24"/>
      <c r="AE244" s="26"/>
      <c r="AF244" s="26"/>
      <c r="AG244" s="24"/>
      <c r="AH244" s="24"/>
      <c r="AI244" s="28"/>
      <c r="AJ244" s="28"/>
      <c r="AK244" s="28"/>
      <c r="AL244" s="28"/>
      <c r="AM244" s="28"/>
      <c r="AN244" s="28"/>
      <c r="AO244" s="28"/>
      <c r="AP244" s="28"/>
      <c r="AQ244" s="28"/>
      <c r="AR244" s="28"/>
      <c r="AS244" s="28"/>
      <c r="AT244" s="28"/>
      <c r="AU244" s="28"/>
      <c r="AV244" s="24"/>
      <c r="AW244" s="28"/>
      <c r="AX244" s="28"/>
      <c r="AY244" s="28"/>
      <c r="AZ244" s="28"/>
      <c r="BA244" s="28"/>
      <c r="BB244" s="28"/>
      <c r="BC244" s="24"/>
      <c r="BD244" s="28"/>
      <c r="BE244" s="28"/>
      <c r="BF244" s="28"/>
      <c r="BG244" s="24"/>
      <c r="BH244" s="28"/>
      <c r="BI244" s="28"/>
      <c r="BJ244" s="28"/>
    </row>
    <row r="245" spans="1:62">
      <c r="A245" s="24"/>
      <c r="B245" s="28"/>
      <c r="C245" s="25"/>
      <c r="D245" s="26"/>
      <c r="E245" s="24"/>
      <c r="F245" s="24"/>
      <c r="G245" s="26"/>
      <c r="H245" s="26"/>
      <c r="I245" s="26"/>
      <c r="J245" s="26"/>
      <c r="K245" s="26"/>
      <c r="L245" s="26"/>
      <c r="M245" s="26"/>
      <c r="N245" s="26"/>
      <c r="P245" s="26"/>
      <c r="Q245" s="26"/>
      <c r="R245" s="25"/>
      <c r="S245" s="25"/>
      <c r="T245" s="25"/>
      <c r="U245" s="25"/>
      <c r="V245" s="24"/>
      <c r="W245" s="24"/>
      <c r="X245" s="24"/>
      <c r="Y245" s="26"/>
      <c r="Z245" s="26"/>
      <c r="AA245" s="24"/>
      <c r="AB245" s="24"/>
      <c r="AC245" s="24"/>
      <c r="AD245" s="24"/>
      <c r="AE245" s="26"/>
      <c r="AF245" s="26"/>
      <c r="AG245" s="24"/>
      <c r="AH245" s="24"/>
      <c r="AI245" s="28"/>
      <c r="AJ245" s="28"/>
      <c r="AK245" s="28"/>
      <c r="AL245" s="28"/>
      <c r="AM245" s="28"/>
      <c r="AN245" s="28"/>
      <c r="AO245" s="28"/>
      <c r="AP245" s="28"/>
      <c r="AQ245" s="28"/>
      <c r="AR245" s="28"/>
      <c r="AS245" s="28"/>
      <c r="AT245" s="28"/>
      <c r="AU245" s="28"/>
      <c r="AV245" s="24"/>
      <c r="AW245" s="28"/>
      <c r="AX245" s="28"/>
      <c r="AY245" s="28"/>
      <c r="AZ245" s="28"/>
      <c r="BA245" s="28"/>
      <c r="BB245" s="28"/>
      <c r="BC245" s="24"/>
      <c r="BD245" s="28"/>
      <c r="BE245" s="28"/>
      <c r="BF245" s="28"/>
      <c r="BG245" s="24"/>
      <c r="BH245" s="28"/>
      <c r="BI245" s="28"/>
      <c r="BJ245" s="28"/>
    </row>
    <row r="246" spans="1:62">
      <c r="A246" s="24"/>
      <c r="B246" s="28"/>
      <c r="C246" s="25"/>
      <c r="D246" s="26"/>
      <c r="E246" s="24"/>
      <c r="F246" s="24"/>
      <c r="G246" s="26"/>
      <c r="H246" s="26"/>
      <c r="I246" s="26"/>
      <c r="J246" s="26"/>
      <c r="K246" s="26"/>
      <c r="L246" s="26"/>
      <c r="M246" s="26"/>
      <c r="N246" s="26"/>
      <c r="P246" s="26"/>
      <c r="Q246" s="26"/>
      <c r="R246" s="25"/>
      <c r="S246" s="25"/>
      <c r="T246" s="25"/>
      <c r="U246" s="25"/>
      <c r="V246" s="24"/>
      <c r="W246" s="24"/>
      <c r="X246" s="24"/>
      <c r="Y246" s="26"/>
      <c r="Z246" s="26"/>
      <c r="AA246" s="24"/>
      <c r="AB246" s="24"/>
      <c r="AC246" s="24"/>
      <c r="AD246" s="24"/>
      <c r="AE246" s="26"/>
      <c r="AF246" s="26"/>
      <c r="AG246" s="24"/>
      <c r="AH246" s="24"/>
      <c r="AI246" s="28"/>
      <c r="AJ246" s="28"/>
      <c r="AK246" s="28"/>
      <c r="AL246" s="28"/>
      <c r="AM246" s="28"/>
      <c r="AN246" s="28"/>
      <c r="AO246" s="28"/>
      <c r="AP246" s="28"/>
      <c r="AQ246" s="28"/>
      <c r="AR246" s="28"/>
      <c r="AS246" s="28"/>
      <c r="AT246" s="28"/>
      <c r="AU246" s="28"/>
      <c r="AV246" s="24"/>
      <c r="AW246" s="28"/>
      <c r="AX246" s="28"/>
      <c r="AY246" s="28"/>
      <c r="AZ246" s="28"/>
      <c r="BA246" s="28"/>
      <c r="BB246" s="28"/>
      <c r="BC246" s="24"/>
      <c r="BD246" s="28"/>
      <c r="BE246" s="28"/>
      <c r="BF246" s="28"/>
      <c r="BG246" s="24"/>
      <c r="BH246" s="28"/>
      <c r="BI246" s="28"/>
      <c r="BJ246" s="28"/>
    </row>
    <row r="247" spans="1:62">
      <c r="A247" s="24"/>
      <c r="B247" s="28"/>
      <c r="C247" s="25"/>
      <c r="D247" s="26"/>
      <c r="E247" s="24"/>
      <c r="F247" s="24"/>
      <c r="G247" s="26"/>
      <c r="H247" s="26"/>
      <c r="I247" s="26"/>
      <c r="J247" s="26"/>
      <c r="K247" s="26"/>
      <c r="L247" s="26"/>
      <c r="M247" s="26"/>
      <c r="N247" s="26"/>
      <c r="P247" s="26"/>
      <c r="Q247" s="26"/>
      <c r="R247" s="25"/>
      <c r="S247" s="25"/>
      <c r="T247" s="25"/>
      <c r="U247" s="25"/>
      <c r="V247" s="24"/>
      <c r="W247" s="24"/>
      <c r="X247" s="24"/>
      <c r="Y247" s="26"/>
      <c r="Z247" s="26"/>
      <c r="AA247" s="24"/>
      <c r="AB247" s="24"/>
      <c r="AC247" s="24"/>
      <c r="AD247" s="24"/>
      <c r="AE247" s="26"/>
      <c r="AF247" s="26"/>
      <c r="AG247" s="24"/>
      <c r="AH247" s="24"/>
      <c r="AI247" s="28"/>
      <c r="AJ247" s="28"/>
      <c r="AK247" s="28"/>
      <c r="AL247" s="28"/>
      <c r="AM247" s="28"/>
      <c r="AN247" s="28"/>
      <c r="AO247" s="28"/>
      <c r="AP247" s="28"/>
      <c r="AQ247" s="28"/>
      <c r="AR247" s="28"/>
      <c r="AS247" s="28"/>
      <c r="AT247" s="28"/>
      <c r="AU247" s="28"/>
      <c r="AV247" s="24"/>
      <c r="AW247" s="28"/>
      <c r="AX247" s="28"/>
      <c r="AY247" s="28"/>
      <c r="AZ247" s="28"/>
      <c r="BA247" s="28"/>
      <c r="BB247" s="28"/>
      <c r="BC247" s="24"/>
      <c r="BD247" s="28"/>
      <c r="BE247" s="28"/>
      <c r="BF247" s="28"/>
      <c r="BG247" s="24"/>
      <c r="BH247" s="28"/>
      <c r="BI247" s="28"/>
      <c r="BJ247" s="28"/>
    </row>
    <row r="248" spans="1:62">
      <c r="A248" s="24"/>
      <c r="B248" s="28"/>
      <c r="C248" s="25"/>
      <c r="D248" s="26"/>
      <c r="E248" s="24"/>
      <c r="F248" s="24"/>
      <c r="G248" s="26"/>
      <c r="H248" s="26"/>
      <c r="I248" s="26"/>
      <c r="J248" s="26"/>
      <c r="K248" s="26"/>
      <c r="L248" s="26"/>
      <c r="M248" s="26"/>
      <c r="N248" s="26"/>
      <c r="P248" s="26"/>
      <c r="Q248" s="26"/>
      <c r="R248" s="25"/>
      <c r="S248" s="25"/>
      <c r="T248" s="25"/>
      <c r="U248" s="25"/>
      <c r="V248" s="24"/>
      <c r="W248" s="24"/>
      <c r="X248" s="24"/>
      <c r="Y248" s="26"/>
      <c r="Z248" s="26"/>
      <c r="AA248" s="24"/>
      <c r="AB248" s="24"/>
      <c r="AC248" s="24"/>
      <c r="AD248" s="24"/>
      <c r="AE248" s="26"/>
      <c r="AF248" s="26"/>
      <c r="AG248" s="24"/>
      <c r="AH248" s="24"/>
      <c r="AI248" s="28"/>
      <c r="AJ248" s="28"/>
      <c r="AK248" s="28"/>
      <c r="AL248" s="28"/>
      <c r="AM248" s="28"/>
      <c r="AN248" s="28"/>
      <c r="AO248" s="28"/>
      <c r="AP248" s="28"/>
      <c r="AQ248" s="28"/>
      <c r="AR248" s="28"/>
      <c r="AS248" s="28"/>
      <c r="AT248" s="28"/>
      <c r="AU248" s="28"/>
      <c r="AV248" s="24"/>
      <c r="AW248" s="28"/>
      <c r="AX248" s="28"/>
      <c r="AY248" s="28"/>
      <c r="AZ248" s="28"/>
      <c r="BA248" s="28"/>
      <c r="BB248" s="28"/>
      <c r="BC248" s="24"/>
      <c r="BD248" s="28"/>
      <c r="BE248" s="28"/>
      <c r="BF248" s="28"/>
      <c r="BG248" s="24"/>
      <c r="BH248" s="28"/>
      <c r="BI248" s="28"/>
      <c r="BJ248" s="28"/>
    </row>
    <row r="249" spans="1:62">
      <c r="A249" s="24"/>
      <c r="B249" s="28"/>
      <c r="C249" s="25"/>
      <c r="D249" s="26"/>
      <c r="E249" s="24"/>
      <c r="F249" s="24"/>
      <c r="G249" s="26"/>
      <c r="H249" s="26"/>
      <c r="I249" s="26"/>
      <c r="J249" s="26"/>
      <c r="K249" s="26"/>
      <c r="L249" s="26"/>
      <c r="M249" s="26"/>
      <c r="N249" s="26"/>
      <c r="P249" s="26"/>
      <c r="Q249" s="26"/>
      <c r="R249" s="25"/>
      <c r="S249" s="25"/>
      <c r="T249" s="25"/>
      <c r="U249" s="25"/>
      <c r="V249" s="24"/>
      <c r="W249" s="24"/>
      <c r="X249" s="24"/>
      <c r="Y249" s="26"/>
      <c r="Z249" s="26"/>
      <c r="AA249" s="24"/>
      <c r="AB249" s="24"/>
      <c r="AC249" s="24"/>
      <c r="AD249" s="24"/>
      <c r="AE249" s="26"/>
      <c r="AF249" s="26"/>
      <c r="AG249" s="24"/>
      <c r="AH249" s="24"/>
      <c r="AI249" s="28"/>
      <c r="AJ249" s="28"/>
      <c r="AK249" s="28"/>
      <c r="AL249" s="28"/>
      <c r="AM249" s="28"/>
      <c r="AN249" s="28"/>
      <c r="AO249" s="28"/>
      <c r="AP249" s="28"/>
      <c r="AQ249" s="28"/>
      <c r="AR249" s="28"/>
      <c r="AS249" s="28"/>
      <c r="AT249" s="28"/>
      <c r="AU249" s="28"/>
      <c r="AV249" s="24"/>
      <c r="AW249" s="28"/>
      <c r="AX249" s="28"/>
      <c r="AY249" s="28"/>
      <c r="AZ249" s="28"/>
      <c r="BA249" s="28"/>
      <c r="BB249" s="28"/>
      <c r="BC249" s="24"/>
      <c r="BD249" s="28"/>
      <c r="BE249" s="28"/>
      <c r="BF249" s="28"/>
      <c r="BG249" s="24"/>
      <c r="BH249" s="28"/>
      <c r="BI249" s="28"/>
      <c r="BJ249" s="28"/>
    </row>
    <row r="250" spans="1:62">
      <c r="A250" s="24"/>
      <c r="B250" s="28"/>
      <c r="C250" s="25"/>
      <c r="D250" s="26"/>
      <c r="E250" s="24"/>
      <c r="F250" s="24"/>
      <c r="G250" s="26"/>
      <c r="H250" s="26"/>
      <c r="I250" s="26"/>
      <c r="J250" s="26"/>
      <c r="K250" s="26"/>
      <c r="L250" s="26"/>
      <c r="M250" s="26"/>
      <c r="N250" s="26"/>
      <c r="P250" s="26"/>
      <c r="Q250" s="26"/>
      <c r="R250" s="25"/>
      <c r="S250" s="25"/>
      <c r="T250" s="25"/>
      <c r="U250" s="25"/>
      <c r="V250" s="24"/>
      <c r="W250" s="24"/>
      <c r="X250" s="24"/>
      <c r="Y250" s="26"/>
      <c r="Z250" s="26"/>
      <c r="AA250" s="24"/>
      <c r="AB250" s="24"/>
      <c r="AC250" s="24"/>
      <c r="AD250" s="24"/>
      <c r="AE250" s="26"/>
      <c r="AF250" s="26"/>
      <c r="AG250" s="24"/>
      <c r="AH250" s="24"/>
      <c r="AI250" s="28"/>
      <c r="AJ250" s="28"/>
      <c r="AK250" s="28"/>
      <c r="AL250" s="28"/>
      <c r="AM250" s="28"/>
      <c r="AN250" s="28"/>
      <c r="AO250" s="28"/>
      <c r="AP250" s="28"/>
      <c r="AQ250" s="28"/>
      <c r="AR250" s="28"/>
      <c r="AS250" s="28"/>
      <c r="AT250" s="28"/>
      <c r="AU250" s="28"/>
      <c r="AV250" s="24"/>
      <c r="AW250" s="28"/>
      <c r="AX250" s="28"/>
      <c r="AY250" s="28"/>
      <c r="AZ250" s="28"/>
      <c r="BA250" s="28"/>
      <c r="BB250" s="28"/>
      <c r="BC250" s="24"/>
      <c r="BD250" s="28"/>
      <c r="BE250" s="28"/>
      <c r="BF250" s="28"/>
      <c r="BG250" s="24"/>
      <c r="BH250" s="28"/>
      <c r="BI250" s="28"/>
      <c r="BJ250" s="28"/>
    </row>
    <row r="251" spans="1:62">
      <c r="A251" s="24"/>
      <c r="B251" s="28"/>
      <c r="C251" s="25"/>
      <c r="D251" s="26"/>
      <c r="E251" s="24"/>
      <c r="F251" s="24"/>
      <c r="G251" s="26"/>
      <c r="H251" s="26"/>
      <c r="I251" s="26"/>
      <c r="J251" s="26"/>
      <c r="K251" s="26"/>
      <c r="L251" s="26"/>
      <c r="M251" s="26"/>
      <c r="N251" s="26"/>
      <c r="P251" s="26"/>
      <c r="Q251" s="26"/>
      <c r="R251" s="25"/>
      <c r="S251" s="25"/>
      <c r="T251" s="25"/>
      <c r="U251" s="25"/>
      <c r="V251" s="24"/>
      <c r="W251" s="24"/>
      <c r="X251" s="24"/>
      <c r="Y251" s="26"/>
      <c r="Z251" s="26"/>
      <c r="AA251" s="24"/>
      <c r="AB251" s="24"/>
      <c r="AC251" s="24"/>
      <c r="AD251" s="24"/>
      <c r="AE251" s="26"/>
      <c r="AF251" s="26"/>
      <c r="AG251" s="24"/>
      <c r="AH251" s="24"/>
      <c r="AI251" s="28"/>
      <c r="AJ251" s="28"/>
      <c r="AK251" s="28"/>
      <c r="AL251" s="28"/>
      <c r="AM251" s="28"/>
      <c r="AN251" s="28"/>
      <c r="AO251" s="28"/>
      <c r="AP251" s="28"/>
      <c r="AQ251" s="28"/>
      <c r="AR251" s="28"/>
      <c r="AS251" s="28"/>
      <c r="AT251" s="28"/>
      <c r="AU251" s="28"/>
      <c r="AV251" s="24"/>
      <c r="AW251" s="28"/>
      <c r="AX251" s="28"/>
      <c r="AY251" s="28"/>
      <c r="AZ251" s="28"/>
      <c r="BA251" s="28"/>
      <c r="BB251" s="28"/>
      <c r="BC251" s="24"/>
      <c r="BD251" s="28"/>
      <c r="BE251" s="28"/>
      <c r="BF251" s="28"/>
      <c r="BG251" s="24"/>
      <c r="BH251" s="28"/>
      <c r="BI251" s="28"/>
      <c r="BJ251" s="28"/>
    </row>
    <row r="252" spans="1:62">
      <c r="A252" s="24"/>
      <c r="B252" s="28"/>
      <c r="C252" s="25"/>
      <c r="D252" s="26"/>
      <c r="E252" s="24"/>
      <c r="F252" s="24"/>
      <c r="G252" s="26"/>
      <c r="H252" s="26"/>
      <c r="I252" s="26"/>
      <c r="J252" s="26"/>
      <c r="K252" s="26"/>
      <c r="L252" s="26"/>
      <c r="M252" s="26"/>
      <c r="N252" s="26"/>
      <c r="P252" s="26"/>
      <c r="Q252" s="26"/>
      <c r="R252" s="25"/>
      <c r="S252" s="25"/>
      <c r="T252" s="25"/>
      <c r="U252" s="25"/>
      <c r="V252" s="24"/>
      <c r="W252" s="24"/>
      <c r="X252" s="24"/>
      <c r="Y252" s="26"/>
      <c r="Z252" s="26"/>
      <c r="AA252" s="24"/>
      <c r="AB252" s="24"/>
      <c r="AC252" s="24"/>
      <c r="AD252" s="24"/>
      <c r="AE252" s="26"/>
      <c r="AF252" s="26"/>
      <c r="AG252" s="24"/>
      <c r="AH252" s="24"/>
      <c r="AI252" s="28"/>
      <c r="AJ252" s="28"/>
      <c r="AK252" s="28"/>
      <c r="AL252" s="28"/>
      <c r="AM252" s="28"/>
      <c r="AN252" s="28"/>
      <c r="AO252" s="28"/>
      <c r="AP252" s="28"/>
      <c r="AQ252" s="28"/>
      <c r="AR252" s="28"/>
      <c r="AS252" s="28"/>
      <c r="AT252" s="28"/>
      <c r="AU252" s="28"/>
      <c r="AV252" s="24"/>
      <c r="AW252" s="28"/>
      <c r="AX252" s="28"/>
      <c r="AY252" s="28"/>
      <c r="AZ252" s="28"/>
      <c r="BA252" s="28"/>
      <c r="BB252" s="28"/>
      <c r="BC252" s="24"/>
      <c r="BD252" s="28"/>
      <c r="BE252" s="28"/>
      <c r="BF252" s="28"/>
      <c r="BG252" s="24"/>
      <c r="BH252" s="28"/>
      <c r="BI252" s="28"/>
      <c r="BJ252" s="28"/>
    </row>
    <row r="253" spans="1:62">
      <c r="A253" s="24"/>
      <c r="B253" s="28"/>
      <c r="C253" s="25"/>
      <c r="D253" s="26"/>
      <c r="E253" s="24"/>
      <c r="F253" s="24"/>
      <c r="G253" s="26"/>
      <c r="H253" s="26"/>
      <c r="I253" s="26"/>
      <c r="J253" s="26"/>
      <c r="K253" s="26"/>
      <c r="L253" s="26"/>
      <c r="M253" s="26"/>
      <c r="N253" s="26"/>
      <c r="P253" s="26"/>
      <c r="Q253" s="26"/>
      <c r="R253" s="25"/>
      <c r="S253" s="25"/>
      <c r="T253" s="25"/>
      <c r="U253" s="25"/>
      <c r="V253" s="24"/>
      <c r="W253" s="24"/>
      <c r="X253" s="24"/>
      <c r="Y253" s="26"/>
      <c r="Z253" s="26"/>
      <c r="AA253" s="24"/>
      <c r="AB253" s="24"/>
      <c r="AC253" s="24"/>
      <c r="AD253" s="24"/>
      <c r="AE253" s="26"/>
      <c r="AF253" s="26"/>
      <c r="AG253" s="24"/>
      <c r="AH253" s="24"/>
      <c r="AI253" s="28"/>
      <c r="AJ253" s="28"/>
      <c r="AK253" s="28"/>
      <c r="AL253" s="28"/>
      <c r="AM253" s="28"/>
      <c r="AN253" s="28"/>
      <c r="AO253" s="28"/>
      <c r="AP253" s="28"/>
      <c r="AQ253" s="28"/>
      <c r="AR253" s="28"/>
      <c r="AS253" s="28"/>
      <c r="AT253" s="28"/>
      <c r="AU253" s="28"/>
      <c r="AV253" s="24"/>
      <c r="AW253" s="28"/>
      <c r="AX253" s="28"/>
      <c r="AY253" s="28"/>
      <c r="AZ253" s="28"/>
      <c r="BA253" s="28"/>
      <c r="BB253" s="28"/>
      <c r="BC253" s="24"/>
      <c r="BD253" s="28"/>
      <c r="BE253" s="28"/>
      <c r="BF253" s="28"/>
      <c r="BG253" s="24"/>
      <c r="BH253" s="28"/>
      <c r="BI253" s="28"/>
      <c r="BJ253" s="28"/>
    </row>
    <row r="254" spans="1:62">
      <c r="A254" s="24"/>
      <c r="B254" s="28"/>
      <c r="C254" s="25"/>
      <c r="D254" s="26"/>
      <c r="E254" s="24"/>
      <c r="F254" s="24"/>
      <c r="G254" s="26"/>
      <c r="H254" s="26"/>
      <c r="I254" s="26"/>
      <c r="J254" s="26"/>
      <c r="K254" s="26"/>
      <c r="L254" s="26"/>
      <c r="M254" s="26"/>
      <c r="N254" s="26"/>
      <c r="P254" s="26"/>
      <c r="Q254" s="26"/>
      <c r="R254" s="25"/>
      <c r="S254" s="25"/>
      <c r="T254" s="25"/>
      <c r="U254" s="25"/>
      <c r="V254" s="24"/>
      <c r="W254" s="24"/>
      <c r="X254" s="24"/>
      <c r="Y254" s="26"/>
      <c r="Z254" s="26"/>
      <c r="AA254" s="24"/>
      <c r="AB254" s="24"/>
      <c r="AC254" s="24"/>
      <c r="AD254" s="24"/>
      <c r="AE254" s="26"/>
      <c r="AF254" s="26"/>
      <c r="AG254" s="24"/>
      <c r="AH254" s="24"/>
      <c r="AI254" s="28"/>
      <c r="AJ254" s="28"/>
      <c r="AK254" s="28"/>
      <c r="AL254" s="28"/>
      <c r="AM254" s="28"/>
      <c r="AN254" s="28"/>
      <c r="AO254" s="28"/>
      <c r="AP254" s="28"/>
      <c r="AQ254" s="28"/>
      <c r="AR254" s="28"/>
      <c r="AS254" s="28"/>
      <c r="AT254" s="28"/>
      <c r="AU254" s="28"/>
      <c r="AV254" s="24"/>
      <c r="AW254" s="28"/>
      <c r="AX254" s="28"/>
      <c r="AY254" s="28"/>
      <c r="AZ254" s="28"/>
      <c r="BA254" s="28"/>
      <c r="BB254" s="28"/>
      <c r="BC254" s="24"/>
      <c r="BD254" s="28"/>
      <c r="BE254" s="28"/>
      <c r="BF254" s="28"/>
      <c r="BG254" s="24"/>
      <c r="BH254" s="28"/>
      <c r="BI254" s="28"/>
      <c r="BJ254" s="28"/>
    </row>
    <row r="255" spans="1:62">
      <c r="A255" s="24"/>
      <c r="B255" s="28"/>
      <c r="C255" s="25"/>
      <c r="D255" s="26"/>
      <c r="E255" s="24"/>
      <c r="F255" s="24"/>
      <c r="G255" s="26"/>
      <c r="H255" s="26"/>
      <c r="I255" s="26"/>
      <c r="J255" s="26"/>
      <c r="K255" s="26"/>
      <c r="L255" s="26"/>
      <c r="M255" s="26"/>
      <c r="N255" s="26"/>
      <c r="P255" s="26"/>
      <c r="Q255" s="26"/>
      <c r="R255" s="25"/>
      <c r="S255" s="25"/>
      <c r="T255" s="25"/>
      <c r="U255" s="25"/>
      <c r="V255" s="24"/>
      <c r="W255" s="24"/>
      <c r="X255" s="24"/>
      <c r="Y255" s="26"/>
      <c r="Z255" s="26"/>
      <c r="AA255" s="24"/>
      <c r="AB255" s="24"/>
      <c r="AC255" s="24"/>
      <c r="AD255" s="24"/>
      <c r="AE255" s="26"/>
      <c r="AF255" s="26"/>
      <c r="AG255" s="24"/>
      <c r="AH255" s="24"/>
      <c r="AI255" s="28"/>
      <c r="AJ255" s="28"/>
      <c r="AK255" s="28"/>
      <c r="AL255" s="28"/>
      <c r="AM255" s="28"/>
      <c r="AN255" s="28"/>
      <c r="AO255" s="28"/>
      <c r="AP255" s="28"/>
      <c r="AQ255" s="28"/>
      <c r="AR255" s="28"/>
      <c r="AS255" s="28"/>
      <c r="AT255" s="28"/>
      <c r="AU255" s="28"/>
      <c r="AV255" s="24"/>
      <c r="AW255" s="28"/>
      <c r="AX255" s="28"/>
      <c r="AY255" s="28"/>
      <c r="AZ255" s="28"/>
      <c r="BA255" s="28"/>
      <c r="BB255" s="28"/>
      <c r="BC255" s="24"/>
      <c r="BD255" s="28"/>
      <c r="BE255" s="28"/>
      <c r="BF255" s="28"/>
      <c r="BG255" s="24"/>
      <c r="BH255" s="28"/>
      <c r="BI255" s="28"/>
      <c r="BJ255" s="28"/>
    </row>
    <row r="256" spans="1:62">
      <c r="A256" s="24"/>
      <c r="B256" s="28"/>
      <c r="C256" s="25"/>
      <c r="D256" s="26"/>
      <c r="E256" s="24"/>
      <c r="F256" s="24"/>
      <c r="G256" s="26"/>
      <c r="H256" s="26"/>
      <c r="I256" s="26"/>
      <c r="J256" s="26"/>
      <c r="K256" s="26"/>
      <c r="L256" s="26"/>
      <c r="M256" s="26"/>
      <c r="N256" s="26"/>
      <c r="P256" s="26"/>
      <c r="Q256" s="26"/>
      <c r="R256" s="25"/>
      <c r="S256" s="25"/>
      <c r="T256" s="25"/>
      <c r="U256" s="25"/>
      <c r="V256" s="24"/>
      <c r="W256" s="24"/>
      <c r="X256" s="24"/>
      <c r="Y256" s="26"/>
      <c r="Z256" s="26"/>
      <c r="AA256" s="24"/>
      <c r="AB256" s="24"/>
      <c r="AC256" s="24"/>
      <c r="AD256" s="24"/>
      <c r="AE256" s="26"/>
      <c r="AF256" s="26"/>
      <c r="AG256" s="24"/>
      <c r="AH256" s="24"/>
      <c r="AI256" s="28"/>
      <c r="AJ256" s="28"/>
      <c r="AK256" s="28"/>
      <c r="AL256" s="28"/>
      <c r="AM256" s="28"/>
      <c r="AN256" s="28"/>
      <c r="AO256" s="28"/>
      <c r="AP256" s="28"/>
      <c r="AQ256" s="28"/>
      <c r="AR256" s="28"/>
      <c r="AS256" s="28"/>
      <c r="AT256" s="28"/>
      <c r="AU256" s="28"/>
      <c r="AV256" s="24"/>
      <c r="AW256" s="28"/>
      <c r="AX256" s="28"/>
      <c r="AY256" s="28"/>
      <c r="AZ256" s="28"/>
      <c r="BA256" s="28"/>
      <c r="BB256" s="28"/>
      <c r="BC256" s="24"/>
      <c r="BD256" s="28"/>
      <c r="BE256" s="28"/>
      <c r="BF256" s="28"/>
      <c r="BG256" s="24"/>
      <c r="BH256" s="28"/>
      <c r="BI256" s="28"/>
      <c r="BJ256" s="28"/>
    </row>
    <row r="257" spans="1:62">
      <c r="A257" s="24"/>
      <c r="B257" s="28"/>
      <c r="C257" s="25"/>
      <c r="D257" s="26"/>
      <c r="E257" s="24"/>
      <c r="F257" s="24"/>
      <c r="G257" s="26"/>
      <c r="H257" s="26"/>
      <c r="I257" s="26"/>
      <c r="J257" s="26"/>
      <c r="K257" s="26"/>
      <c r="L257" s="26"/>
      <c r="M257" s="26"/>
      <c r="N257" s="26"/>
      <c r="P257" s="26"/>
      <c r="Q257" s="26"/>
      <c r="R257" s="25"/>
      <c r="S257" s="25"/>
      <c r="T257" s="25"/>
      <c r="U257" s="25"/>
      <c r="V257" s="24"/>
      <c r="W257" s="24"/>
      <c r="X257" s="24"/>
      <c r="Y257" s="26"/>
      <c r="Z257" s="26"/>
      <c r="AA257" s="24"/>
      <c r="AB257" s="24"/>
      <c r="AC257" s="24"/>
      <c r="AD257" s="24"/>
      <c r="AE257" s="26"/>
      <c r="AF257" s="26"/>
      <c r="AG257" s="24"/>
      <c r="AH257" s="24"/>
      <c r="AI257" s="28"/>
      <c r="AJ257" s="28"/>
      <c r="AK257" s="28"/>
      <c r="AL257" s="28"/>
      <c r="AM257" s="28"/>
      <c r="AN257" s="28"/>
      <c r="AO257" s="28"/>
      <c r="AP257" s="28"/>
      <c r="AQ257" s="28"/>
      <c r="AR257" s="28"/>
      <c r="AS257" s="28"/>
      <c r="AT257" s="28"/>
      <c r="AU257" s="28"/>
      <c r="AV257" s="24"/>
      <c r="AW257" s="28"/>
      <c r="AX257" s="28"/>
      <c r="AY257" s="28"/>
      <c r="AZ257" s="28"/>
      <c r="BA257" s="28"/>
      <c r="BB257" s="28"/>
      <c r="BC257" s="24"/>
      <c r="BD257" s="28"/>
      <c r="BE257" s="28"/>
      <c r="BF257" s="28"/>
      <c r="BG257" s="24"/>
      <c r="BH257" s="28"/>
      <c r="BI257" s="28"/>
      <c r="BJ257" s="28"/>
    </row>
    <row r="258" spans="1:62">
      <c r="A258" s="24"/>
      <c r="B258" s="28"/>
      <c r="C258" s="25"/>
      <c r="D258" s="26"/>
      <c r="E258" s="24"/>
      <c r="F258" s="24"/>
      <c r="G258" s="26"/>
      <c r="H258" s="26"/>
      <c r="I258" s="26"/>
      <c r="J258" s="26"/>
      <c r="K258" s="26"/>
      <c r="L258" s="26"/>
      <c r="M258" s="26"/>
      <c r="N258" s="26"/>
      <c r="P258" s="26"/>
      <c r="Q258" s="26"/>
      <c r="R258" s="25"/>
      <c r="S258" s="25"/>
      <c r="T258" s="25"/>
      <c r="U258" s="25"/>
      <c r="V258" s="24"/>
      <c r="W258" s="24"/>
      <c r="X258" s="24"/>
      <c r="Y258" s="26"/>
      <c r="Z258" s="26"/>
      <c r="AA258" s="24"/>
      <c r="AB258" s="24"/>
      <c r="AC258" s="24"/>
      <c r="AD258" s="24"/>
      <c r="AE258" s="26"/>
      <c r="AF258" s="26"/>
      <c r="AG258" s="24"/>
      <c r="AH258" s="24"/>
      <c r="AI258" s="28"/>
      <c r="AJ258" s="28"/>
      <c r="AK258" s="28"/>
      <c r="AL258" s="28"/>
      <c r="AM258" s="28"/>
      <c r="AN258" s="28"/>
      <c r="AO258" s="28"/>
      <c r="AP258" s="28"/>
      <c r="AQ258" s="28"/>
      <c r="AR258" s="28"/>
      <c r="AS258" s="28"/>
      <c r="AT258" s="28"/>
      <c r="AU258" s="28"/>
      <c r="AV258" s="24"/>
      <c r="AW258" s="28"/>
      <c r="AX258" s="28"/>
      <c r="AY258" s="28"/>
      <c r="AZ258" s="28"/>
      <c r="BA258" s="28"/>
      <c r="BB258" s="28"/>
      <c r="BC258" s="24"/>
      <c r="BD258" s="28"/>
      <c r="BE258" s="28"/>
      <c r="BF258" s="28"/>
      <c r="BG258" s="24"/>
      <c r="BH258" s="28"/>
      <c r="BI258" s="28"/>
      <c r="BJ258" s="28"/>
    </row>
    <row r="259" spans="1:62">
      <c r="A259" s="24"/>
      <c r="B259" s="28"/>
      <c r="C259" s="25"/>
      <c r="D259" s="26"/>
      <c r="E259" s="24"/>
      <c r="F259" s="24"/>
      <c r="G259" s="26"/>
      <c r="H259" s="26"/>
      <c r="I259" s="26"/>
      <c r="J259" s="26"/>
      <c r="K259" s="26"/>
      <c r="L259" s="26"/>
      <c r="M259" s="26"/>
      <c r="N259" s="26"/>
      <c r="P259" s="26"/>
      <c r="Q259" s="26"/>
      <c r="R259" s="25"/>
      <c r="S259" s="25"/>
      <c r="T259" s="25"/>
      <c r="U259" s="25"/>
      <c r="V259" s="24"/>
      <c r="W259" s="24"/>
      <c r="X259" s="24"/>
      <c r="Y259" s="26"/>
      <c r="Z259" s="26"/>
      <c r="AA259" s="24"/>
      <c r="AB259" s="24"/>
      <c r="AC259" s="24"/>
      <c r="AD259" s="24"/>
      <c r="AE259" s="26"/>
      <c r="AF259" s="26"/>
      <c r="AG259" s="24"/>
      <c r="AH259" s="24"/>
      <c r="AI259" s="28"/>
      <c r="AJ259" s="28"/>
      <c r="AK259" s="28"/>
      <c r="AL259" s="28"/>
      <c r="AM259" s="28"/>
      <c r="AN259" s="28"/>
      <c r="AO259" s="28"/>
      <c r="AP259" s="28"/>
      <c r="AQ259" s="28"/>
      <c r="AR259" s="28"/>
      <c r="AS259" s="28"/>
      <c r="AT259" s="28"/>
      <c r="AU259" s="28"/>
      <c r="AV259" s="24"/>
      <c r="AW259" s="28"/>
      <c r="AX259" s="28"/>
      <c r="AY259" s="28"/>
      <c r="AZ259" s="28"/>
      <c r="BA259" s="28"/>
      <c r="BB259" s="28"/>
      <c r="BC259" s="24"/>
      <c r="BD259" s="28"/>
      <c r="BE259" s="28"/>
      <c r="BF259" s="28"/>
      <c r="BG259" s="24"/>
      <c r="BH259" s="28"/>
      <c r="BI259" s="28"/>
      <c r="BJ259" s="28"/>
    </row>
    <row r="260" spans="1:62">
      <c r="A260" s="24"/>
      <c r="B260" s="28"/>
      <c r="C260" s="25"/>
      <c r="D260" s="26"/>
      <c r="E260" s="24"/>
      <c r="F260" s="24"/>
      <c r="G260" s="26"/>
      <c r="H260" s="26"/>
      <c r="I260" s="26"/>
      <c r="J260" s="26"/>
      <c r="K260" s="26"/>
      <c r="L260" s="26"/>
      <c r="M260" s="26"/>
      <c r="N260" s="26"/>
      <c r="P260" s="26"/>
      <c r="Q260" s="26"/>
      <c r="R260" s="25"/>
      <c r="S260" s="25"/>
      <c r="T260" s="25"/>
      <c r="U260" s="25"/>
      <c r="V260" s="24"/>
      <c r="W260" s="24"/>
      <c r="X260" s="24"/>
      <c r="Y260" s="26"/>
      <c r="Z260" s="26"/>
      <c r="AA260" s="24"/>
      <c r="AB260" s="24"/>
      <c r="AC260" s="24"/>
      <c r="AD260" s="24"/>
      <c r="AE260" s="26"/>
      <c r="AF260" s="26"/>
      <c r="AG260" s="24"/>
      <c r="AH260" s="24"/>
      <c r="AI260" s="28"/>
      <c r="AJ260" s="28"/>
      <c r="AK260" s="28"/>
      <c r="AL260" s="28"/>
      <c r="AM260" s="28"/>
      <c r="AN260" s="28"/>
      <c r="AO260" s="28"/>
      <c r="AP260" s="28"/>
      <c r="AQ260" s="28"/>
      <c r="AR260" s="28"/>
      <c r="AS260" s="28"/>
      <c r="AT260" s="28"/>
      <c r="AU260" s="28"/>
      <c r="AV260" s="24"/>
      <c r="AW260" s="28"/>
      <c r="AX260" s="28"/>
      <c r="AY260" s="28"/>
      <c r="AZ260" s="28"/>
      <c r="BA260" s="28"/>
      <c r="BB260" s="28"/>
      <c r="BC260" s="24"/>
      <c r="BD260" s="28"/>
      <c r="BE260" s="28"/>
      <c r="BF260" s="28"/>
      <c r="BG260" s="24"/>
      <c r="BH260" s="28"/>
      <c r="BI260" s="28"/>
      <c r="BJ260" s="28"/>
    </row>
    <row r="261" spans="1:62">
      <c r="A261" s="24"/>
      <c r="B261" s="28"/>
      <c r="C261" s="25"/>
      <c r="D261" s="26"/>
      <c r="E261" s="24"/>
      <c r="F261" s="24"/>
      <c r="G261" s="26"/>
      <c r="H261" s="26"/>
      <c r="I261" s="26"/>
      <c r="J261" s="26"/>
      <c r="K261" s="26"/>
      <c r="L261" s="26"/>
      <c r="M261" s="26"/>
      <c r="N261" s="26"/>
      <c r="P261" s="26"/>
      <c r="Q261" s="26"/>
      <c r="R261" s="25"/>
      <c r="S261" s="25"/>
      <c r="T261" s="25"/>
      <c r="U261" s="25"/>
      <c r="V261" s="24"/>
      <c r="W261" s="24"/>
      <c r="X261" s="24"/>
      <c r="Y261" s="26"/>
      <c r="Z261" s="26"/>
      <c r="AA261" s="24"/>
      <c r="AB261" s="24"/>
      <c r="AC261" s="24"/>
      <c r="AD261" s="24"/>
      <c r="AE261" s="26"/>
      <c r="AF261" s="26"/>
      <c r="AG261" s="24"/>
      <c r="AH261" s="24"/>
      <c r="AI261" s="28"/>
      <c r="AJ261" s="28"/>
      <c r="AK261" s="28"/>
      <c r="AL261" s="28"/>
      <c r="AM261" s="28"/>
      <c r="AN261" s="28"/>
      <c r="AO261" s="28"/>
      <c r="AP261" s="28"/>
      <c r="AQ261" s="28"/>
      <c r="AR261" s="28"/>
      <c r="AS261" s="28"/>
      <c r="AT261" s="28"/>
      <c r="AU261" s="28"/>
      <c r="AV261" s="24"/>
      <c r="AW261" s="28"/>
      <c r="AX261" s="28"/>
      <c r="AY261" s="28"/>
      <c r="AZ261" s="28"/>
      <c r="BA261" s="28"/>
      <c r="BB261" s="28"/>
      <c r="BC261" s="24"/>
      <c r="BD261" s="28"/>
      <c r="BE261" s="28"/>
      <c r="BF261" s="28"/>
      <c r="BG261" s="24"/>
      <c r="BH261" s="28"/>
      <c r="BI261" s="28"/>
      <c r="BJ261" s="28"/>
    </row>
    <row r="262" spans="1:62">
      <c r="A262" s="24"/>
      <c r="B262" s="28"/>
      <c r="C262" s="25"/>
      <c r="D262" s="26"/>
      <c r="E262" s="24"/>
      <c r="F262" s="24"/>
      <c r="G262" s="26"/>
      <c r="H262" s="26"/>
      <c r="I262" s="26"/>
      <c r="J262" s="26"/>
      <c r="K262" s="26"/>
      <c r="L262" s="26"/>
      <c r="M262" s="26"/>
      <c r="N262" s="26"/>
      <c r="P262" s="26"/>
      <c r="Q262" s="26"/>
      <c r="R262" s="25"/>
      <c r="S262" s="25"/>
      <c r="T262" s="25"/>
      <c r="U262" s="25"/>
      <c r="V262" s="24"/>
      <c r="W262" s="24"/>
      <c r="X262" s="24"/>
      <c r="Y262" s="26"/>
      <c r="Z262" s="26"/>
      <c r="AA262" s="24"/>
      <c r="AB262" s="24"/>
      <c r="AC262" s="24"/>
      <c r="AD262" s="24"/>
      <c r="AE262" s="26"/>
      <c r="AF262" s="26"/>
      <c r="AG262" s="24"/>
      <c r="AH262" s="24"/>
      <c r="AI262" s="28"/>
      <c r="AJ262" s="28"/>
      <c r="AK262" s="28"/>
      <c r="AL262" s="28"/>
      <c r="AM262" s="28"/>
      <c r="AN262" s="28"/>
      <c r="AO262" s="28"/>
      <c r="AP262" s="28"/>
      <c r="AQ262" s="28"/>
      <c r="AR262" s="28"/>
      <c r="AS262" s="28"/>
      <c r="AT262" s="28"/>
      <c r="AU262" s="28"/>
      <c r="AV262" s="24"/>
      <c r="AW262" s="28"/>
      <c r="AX262" s="28"/>
      <c r="AY262" s="28"/>
      <c r="AZ262" s="28"/>
      <c r="BA262" s="28"/>
      <c r="BB262" s="28"/>
      <c r="BC262" s="24"/>
      <c r="BD262" s="28"/>
      <c r="BE262" s="28"/>
      <c r="BF262" s="28"/>
      <c r="BG262" s="24"/>
      <c r="BH262" s="28"/>
      <c r="BI262" s="28"/>
      <c r="BJ262" s="28"/>
    </row>
    <row r="263" spans="1:62">
      <c r="A263" s="24"/>
      <c r="B263" s="28"/>
      <c r="C263" s="25"/>
      <c r="D263" s="26"/>
      <c r="E263" s="24"/>
      <c r="F263" s="24"/>
      <c r="G263" s="26"/>
      <c r="H263" s="26"/>
      <c r="I263" s="26"/>
      <c r="J263" s="26"/>
      <c r="K263" s="26"/>
      <c r="L263" s="26"/>
      <c r="M263" s="26"/>
      <c r="N263" s="26"/>
      <c r="P263" s="26"/>
      <c r="Q263" s="26"/>
      <c r="R263" s="25"/>
      <c r="S263" s="25"/>
      <c r="T263" s="25"/>
      <c r="U263" s="25"/>
      <c r="V263" s="24"/>
      <c r="W263" s="24"/>
      <c r="X263" s="24"/>
      <c r="Y263" s="26"/>
      <c r="Z263" s="26"/>
      <c r="AA263" s="24"/>
      <c r="AB263" s="24"/>
      <c r="AC263" s="24"/>
      <c r="AD263" s="24"/>
      <c r="AE263" s="26"/>
      <c r="AF263" s="26"/>
      <c r="AG263" s="24"/>
      <c r="AH263" s="24"/>
      <c r="AI263" s="28"/>
      <c r="AJ263" s="28"/>
      <c r="AK263" s="28"/>
      <c r="AL263" s="28"/>
      <c r="AM263" s="28"/>
      <c r="AN263" s="28"/>
      <c r="AO263" s="28"/>
      <c r="AP263" s="28"/>
      <c r="AQ263" s="28"/>
      <c r="AR263" s="28"/>
      <c r="AS263" s="28"/>
      <c r="AT263" s="28"/>
      <c r="AU263" s="28"/>
      <c r="AV263" s="24"/>
      <c r="AW263" s="28"/>
      <c r="AX263" s="28"/>
      <c r="AY263" s="28"/>
      <c r="AZ263" s="28"/>
      <c r="BA263" s="28"/>
      <c r="BB263" s="28"/>
      <c r="BC263" s="24"/>
      <c r="BD263" s="28"/>
      <c r="BE263" s="28"/>
      <c r="BF263" s="28"/>
      <c r="BG263" s="24"/>
      <c r="BH263" s="28"/>
      <c r="BI263" s="28"/>
      <c r="BJ263" s="28"/>
    </row>
    <row r="264" spans="1:62">
      <c r="A264" s="24"/>
      <c r="B264" s="28"/>
      <c r="C264" s="25"/>
      <c r="D264" s="26"/>
      <c r="E264" s="24"/>
      <c r="F264" s="24"/>
      <c r="G264" s="26"/>
      <c r="H264" s="26"/>
      <c r="I264" s="26"/>
      <c r="J264" s="26"/>
      <c r="K264" s="26"/>
      <c r="L264" s="26"/>
      <c r="M264" s="26"/>
      <c r="N264" s="26"/>
      <c r="P264" s="26"/>
      <c r="Q264" s="26"/>
      <c r="R264" s="25"/>
      <c r="S264" s="25"/>
      <c r="T264" s="25"/>
      <c r="U264" s="25"/>
      <c r="V264" s="24"/>
      <c r="W264" s="24"/>
      <c r="X264" s="24"/>
      <c r="Y264" s="26"/>
      <c r="Z264" s="26"/>
      <c r="AA264" s="24"/>
      <c r="AB264" s="24"/>
      <c r="AC264" s="24"/>
      <c r="AD264" s="24"/>
      <c r="AE264" s="26"/>
      <c r="AF264" s="26"/>
      <c r="AG264" s="24"/>
      <c r="AH264" s="24"/>
      <c r="AI264" s="28"/>
      <c r="AJ264" s="28"/>
      <c r="AK264" s="28"/>
      <c r="AL264" s="28"/>
      <c r="AM264" s="28"/>
      <c r="AN264" s="28"/>
      <c r="AO264" s="28"/>
      <c r="AP264" s="28"/>
      <c r="AQ264" s="28"/>
      <c r="AR264" s="28"/>
      <c r="AS264" s="28"/>
      <c r="AT264" s="28"/>
      <c r="AU264" s="28"/>
      <c r="AV264" s="24"/>
      <c r="AW264" s="28"/>
      <c r="AX264" s="28"/>
      <c r="AY264" s="28"/>
      <c r="AZ264" s="28"/>
      <c r="BA264" s="28"/>
      <c r="BB264" s="28"/>
      <c r="BC264" s="24"/>
      <c r="BD264" s="28"/>
      <c r="BE264" s="28"/>
      <c r="BF264" s="28"/>
      <c r="BG264" s="24"/>
      <c r="BH264" s="28"/>
      <c r="BI264" s="28"/>
      <c r="BJ264" s="28"/>
    </row>
    <row r="265" spans="1:62">
      <c r="A265" s="24"/>
      <c r="B265" s="28"/>
      <c r="C265" s="25"/>
      <c r="D265" s="26"/>
      <c r="E265" s="24"/>
      <c r="F265" s="24"/>
      <c r="G265" s="26"/>
      <c r="H265" s="26"/>
      <c r="I265" s="26"/>
      <c r="J265" s="26"/>
      <c r="K265" s="26"/>
      <c r="L265" s="26"/>
      <c r="M265" s="26"/>
      <c r="N265" s="26"/>
      <c r="P265" s="26"/>
      <c r="Q265" s="26"/>
      <c r="R265" s="25"/>
      <c r="S265" s="25"/>
      <c r="T265" s="25"/>
      <c r="U265" s="25"/>
      <c r="V265" s="24"/>
      <c r="W265" s="24"/>
      <c r="X265" s="24"/>
      <c r="Y265" s="26"/>
      <c r="Z265" s="26"/>
      <c r="AA265" s="24"/>
      <c r="AB265" s="24"/>
      <c r="AC265" s="24"/>
      <c r="AD265" s="24"/>
      <c r="AE265" s="26"/>
      <c r="AF265" s="26"/>
      <c r="AG265" s="24"/>
      <c r="AH265" s="24"/>
      <c r="AI265" s="28"/>
      <c r="AJ265" s="28"/>
      <c r="AK265" s="28"/>
      <c r="AL265" s="28"/>
      <c r="AM265" s="28"/>
      <c r="AN265" s="28"/>
      <c r="AO265" s="28"/>
      <c r="AP265" s="28"/>
      <c r="AQ265" s="28"/>
      <c r="AR265" s="28"/>
      <c r="AS265" s="28"/>
      <c r="AT265" s="28"/>
      <c r="AU265" s="28"/>
      <c r="AV265" s="24"/>
      <c r="AW265" s="28"/>
      <c r="AX265" s="28"/>
      <c r="AY265" s="28"/>
      <c r="AZ265" s="28"/>
      <c r="BA265" s="28"/>
      <c r="BB265" s="28"/>
      <c r="BC265" s="24"/>
      <c r="BD265" s="28"/>
      <c r="BE265" s="28"/>
      <c r="BF265" s="28"/>
      <c r="BG265" s="24"/>
      <c r="BH265" s="28"/>
      <c r="BI265" s="28"/>
      <c r="BJ265" s="28"/>
    </row>
    <row r="266" spans="1:62">
      <c r="A266" s="24"/>
      <c r="B266" s="28"/>
      <c r="C266" s="25"/>
      <c r="D266" s="26"/>
      <c r="E266" s="24"/>
      <c r="F266" s="24"/>
      <c r="G266" s="26"/>
      <c r="H266" s="26"/>
      <c r="I266" s="26"/>
      <c r="J266" s="26"/>
      <c r="K266" s="26"/>
      <c r="L266" s="26"/>
      <c r="M266" s="26"/>
      <c r="N266" s="26"/>
      <c r="P266" s="26"/>
      <c r="Q266" s="26"/>
      <c r="R266" s="25"/>
      <c r="S266" s="25"/>
      <c r="T266" s="25"/>
      <c r="U266" s="25"/>
      <c r="V266" s="24"/>
      <c r="W266" s="24"/>
      <c r="X266" s="24"/>
      <c r="Y266" s="26"/>
      <c r="Z266" s="26"/>
      <c r="AA266" s="24"/>
      <c r="AB266" s="24"/>
      <c r="AC266" s="24"/>
      <c r="AD266" s="24"/>
      <c r="AE266" s="26"/>
      <c r="AF266" s="26"/>
      <c r="AG266" s="24"/>
      <c r="AH266" s="24"/>
      <c r="AI266" s="28"/>
      <c r="AJ266" s="28"/>
      <c r="AK266" s="28"/>
      <c r="AL266" s="28"/>
      <c r="AM266" s="28"/>
      <c r="AN266" s="28"/>
      <c r="AO266" s="28"/>
      <c r="AP266" s="28"/>
      <c r="AQ266" s="28"/>
      <c r="AR266" s="28"/>
      <c r="AS266" s="28"/>
      <c r="AT266" s="28"/>
      <c r="AU266" s="28"/>
      <c r="AV266" s="24"/>
      <c r="AW266" s="28"/>
      <c r="AX266" s="28"/>
      <c r="AY266" s="28"/>
      <c r="AZ266" s="28"/>
      <c r="BA266" s="28"/>
      <c r="BB266" s="28"/>
      <c r="BC266" s="24"/>
      <c r="BD266" s="28"/>
      <c r="BE266" s="28"/>
      <c r="BF266" s="28"/>
      <c r="BG266" s="24"/>
      <c r="BH266" s="28"/>
      <c r="BI266" s="28"/>
      <c r="BJ266" s="28"/>
    </row>
    <row r="267" spans="1:62">
      <c r="A267" s="24"/>
      <c r="B267" s="28"/>
      <c r="C267" s="25"/>
      <c r="D267" s="26"/>
      <c r="E267" s="24"/>
      <c r="F267" s="24"/>
      <c r="G267" s="26"/>
      <c r="H267" s="26"/>
      <c r="I267" s="26"/>
      <c r="J267" s="26"/>
      <c r="K267" s="26"/>
      <c r="L267" s="26"/>
      <c r="M267" s="26"/>
      <c r="N267" s="26"/>
      <c r="P267" s="26"/>
      <c r="Q267" s="26"/>
      <c r="R267" s="25"/>
      <c r="S267" s="25"/>
      <c r="T267" s="25"/>
      <c r="U267" s="25"/>
      <c r="V267" s="24"/>
      <c r="W267" s="24"/>
      <c r="X267" s="24"/>
      <c r="Y267" s="26"/>
      <c r="Z267" s="26"/>
      <c r="AA267" s="24"/>
      <c r="AB267" s="24"/>
      <c r="AC267" s="24"/>
      <c r="AD267" s="24"/>
      <c r="AE267" s="26"/>
      <c r="AF267" s="26"/>
      <c r="AG267" s="24"/>
      <c r="AH267" s="24"/>
      <c r="AI267" s="28"/>
      <c r="AJ267" s="28"/>
      <c r="AK267" s="28"/>
      <c r="AL267" s="28"/>
      <c r="AM267" s="28"/>
      <c r="AN267" s="28"/>
      <c r="AO267" s="28"/>
      <c r="AP267" s="28"/>
      <c r="AQ267" s="28"/>
      <c r="AR267" s="28"/>
      <c r="AS267" s="28"/>
      <c r="AT267" s="28"/>
      <c r="AU267" s="28"/>
      <c r="AV267" s="24"/>
      <c r="AW267" s="28"/>
      <c r="AX267" s="28"/>
      <c r="AY267" s="28"/>
      <c r="AZ267" s="28"/>
      <c r="BA267" s="28"/>
      <c r="BB267" s="28"/>
      <c r="BC267" s="24"/>
      <c r="BD267" s="28"/>
      <c r="BE267" s="28"/>
      <c r="BF267" s="28"/>
      <c r="BG267" s="24"/>
      <c r="BH267" s="28"/>
      <c r="BI267" s="28"/>
      <c r="BJ267" s="28"/>
    </row>
    <row r="268" spans="1:62">
      <c r="A268" s="24"/>
      <c r="B268" s="28"/>
      <c r="C268" s="25"/>
      <c r="D268" s="26"/>
      <c r="E268" s="24"/>
      <c r="F268" s="24"/>
      <c r="G268" s="26"/>
      <c r="H268" s="26"/>
      <c r="I268" s="26"/>
      <c r="J268" s="26"/>
      <c r="K268" s="26"/>
      <c r="L268" s="26"/>
      <c r="M268" s="26"/>
      <c r="N268" s="26"/>
      <c r="P268" s="26"/>
      <c r="Q268" s="26"/>
      <c r="R268" s="25"/>
      <c r="S268" s="25"/>
      <c r="T268" s="25"/>
      <c r="U268" s="25"/>
      <c r="V268" s="24"/>
      <c r="W268" s="24"/>
      <c r="X268" s="24"/>
      <c r="Y268" s="26"/>
      <c r="Z268" s="26"/>
      <c r="AA268" s="24"/>
      <c r="AB268" s="24"/>
      <c r="AC268" s="24"/>
      <c r="AD268" s="24"/>
      <c r="AE268" s="26"/>
      <c r="AF268" s="26"/>
      <c r="AG268" s="24"/>
      <c r="AH268" s="24"/>
      <c r="AI268" s="28"/>
      <c r="AJ268" s="28"/>
      <c r="AK268" s="28"/>
      <c r="AL268" s="28"/>
      <c r="AM268" s="28"/>
      <c r="AN268" s="28"/>
      <c r="AO268" s="28"/>
      <c r="AP268" s="28"/>
      <c r="AQ268" s="28"/>
      <c r="AR268" s="28"/>
      <c r="AS268" s="28"/>
      <c r="AT268" s="28"/>
      <c r="AU268" s="28"/>
      <c r="AV268" s="24"/>
      <c r="AW268" s="28"/>
      <c r="AX268" s="28"/>
      <c r="AY268" s="28"/>
      <c r="AZ268" s="28"/>
      <c r="BA268" s="28"/>
      <c r="BB268" s="28"/>
      <c r="BC268" s="24"/>
      <c r="BD268" s="28"/>
      <c r="BE268" s="28"/>
      <c r="BF268" s="28"/>
      <c r="BG268" s="24"/>
      <c r="BH268" s="28"/>
      <c r="BI268" s="28"/>
      <c r="BJ268" s="28"/>
    </row>
    <row r="269" spans="1:62">
      <c r="A269" s="24"/>
      <c r="B269" s="28"/>
      <c r="C269" s="25"/>
      <c r="D269" s="26"/>
      <c r="E269" s="24"/>
      <c r="F269" s="24"/>
      <c r="G269" s="26"/>
      <c r="H269" s="26"/>
      <c r="I269" s="26"/>
      <c r="J269" s="26"/>
      <c r="K269" s="26"/>
      <c r="L269" s="26"/>
      <c r="M269" s="26"/>
      <c r="N269" s="26"/>
      <c r="P269" s="26"/>
      <c r="Q269" s="26"/>
      <c r="R269" s="25"/>
      <c r="S269" s="25"/>
      <c r="T269" s="25"/>
      <c r="U269" s="25"/>
      <c r="V269" s="24"/>
      <c r="W269" s="24"/>
      <c r="X269" s="24"/>
      <c r="Y269" s="26"/>
      <c r="Z269" s="26"/>
      <c r="AA269" s="24"/>
      <c r="AB269" s="24"/>
      <c r="AC269" s="24"/>
      <c r="AD269" s="24"/>
      <c r="AE269" s="26"/>
      <c r="AF269" s="26"/>
      <c r="AG269" s="24"/>
      <c r="AH269" s="24"/>
      <c r="AI269" s="28"/>
      <c r="AJ269" s="28"/>
      <c r="AK269" s="28"/>
      <c r="AL269" s="28"/>
      <c r="AM269" s="28"/>
      <c r="AN269" s="28"/>
      <c r="AO269" s="28"/>
      <c r="AP269" s="28"/>
      <c r="AQ269" s="28"/>
      <c r="AR269" s="28"/>
      <c r="AS269" s="28"/>
      <c r="AT269" s="28"/>
      <c r="AU269" s="28"/>
      <c r="AV269" s="24"/>
      <c r="AW269" s="28"/>
      <c r="AX269" s="28"/>
      <c r="AY269" s="28"/>
      <c r="AZ269" s="28"/>
      <c r="BA269" s="28"/>
      <c r="BB269" s="28"/>
      <c r="BC269" s="24"/>
      <c r="BD269" s="28"/>
      <c r="BE269" s="28"/>
      <c r="BF269" s="28"/>
      <c r="BG269" s="24"/>
      <c r="BH269" s="28"/>
      <c r="BI269" s="28"/>
      <c r="BJ269" s="28"/>
    </row>
    <row r="270" spans="1:62">
      <c r="A270" s="24"/>
      <c r="B270" s="28"/>
      <c r="C270" s="25"/>
      <c r="D270" s="26"/>
      <c r="E270" s="24"/>
      <c r="F270" s="24"/>
      <c r="G270" s="26"/>
      <c r="H270" s="26"/>
      <c r="I270" s="26"/>
      <c r="J270" s="26"/>
      <c r="K270" s="26"/>
      <c r="L270" s="26"/>
      <c r="M270" s="26"/>
      <c r="N270" s="26"/>
      <c r="P270" s="26"/>
      <c r="Q270" s="26"/>
      <c r="R270" s="25"/>
      <c r="S270" s="25"/>
      <c r="T270" s="25"/>
      <c r="U270" s="25"/>
      <c r="V270" s="24"/>
      <c r="W270" s="24"/>
      <c r="X270" s="24"/>
      <c r="Y270" s="26"/>
      <c r="Z270" s="26"/>
      <c r="AA270" s="24"/>
      <c r="AB270" s="24"/>
      <c r="AC270" s="24"/>
      <c r="AD270" s="24"/>
      <c r="AE270" s="26"/>
      <c r="AF270" s="26"/>
      <c r="AG270" s="24"/>
      <c r="AH270" s="24"/>
      <c r="AI270" s="28"/>
      <c r="AJ270" s="28"/>
      <c r="AK270" s="28"/>
      <c r="AL270" s="28"/>
      <c r="AM270" s="28"/>
      <c r="AN270" s="28"/>
      <c r="AO270" s="28"/>
      <c r="AP270" s="28"/>
      <c r="AQ270" s="28"/>
      <c r="AR270" s="28"/>
      <c r="AS270" s="28"/>
      <c r="AT270" s="28"/>
      <c r="AU270" s="28"/>
      <c r="AV270" s="24"/>
      <c r="AW270" s="28"/>
      <c r="AX270" s="28"/>
      <c r="AY270" s="28"/>
      <c r="AZ270" s="28"/>
      <c r="BA270" s="28"/>
      <c r="BB270" s="28"/>
      <c r="BC270" s="24"/>
      <c r="BD270" s="28"/>
      <c r="BE270" s="28"/>
      <c r="BF270" s="28"/>
      <c r="BG270" s="24"/>
      <c r="BH270" s="28"/>
      <c r="BI270" s="28"/>
      <c r="BJ270" s="28"/>
    </row>
    <row r="271" spans="1:62">
      <c r="A271" s="24"/>
      <c r="B271" s="28"/>
      <c r="C271" s="25"/>
      <c r="D271" s="26"/>
      <c r="E271" s="24"/>
      <c r="F271" s="24"/>
      <c r="G271" s="26"/>
      <c r="H271" s="26"/>
      <c r="I271" s="26"/>
      <c r="J271" s="26"/>
      <c r="K271" s="26"/>
      <c r="L271" s="26"/>
      <c r="M271" s="26"/>
      <c r="N271" s="26"/>
      <c r="P271" s="26"/>
      <c r="Q271" s="26"/>
      <c r="R271" s="25"/>
      <c r="S271" s="25"/>
      <c r="T271" s="25"/>
      <c r="U271" s="25"/>
      <c r="V271" s="24"/>
      <c r="W271" s="24"/>
      <c r="X271" s="24"/>
      <c r="Y271" s="26"/>
      <c r="Z271" s="26"/>
      <c r="AA271" s="24"/>
      <c r="AB271" s="24"/>
      <c r="AC271" s="24"/>
      <c r="AD271" s="24"/>
      <c r="AE271" s="26"/>
      <c r="AF271" s="26"/>
      <c r="AG271" s="24"/>
      <c r="AH271" s="24"/>
      <c r="AI271" s="28"/>
      <c r="AJ271" s="28"/>
      <c r="AK271" s="28"/>
      <c r="AL271" s="28"/>
      <c r="AM271" s="28"/>
      <c r="AN271" s="28"/>
      <c r="AO271" s="28"/>
      <c r="AP271" s="28"/>
      <c r="AQ271" s="28"/>
      <c r="AR271" s="28"/>
      <c r="AS271" s="28"/>
      <c r="AT271" s="28"/>
      <c r="AU271" s="28"/>
      <c r="AV271" s="24"/>
      <c r="AW271" s="28"/>
      <c r="AX271" s="28"/>
      <c r="AY271" s="28"/>
      <c r="AZ271" s="28"/>
      <c r="BA271" s="28"/>
      <c r="BB271" s="28"/>
      <c r="BC271" s="24"/>
      <c r="BD271" s="28"/>
      <c r="BE271" s="28"/>
      <c r="BF271" s="28"/>
      <c r="BG271" s="24"/>
      <c r="BH271" s="28"/>
      <c r="BI271" s="28"/>
      <c r="BJ271" s="28"/>
    </row>
    <row r="272" spans="1:62">
      <c r="A272" s="24"/>
      <c r="B272" s="28"/>
      <c r="C272" s="25"/>
      <c r="D272" s="26"/>
      <c r="E272" s="24"/>
      <c r="F272" s="24"/>
      <c r="G272" s="26"/>
      <c r="H272" s="26"/>
      <c r="I272" s="26"/>
      <c r="J272" s="26"/>
      <c r="K272" s="26"/>
      <c r="L272" s="26"/>
      <c r="M272" s="26"/>
      <c r="N272" s="26"/>
      <c r="P272" s="26"/>
      <c r="Q272" s="26"/>
      <c r="R272" s="25"/>
      <c r="S272" s="25"/>
      <c r="T272" s="25"/>
      <c r="U272" s="25"/>
      <c r="V272" s="24"/>
      <c r="W272" s="24"/>
      <c r="X272" s="24"/>
      <c r="Y272" s="26"/>
      <c r="Z272" s="26"/>
      <c r="AA272" s="24"/>
      <c r="AB272" s="24"/>
      <c r="AC272" s="24"/>
      <c r="AD272" s="24"/>
      <c r="AE272" s="26"/>
      <c r="AF272" s="26"/>
      <c r="AG272" s="24"/>
      <c r="AH272" s="24"/>
      <c r="AI272" s="28"/>
      <c r="AJ272" s="28"/>
      <c r="AK272" s="28"/>
      <c r="AL272" s="28"/>
      <c r="AM272" s="28"/>
      <c r="AN272" s="28"/>
      <c r="AO272" s="28"/>
      <c r="AP272" s="28"/>
      <c r="AQ272" s="28"/>
      <c r="AR272" s="28"/>
      <c r="AS272" s="28"/>
      <c r="AT272" s="28"/>
      <c r="AU272" s="28"/>
      <c r="AV272" s="24"/>
      <c r="AW272" s="28"/>
      <c r="AX272" s="28"/>
      <c r="AY272" s="28"/>
      <c r="AZ272" s="28"/>
      <c r="BA272" s="28"/>
      <c r="BB272" s="28"/>
      <c r="BC272" s="24"/>
      <c r="BD272" s="28"/>
      <c r="BE272" s="28"/>
      <c r="BF272" s="28"/>
      <c r="BG272" s="24"/>
      <c r="BH272" s="28"/>
      <c r="BI272" s="28"/>
      <c r="BJ272" s="28"/>
    </row>
    <row r="273" spans="1:62">
      <c r="A273" s="24"/>
      <c r="B273" s="28"/>
      <c r="C273" s="25"/>
      <c r="D273" s="26"/>
      <c r="E273" s="24"/>
      <c r="F273" s="24"/>
      <c r="G273" s="26"/>
      <c r="H273" s="26"/>
      <c r="I273" s="26"/>
      <c r="J273" s="26"/>
      <c r="K273" s="26"/>
      <c r="L273" s="26"/>
      <c r="M273" s="26"/>
      <c r="N273" s="26"/>
      <c r="P273" s="26"/>
      <c r="Q273" s="26"/>
      <c r="R273" s="25"/>
      <c r="S273" s="25"/>
      <c r="T273" s="25"/>
      <c r="U273" s="25"/>
      <c r="V273" s="24"/>
      <c r="W273" s="24"/>
      <c r="X273" s="24"/>
      <c r="Y273" s="26"/>
      <c r="Z273" s="26"/>
      <c r="AA273" s="24"/>
      <c r="AB273" s="24"/>
      <c r="AC273" s="24"/>
      <c r="AD273" s="24"/>
      <c r="AE273" s="26"/>
      <c r="AF273" s="26"/>
      <c r="AG273" s="24"/>
      <c r="AH273" s="24"/>
      <c r="AI273" s="28"/>
      <c r="AJ273" s="28"/>
      <c r="AK273" s="28"/>
      <c r="AL273" s="28"/>
      <c r="AM273" s="28"/>
      <c r="AN273" s="28"/>
      <c r="AO273" s="28"/>
      <c r="AP273" s="28"/>
      <c r="AQ273" s="28"/>
      <c r="AR273" s="28"/>
      <c r="AS273" s="28"/>
      <c r="AT273" s="28"/>
      <c r="AU273" s="28"/>
      <c r="AV273" s="24"/>
      <c r="AW273" s="28"/>
      <c r="AX273" s="28"/>
      <c r="AY273" s="28"/>
      <c r="AZ273" s="28"/>
      <c r="BA273" s="28"/>
      <c r="BB273" s="28"/>
      <c r="BC273" s="24"/>
      <c r="BD273" s="28"/>
      <c r="BE273" s="28"/>
      <c r="BF273" s="28"/>
      <c r="BG273" s="24"/>
      <c r="BH273" s="28"/>
      <c r="BI273" s="28"/>
      <c r="BJ273" s="28"/>
    </row>
    <row r="274" spans="1:62">
      <c r="A274" s="24"/>
      <c r="B274" s="28"/>
      <c r="C274" s="25"/>
      <c r="D274" s="26"/>
      <c r="E274" s="24"/>
      <c r="F274" s="24"/>
      <c r="G274" s="26"/>
      <c r="H274" s="26"/>
      <c r="I274" s="26"/>
      <c r="J274" s="26"/>
      <c r="K274" s="26"/>
      <c r="L274" s="26"/>
      <c r="M274" s="26"/>
      <c r="N274" s="26"/>
      <c r="P274" s="26"/>
      <c r="Q274" s="26"/>
      <c r="R274" s="25"/>
      <c r="S274" s="25"/>
      <c r="T274" s="25"/>
      <c r="U274" s="25"/>
      <c r="V274" s="24"/>
      <c r="W274" s="24"/>
      <c r="X274" s="24"/>
      <c r="Y274" s="26"/>
      <c r="Z274" s="26"/>
      <c r="AA274" s="24"/>
      <c r="AB274" s="24"/>
      <c r="AC274" s="24"/>
      <c r="AD274" s="24"/>
      <c r="AE274" s="26"/>
      <c r="AF274" s="26"/>
      <c r="AG274" s="24"/>
      <c r="AH274" s="24"/>
      <c r="AI274" s="28"/>
      <c r="AJ274" s="28"/>
      <c r="AK274" s="28"/>
      <c r="AL274" s="28"/>
      <c r="AM274" s="28"/>
      <c r="AN274" s="28"/>
      <c r="AO274" s="28"/>
      <c r="AP274" s="28"/>
      <c r="AQ274" s="28"/>
      <c r="AR274" s="28"/>
      <c r="AS274" s="28"/>
      <c r="AT274" s="28"/>
      <c r="AU274" s="28"/>
      <c r="AV274" s="24"/>
      <c r="AW274" s="28"/>
      <c r="AX274" s="28"/>
      <c r="AY274" s="28"/>
      <c r="AZ274" s="28"/>
      <c r="BA274" s="28"/>
      <c r="BB274" s="28"/>
      <c r="BC274" s="24"/>
      <c r="BD274" s="28"/>
      <c r="BE274" s="28"/>
      <c r="BF274" s="28"/>
      <c r="BG274" s="24"/>
      <c r="BH274" s="28"/>
      <c r="BI274" s="28"/>
      <c r="BJ274" s="28"/>
    </row>
    <row r="275" spans="1:62">
      <c r="A275" s="24"/>
      <c r="B275" s="28"/>
      <c r="C275" s="25"/>
      <c r="D275" s="26"/>
      <c r="E275" s="24"/>
      <c r="F275" s="24"/>
      <c r="G275" s="26"/>
      <c r="H275" s="26"/>
      <c r="I275" s="26"/>
      <c r="J275" s="26"/>
      <c r="K275" s="26"/>
      <c r="L275" s="26"/>
      <c r="M275" s="26"/>
      <c r="N275" s="26"/>
      <c r="P275" s="26"/>
      <c r="Q275" s="26"/>
      <c r="R275" s="25"/>
      <c r="S275" s="25"/>
      <c r="T275" s="25"/>
      <c r="U275" s="25"/>
      <c r="V275" s="24"/>
      <c r="W275" s="24"/>
      <c r="X275" s="24"/>
      <c r="Y275" s="26"/>
      <c r="Z275" s="26"/>
      <c r="AA275" s="24"/>
      <c r="AB275" s="24"/>
      <c r="AC275" s="24"/>
      <c r="AD275" s="24"/>
      <c r="AE275" s="26"/>
      <c r="AF275" s="26"/>
      <c r="AG275" s="24"/>
      <c r="AH275" s="24"/>
      <c r="AI275" s="28"/>
      <c r="AJ275" s="28"/>
      <c r="AK275" s="28"/>
      <c r="AL275" s="28"/>
      <c r="AM275" s="28"/>
      <c r="AN275" s="28"/>
      <c r="AO275" s="28"/>
      <c r="AP275" s="28"/>
      <c r="AQ275" s="28"/>
      <c r="AR275" s="28"/>
      <c r="AS275" s="28"/>
      <c r="AT275" s="28"/>
      <c r="AU275" s="28"/>
      <c r="AV275" s="24"/>
      <c r="AW275" s="28"/>
      <c r="AX275" s="28"/>
      <c r="AY275" s="28"/>
      <c r="AZ275" s="28"/>
      <c r="BA275" s="28"/>
      <c r="BB275" s="28"/>
      <c r="BC275" s="24"/>
      <c r="BD275" s="28"/>
      <c r="BE275" s="28"/>
      <c r="BF275" s="28"/>
      <c r="BG275" s="24"/>
      <c r="BH275" s="28"/>
      <c r="BI275" s="28"/>
      <c r="BJ275" s="28"/>
    </row>
    <row r="276" spans="1:62">
      <c r="A276" s="24"/>
      <c r="B276" s="28"/>
      <c r="C276" s="25"/>
      <c r="D276" s="26"/>
      <c r="E276" s="24"/>
      <c r="F276" s="24"/>
      <c r="G276" s="26"/>
      <c r="H276" s="26"/>
      <c r="I276" s="26"/>
      <c r="J276" s="26"/>
      <c r="K276" s="26"/>
      <c r="L276" s="26"/>
      <c r="M276" s="26"/>
      <c r="N276" s="26"/>
      <c r="P276" s="26"/>
      <c r="Q276" s="26"/>
      <c r="R276" s="25"/>
      <c r="S276" s="25"/>
      <c r="T276" s="25"/>
      <c r="U276" s="25"/>
      <c r="V276" s="24"/>
      <c r="W276" s="24"/>
      <c r="X276" s="24"/>
      <c r="Y276" s="26"/>
      <c r="Z276" s="26"/>
      <c r="AA276" s="24"/>
      <c r="AB276" s="24"/>
      <c r="AC276" s="24"/>
      <c r="AD276" s="24"/>
      <c r="AE276" s="26"/>
      <c r="AF276" s="26"/>
      <c r="AG276" s="24"/>
      <c r="AH276" s="24"/>
      <c r="AI276" s="28"/>
      <c r="AJ276" s="28"/>
      <c r="AK276" s="28"/>
      <c r="AL276" s="28"/>
      <c r="AM276" s="28"/>
      <c r="AN276" s="28"/>
      <c r="AO276" s="28"/>
      <c r="AP276" s="28"/>
      <c r="AQ276" s="28"/>
      <c r="AR276" s="28"/>
      <c r="AS276" s="28"/>
      <c r="AT276" s="28"/>
      <c r="AU276" s="28"/>
      <c r="AV276" s="24"/>
      <c r="AW276" s="28"/>
      <c r="AX276" s="28"/>
      <c r="AY276" s="28"/>
      <c r="AZ276" s="28"/>
      <c r="BA276" s="28"/>
      <c r="BB276" s="28"/>
      <c r="BC276" s="24"/>
      <c r="BD276" s="28"/>
      <c r="BE276" s="28"/>
      <c r="BF276" s="28"/>
      <c r="BG276" s="24"/>
      <c r="BH276" s="28"/>
      <c r="BI276" s="28"/>
      <c r="BJ276" s="28"/>
    </row>
    <row r="277" spans="1:62">
      <c r="A277" s="24"/>
      <c r="B277" s="28"/>
      <c r="C277" s="25"/>
      <c r="D277" s="26"/>
      <c r="E277" s="24"/>
      <c r="F277" s="24"/>
      <c r="G277" s="26"/>
      <c r="H277" s="26"/>
      <c r="I277" s="26"/>
      <c r="J277" s="26"/>
      <c r="K277" s="26"/>
      <c r="L277" s="26"/>
      <c r="M277" s="26"/>
      <c r="N277" s="26"/>
      <c r="P277" s="26"/>
      <c r="Q277" s="26"/>
      <c r="R277" s="25"/>
      <c r="S277" s="25"/>
      <c r="T277" s="25"/>
      <c r="U277" s="25"/>
      <c r="V277" s="24"/>
      <c r="W277" s="24"/>
      <c r="X277" s="24"/>
      <c r="Y277" s="26"/>
      <c r="Z277" s="26"/>
      <c r="AA277" s="24"/>
      <c r="AB277" s="24"/>
      <c r="AC277" s="24"/>
      <c r="AD277" s="24"/>
      <c r="AE277" s="26"/>
      <c r="AF277" s="26"/>
      <c r="AG277" s="24"/>
      <c r="AH277" s="24"/>
      <c r="AI277" s="28"/>
      <c r="AJ277" s="28"/>
      <c r="AK277" s="28"/>
      <c r="AL277" s="28"/>
      <c r="AM277" s="28"/>
      <c r="AN277" s="28"/>
      <c r="AO277" s="28"/>
      <c r="AP277" s="28"/>
      <c r="AQ277" s="28"/>
      <c r="AR277" s="28"/>
      <c r="AS277" s="28"/>
      <c r="AT277" s="28"/>
      <c r="AU277" s="28"/>
      <c r="AV277" s="24"/>
      <c r="AW277" s="28"/>
      <c r="AX277" s="28"/>
      <c r="AY277" s="28"/>
      <c r="AZ277" s="28"/>
      <c r="BA277" s="28"/>
      <c r="BB277" s="28"/>
      <c r="BC277" s="24"/>
      <c r="BD277" s="28"/>
      <c r="BE277" s="28"/>
      <c r="BF277" s="28"/>
      <c r="BG277" s="24"/>
      <c r="BH277" s="28"/>
      <c r="BI277" s="28"/>
      <c r="BJ277" s="28"/>
    </row>
    <row r="278" spans="1:62">
      <c r="A278" s="24"/>
      <c r="B278" s="28"/>
      <c r="C278" s="25"/>
      <c r="D278" s="26"/>
      <c r="E278" s="24"/>
      <c r="F278" s="24"/>
      <c r="G278" s="26"/>
      <c r="H278" s="26"/>
      <c r="I278" s="26"/>
      <c r="J278" s="26"/>
      <c r="K278" s="26"/>
      <c r="L278" s="26"/>
      <c r="M278" s="26"/>
      <c r="N278" s="26"/>
      <c r="P278" s="26"/>
      <c r="Q278" s="26"/>
      <c r="R278" s="25"/>
      <c r="S278" s="25"/>
      <c r="T278" s="25"/>
      <c r="U278" s="25"/>
      <c r="V278" s="24"/>
      <c r="W278" s="24"/>
      <c r="X278" s="24"/>
      <c r="Y278" s="26"/>
      <c r="Z278" s="26"/>
      <c r="AA278" s="24"/>
      <c r="AB278" s="24"/>
      <c r="AC278" s="24"/>
      <c r="AD278" s="24"/>
      <c r="AE278" s="26"/>
      <c r="AF278" s="26"/>
      <c r="AG278" s="24"/>
      <c r="AH278" s="24"/>
      <c r="AI278" s="28"/>
      <c r="AJ278" s="28"/>
      <c r="AK278" s="28"/>
      <c r="AL278" s="28"/>
      <c r="AM278" s="28"/>
      <c r="AN278" s="28"/>
      <c r="AO278" s="28"/>
      <c r="AP278" s="28"/>
      <c r="AQ278" s="28"/>
      <c r="AR278" s="28"/>
      <c r="AS278" s="28"/>
      <c r="AT278" s="28"/>
      <c r="AU278" s="28"/>
      <c r="AV278" s="24"/>
      <c r="AW278" s="28"/>
      <c r="AX278" s="28"/>
      <c r="AY278" s="28"/>
      <c r="AZ278" s="28"/>
      <c r="BA278" s="28"/>
      <c r="BB278" s="28"/>
      <c r="BC278" s="24"/>
      <c r="BD278" s="28"/>
      <c r="BE278" s="28"/>
      <c r="BF278" s="28"/>
      <c r="BG278" s="24"/>
      <c r="BH278" s="28"/>
      <c r="BI278" s="28"/>
      <c r="BJ278" s="28"/>
    </row>
    <row r="279" spans="1:62">
      <c r="A279" s="24"/>
      <c r="B279" s="28"/>
      <c r="C279" s="25"/>
      <c r="D279" s="26"/>
      <c r="E279" s="24"/>
      <c r="F279" s="24"/>
      <c r="G279" s="26"/>
      <c r="H279" s="26"/>
      <c r="I279" s="26"/>
      <c r="J279" s="26"/>
      <c r="K279" s="26"/>
      <c r="L279" s="26"/>
      <c r="M279" s="26"/>
      <c r="N279" s="26"/>
      <c r="P279" s="26"/>
      <c r="Q279" s="26"/>
      <c r="R279" s="25"/>
      <c r="S279" s="25"/>
      <c r="T279" s="25"/>
      <c r="U279" s="25"/>
      <c r="V279" s="24"/>
      <c r="W279" s="24"/>
      <c r="X279" s="24"/>
      <c r="Y279" s="26"/>
      <c r="Z279" s="26"/>
      <c r="AA279" s="24"/>
      <c r="AB279" s="24"/>
      <c r="AC279" s="24"/>
      <c r="AD279" s="24"/>
      <c r="AE279" s="26"/>
      <c r="AF279" s="26"/>
      <c r="AG279" s="24"/>
      <c r="AH279" s="24"/>
      <c r="AI279" s="28"/>
      <c r="AJ279" s="28"/>
      <c r="AK279" s="28"/>
      <c r="AL279" s="28"/>
      <c r="AM279" s="28"/>
      <c r="AN279" s="28"/>
      <c r="AO279" s="28"/>
      <c r="AP279" s="28"/>
      <c r="AQ279" s="28"/>
      <c r="AR279" s="28"/>
      <c r="AS279" s="28"/>
      <c r="AT279" s="28"/>
      <c r="AU279" s="28"/>
      <c r="AV279" s="24"/>
      <c r="AW279" s="28"/>
      <c r="AX279" s="28"/>
      <c r="AY279" s="28"/>
      <c r="AZ279" s="28"/>
      <c r="BA279" s="28"/>
      <c r="BB279" s="28"/>
      <c r="BC279" s="24"/>
      <c r="BD279" s="28"/>
      <c r="BE279" s="28"/>
      <c r="BF279" s="28"/>
      <c r="BG279" s="24"/>
      <c r="BH279" s="28"/>
      <c r="BI279" s="28"/>
      <c r="BJ279" s="28"/>
    </row>
    <row r="280" spans="1:62">
      <c r="A280" s="24"/>
      <c r="B280" s="28"/>
      <c r="C280" s="25"/>
      <c r="D280" s="26"/>
      <c r="E280" s="24"/>
      <c r="F280" s="24"/>
      <c r="G280" s="26"/>
      <c r="H280" s="26"/>
      <c r="I280" s="26"/>
      <c r="J280" s="26"/>
      <c r="K280" s="26"/>
      <c r="L280" s="26"/>
      <c r="M280" s="26"/>
      <c r="N280" s="26"/>
      <c r="P280" s="26"/>
      <c r="Q280" s="26"/>
      <c r="R280" s="25"/>
      <c r="S280" s="25"/>
      <c r="T280" s="25"/>
      <c r="U280" s="25"/>
      <c r="V280" s="24"/>
      <c r="W280" s="24"/>
      <c r="X280" s="24"/>
      <c r="Y280" s="26"/>
      <c r="Z280" s="26"/>
      <c r="AA280" s="24"/>
      <c r="AB280" s="24"/>
      <c r="AC280" s="24"/>
      <c r="AD280" s="24"/>
      <c r="AE280" s="26"/>
      <c r="AF280" s="26"/>
      <c r="AG280" s="24"/>
      <c r="AH280" s="24"/>
      <c r="AI280" s="28"/>
      <c r="AJ280" s="28"/>
      <c r="AK280" s="28"/>
      <c r="AL280" s="28"/>
      <c r="AM280" s="28"/>
      <c r="AN280" s="28"/>
      <c r="AO280" s="28"/>
      <c r="AP280" s="28"/>
      <c r="AQ280" s="28"/>
      <c r="AR280" s="28"/>
      <c r="AS280" s="28"/>
      <c r="AT280" s="28"/>
      <c r="AU280" s="28"/>
      <c r="AV280" s="24"/>
      <c r="AW280" s="28"/>
      <c r="AX280" s="28"/>
      <c r="AY280" s="28"/>
      <c r="AZ280" s="28"/>
      <c r="BA280" s="28"/>
      <c r="BB280" s="28"/>
      <c r="BC280" s="24"/>
      <c r="BD280" s="28"/>
      <c r="BE280" s="28"/>
      <c r="BF280" s="28"/>
      <c r="BG280" s="24"/>
      <c r="BH280" s="28"/>
      <c r="BI280" s="28"/>
      <c r="BJ280" s="28"/>
    </row>
    <row r="281" spans="1:62">
      <c r="A281" s="24"/>
      <c r="B281" s="28"/>
      <c r="C281" s="25"/>
      <c r="D281" s="26"/>
      <c r="E281" s="24"/>
      <c r="F281" s="24"/>
      <c r="G281" s="26"/>
      <c r="H281" s="26"/>
      <c r="I281" s="26"/>
      <c r="J281" s="26"/>
      <c r="K281" s="26"/>
      <c r="L281" s="26"/>
      <c r="M281" s="26"/>
      <c r="N281" s="26"/>
      <c r="P281" s="26"/>
      <c r="Q281" s="26"/>
      <c r="R281" s="25"/>
      <c r="S281" s="25"/>
      <c r="T281" s="25"/>
      <c r="U281" s="25"/>
      <c r="V281" s="24"/>
      <c r="W281" s="24"/>
      <c r="X281" s="24"/>
      <c r="Y281" s="26"/>
      <c r="Z281" s="26"/>
      <c r="AA281" s="24"/>
      <c r="AB281" s="24"/>
      <c r="AC281" s="24"/>
      <c r="AD281" s="24"/>
      <c r="AE281" s="26"/>
      <c r="AF281" s="26"/>
      <c r="AG281" s="24"/>
      <c r="AH281" s="24"/>
      <c r="AI281" s="28"/>
      <c r="AJ281" s="28"/>
      <c r="AK281" s="28"/>
      <c r="AL281" s="28"/>
      <c r="AM281" s="28"/>
      <c r="AN281" s="28"/>
      <c r="AO281" s="28"/>
      <c r="AP281" s="28"/>
      <c r="AQ281" s="28"/>
      <c r="AR281" s="28"/>
      <c r="AS281" s="28"/>
      <c r="AT281" s="28"/>
      <c r="AU281" s="28"/>
      <c r="AV281" s="24"/>
      <c r="AW281" s="28"/>
      <c r="AX281" s="28"/>
      <c r="AY281" s="28"/>
      <c r="AZ281" s="28"/>
      <c r="BA281" s="28"/>
      <c r="BB281" s="28"/>
      <c r="BC281" s="24"/>
      <c r="BD281" s="28"/>
      <c r="BE281" s="28"/>
      <c r="BF281" s="28"/>
      <c r="BG281" s="24"/>
      <c r="BH281" s="28"/>
      <c r="BI281" s="28"/>
      <c r="BJ281" s="28"/>
    </row>
    <row r="282" spans="1:62">
      <c r="A282" s="24"/>
      <c r="B282" s="28"/>
      <c r="C282" s="25"/>
      <c r="D282" s="26"/>
      <c r="E282" s="24"/>
      <c r="F282" s="24"/>
      <c r="G282" s="26"/>
      <c r="H282" s="26"/>
      <c r="I282" s="26"/>
      <c r="J282" s="26"/>
      <c r="K282" s="26"/>
      <c r="L282" s="26"/>
      <c r="M282" s="26"/>
      <c r="N282" s="26"/>
      <c r="P282" s="26"/>
      <c r="Q282" s="26"/>
      <c r="R282" s="25"/>
      <c r="S282" s="25"/>
      <c r="T282" s="25"/>
      <c r="U282" s="25"/>
      <c r="V282" s="24"/>
      <c r="W282" s="24"/>
      <c r="X282" s="24"/>
      <c r="Y282" s="26"/>
      <c r="Z282" s="26"/>
      <c r="AA282" s="24"/>
      <c r="AB282" s="24"/>
      <c r="AC282" s="24"/>
      <c r="AD282" s="24"/>
      <c r="AE282" s="26"/>
      <c r="AF282" s="26"/>
      <c r="AG282" s="24"/>
      <c r="AH282" s="24"/>
      <c r="AI282" s="28"/>
      <c r="AJ282" s="28"/>
      <c r="AK282" s="28"/>
      <c r="AL282" s="28"/>
      <c r="AM282" s="28"/>
      <c r="AN282" s="28"/>
      <c r="AO282" s="28"/>
      <c r="AP282" s="28"/>
      <c r="AQ282" s="28"/>
      <c r="AR282" s="28"/>
      <c r="AS282" s="28"/>
      <c r="AT282" s="28"/>
      <c r="AU282" s="28"/>
      <c r="AV282" s="24"/>
      <c r="AW282" s="28"/>
      <c r="AX282" s="28"/>
      <c r="AY282" s="28"/>
      <c r="AZ282" s="28"/>
      <c r="BA282" s="28"/>
      <c r="BB282" s="28"/>
      <c r="BC282" s="24"/>
      <c r="BD282" s="28"/>
      <c r="BE282" s="28"/>
      <c r="BF282" s="28"/>
      <c r="BG282" s="24"/>
      <c r="BH282" s="28"/>
      <c r="BI282" s="28"/>
      <c r="BJ282" s="28"/>
    </row>
    <row r="283" spans="1:62">
      <c r="A283" s="24"/>
      <c r="B283" s="28"/>
      <c r="C283" s="25"/>
      <c r="D283" s="26"/>
      <c r="E283" s="24"/>
      <c r="F283" s="24"/>
      <c r="G283" s="26"/>
      <c r="H283" s="26"/>
      <c r="I283" s="26"/>
      <c r="J283" s="26"/>
      <c r="K283" s="26"/>
      <c r="L283" s="26"/>
      <c r="M283" s="26"/>
      <c r="N283" s="26"/>
      <c r="P283" s="26"/>
      <c r="Q283" s="26"/>
      <c r="R283" s="25"/>
      <c r="S283" s="25"/>
      <c r="T283" s="25"/>
      <c r="U283" s="25"/>
      <c r="V283" s="24"/>
      <c r="W283" s="24"/>
      <c r="X283" s="24"/>
      <c r="Y283" s="26"/>
      <c r="Z283" s="26"/>
      <c r="AA283" s="24"/>
      <c r="AB283" s="24"/>
      <c r="AC283" s="24"/>
      <c r="AD283" s="24"/>
      <c r="AE283" s="26"/>
      <c r="AF283" s="26"/>
      <c r="AG283" s="24"/>
      <c r="AH283" s="24"/>
      <c r="AI283" s="28"/>
      <c r="AJ283" s="28"/>
      <c r="AK283" s="28"/>
      <c r="AL283" s="28"/>
      <c r="AM283" s="28"/>
      <c r="AN283" s="28"/>
      <c r="AO283" s="28"/>
      <c r="AP283" s="28"/>
      <c r="AQ283" s="28"/>
      <c r="AR283" s="28"/>
      <c r="AS283" s="28"/>
      <c r="AT283" s="28"/>
      <c r="AU283" s="28"/>
      <c r="AV283" s="24"/>
      <c r="AW283" s="28"/>
      <c r="AX283" s="28"/>
      <c r="AY283" s="28"/>
      <c r="AZ283" s="28"/>
      <c r="BA283" s="28"/>
      <c r="BB283" s="28"/>
      <c r="BC283" s="24"/>
      <c r="BD283" s="28"/>
      <c r="BE283" s="28"/>
      <c r="BF283" s="28"/>
      <c r="BG283" s="24"/>
      <c r="BH283" s="28"/>
      <c r="BI283" s="28"/>
      <c r="BJ283" s="28"/>
    </row>
    <row r="284" spans="1:62">
      <c r="A284" s="24"/>
      <c r="B284" s="28"/>
      <c r="C284" s="25"/>
      <c r="D284" s="26"/>
      <c r="E284" s="24"/>
      <c r="F284" s="24"/>
      <c r="G284" s="26"/>
      <c r="H284" s="26"/>
      <c r="I284" s="26"/>
      <c r="J284" s="26"/>
      <c r="K284" s="26"/>
      <c r="L284" s="26"/>
      <c r="M284" s="26"/>
      <c r="N284" s="26"/>
      <c r="P284" s="26"/>
      <c r="Q284" s="26"/>
      <c r="R284" s="25"/>
      <c r="S284" s="25"/>
      <c r="T284" s="25"/>
      <c r="U284" s="25"/>
      <c r="V284" s="24"/>
      <c r="W284" s="24"/>
      <c r="X284" s="24"/>
      <c r="Y284" s="26"/>
      <c r="Z284" s="26"/>
      <c r="AA284" s="24"/>
      <c r="AB284" s="24"/>
      <c r="AC284" s="24"/>
      <c r="AD284" s="24"/>
      <c r="AE284" s="26"/>
      <c r="AF284" s="26"/>
      <c r="AG284" s="24"/>
      <c r="AH284" s="24"/>
      <c r="AI284" s="28"/>
      <c r="AJ284" s="28"/>
      <c r="AK284" s="28"/>
      <c r="AL284" s="28"/>
      <c r="AM284" s="28"/>
      <c r="AN284" s="28"/>
      <c r="AO284" s="28"/>
      <c r="AP284" s="28"/>
      <c r="AQ284" s="28"/>
      <c r="AR284" s="28"/>
      <c r="AS284" s="28"/>
      <c r="AT284" s="28"/>
      <c r="AU284" s="28"/>
      <c r="AV284" s="24"/>
      <c r="AW284" s="28"/>
      <c r="AX284" s="28"/>
      <c r="AY284" s="28"/>
      <c r="AZ284" s="28"/>
      <c r="BA284" s="28"/>
      <c r="BB284" s="28"/>
      <c r="BC284" s="24"/>
      <c r="BD284" s="28"/>
      <c r="BE284" s="28"/>
      <c r="BF284" s="28"/>
      <c r="BG284" s="24"/>
      <c r="BH284" s="28"/>
      <c r="BI284" s="28"/>
      <c r="BJ284" s="28"/>
    </row>
    <row r="285" spans="1:62">
      <c r="A285" s="24"/>
      <c r="B285" s="28"/>
      <c r="C285" s="25"/>
      <c r="D285" s="26"/>
      <c r="E285" s="24"/>
      <c r="F285" s="24"/>
      <c r="G285" s="26"/>
      <c r="H285" s="26"/>
      <c r="I285" s="26"/>
      <c r="J285" s="26"/>
      <c r="K285" s="26"/>
      <c r="L285" s="26"/>
      <c r="M285" s="26"/>
      <c r="N285" s="26"/>
      <c r="P285" s="26"/>
      <c r="Q285" s="26"/>
      <c r="R285" s="25"/>
      <c r="S285" s="25"/>
      <c r="T285" s="25"/>
      <c r="U285" s="25"/>
      <c r="V285" s="24"/>
      <c r="W285" s="24"/>
      <c r="X285" s="24"/>
      <c r="Y285" s="26"/>
      <c r="Z285" s="26"/>
      <c r="AA285" s="24"/>
      <c r="AB285" s="24"/>
      <c r="AC285" s="24"/>
      <c r="AD285" s="24"/>
      <c r="AE285" s="26"/>
      <c r="AF285" s="26"/>
      <c r="AG285" s="24"/>
      <c r="AH285" s="24"/>
      <c r="AI285" s="28"/>
      <c r="AJ285" s="28"/>
      <c r="AK285" s="28"/>
      <c r="AL285" s="28"/>
      <c r="AM285" s="28"/>
      <c r="AN285" s="28"/>
      <c r="AO285" s="28"/>
      <c r="AP285" s="28"/>
      <c r="AQ285" s="28"/>
      <c r="AR285" s="28"/>
      <c r="AS285" s="28"/>
      <c r="AT285" s="28"/>
      <c r="AU285" s="28"/>
      <c r="AV285" s="24"/>
      <c r="AW285" s="28"/>
      <c r="AX285" s="28"/>
      <c r="AY285" s="28"/>
      <c r="AZ285" s="28"/>
      <c r="BA285" s="28"/>
      <c r="BB285" s="28"/>
      <c r="BC285" s="24"/>
      <c r="BD285" s="28"/>
      <c r="BE285" s="28"/>
      <c r="BF285" s="28"/>
      <c r="BG285" s="24"/>
      <c r="BH285" s="28"/>
      <c r="BI285" s="28"/>
      <c r="BJ285" s="28"/>
    </row>
    <row r="286" spans="1:62">
      <c r="A286" s="24"/>
      <c r="B286" s="28"/>
      <c r="C286" s="25"/>
      <c r="D286" s="26"/>
      <c r="E286" s="24"/>
      <c r="F286" s="24"/>
      <c r="G286" s="26"/>
      <c r="H286" s="26"/>
      <c r="I286" s="26"/>
      <c r="J286" s="26"/>
      <c r="K286" s="26"/>
      <c r="L286" s="26"/>
      <c r="M286" s="26"/>
      <c r="N286" s="26"/>
      <c r="P286" s="26"/>
      <c r="Q286" s="26"/>
      <c r="R286" s="25"/>
      <c r="S286" s="25"/>
      <c r="T286" s="25"/>
      <c r="U286" s="25"/>
      <c r="V286" s="24"/>
      <c r="W286" s="24"/>
      <c r="X286" s="24"/>
      <c r="Y286" s="26"/>
      <c r="Z286" s="26"/>
      <c r="AA286" s="24"/>
      <c r="AB286" s="24"/>
      <c r="AC286" s="24"/>
      <c r="AD286" s="24"/>
      <c r="AE286" s="26"/>
      <c r="AF286" s="26"/>
      <c r="AG286" s="24"/>
      <c r="AH286" s="24"/>
      <c r="AI286" s="28"/>
      <c r="AJ286" s="28"/>
      <c r="AK286" s="28"/>
      <c r="AL286" s="28"/>
      <c r="AM286" s="28"/>
      <c r="AN286" s="28"/>
      <c r="AO286" s="28"/>
      <c r="AP286" s="28"/>
      <c r="AQ286" s="28"/>
      <c r="AR286" s="28"/>
      <c r="AS286" s="28"/>
      <c r="AT286" s="28"/>
      <c r="AU286" s="28"/>
      <c r="AV286" s="24"/>
      <c r="AW286" s="28"/>
      <c r="AX286" s="28"/>
      <c r="AY286" s="28"/>
      <c r="AZ286" s="28"/>
      <c r="BA286" s="28"/>
      <c r="BB286" s="28"/>
      <c r="BC286" s="24"/>
      <c r="BD286" s="28"/>
      <c r="BE286" s="28"/>
      <c r="BF286" s="28"/>
      <c r="BG286" s="24"/>
      <c r="BH286" s="28"/>
      <c r="BI286" s="28"/>
      <c r="BJ286" s="28"/>
    </row>
    <row r="287" spans="1:62">
      <c r="A287" s="24"/>
      <c r="B287" s="28"/>
      <c r="C287" s="25"/>
      <c r="D287" s="26"/>
      <c r="E287" s="24"/>
      <c r="F287" s="24"/>
      <c r="G287" s="26"/>
      <c r="H287" s="26"/>
      <c r="I287" s="26"/>
      <c r="J287" s="26"/>
      <c r="K287" s="26"/>
      <c r="L287" s="26"/>
      <c r="M287" s="26"/>
      <c r="N287" s="26"/>
      <c r="P287" s="26"/>
      <c r="Q287" s="26"/>
      <c r="R287" s="25"/>
      <c r="S287" s="25"/>
      <c r="T287" s="25"/>
      <c r="U287" s="25"/>
      <c r="V287" s="24"/>
      <c r="W287" s="24"/>
      <c r="X287" s="24"/>
      <c r="Y287" s="26"/>
      <c r="Z287" s="26"/>
      <c r="AA287" s="24"/>
      <c r="AB287" s="24"/>
      <c r="AC287" s="24"/>
      <c r="AD287" s="24"/>
      <c r="AE287" s="26"/>
      <c r="AF287" s="26"/>
      <c r="AG287" s="24"/>
      <c r="AH287" s="24"/>
      <c r="AI287" s="28"/>
      <c r="AJ287" s="28"/>
      <c r="AK287" s="28"/>
      <c r="AL287" s="28"/>
      <c r="AM287" s="28"/>
      <c r="AN287" s="28"/>
      <c r="AO287" s="28"/>
      <c r="AP287" s="28"/>
      <c r="AQ287" s="28"/>
      <c r="AR287" s="28"/>
      <c r="AS287" s="28"/>
      <c r="AT287" s="28"/>
      <c r="AU287" s="28"/>
      <c r="AV287" s="24"/>
      <c r="AW287" s="28"/>
      <c r="AX287" s="28"/>
      <c r="AY287" s="28"/>
      <c r="AZ287" s="28"/>
      <c r="BA287" s="28"/>
      <c r="BB287" s="28"/>
      <c r="BC287" s="24"/>
      <c r="BD287" s="28"/>
      <c r="BE287" s="28"/>
      <c r="BF287" s="28"/>
      <c r="BG287" s="24"/>
      <c r="BH287" s="28"/>
      <c r="BI287" s="28"/>
      <c r="BJ287" s="28"/>
    </row>
    <row r="288" spans="1:62">
      <c r="A288" s="24"/>
      <c r="B288" s="28"/>
      <c r="C288" s="25"/>
      <c r="D288" s="26"/>
      <c r="E288" s="24"/>
      <c r="F288" s="24"/>
      <c r="G288" s="26"/>
      <c r="H288" s="26"/>
      <c r="I288" s="26"/>
      <c r="J288" s="26"/>
      <c r="K288" s="26"/>
      <c r="L288" s="26"/>
      <c r="M288" s="26"/>
      <c r="N288" s="26"/>
      <c r="P288" s="26"/>
      <c r="Q288" s="26"/>
      <c r="R288" s="25"/>
      <c r="S288" s="25"/>
      <c r="T288" s="25"/>
      <c r="U288" s="25"/>
      <c r="V288" s="24"/>
      <c r="W288" s="24"/>
      <c r="X288" s="24"/>
      <c r="Y288" s="26"/>
      <c r="Z288" s="26"/>
      <c r="AA288" s="24"/>
      <c r="AB288" s="24"/>
      <c r="AC288" s="24"/>
      <c r="AD288" s="24"/>
      <c r="AE288" s="26"/>
      <c r="AF288" s="26"/>
      <c r="AG288" s="24"/>
      <c r="AH288" s="24"/>
      <c r="AI288" s="28"/>
      <c r="AJ288" s="28"/>
      <c r="AK288" s="28"/>
      <c r="AL288" s="28"/>
      <c r="AM288" s="28"/>
      <c r="AN288" s="28"/>
      <c r="AO288" s="28"/>
      <c r="AP288" s="28"/>
      <c r="AQ288" s="28"/>
      <c r="AR288" s="28"/>
      <c r="AS288" s="28"/>
      <c r="AT288" s="28"/>
      <c r="AU288" s="28"/>
      <c r="AV288" s="24"/>
      <c r="AW288" s="28"/>
      <c r="AX288" s="28"/>
      <c r="AY288" s="28"/>
      <c r="AZ288" s="28"/>
      <c r="BA288" s="28"/>
      <c r="BB288" s="28"/>
      <c r="BC288" s="24"/>
      <c r="BD288" s="28"/>
      <c r="BE288" s="28"/>
      <c r="BF288" s="28"/>
      <c r="BG288" s="24"/>
      <c r="BH288" s="28"/>
      <c r="BI288" s="28"/>
      <c r="BJ288" s="28"/>
    </row>
    <row r="289" spans="1:62">
      <c r="A289" s="24"/>
      <c r="B289" s="28"/>
      <c r="C289" s="25"/>
      <c r="D289" s="26"/>
      <c r="E289" s="24"/>
      <c r="F289" s="24"/>
      <c r="G289" s="26"/>
      <c r="H289" s="26"/>
      <c r="I289" s="26"/>
      <c r="J289" s="26"/>
      <c r="K289" s="26"/>
      <c r="L289" s="26"/>
      <c r="M289" s="26"/>
      <c r="N289" s="26"/>
      <c r="P289" s="26"/>
      <c r="Q289" s="26"/>
      <c r="R289" s="25"/>
      <c r="S289" s="25"/>
      <c r="T289" s="25"/>
      <c r="U289" s="25"/>
      <c r="V289" s="24"/>
      <c r="W289" s="24"/>
      <c r="X289" s="24"/>
      <c r="Y289" s="26"/>
      <c r="Z289" s="26"/>
      <c r="AA289" s="24"/>
      <c r="AB289" s="24"/>
      <c r="AC289" s="24"/>
      <c r="AD289" s="24"/>
      <c r="AE289" s="26"/>
      <c r="AF289" s="26"/>
      <c r="AG289" s="24"/>
      <c r="AH289" s="24"/>
      <c r="AI289" s="28"/>
      <c r="AJ289" s="28"/>
      <c r="AK289" s="28"/>
      <c r="AL289" s="28"/>
      <c r="AM289" s="28"/>
      <c r="AN289" s="28"/>
      <c r="AO289" s="28"/>
      <c r="AP289" s="28"/>
      <c r="AQ289" s="28"/>
      <c r="AR289" s="28"/>
      <c r="AS289" s="28"/>
      <c r="AT289" s="28"/>
      <c r="AU289" s="28"/>
      <c r="AV289" s="24"/>
      <c r="AW289" s="28"/>
      <c r="AX289" s="28"/>
      <c r="AY289" s="28"/>
      <c r="AZ289" s="28"/>
      <c r="BA289" s="28"/>
      <c r="BB289" s="28"/>
      <c r="BC289" s="24"/>
      <c r="BD289" s="28"/>
      <c r="BE289" s="28"/>
      <c r="BF289" s="28"/>
      <c r="BG289" s="24"/>
      <c r="BH289" s="28"/>
      <c r="BI289" s="28"/>
      <c r="BJ289" s="28"/>
    </row>
    <row r="290" spans="1:62">
      <c r="A290" s="24"/>
      <c r="B290" s="28"/>
      <c r="C290" s="25"/>
      <c r="D290" s="26"/>
      <c r="E290" s="24"/>
      <c r="F290" s="24"/>
      <c r="G290" s="26"/>
      <c r="H290" s="26"/>
      <c r="I290" s="26"/>
      <c r="J290" s="26"/>
      <c r="K290" s="26"/>
      <c r="L290" s="26"/>
      <c r="M290" s="26"/>
      <c r="N290" s="26"/>
      <c r="P290" s="26"/>
      <c r="Q290" s="26"/>
      <c r="R290" s="25"/>
      <c r="S290" s="25"/>
      <c r="T290" s="25"/>
      <c r="U290" s="25"/>
      <c r="V290" s="24"/>
      <c r="W290" s="24"/>
      <c r="X290" s="24"/>
      <c r="Y290" s="26"/>
      <c r="Z290" s="26"/>
      <c r="AA290" s="24"/>
      <c r="AB290" s="24"/>
      <c r="AC290" s="24"/>
      <c r="AD290" s="24"/>
      <c r="AE290" s="26"/>
      <c r="AF290" s="26"/>
      <c r="AG290" s="24"/>
      <c r="AH290" s="24"/>
      <c r="AI290" s="28"/>
      <c r="AJ290" s="28"/>
      <c r="AK290" s="28"/>
      <c r="AL290" s="28"/>
      <c r="AM290" s="28"/>
      <c r="AN290" s="28"/>
      <c r="AO290" s="28"/>
      <c r="AP290" s="28"/>
      <c r="AQ290" s="28"/>
      <c r="AR290" s="28"/>
      <c r="AS290" s="28"/>
      <c r="AT290" s="28"/>
      <c r="AU290" s="28"/>
      <c r="AV290" s="24"/>
      <c r="AW290" s="28"/>
      <c r="AX290" s="28"/>
      <c r="AY290" s="28"/>
      <c r="AZ290" s="28"/>
      <c r="BA290" s="28"/>
      <c r="BB290" s="28"/>
      <c r="BC290" s="24"/>
      <c r="BD290" s="28"/>
      <c r="BE290" s="28"/>
      <c r="BF290" s="28"/>
      <c r="BG290" s="24"/>
      <c r="BH290" s="28"/>
      <c r="BI290" s="28"/>
      <c r="BJ290" s="28"/>
    </row>
    <row r="291" spans="1:62">
      <c r="A291" s="24"/>
      <c r="B291" s="28"/>
      <c r="C291" s="25"/>
      <c r="D291" s="26"/>
      <c r="E291" s="24"/>
      <c r="F291" s="24"/>
      <c r="G291" s="26"/>
      <c r="H291" s="26"/>
      <c r="I291" s="26"/>
      <c r="J291" s="26"/>
      <c r="K291" s="26"/>
      <c r="L291" s="26"/>
      <c r="M291" s="26"/>
      <c r="N291" s="26"/>
      <c r="P291" s="26"/>
      <c r="Q291" s="26"/>
      <c r="R291" s="25"/>
      <c r="S291" s="25"/>
      <c r="T291" s="25"/>
      <c r="U291" s="25"/>
      <c r="V291" s="24"/>
      <c r="W291" s="24"/>
      <c r="X291" s="24"/>
      <c r="Y291" s="26"/>
      <c r="Z291" s="26"/>
      <c r="AA291" s="24"/>
      <c r="AB291" s="24"/>
      <c r="AC291" s="24"/>
      <c r="AD291" s="24"/>
      <c r="AE291" s="26"/>
      <c r="AF291" s="26"/>
      <c r="AG291" s="24"/>
      <c r="AH291" s="24"/>
      <c r="AI291" s="28"/>
      <c r="AJ291" s="28"/>
      <c r="AK291" s="28"/>
      <c r="AL291" s="28"/>
      <c r="AM291" s="28"/>
      <c r="AN291" s="28"/>
      <c r="AO291" s="28"/>
      <c r="AP291" s="28"/>
      <c r="AQ291" s="28"/>
      <c r="AR291" s="28"/>
      <c r="AS291" s="28"/>
      <c r="AT291" s="28"/>
      <c r="AU291" s="28"/>
      <c r="AV291" s="24"/>
      <c r="AW291" s="28"/>
      <c r="AX291" s="28"/>
      <c r="AY291" s="28"/>
      <c r="AZ291" s="28"/>
      <c r="BA291" s="28"/>
      <c r="BB291" s="28"/>
      <c r="BC291" s="24"/>
      <c r="BD291" s="28"/>
      <c r="BE291" s="28"/>
      <c r="BF291" s="28"/>
      <c r="BG291" s="24"/>
      <c r="BH291" s="28"/>
      <c r="BI291" s="28"/>
      <c r="BJ291" s="28"/>
    </row>
    <row r="292" spans="1:62">
      <c r="A292" s="24"/>
      <c r="B292" s="28"/>
      <c r="C292" s="25"/>
      <c r="D292" s="26"/>
      <c r="E292" s="24"/>
      <c r="F292" s="24"/>
      <c r="G292" s="26"/>
      <c r="H292" s="26"/>
      <c r="I292" s="26"/>
      <c r="J292" s="26"/>
      <c r="K292" s="26"/>
      <c r="L292" s="26"/>
      <c r="M292" s="26"/>
      <c r="N292" s="26"/>
      <c r="P292" s="26"/>
      <c r="Q292" s="26"/>
      <c r="R292" s="25"/>
      <c r="S292" s="25"/>
      <c r="T292" s="25"/>
      <c r="U292" s="25"/>
      <c r="V292" s="24"/>
      <c r="W292" s="24"/>
      <c r="X292" s="24"/>
      <c r="Y292" s="26"/>
      <c r="Z292" s="26"/>
      <c r="AA292" s="24"/>
      <c r="AB292" s="24"/>
      <c r="AC292" s="24"/>
      <c r="AD292" s="24"/>
      <c r="AE292" s="26"/>
      <c r="AF292" s="26"/>
      <c r="AG292" s="24"/>
      <c r="AH292" s="24"/>
      <c r="AI292" s="28"/>
      <c r="AJ292" s="28"/>
      <c r="AK292" s="28"/>
      <c r="AL292" s="28"/>
      <c r="AM292" s="28"/>
      <c r="AN292" s="28"/>
      <c r="AO292" s="28"/>
      <c r="AP292" s="28"/>
      <c r="AQ292" s="28"/>
      <c r="AR292" s="28"/>
      <c r="AS292" s="28"/>
      <c r="AT292" s="28"/>
      <c r="AU292" s="28"/>
      <c r="AV292" s="24"/>
      <c r="AW292" s="28"/>
      <c r="AX292" s="28"/>
      <c r="AY292" s="28"/>
      <c r="AZ292" s="28"/>
      <c r="BA292" s="28"/>
      <c r="BB292" s="28"/>
      <c r="BC292" s="24"/>
      <c r="BD292" s="28"/>
      <c r="BE292" s="28"/>
      <c r="BF292" s="28"/>
      <c r="BG292" s="24"/>
      <c r="BH292" s="28"/>
      <c r="BI292" s="28"/>
      <c r="BJ292" s="28"/>
    </row>
    <row r="293" spans="1:62">
      <c r="A293" s="24"/>
      <c r="B293" s="28"/>
      <c r="C293" s="25"/>
      <c r="D293" s="26"/>
      <c r="E293" s="24"/>
      <c r="F293" s="24"/>
      <c r="G293" s="26"/>
      <c r="H293" s="26"/>
      <c r="I293" s="26"/>
      <c r="J293" s="26"/>
      <c r="K293" s="26"/>
      <c r="L293" s="26"/>
      <c r="M293" s="26"/>
      <c r="N293" s="26"/>
      <c r="P293" s="26"/>
      <c r="Q293" s="26"/>
      <c r="R293" s="25"/>
      <c r="S293" s="25"/>
      <c r="T293" s="25"/>
      <c r="U293" s="25"/>
      <c r="V293" s="24"/>
      <c r="W293" s="24"/>
      <c r="X293" s="24"/>
      <c r="Y293" s="26"/>
      <c r="Z293" s="26"/>
      <c r="AA293" s="24"/>
      <c r="AB293" s="24"/>
      <c r="AC293" s="24"/>
      <c r="AD293" s="24"/>
      <c r="AE293" s="26"/>
      <c r="AF293" s="26"/>
      <c r="AG293" s="24"/>
      <c r="AH293" s="24"/>
      <c r="AI293" s="28"/>
      <c r="AJ293" s="28"/>
      <c r="AK293" s="28"/>
      <c r="AL293" s="28"/>
      <c r="AM293" s="28"/>
      <c r="AN293" s="28"/>
      <c r="AO293" s="28"/>
      <c r="AP293" s="28"/>
      <c r="AQ293" s="28"/>
      <c r="AR293" s="28"/>
      <c r="AS293" s="28"/>
      <c r="AT293" s="28"/>
      <c r="AU293" s="28"/>
      <c r="AV293" s="24"/>
      <c r="AW293" s="28"/>
      <c r="AX293" s="28"/>
      <c r="AY293" s="28"/>
      <c r="AZ293" s="28"/>
      <c r="BA293" s="28"/>
      <c r="BB293" s="28"/>
      <c r="BC293" s="24"/>
      <c r="BD293" s="28"/>
      <c r="BE293" s="28"/>
      <c r="BF293" s="28"/>
      <c r="BG293" s="24"/>
      <c r="BH293" s="28"/>
      <c r="BI293" s="28"/>
      <c r="BJ293" s="28"/>
    </row>
    <row r="294" spans="1:62">
      <c r="A294" s="24"/>
      <c r="B294" s="28"/>
      <c r="C294" s="25"/>
      <c r="D294" s="26"/>
      <c r="E294" s="24"/>
      <c r="F294" s="24"/>
      <c r="G294" s="26"/>
      <c r="H294" s="26"/>
      <c r="I294" s="26"/>
      <c r="J294" s="26"/>
      <c r="K294" s="26"/>
      <c r="L294" s="26"/>
      <c r="M294" s="26"/>
      <c r="N294" s="26"/>
      <c r="P294" s="26"/>
      <c r="Q294" s="26"/>
      <c r="R294" s="25"/>
      <c r="S294" s="25"/>
      <c r="T294" s="25"/>
      <c r="U294" s="25"/>
      <c r="V294" s="24"/>
      <c r="W294" s="24"/>
      <c r="X294" s="24"/>
      <c r="Y294" s="26"/>
      <c r="Z294" s="26"/>
      <c r="AA294" s="24"/>
      <c r="AB294" s="24"/>
      <c r="AC294" s="24"/>
      <c r="AD294" s="24"/>
      <c r="AE294" s="26"/>
      <c r="AF294" s="26"/>
      <c r="AG294" s="24"/>
      <c r="AH294" s="24"/>
      <c r="AI294" s="28"/>
      <c r="AJ294" s="28"/>
      <c r="AK294" s="28"/>
      <c r="AL294" s="28"/>
      <c r="AM294" s="28"/>
      <c r="AN294" s="28"/>
      <c r="AO294" s="28"/>
      <c r="AP294" s="28"/>
      <c r="AQ294" s="28"/>
      <c r="AR294" s="28"/>
      <c r="AS294" s="28"/>
      <c r="AT294" s="28"/>
      <c r="AU294" s="28"/>
      <c r="AV294" s="24"/>
      <c r="AW294" s="28"/>
      <c r="AX294" s="28"/>
      <c r="AY294" s="28"/>
      <c r="AZ294" s="28"/>
      <c r="BA294" s="28"/>
      <c r="BB294" s="28"/>
      <c r="BC294" s="24"/>
      <c r="BD294" s="28"/>
      <c r="BE294" s="28"/>
      <c r="BF294" s="28"/>
      <c r="BG294" s="24"/>
      <c r="BH294" s="28"/>
      <c r="BI294" s="28"/>
      <c r="BJ294" s="28"/>
    </row>
    <row r="295" spans="1:62">
      <c r="A295" s="24"/>
      <c r="B295" s="28"/>
      <c r="C295" s="25"/>
      <c r="D295" s="26"/>
      <c r="E295" s="24"/>
      <c r="F295" s="24"/>
      <c r="G295" s="26"/>
      <c r="H295" s="26"/>
      <c r="I295" s="26"/>
      <c r="J295" s="26"/>
      <c r="K295" s="26"/>
      <c r="L295" s="26"/>
      <c r="M295" s="26"/>
      <c r="N295" s="26"/>
      <c r="P295" s="26"/>
      <c r="Q295" s="26"/>
      <c r="R295" s="25"/>
      <c r="S295" s="25"/>
      <c r="T295" s="25"/>
      <c r="U295" s="25"/>
      <c r="V295" s="24"/>
      <c r="W295" s="24"/>
      <c r="X295" s="24"/>
      <c r="Y295" s="26"/>
      <c r="Z295" s="26"/>
      <c r="AA295" s="24"/>
      <c r="AB295" s="24"/>
      <c r="AC295" s="24"/>
      <c r="AD295" s="24"/>
      <c r="AE295" s="26"/>
      <c r="AF295" s="26"/>
      <c r="AG295" s="24"/>
      <c r="AH295" s="24"/>
      <c r="AI295" s="28"/>
      <c r="AJ295" s="28"/>
      <c r="AK295" s="28"/>
      <c r="AL295" s="28"/>
      <c r="AM295" s="28"/>
      <c r="AN295" s="28"/>
      <c r="AO295" s="28"/>
      <c r="AP295" s="28"/>
      <c r="AQ295" s="28"/>
      <c r="AR295" s="28"/>
      <c r="AS295" s="28"/>
      <c r="AT295" s="28"/>
      <c r="AU295" s="28"/>
      <c r="AV295" s="24"/>
      <c r="AW295" s="28"/>
      <c r="AX295" s="28"/>
      <c r="AY295" s="28"/>
      <c r="AZ295" s="28"/>
      <c r="BA295" s="28"/>
      <c r="BB295" s="28"/>
      <c r="BC295" s="24"/>
      <c r="BD295" s="28"/>
      <c r="BE295" s="28"/>
      <c r="BF295" s="28"/>
      <c r="BG295" s="24"/>
      <c r="BH295" s="28"/>
      <c r="BI295" s="28"/>
      <c r="BJ295" s="28"/>
    </row>
    <row r="296" spans="1:62">
      <c r="A296" s="24"/>
      <c r="B296" s="28"/>
      <c r="C296" s="25"/>
      <c r="D296" s="26"/>
      <c r="E296" s="24"/>
      <c r="F296" s="24"/>
      <c r="G296" s="26"/>
      <c r="H296" s="26"/>
      <c r="I296" s="26"/>
      <c r="J296" s="26"/>
      <c r="K296" s="26"/>
      <c r="L296" s="26"/>
      <c r="M296" s="26"/>
      <c r="N296" s="26"/>
      <c r="P296" s="26"/>
      <c r="Q296" s="26"/>
      <c r="R296" s="25"/>
      <c r="S296" s="25"/>
      <c r="T296" s="25"/>
      <c r="U296" s="25"/>
      <c r="V296" s="24"/>
      <c r="W296" s="24"/>
      <c r="X296" s="24"/>
      <c r="Y296" s="26"/>
      <c r="Z296" s="26"/>
      <c r="AA296" s="24"/>
      <c r="AB296" s="24"/>
      <c r="AC296" s="24"/>
      <c r="AD296" s="24"/>
      <c r="AE296" s="26"/>
      <c r="AF296" s="26"/>
      <c r="AG296" s="24"/>
      <c r="AH296" s="24"/>
      <c r="AI296" s="28"/>
      <c r="AJ296" s="28"/>
      <c r="AK296" s="28"/>
      <c r="AL296" s="28"/>
      <c r="AM296" s="28"/>
      <c r="AN296" s="28"/>
      <c r="AO296" s="28"/>
      <c r="AP296" s="28"/>
      <c r="AQ296" s="28"/>
      <c r="AR296" s="28"/>
      <c r="AS296" s="28"/>
      <c r="AT296" s="28"/>
      <c r="AU296" s="28"/>
      <c r="AV296" s="24"/>
      <c r="AW296" s="28"/>
      <c r="AX296" s="28"/>
      <c r="AY296" s="28"/>
      <c r="AZ296" s="28"/>
      <c r="BA296" s="28"/>
      <c r="BB296" s="28"/>
      <c r="BC296" s="24"/>
      <c r="BD296" s="28"/>
      <c r="BE296" s="28"/>
      <c r="BF296" s="28"/>
      <c r="BG296" s="24"/>
      <c r="BH296" s="28"/>
      <c r="BI296" s="28"/>
      <c r="BJ296" s="28"/>
    </row>
    <row r="297" spans="1:62">
      <c r="A297" s="24"/>
      <c r="B297" s="28"/>
      <c r="C297" s="25"/>
      <c r="D297" s="26"/>
      <c r="E297" s="24"/>
      <c r="F297" s="24"/>
      <c r="G297" s="26"/>
      <c r="H297" s="26"/>
      <c r="I297" s="26"/>
      <c r="J297" s="26"/>
      <c r="K297" s="26"/>
      <c r="L297" s="26"/>
      <c r="M297" s="26"/>
      <c r="N297" s="26"/>
      <c r="P297" s="26"/>
      <c r="Q297" s="26"/>
      <c r="R297" s="25"/>
      <c r="S297" s="25"/>
      <c r="T297" s="25"/>
      <c r="U297" s="25"/>
      <c r="V297" s="24"/>
      <c r="W297" s="24"/>
      <c r="X297" s="24"/>
      <c r="Y297" s="26"/>
      <c r="Z297" s="26"/>
      <c r="AA297" s="24"/>
      <c r="AB297" s="24"/>
      <c r="AC297" s="24"/>
      <c r="AD297" s="24"/>
      <c r="AE297" s="26"/>
      <c r="AF297" s="26"/>
      <c r="AG297" s="24"/>
      <c r="AH297" s="24"/>
      <c r="AI297" s="28"/>
      <c r="AJ297" s="28"/>
      <c r="AK297" s="28"/>
      <c r="AL297" s="28"/>
      <c r="AM297" s="28"/>
      <c r="AN297" s="28"/>
      <c r="AO297" s="28"/>
      <c r="AP297" s="28"/>
      <c r="AQ297" s="28"/>
      <c r="AR297" s="28"/>
      <c r="AS297" s="28"/>
      <c r="AT297" s="28"/>
      <c r="AU297" s="28"/>
      <c r="AV297" s="24"/>
      <c r="AW297" s="28"/>
      <c r="AX297" s="28"/>
      <c r="AY297" s="28"/>
      <c r="AZ297" s="28"/>
      <c r="BA297" s="28"/>
      <c r="BB297" s="28"/>
      <c r="BC297" s="24"/>
      <c r="BD297" s="28"/>
      <c r="BE297" s="28"/>
      <c r="BF297" s="28"/>
      <c r="BG297" s="24"/>
      <c r="BH297" s="28"/>
      <c r="BI297" s="28"/>
      <c r="BJ297" s="28"/>
    </row>
    <row r="298" spans="1:62">
      <c r="A298" s="24"/>
      <c r="B298" s="28"/>
      <c r="C298" s="25"/>
      <c r="D298" s="26"/>
      <c r="E298" s="24"/>
      <c r="F298" s="24"/>
      <c r="G298" s="26"/>
      <c r="H298" s="26"/>
      <c r="I298" s="26"/>
      <c r="J298" s="26"/>
      <c r="K298" s="26"/>
      <c r="L298" s="26"/>
      <c r="M298" s="26"/>
      <c r="N298" s="26"/>
      <c r="P298" s="26"/>
      <c r="Q298" s="26"/>
      <c r="R298" s="25"/>
      <c r="S298" s="25"/>
      <c r="T298" s="25"/>
      <c r="U298" s="25"/>
      <c r="V298" s="24"/>
      <c r="W298" s="24"/>
      <c r="X298" s="24"/>
      <c r="Y298" s="26"/>
      <c r="Z298" s="26"/>
      <c r="AA298" s="24"/>
      <c r="AB298" s="24"/>
      <c r="AC298" s="24"/>
      <c r="AD298" s="24"/>
      <c r="AE298" s="26"/>
      <c r="AF298" s="26"/>
      <c r="AG298" s="24"/>
      <c r="AH298" s="24"/>
      <c r="AI298" s="28"/>
      <c r="AJ298" s="28"/>
      <c r="AK298" s="28"/>
      <c r="AL298" s="28"/>
      <c r="AM298" s="28"/>
      <c r="AN298" s="28"/>
      <c r="AO298" s="28"/>
      <c r="AP298" s="28"/>
      <c r="AQ298" s="28"/>
      <c r="AR298" s="28"/>
      <c r="AS298" s="28"/>
      <c r="AT298" s="28"/>
      <c r="AU298" s="28"/>
      <c r="AV298" s="24"/>
      <c r="AW298" s="28"/>
      <c r="AX298" s="28"/>
      <c r="AY298" s="28"/>
      <c r="AZ298" s="28"/>
      <c r="BA298" s="28"/>
      <c r="BB298" s="28"/>
      <c r="BC298" s="24"/>
      <c r="BD298" s="28"/>
      <c r="BE298" s="28"/>
      <c r="BF298" s="28"/>
      <c r="BG298" s="24"/>
      <c r="BH298" s="28"/>
      <c r="BI298" s="28"/>
      <c r="BJ298" s="28"/>
    </row>
    <row r="299" spans="1:62">
      <c r="A299" s="24"/>
      <c r="B299" s="28"/>
      <c r="C299" s="25"/>
      <c r="D299" s="26"/>
      <c r="E299" s="24"/>
      <c r="F299" s="24"/>
      <c r="G299" s="26"/>
      <c r="H299" s="26"/>
      <c r="I299" s="26"/>
      <c r="J299" s="26"/>
      <c r="K299" s="26"/>
      <c r="L299" s="26"/>
      <c r="M299" s="26"/>
      <c r="N299" s="26"/>
      <c r="P299" s="26"/>
      <c r="Q299" s="26"/>
      <c r="R299" s="25"/>
      <c r="S299" s="25"/>
      <c r="T299" s="25"/>
      <c r="U299" s="25"/>
      <c r="V299" s="24"/>
      <c r="W299" s="24"/>
      <c r="X299" s="24"/>
      <c r="Y299" s="26"/>
      <c r="Z299" s="26"/>
      <c r="AA299" s="24"/>
      <c r="AB299" s="24"/>
      <c r="AC299" s="24"/>
      <c r="AD299" s="24"/>
      <c r="AE299" s="26"/>
      <c r="AF299" s="26"/>
      <c r="AG299" s="24"/>
      <c r="AH299" s="24"/>
      <c r="AI299" s="28"/>
      <c r="AJ299" s="28"/>
      <c r="AK299" s="28"/>
      <c r="AL299" s="28"/>
      <c r="AM299" s="28"/>
      <c r="AN299" s="28"/>
      <c r="AO299" s="28"/>
      <c r="AP299" s="28"/>
      <c r="AQ299" s="28"/>
      <c r="AR299" s="28"/>
      <c r="AS299" s="28"/>
      <c r="AT299" s="28"/>
      <c r="AU299" s="28"/>
      <c r="AV299" s="24"/>
      <c r="AW299" s="28"/>
      <c r="AX299" s="28"/>
      <c r="AY299" s="28"/>
      <c r="AZ299" s="28"/>
      <c r="BA299" s="28"/>
      <c r="BB299" s="28"/>
      <c r="BC299" s="24"/>
      <c r="BD299" s="28"/>
      <c r="BE299" s="28"/>
      <c r="BF299" s="28"/>
      <c r="BG299" s="24"/>
      <c r="BH299" s="28"/>
      <c r="BI299" s="28"/>
      <c r="BJ299" s="28"/>
    </row>
    <row r="300" spans="1:62">
      <c r="A300" s="24"/>
      <c r="B300" s="28"/>
      <c r="C300" s="25"/>
      <c r="D300" s="26"/>
      <c r="E300" s="24"/>
      <c r="F300" s="24"/>
      <c r="G300" s="26"/>
      <c r="H300" s="26"/>
      <c r="I300" s="26"/>
      <c r="J300" s="26"/>
      <c r="K300" s="26"/>
      <c r="L300" s="26"/>
      <c r="M300" s="26"/>
      <c r="N300" s="26"/>
      <c r="P300" s="26"/>
      <c r="Q300" s="26"/>
      <c r="R300" s="25"/>
      <c r="S300" s="25"/>
      <c r="T300" s="25"/>
      <c r="U300" s="25"/>
      <c r="V300" s="24"/>
      <c r="W300" s="24"/>
      <c r="X300" s="24"/>
      <c r="Y300" s="26"/>
      <c r="Z300" s="26"/>
      <c r="AA300" s="24"/>
      <c r="AB300" s="24"/>
      <c r="AC300" s="24"/>
      <c r="AD300" s="24"/>
      <c r="AE300" s="26"/>
      <c r="AF300" s="26"/>
      <c r="AG300" s="24"/>
      <c r="AH300" s="24"/>
      <c r="AI300" s="28"/>
      <c r="AJ300" s="28"/>
      <c r="AK300" s="28"/>
      <c r="AL300" s="28"/>
      <c r="AM300" s="28"/>
      <c r="AN300" s="28"/>
      <c r="AO300" s="28"/>
      <c r="AP300" s="28"/>
      <c r="AQ300" s="28"/>
      <c r="AR300" s="28"/>
      <c r="AS300" s="28"/>
      <c r="AT300" s="28"/>
      <c r="AU300" s="28"/>
      <c r="AV300" s="24"/>
      <c r="AW300" s="28"/>
      <c r="AX300" s="28"/>
      <c r="AY300" s="28"/>
      <c r="AZ300" s="28"/>
      <c r="BA300" s="28"/>
      <c r="BB300" s="28"/>
      <c r="BC300" s="24"/>
      <c r="BD300" s="28"/>
      <c r="BE300" s="28"/>
      <c r="BF300" s="28"/>
      <c r="BG300" s="24"/>
      <c r="BH300" s="28"/>
      <c r="BI300" s="28"/>
      <c r="BJ300" s="28"/>
    </row>
    <row r="301" spans="1:62">
      <c r="A301" s="24"/>
      <c r="B301" s="28"/>
      <c r="C301" s="25"/>
      <c r="D301" s="26"/>
      <c r="E301" s="24"/>
      <c r="F301" s="24"/>
      <c r="G301" s="26"/>
      <c r="H301" s="26"/>
      <c r="I301" s="26"/>
      <c r="J301" s="26"/>
      <c r="K301" s="26"/>
      <c r="L301" s="26"/>
      <c r="M301" s="26"/>
      <c r="N301" s="26"/>
      <c r="P301" s="26"/>
      <c r="Q301" s="26"/>
      <c r="R301" s="25"/>
      <c r="S301" s="25"/>
      <c r="T301" s="25"/>
      <c r="U301" s="25"/>
      <c r="V301" s="24"/>
      <c r="W301" s="24"/>
      <c r="X301" s="24"/>
      <c r="Y301" s="26"/>
      <c r="Z301" s="26"/>
      <c r="AA301" s="24"/>
      <c r="AB301" s="24"/>
      <c r="AC301" s="24"/>
      <c r="AD301" s="24"/>
      <c r="AE301" s="26"/>
      <c r="AF301" s="26"/>
      <c r="AG301" s="24"/>
      <c r="AH301" s="24"/>
      <c r="AI301" s="28"/>
      <c r="AJ301" s="28"/>
      <c r="AK301" s="28"/>
      <c r="AL301" s="28"/>
      <c r="AM301" s="28"/>
      <c r="AN301" s="28"/>
      <c r="AO301" s="28"/>
      <c r="AP301" s="28"/>
      <c r="AQ301" s="28"/>
      <c r="AR301" s="28"/>
      <c r="AS301" s="28"/>
      <c r="AT301" s="28"/>
      <c r="AU301" s="28"/>
      <c r="AV301" s="24"/>
      <c r="AW301" s="28"/>
      <c r="AX301" s="28"/>
      <c r="AY301" s="28"/>
      <c r="AZ301" s="28"/>
      <c r="BA301" s="28"/>
      <c r="BB301" s="28"/>
      <c r="BC301" s="24"/>
      <c r="BD301" s="28"/>
      <c r="BE301" s="28"/>
      <c r="BF301" s="28"/>
      <c r="BG301" s="24"/>
      <c r="BH301" s="28"/>
      <c r="BI301" s="28"/>
      <c r="BJ301" s="28"/>
    </row>
    <row r="302" spans="1:62">
      <c r="A302" s="24"/>
      <c r="B302" s="28"/>
      <c r="C302" s="25"/>
      <c r="D302" s="26"/>
      <c r="E302" s="24"/>
      <c r="F302" s="24"/>
      <c r="G302" s="26"/>
      <c r="H302" s="26"/>
      <c r="I302" s="26"/>
      <c r="J302" s="26"/>
      <c r="K302" s="26"/>
      <c r="L302" s="26"/>
      <c r="M302" s="26"/>
      <c r="N302" s="26"/>
      <c r="P302" s="26"/>
      <c r="Q302" s="26"/>
      <c r="R302" s="25"/>
      <c r="S302" s="25"/>
      <c r="T302" s="25"/>
      <c r="U302" s="25"/>
      <c r="V302" s="24"/>
      <c r="W302" s="24"/>
      <c r="X302" s="24"/>
      <c r="Y302" s="26"/>
      <c r="Z302" s="26"/>
      <c r="AA302" s="24"/>
      <c r="AB302" s="24"/>
      <c r="AC302" s="24"/>
      <c r="AD302" s="24"/>
      <c r="AE302" s="26"/>
      <c r="AF302" s="26"/>
      <c r="AG302" s="24"/>
      <c r="AH302" s="24"/>
      <c r="AI302" s="28"/>
      <c r="AJ302" s="28"/>
      <c r="AK302" s="28"/>
      <c r="AL302" s="28"/>
      <c r="AM302" s="28"/>
      <c r="AN302" s="28"/>
      <c r="AO302" s="28"/>
      <c r="AP302" s="28"/>
      <c r="AQ302" s="28"/>
      <c r="AR302" s="28"/>
      <c r="AS302" s="28"/>
      <c r="AT302" s="28"/>
      <c r="AU302" s="28"/>
      <c r="AV302" s="24"/>
      <c r="AW302" s="28"/>
      <c r="AX302" s="28"/>
      <c r="AY302" s="28"/>
      <c r="AZ302" s="28"/>
      <c r="BA302" s="28"/>
      <c r="BB302" s="28"/>
      <c r="BC302" s="24"/>
      <c r="BD302" s="28"/>
      <c r="BE302" s="28"/>
      <c r="BF302" s="28"/>
      <c r="BG302" s="24"/>
      <c r="BH302" s="28"/>
      <c r="BI302" s="28"/>
      <c r="BJ302" s="28"/>
    </row>
    <row r="303" spans="1:62">
      <c r="A303" s="24"/>
      <c r="B303" s="28"/>
      <c r="C303" s="25"/>
      <c r="D303" s="26"/>
      <c r="E303" s="24"/>
      <c r="F303" s="24"/>
      <c r="G303" s="26"/>
      <c r="H303" s="26"/>
      <c r="I303" s="26"/>
      <c r="J303" s="26"/>
      <c r="K303" s="26"/>
      <c r="L303" s="26"/>
      <c r="M303" s="26"/>
      <c r="N303" s="26"/>
      <c r="P303" s="26"/>
      <c r="Q303" s="26"/>
      <c r="R303" s="25"/>
      <c r="S303" s="25"/>
      <c r="T303" s="25"/>
      <c r="U303" s="25"/>
      <c r="V303" s="24"/>
      <c r="W303" s="24"/>
      <c r="X303" s="24"/>
      <c r="Y303" s="26"/>
      <c r="Z303" s="26"/>
      <c r="AA303" s="24"/>
      <c r="AB303" s="24"/>
      <c r="AC303" s="24"/>
      <c r="AD303" s="24"/>
      <c r="AE303" s="26"/>
      <c r="AF303" s="26"/>
      <c r="AG303" s="24"/>
      <c r="AH303" s="24"/>
      <c r="AI303" s="28"/>
      <c r="AJ303" s="28"/>
      <c r="AK303" s="28"/>
      <c r="AL303" s="28"/>
      <c r="AM303" s="28"/>
      <c r="AN303" s="28"/>
      <c r="AO303" s="28"/>
      <c r="AP303" s="28"/>
      <c r="AQ303" s="28"/>
      <c r="AR303" s="28"/>
      <c r="AS303" s="28"/>
      <c r="AT303" s="28"/>
      <c r="AU303" s="28"/>
      <c r="AV303" s="24"/>
      <c r="AW303" s="28"/>
      <c r="AX303" s="28"/>
      <c r="AY303" s="28"/>
      <c r="AZ303" s="28"/>
      <c r="BA303" s="28"/>
      <c r="BB303" s="28"/>
      <c r="BC303" s="24"/>
      <c r="BD303" s="28"/>
      <c r="BE303" s="28"/>
      <c r="BF303" s="28"/>
      <c r="BG303" s="24"/>
      <c r="BH303" s="28"/>
      <c r="BI303" s="28"/>
      <c r="BJ303" s="28"/>
    </row>
    <row r="304" spans="1:62">
      <c r="A304" s="24"/>
      <c r="B304" s="28"/>
      <c r="C304" s="25"/>
      <c r="D304" s="26"/>
      <c r="E304" s="24"/>
      <c r="F304" s="24"/>
      <c r="G304" s="26"/>
      <c r="H304" s="26"/>
      <c r="I304" s="26"/>
      <c r="J304" s="26"/>
      <c r="K304" s="26"/>
      <c r="L304" s="26"/>
      <c r="M304" s="26"/>
      <c r="N304" s="26"/>
      <c r="P304" s="26"/>
      <c r="Q304" s="26"/>
      <c r="R304" s="25"/>
      <c r="S304" s="25"/>
      <c r="T304" s="25"/>
      <c r="U304" s="25"/>
      <c r="V304" s="24"/>
      <c r="W304" s="24"/>
      <c r="X304" s="24"/>
      <c r="Y304" s="26"/>
      <c r="Z304" s="26"/>
      <c r="AA304" s="24"/>
      <c r="AB304" s="24"/>
      <c r="AC304" s="24"/>
      <c r="AD304" s="24"/>
      <c r="AE304" s="26"/>
      <c r="AF304" s="26"/>
      <c r="AG304" s="24"/>
      <c r="AH304" s="24"/>
      <c r="AI304" s="28"/>
      <c r="AJ304" s="28"/>
      <c r="AK304" s="28"/>
      <c r="AL304" s="28"/>
      <c r="AM304" s="28"/>
      <c r="AN304" s="28"/>
      <c r="AO304" s="28"/>
      <c r="AP304" s="28"/>
      <c r="AQ304" s="28"/>
      <c r="AR304" s="28"/>
      <c r="AS304" s="28"/>
      <c r="AT304" s="28"/>
      <c r="AU304" s="28"/>
      <c r="AV304" s="24"/>
      <c r="AW304" s="28"/>
      <c r="AX304" s="28"/>
      <c r="AY304" s="28"/>
      <c r="AZ304" s="28"/>
      <c r="BA304" s="28"/>
      <c r="BB304" s="28"/>
      <c r="BC304" s="24"/>
      <c r="BD304" s="28"/>
      <c r="BE304" s="28"/>
      <c r="BF304" s="28"/>
      <c r="BG304" s="24"/>
      <c r="BH304" s="28"/>
      <c r="BI304" s="28"/>
      <c r="BJ304" s="28"/>
    </row>
    <row r="305" spans="1:62">
      <c r="A305" s="24"/>
      <c r="B305" s="28"/>
      <c r="C305" s="25"/>
      <c r="D305" s="26"/>
      <c r="E305" s="24"/>
      <c r="F305" s="24"/>
      <c r="G305" s="26"/>
      <c r="H305" s="26"/>
      <c r="I305" s="26"/>
      <c r="J305" s="26"/>
      <c r="K305" s="26"/>
      <c r="L305" s="26"/>
      <c r="M305" s="26"/>
      <c r="N305" s="26"/>
      <c r="P305" s="26"/>
      <c r="Q305" s="26"/>
      <c r="R305" s="25"/>
      <c r="S305" s="25"/>
      <c r="T305" s="25"/>
      <c r="U305" s="25"/>
      <c r="V305" s="24"/>
      <c r="W305" s="24"/>
      <c r="X305" s="24"/>
      <c r="Y305" s="26"/>
      <c r="Z305" s="26"/>
      <c r="AA305" s="24"/>
      <c r="AB305" s="24"/>
      <c r="AC305" s="24"/>
      <c r="AD305" s="24"/>
      <c r="AE305" s="26"/>
      <c r="AF305" s="26"/>
      <c r="AG305" s="24"/>
      <c r="AH305" s="24"/>
      <c r="AI305" s="28"/>
      <c r="AJ305" s="28"/>
      <c r="AK305" s="28"/>
      <c r="AL305" s="28"/>
      <c r="AM305" s="28"/>
      <c r="AN305" s="28"/>
      <c r="AO305" s="28"/>
      <c r="AP305" s="28"/>
      <c r="AQ305" s="28"/>
      <c r="AR305" s="28"/>
      <c r="AS305" s="28"/>
      <c r="AT305" s="28"/>
      <c r="AU305" s="28"/>
      <c r="AV305" s="24"/>
      <c r="AW305" s="28"/>
      <c r="AX305" s="28"/>
      <c r="AY305" s="28"/>
      <c r="AZ305" s="28"/>
      <c r="BA305" s="28"/>
      <c r="BB305" s="28"/>
      <c r="BC305" s="24"/>
      <c r="BD305" s="28"/>
      <c r="BE305" s="28"/>
      <c r="BF305" s="28"/>
      <c r="BG305" s="24"/>
      <c r="BH305" s="28"/>
      <c r="BI305" s="28"/>
      <c r="BJ305" s="28"/>
    </row>
    <row r="306" spans="1:62">
      <c r="A306" s="24"/>
      <c r="B306" s="28"/>
      <c r="C306" s="25"/>
      <c r="D306" s="26"/>
      <c r="E306" s="24"/>
      <c r="F306" s="24"/>
      <c r="G306" s="26"/>
      <c r="H306" s="26"/>
      <c r="I306" s="26"/>
      <c r="J306" s="26"/>
      <c r="K306" s="26"/>
      <c r="L306" s="26"/>
      <c r="M306" s="26"/>
      <c r="N306" s="26"/>
      <c r="P306" s="26"/>
      <c r="Q306" s="26"/>
      <c r="R306" s="25"/>
      <c r="S306" s="25"/>
      <c r="T306" s="25"/>
      <c r="U306" s="25"/>
      <c r="V306" s="24"/>
      <c r="W306" s="24"/>
      <c r="X306" s="24"/>
      <c r="Y306" s="26"/>
      <c r="Z306" s="26"/>
      <c r="AA306" s="24"/>
      <c r="AB306" s="24"/>
      <c r="AC306" s="24"/>
      <c r="AD306" s="24"/>
      <c r="AE306" s="26"/>
      <c r="AF306" s="26"/>
      <c r="AG306" s="24"/>
      <c r="AH306" s="24"/>
      <c r="AI306" s="28"/>
      <c r="AJ306" s="28"/>
      <c r="AK306" s="28"/>
      <c r="AL306" s="28"/>
      <c r="AM306" s="28"/>
      <c r="AN306" s="28"/>
      <c r="AO306" s="28"/>
      <c r="AP306" s="28"/>
      <c r="AQ306" s="28"/>
      <c r="AR306" s="28"/>
      <c r="AS306" s="28"/>
      <c r="AT306" s="28"/>
      <c r="AU306" s="28"/>
      <c r="AV306" s="24"/>
      <c r="AW306" s="28"/>
      <c r="AX306" s="28"/>
      <c r="AY306" s="28"/>
      <c r="AZ306" s="28"/>
      <c r="BA306" s="28"/>
      <c r="BB306" s="28"/>
      <c r="BC306" s="24"/>
      <c r="BD306" s="28"/>
      <c r="BE306" s="28"/>
      <c r="BF306" s="28"/>
      <c r="BG306" s="24"/>
      <c r="BH306" s="28"/>
      <c r="BI306" s="28"/>
      <c r="BJ306" s="28"/>
    </row>
    <row r="307" spans="1:62">
      <c r="A307" s="24"/>
      <c r="B307" s="28"/>
      <c r="C307" s="25"/>
      <c r="D307" s="26"/>
      <c r="E307" s="24"/>
      <c r="F307" s="24"/>
      <c r="G307" s="26"/>
      <c r="H307" s="26"/>
      <c r="I307" s="26"/>
      <c r="J307" s="26"/>
      <c r="K307" s="26"/>
      <c r="L307" s="26"/>
      <c r="M307" s="26"/>
      <c r="N307" s="26"/>
      <c r="P307" s="26"/>
      <c r="Q307" s="26"/>
      <c r="R307" s="25"/>
      <c r="S307" s="25"/>
      <c r="T307" s="25"/>
      <c r="U307" s="25"/>
      <c r="V307" s="24"/>
      <c r="W307" s="24"/>
      <c r="X307" s="24"/>
      <c r="Y307" s="26"/>
      <c r="Z307" s="26"/>
      <c r="AA307" s="24"/>
      <c r="AB307" s="24"/>
      <c r="AC307" s="24"/>
      <c r="AD307" s="24"/>
      <c r="AE307" s="26"/>
      <c r="AF307" s="26"/>
      <c r="AG307" s="24"/>
      <c r="AH307" s="24"/>
      <c r="AI307" s="28"/>
      <c r="AJ307" s="28"/>
      <c r="AK307" s="28"/>
      <c r="AL307" s="28"/>
      <c r="AM307" s="28"/>
      <c r="AN307" s="28"/>
      <c r="AO307" s="28"/>
      <c r="AP307" s="28"/>
      <c r="AQ307" s="28"/>
      <c r="AR307" s="28"/>
      <c r="AS307" s="28"/>
      <c r="AT307" s="28"/>
      <c r="AU307" s="28"/>
      <c r="AV307" s="24"/>
      <c r="AW307" s="28"/>
      <c r="AX307" s="28"/>
      <c r="AY307" s="28"/>
      <c r="AZ307" s="28"/>
      <c r="BA307" s="28"/>
      <c r="BB307" s="28"/>
      <c r="BC307" s="24"/>
      <c r="BD307" s="28"/>
      <c r="BE307" s="28"/>
      <c r="BF307" s="28"/>
      <c r="BG307" s="24"/>
      <c r="BH307" s="28"/>
      <c r="BI307" s="28"/>
      <c r="BJ307" s="28"/>
    </row>
    <row r="308" spans="1:62">
      <c r="A308" s="24"/>
      <c r="B308" s="28"/>
      <c r="C308" s="25"/>
      <c r="D308" s="26"/>
      <c r="E308" s="24"/>
      <c r="F308" s="24"/>
      <c r="G308" s="26"/>
      <c r="H308" s="26"/>
      <c r="I308" s="26"/>
      <c r="J308" s="26"/>
      <c r="K308" s="26"/>
      <c r="L308" s="26"/>
      <c r="M308" s="26"/>
      <c r="N308" s="26"/>
      <c r="P308" s="26"/>
      <c r="Q308" s="26"/>
      <c r="R308" s="25"/>
      <c r="S308" s="25"/>
      <c r="T308" s="25"/>
      <c r="U308" s="25"/>
      <c r="V308" s="24"/>
      <c r="W308" s="24"/>
      <c r="X308" s="24"/>
      <c r="Y308" s="26"/>
      <c r="Z308" s="26"/>
      <c r="AA308" s="24"/>
      <c r="AB308" s="24"/>
      <c r="AC308" s="24"/>
      <c r="AD308" s="24"/>
      <c r="AE308" s="26"/>
      <c r="AF308" s="26"/>
      <c r="AG308" s="24"/>
      <c r="AH308" s="24"/>
      <c r="AI308" s="28"/>
      <c r="AJ308" s="28"/>
      <c r="AK308" s="28"/>
      <c r="AL308" s="28"/>
      <c r="AM308" s="28"/>
      <c r="AN308" s="28"/>
      <c r="AO308" s="28"/>
      <c r="AP308" s="28"/>
      <c r="AQ308" s="28"/>
      <c r="AR308" s="28"/>
      <c r="AS308" s="28"/>
      <c r="AT308" s="28"/>
      <c r="AU308" s="28"/>
      <c r="AV308" s="24"/>
      <c r="AW308" s="28"/>
      <c r="AX308" s="28"/>
      <c r="AY308" s="28"/>
      <c r="AZ308" s="28"/>
      <c r="BA308" s="28"/>
      <c r="BB308" s="28"/>
      <c r="BC308" s="24"/>
      <c r="BD308" s="28"/>
      <c r="BE308" s="28"/>
      <c r="BF308" s="28"/>
      <c r="BG308" s="24"/>
      <c r="BH308" s="28"/>
      <c r="BI308" s="28"/>
      <c r="BJ308" s="28"/>
    </row>
    <row r="309" spans="1:62">
      <c r="A309" s="24"/>
      <c r="B309" s="28"/>
      <c r="C309" s="25"/>
      <c r="D309" s="26"/>
      <c r="E309" s="24"/>
      <c r="F309" s="24"/>
      <c r="G309" s="26"/>
      <c r="H309" s="26"/>
      <c r="I309" s="26"/>
      <c r="J309" s="26"/>
      <c r="K309" s="26"/>
      <c r="L309" s="26"/>
      <c r="M309" s="26"/>
      <c r="N309" s="26"/>
      <c r="P309" s="26"/>
      <c r="Q309" s="26"/>
      <c r="R309" s="25"/>
      <c r="S309" s="25"/>
      <c r="T309" s="25"/>
      <c r="U309" s="25"/>
      <c r="V309" s="24"/>
      <c r="W309" s="24"/>
      <c r="X309" s="24"/>
      <c r="Y309" s="26"/>
      <c r="Z309" s="26"/>
      <c r="AA309" s="24"/>
      <c r="AB309" s="24"/>
      <c r="AC309" s="24"/>
      <c r="AD309" s="24"/>
      <c r="AE309" s="26"/>
      <c r="AF309" s="26"/>
      <c r="AG309" s="24"/>
      <c r="AH309" s="24"/>
      <c r="AI309" s="28"/>
      <c r="AJ309" s="28"/>
      <c r="AK309" s="28"/>
      <c r="AL309" s="28"/>
      <c r="AM309" s="28"/>
      <c r="AN309" s="28"/>
      <c r="AO309" s="28"/>
      <c r="AP309" s="28"/>
      <c r="AQ309" s="28"/>
      <c r="AR309" s="28"/>
      <c r="AS309" s="28"/>
      <c r="AT309" s="28"/>
      <c r="AU309" s="28"/>
      <c r="AV309" s="24"/>
      <c r="AW309" s="28"/>
      <c r="AX309" s="28"/>
      <c r="AY309" s="28"/>
      <c r="AZ309" s="28"/>
      <c r="BA309" s="28"/>
      <c r="BB309" s="28"/>
      <c r="BC309" s="24"/>
      <c r="BD309" s="28"/>
      <c r="BE309" s="28"/>
      <c r="BF309" s="28"/>
      <c r="BG309" s="24"/>
      <c r="BH309" s="28"/>
      <c r="BI309" s="28"/>
      <c r="BJ309" s="28"/>
    </row>
    <row r="310" spans="1:62">
      <c r="A310" s="24"/>
      <c r="B310" s="28"/>
      <c r="C310" s="25"/>
      <c r="D310" s="26"/>
      <c r="E310" s="24"/>
      <c r="F310" s="24"/>
      <c r="G310" s="26"/>
      <c r="H310" s="26"/>
      <c r="I310" s="26"/>
      <c r="J310" s="26"/>
      <c r="K310" s="26"/>
      <c r="L310" s="26"/>
      <c r="M310" s="26"/>
      <c r="N310" s="26"/>
      <c r="P310" s="26"/>
      <c r="Q310" s="26"/>
      <c r="R310" s="25"/>
      <c r="S310" s="25"/>
      <c r="T310" s="25"/>
      <c r="U310" s="25"/>
      <c r="V310" s="24"/>
      <c r="W310" s="24"/>
      <c r="X310" s="24"/>
      <c r="Y310" s="26"/>
      <c r="Z310" s="26"/>
      <c r="AA310" s="24"/>
      <c r="AB310" s="24"/>
      <c r="AC310" s="24"/>
      <c r="AD310" s="24"/>
      <c r="AE310" s="26"/>
      <c r="AF310" s="26"/>
      <c r="AG310" s="24"/>
      <c r="AH310" s="24"/>
      <c r="AI310" s="28"/>
      <c r="AJ310" s="28"/>
      <c r="AK310" s="28"/>
      <c r="AL310" s="28"/>
      <c r="AM310" s="28"/>
      <c r="AN310" s="28"/>
      <c r="AO310" s="28"/>
      <c r="AP310" s="28"/>
      <c r="AQ310" s="28"/>
      <c r="AR310" s="28"/>
      <c r="AS310" s="28"/>
      <c r="AT310" s="28"/>
      <c r="AU310" s="28"/>
      <c r="AV310" s="24"/>
      <c r="AW310" s="28"/>
      <c r="AX310" s="28"/>
      <c r="AY310" s="28"/>
      <c r="AZ310" s="28"/>
      <c r="BA310" s="28"/>
      <c r="BB310" s="28"/>
      <c r="BC310" s="24"/>
      <c r="BD310" s="28"/>
      <c r="BE310" s="28"/>
      <c r="BF310" s="28"/>
      <c r="BG310" s="24"/>
      <c r="BH310" s="28"/>
      <c r="BI310" s="28"/>
      <c r="BJ310" s="28"/>
    </row>
    <row r="311" spans="1:62">
      <c r="A311" s="24"/>
      <c r="B311" s="28"/>
      <c r="C311" s="25"/>
      <c r="D311" s="26"/>
      <c r="E311" s="24"/>
      <c r="F311" s="24"/>
      <c r="G311" s="26"/>
      <c r="H311" s="26"/>
      <c r="I311" s="26"/>
      <c r="J311" s="26"/>
      <c r="K311" s="26"/>
      <c r="L311" s="26"/>
      <c r="M311" s="26"/>
      <c r="N311" s="26"/>
      <c r="P311" s="26"/>
      <c r="Q311" s="26"/>
      <c r="R311" s="25"/>
      <c r="S311" s="25"/>
      <c r="T311" s="25"/>
      <c r="U311" s="25"/>
      <c r="V311" s="24"/>
      <c r="W311" s="24"/>
      <c r="X311" s="24"/>
      <c r="Y311" s="26"/>
      <c r="Z311" s="26"/>
      <c r="AA311" s="24"/>
      <c r="AB311" s="24"/>
      <c r="AC311" s="24"/>
      <c r="AD311" s="24"/>
      <c r="AE311" s="26"/>
      <c r="AF311" s="26"/>
      <c r="AG311" s="24"/>
      <c r="AH311" s="24"/>
      <c r="AI311" s="28"/>
      <c r="AJ311" s="28"/>
      <c r="AK311" s="28"/>
      <c r="AL311" s="28"/>
      <c r="AM311" s="28"/>
      <c r="AN311" s="28"/>
      <c r="AO311" s="28"/>
      <c r="AP311" s="28"/>
      <c r="AQ311" s="28"/>
      <c r="AR311" s="28"/>
      <c r="AS311" s="28"/>
      <c r="AT311" s="28"/>
      <c r="AU311" s="28"/>
      <c r="AV311" s="24"/>
      <c r="AW311" s="28"/>
      <c r="AX311" s="28"/>
      <c r="AY311" s="28"/>
      <c r="AZ311" s="28"/>
      <c r="BA311" s="28"/>
      <c r="BB311" s="28"/>
      <c r="BC311" s="24"/>
      <c r="BD311" s="28"/>
      <c r="BE311" s="28"/>
      <c r="BF311" s="28"/>
      <c r="BG311" s="24"/>
      <c r="BH311" s="28"/>
      <c r="BI311" s="28"/>
      <c r="BJ311" s="28"/>
    </row>
    <row r="312" spans="1:62">
      <c r="A312" s="24"/>
      <c r="B312" s="28"/>
      <c r="C312" s="25"/>
      <c r="D312" s="26"/>
      <c r="E312" s="24"/>
      <c r="F312" s="24"/>
      <c r="G312" s="26"/>
      <c r="H312" s="26"/>
      <c r="I312" s="26"/>
      <c r="J312" s="26"/>
      <c r="K312" s="26"/>
      <c r="L312" s="26"/>
      <c r="M312" s="26"/>
      <c r="N312" s="26"/>
      <c r="P312" s="26"/>
      <c r="Q312" s="26"/>
      <c r="R312" s="25"/>
      <c r="S312" s="25"/>
      <c r="T312" s="25"/>
      <c r="U312" s="25"/>
      <c r="V312" s="24"/>
      <c r="W312" s="24"/>
      <c r="X312" s="24"/>
      <c r="Y312" s="26"/>
      <c r="Z312" s="26"/>
      <c r="AA312" s="24"/>
      <c r="AB312" s="24"/>
      <c r="AC312" s="24"/>
      <c r="AD312" s="24"/>
      <c r="AE312" s="26"/>
      <c r="AF312" s="26"/>
      <c r="AG312" s="24"/>
      <c r="AH312" s="24"/>
      <c r="AI312" s="28"/>
      <c r="AJ312" s="28"/>
      <c r="AK312" s="28"/>
      <c r="AL312" s="28"/>
      <c r="AM312" s="28"/>
      <c r="AN312" s="28"/>
      <c r="AO312" s="28"/>
      <c r="AP312" s="28"/>
      <c r="AQ312" s="28"/>
      <c r="AR312" s="28"/>
      <c r="AS312" s="28"/>
      <c r="AT312" s="28"/>
      <c r="AU312" s="28"/>
      <c r="AV312" s="24"/>
      <c r="AW312" s="28"/>
      <c r="AX312" s="28"/>
      <c r="AY312" s="28"/>
      <c r="AZ312" s="28"/>
      <c r="BA312" s="28"/>
      <c r="BB312" s="28"/>
      <c r="BC312" s="24"/>
      <c r="BD312" s="28"/>
      <c r="BE312" s="28"/>
      <c r="BF312" s="28"/>
      <c r="BG312" s="24"/>
      <c r="BH312" s="28"/>
      <c r="BI312" s="28"/>
      <c r="BJ312" s="28"/>
    </row>
    <row r="313" spans="1:62">
      <c r="A313" s="24"/>
      <c r="B313" s="28"/>
      <c r="C313" s="25"/>
      <c r="D313" s="26"/>
      <c r="E313" s="24"/>
      <c r="F313" s="24"/>
      <c r="G313" s="26"/>
      <c r="H313" s="26"/>
      <c r="I313" s="26"/>
      <c r="J313" s="26"/>
      <c r="K313" s="26"/>
      <c r="L313" s="26"/>
      <c r="M313" s="26"/>
      <c r="N313" s="26"/>
      <c r="P313" s="26"/>
      <c r="Q313" s="26"/>
      <c r="R313" s="25"/>
      <c r="S313" s="25"/>
      <c r="T313" s="25"/>
      <c r="U313" s="25"/>
      <c r="V313" s="24"/>
      <c r="W313" s="24"/>
      <c r="X313" s="24"/>
      <c r="Y313" s="26"/>
      <c r="Z313" s="26"/>
      <c r="AA313" s="24"/>
      <c r="AB313" s="24"/>
      <c r="AC313" s="24"/>
      <c r="AD313" s="24"/>
      <c r="AE313" s="26"/>
      <c r="AF313" s="26"/>
      <c r="AG313" s="24"/>
      <c r="AH313" s="24"/>
      <c r="AI313" s="28"/>
      <c r="AJ313" s="28"/>
      <c r="AK313" s="28"/>
      <c r="AL313" s="28"/>
      <c r="AM313" s="28"/>
      <c r="AN313" s="28"/>
      <c r="AO313" s="28"/>
      <c r="AP313" s="28"/>
      <c r="AQ313" s="28"/>
      <c r="AR313" s="28"/>
      <c r="AS313" s="28"/>
      <c r="AT313" s="28"/>
      <c r="AU313" s="28"/>
      <c r="AV313" s="24"/>
      <c r="AW313" s="28"/>
      <c r="AX313" s="28"/>
      <c r="AY313" s="28"/>
      <c r="AZ313" s="28"/>
      <c r="BA313" s="28"/>
      <c r="BB313" s="28"/>
      <c r="BC313" s="24"/>
      <c r="BD313" s="28"/>
      <c r="BE313" s="28"/>
      <c r="BF313" s="28"/>
      <c r="BG313" s="24"/>
      <c r="BH313" s="28"/>
      <c r="BI313" s="28"/>
      <c r="BJ313" s="28"/>
    </row>
    <row r="314" spans="1:62">
      <c r="A314" s="24"/>
      <c r="B314" s="28"/>
      <c r="C314" s="25"/>
      <c r="D314" s="26"/>
      <c r="E314" s="24"/>
      <c r="F314" s="24"/>
      <c r="G314" s="26"/>
      <c r="H314" s="26"/>
      <c r="I314" s="26"/>
      <c r="J314" s="26"/>
      <c r="K314" s="26"/>
      <c r="L314" s="26"/>
      <c r="M314" s="26"/>
      <c r="N314" s="26"/>
      <c r="P314" s="26"/>
      <c r="Q314" s="26"/>
      <c r="R314" s="25"/>
      <c r="S314" s="25"/>
      <c r="T314" s="25"/>
      <c r="U314" s="25"/>
      <c r="V314" s="24"/>
      <c r="W314" s="24"/>
      <c r="X314" s="24"/>
      <c r="Y314" s="26"/>
      <c r="Z314" s="26"/>
      <c r="AA314" s="24"/>
      <c r="AB314" s="24"/>
      <c r="AC314" s="24"/>
      <c r="AD314" s="24"/>
      <c r="AE314" s="26"/>
      <c r="AF314" s="26"/>
      <c r="AG314" s="24"/>
      <c r="AH314" s="24"/>
      <c r="AI314" s="28"/>
      <c r="AJ314" s="28"/>
      <c r="AK314" s="28"/>
      <c r="AL314" s="28"/>
      <c r="AM314" s="28"/>
      <c r="AN314" s="28"/>
      <c r="AO314" s="28"/>
      <c r="AP314" s="28"/>
      <c r="AQ314" s="28"/>
      <c r="AR314" s="28"/>
      <c r="AS314" s="28"/>
      <c r="AT314" s="28"/>
      <c r="AU314" s="28"/>
      <c r="AV314" s="24"/>
      <c r="AW314" s="28"/>
      <c r="AX314" s="28"/>
      <c r="AY314" s="28"/>
      <c r="AZ314" s="28"/>
      <c r="BA314" s="28"/>
      <c r="BB314" s="28"/>
      <c r="BC314" s="24"/>
      <c r="BD314" s="28"/>
      <c r="BE314" s="28"/>
      <c r="BF314" s="28"/>
      <c r="BG314" s="24"/>
      <c r="BH314" s="28"/>
      <c r="BI314" s="28"/>
      <c r="BJ314" s="28"/>
    </row>
    <row r="315" spans="1:62">
      <c r="A315" s="24"/>
      <c r="B315" s="28"/>
      <c r="C315" s="25"/>
      <c r="D315" s="26"/>
      <c r="E315" s="24"/>
      <c r="F315" s="24"/>
      <c r="G315" s="26"/>
      <c r="H315" s="26"/>
      <c r="I315" s="26"/>
      <c r="J315" s="26"/>
      <c r="K315" s="26"/>
      <c r="L315" s="26"/>
      <c r="M315" s="26"/>
      <c r="N315" s="26"/>
      <c r="P315" s="26"/>
      <c r="Q315" s="26"/>
      <c r="R315" s="25"/>
      <c r="S315" s="25"/>
      <c r="T315" s="25"/>
      <c r="U315" s="25"/>
      <c r="V315" s="24"/>
      <c r="W315" s="24"/>
      <c r="X315" s="24"/>
      <c r="Y315" s="26"/>
      <c r="Z315" s="26"/>
      <c r="AA315" s="24"/>
      <c r="AB315" s="24"/>
      <c r="AC315" s="24"/>
      <c r="AD315" s="24"/>
      <c r="AE315" s="26"/>
      <c r="AF315" s="26"/>
      <c r="AG315" s="24"/>
      <c r="AH315" s="24"/>
      <c r="AI315" s="28"/>
      <c r="AJ315" s="28"/>
      <c r="AK315" s="28"/>
      <c r="AL315" s="28"/>
      <c r="AM315" s="28"/>
      <c r="AN315" s="28"/>
      <c r="AO315" s="28"/>
      <c r="AP315" s="28"/>
      <c r="AQ315" s="28"/>
      <c r="AR315" s="28"/>
      <c r="AS315" s="28"/>
      <c r="AT315" s="28"/>
      <c r="AU315" s="28"/>
      <c r="AV315" s="24"/>
      <c r="AW315" s="28"/>
      <c r="AX315" s="28"/>
      <c r="AY315" s="28"/>
      <c r="AZ315" s="28"/>
      <c r="BA315" s="28"/>
      <c r="BB315" s="28"/>
      <c r="BC315" s="24"/>
      <c r="BD315" s="28"/>
      <c r="BE315" s="28"/>
      <c r="BF315" s="28"/>
      <c r="BG315" s="24"/>
      <c r="BH315" s="28"/>
      <c r="BI315" s="28"/>
      <c r="BJ315" s="28"/>
    </row>
    <row r="316" spans="1:62">
      <c r="A316" s="24"/>
      <c r="B316" s="28"/>
      <c r="C316" s="25"/>
      <c r="D316" s="26"/>
      <c r="E316" s="24"/>
      <c r="F316" s="24"/>
      <c r="G316" s="26"/>
      <c r="H316" s="26"/>
      <c r="I316" s="26"/>
      <c r="J316" s="26"/>
      <c r="K316" s="26"/>
      <c r="L316" s="26"/>
      <c r="M316" s="26"/>
      <c r="N316" s="26"/>
      <c r="P316" s="26"/>
      <c r="Q316" s="26"/>
      <c r="R316" s="25"/>
      <c r="S316" s="25"/>
      <c r="T316" s="25"/>
      <c r="U316" s="25"/>
      <c r="V316" s="24"/>
      <c r="W316" s="24"/>
      <c r="X316" s="24"/>
      <c r="Y316" s="26"/>
      <c r="Z316" s="26"/>
      <c r="AA316" s="24"/>
      <c r="AB316" s="24"/>
      <c r="AC316" s="24"/>
      <c r="AD316" s="24"/>
      <c r="AE316" s="26"/>
      <c r="AF316" s="26"/>
      <c r="AG316" s="24"/>
      <c r="AH316" s="24"/>
      <c r="AI316" s="28"/>
      <c r="AJ316" s="28"/>
      <c r="AK316" s="28"/>
      <c r="AL316" s="28"/>
      <c r="AM316" s="28"/>
      <c r="AN316" s="28"/>
      <c r="AO316" s="28"/>
      <c r="AP316" s="28"/>
      <c r="AQ316" s="28"/>
      <c r="AR316" s="28"/>
      <c r="AS316" s="28"/>
      <c r="AT316" s="28"/>
      <c r="AU316" s="28"/>
      <c r="AV316" s="24"/>
      <c r="AW316" s="28"/>
      <c r="AX316" s="28"/>
      <c r="AY316" s="28"/>
      <c r="AZ316" s="28"/>
      <c r="BA316" s="28"/>
      <c r="BB316" s="28"/>
      <c r="BC316" s="24"/>
      <c r="BD316" s="28"/>
      <c r="BE316" s="28"/>
      <c r="BF316" s="28"/>
      <c r="BG316" s="24"/>
      <c r="BH316" s="28"/>
      <c r="BI316" s="28"/>
      <c r="BJ316" s="28"/>
    </row>
    <row r="317" spans="1:62">
      <c r="A317" s="24"/>
      <c r="B317" s="28"/>
      <c r="C317" s="25"/>
      <c r="D317" s="26"/>
      <c r="E317" s="24"/>
      <c r="F317" s="24"/>
      <c r="G317" s="26"/>
      <c r="H317" s="26"/>
      <c r="I317" s="26"/>
      <c r="J317" s="26"/>
      <c r="K317" s="26"/>
      <c r="L317" s="26"/>
      <c r="M317" s="26"/>
      <c r="N317" s="26"/>
      <c r="P317" s="26"/>
      <c r="Q317" s="26"/>
      <c r="R317" s="25"/>
      <c r="S317" s="25"/>
      <c r="T317" s="25"/>
      <c r="U317" s="25"/>
      <c r="V317" s="24"/>
      <c r="W317" s="24"/>
      <c r="X317" s="24"/>
      <c r="Y317" s="26"/>
      <c r="Z317" s="26"/>
      <c r="AA317" s="24"/>
      <c r="AB317" s="24"/>
      <c r="AC317" s="24"/>
      <c r="AD317" s="24"/>
      <c r="AE317" s="26"/>
      <c r="AF317" s="26"/>
      <c r="AG317" s="24"/>
      <c r="AH317" s="24"/>
      <c r="AI317" s="28"/>
      <c r="AJ317" s="28"/>
      <c r="AK317" s="28"/>
      <c r="AL317" s="28"/>
      <c r="AM317" s="28"/>
      <c r="AN317" s="28"/>
      <c r="AO317" s="28"/>
      <c r="AP317" s="28"/>
      <c r="AQ317" s="28"/>
      <c r="AR317" s="28"/>
      <c r="AS317" s="28"/>
      <c r="AT317" s="28"/>
      <c r="AU317" s="28"/>
      <c r="AV317" s="24"/>
      <c r="AW317" s="28"/>
      <c r="AX317" s="28"/>
      <c r="AY317" s="28"/>
      <c r="AZ317" s="28"/>
      <c r="BA317" s="28"/>
      <c r="BB317" s="28"/>
      <c r="BC317" s="24"/>
      <c r="BD317" s="28"/>
      <c r="BE317" s="28"/>
      <c r="BF317" s="28"/>
      <c r="BG317" s="24"/>
      <c r="BH317" s="28"/>
      <c r="BI317" s="28"/>
      <c r="BJ317" s="28"/>
    </row>
    <row r="318" spans="1:62">
      <c r="A318" s="24"/>
      <c r="B318" s="28"/>
      <c r="C318" s="25"/>
      <c r="D318" s="26"/>
      <c r="E318" s="24"/>
      <c r="F318" s="24"/>
      <c r="G318" s="26"/>
      <c r="H318" s="26"/>
      <c r="I318" s="26"/>
      <c r="J318" s="26"/>
      <c r="K318" s="26"/>
      <c r="L318" s="26"/>
      <c r="M318" s="26"/>
      <c r="N318" s="26"/>
      <c r="P318" s="26"/>
      <c r="Q318" s="26"/>
      <c r="R318" s="25"/>
      <c r="S318" s="25"/>
      <c r="T318" s="25"/>
      <c r="U318" s="25"/>
      <c r="V318" s="24"/>
      <c r="W318" s="24"/>
      <c r="X318" s="24"/>
      <c r="Y318" s="26"/>
      <c r="Z318" s="26"/>
      <c r="AA318" s="24"/>
      <c r="AB318" s="24"/>
      <c r="AC318" s="24"/>
      <c r="AD318" s="24"/>
      <c r="AE318" s="26"/>
      <c r="AF318" s="26"/>
      <c r="AG318" s="24"/>
      <c r="AH318" s="24"/>
      <c r="AI318" s="28"/>
      <c r="AJ318" s="28"/>
      <c r="AK318" s="28"/>
      <c r="AL318" s="28"/>
      <c r="AM318" s="28"/>
      <c r="AN318" s="28"/>
      <c r="AO318" s="28"/>
      <c r="AP318" s="28"/>
      <c r="AQ318" s="28"/>
      <c r="AR318" s="28"/>
      <c r="AS318" s="28"/>
      <c r="AT318" s="28"/>
      <c r="AU318" s="28"/>
      <c r="AV318" s="24"/>
      <c r="AW318" s="28"/>
      <c r="AX318" s="28"/>
      <c r="AY318" s="28"/>
      <c r="AZ318" s="28"/>
      <c r="BA318" s="28"/>
      <c r="BB318" s="28"/>
      <c r="BC318" s="24"/>
      <c r="BD318" s="28"/>
      <c r="BE318" s="28"/>
      <c r="BF318" s="28"/>
      <c r="BG318" s="24"/>
      <c r="BH318" s="28"/>
      <c r="BI318" s="28"/>
      <c r="BJ318" s="28"/>
    </row>
    <row r="319" spans="1:62">
      <c r="A319" s="24"/>
      <c r="B319" s="28"/>
      <c r="C319" s="25"/>
      <c r="D319" s="26"/>
      <c r="E319" s="24"/>
      <c r="F319" s="24"/>
      <c r="G319" s="26"/>
      <c r="H319" s="26"/>
      <c r="I319" s="26"/>
      <c r="J319" s="26"/>
      <c r="K319" s="26"/>
      <c r="L319" s="26"/>
      <c r="M319" s="26"/>
      <c r="N319" s="26"/>
      <c r="P319" s="26"/>
      <c r="Q319" s="26"/>
      <c r="R319" s="25"/>
      <c r="S319" s="25"/>
      <c r="T319" s="25"/>
      <c r="U319" s="25"/>
      <c r="V319" s="24"/>
      <c r="W319" s="24"/>
      <c r="X319" s="24"/>
      <c r="Y319" s="26"/>
      <c r="Z319" s="26"/>
      <c r="AA319" s="24"/>
      <c r="AB319" s="24"/>
      <c r="AC319" s="24"/>
      <c r="AD319" s="24"/>
      <c r="AE319" s="26"/>
      <c r="AF319" s="26"/>
      <c r="AG319" s="24"/>
      <c r="AH319" s="24"/>
      <c r="AI319" s="28"/>
      <c r="AJ319" s="28"/>
      <c r="AK319" s="28"/>
      <c r="AL319" s="28"/>
      <c r="AM319" s="28"/>
      <c r="AN319" s="28"/>
      <c r="AO319" s="28"/>
      <c r="AP319" s="28"/>
      <c r="AQ319" s="28"/>
      <c r="AR319" s="28"/>
      <c r="AS319" s="28"/>
      <c r="AT319" s="28"/>
      <c r="AU319" s="28"/>
      <c r="AV319" s="24"/>
      <c r="AW319" s="28"/>
      <c r="AX319" s="28"/>
      <c r="AY319" s="28"/>
      <c r="AZ319" s="28"/>
      <c r="BA319" s="28"/>
      <c r="BB319" s="28"/>
      <c r="BC319" s="24"/>
      <c r="BD319" s="28"/>
      <c r="BE319" s="28"/>
      <c r="BF319" s="28"/>
      <c r="BG319" s="24"/>
      <c r="BH319" s="28"/>
      <c r="BI319" s="28"/>
      <c r="BJ319" s="28"/>
    </row>
    <row r="320" spans="1:62">
      <c r="A320" s="24"/>
      <c r="B320" s="28"/>
      <c r="C320" s="25"/>
      <c r="D320" s="26"/>
      <c r="E320" s="24"/>
      <c r="F320" s="24"/>
      <c r="G320" s="26"/>
      <c r="H320" s="26"/>
      <c r="I320" s="26"/>
      <c r="J320" s="26"/>
      <c r="K320" s="26"/>
      <c r="L320" s="26"/>
      <c r="M320" s="26"/>
      <c r="N320" s="26"/>
      <c r="P320" s="26"/>
      <c r="Q320" s="26"/>
      <c r="R320" s="25"/>
      <c r="S320" s="25"/>
      <c r="T320" s="25"/>
      <c r="U320" s="25"/>
      <c r="V320" s="24"/>
      <c r="W320" s="24"/>
      <c r="X320" s="24"/>
      <c r="Y320" s="26"/>
      <c r="Z320" s="26"/>
      <c r="AA320" s="24"/>
      <c r="AB320" s="24"/>
      <c r="AC320" s="24"/>
      <c r="AD320" s="24"/>
      <c r="AE320" s="26"/>
      <c r="AF320" s="26"/>
      <c r="AG320" s="24"/>
      <c r="AH320" s="24"/>
      <c r="AI320" s="28"/>
      <c r="AJ320" s="28"/>
      <c r="AK320" s="28"/>
      <c r="AL320" s="28"/>
      <c r="AM320" s="28"/>
      <c r="AN320" s="28"/>
      <c r="AO320" s="28"/>
      <c r="AP320" s="28"/>
      <c r="AQ320" s="28"/>
      <c r="AR320" s="28"/>
      <c r="AS320" s="28"/>
      <c r="AT320" s="28"/>
      <c r="AU320" s="28"/>
      <c r="AV320" s="24"/>
      <c r="AW320" s="28"/>
      <c r="AX320" s="28"/>
      <c r="AY320" s="28"/>
      <c r="AZ320" s="28"/>
      <c r="BA320" s="28"/>
      <c r="BB320" s="28"/>
      <c r="BC320" s="24"/>
      <c r="BD320" s="28"/>
      <c r="BE320" s="28"/>
      <c r="BF320" s="28"/>
      <c r="BG320" s="24"/>
      <c r="BH320" s="28"/>
      <c r="BI320" s="28"/>
      <c r="BJ320" s="28"/>
    </row>
    <row r="321" spans="1:62">
      <c r="A321" s="24"/>
      <c r="B321" s="28"/>
      <c r="C321" s="25"/>
      <c r="D321" s="26"/>
      <c r="E321" s="24"/>
      <c r="F321" s="24"/>
      <c r="G321" s="26"/>
      <c r="H321" s="26"/>
      <c r="I321" s="26"/>
      <c r="J321" s="26"/>
      <c r="K321" s="26"/>
      <c r="L321" s="26"/>
      <c r="M321" s="26"/>
      <c r="N321" s="26"/>
      <c r="P321" s="26"/>
      <c r="Q321" s="26"/>
      <c r="R321" s="25"/>
      <c r="S321" s="25"/>
      <c r="T321" s="25"/>
      <c r="U321" s="25"/>
      <c r="V321" s="24"/>
      <c r="W321" s="24"/>
      <c r="X321" s="24"/>
      <c r="Y321" s="26"/>
      <c r="Z321" s="26"/>
      <c r="AA321" s="24"/>
      <c r="AB321" s="24"/>
      <c r="AC321" s="24"/>
      <c r="AD321" s="24"/>
      <c r="AE321" s="26"/>
      <c r="AF321" s="26"/>
      <c r="AG321" s="24"/>
      <c r="AH321" s="24"/>
      <c r="AI321" s="28"/>
      <c r="AJ321" s="28"/>
      <c r="AK321" s="28"/>
      <c r="AL321" s="28"/>
      <c r="AM321" s="28"/>
      <c r="AN321" s="28"/>
      <c r="AO321" s="28"/>
      <c r="AP321" s="28"/>
      <c r="AQ321" s="28"/>
      <c r="AR321" s="28"/>
      <c r="AS321" s="28"/>
      <c r="AT321" s="28"/>
      <c r="AU321" s="28"/>
      <c r="AV321" s="24"/>
      <c r="AW321" s="28"/>
      <c r="AX321" s="28"/>
      <c r="AY321" s="28"/>
      <c r="AZ321" s="28"/>
      <c r="BA321" s="28"/>
      <c r="BB321" s="28"/>
      <c r="BC321" s="24"/>
      <c r="BD321" s="28"/>
      <c r="BE321" s="28"/>
      <c r="BF321" s="28"/>
      <c r="BG321" s="24"/>
      <c r="BH321" s="28"/>
      <c r="BI321" s="28"/>
      <c r="BJ321" s="28"/>
    </row>
    <row r="322" spans="1:62">
      <c r="A322" s="24"/>
      <c r="B322" s="28"/>
      <c r="C322" s="25"/>
      <c r="D322" s="26"/>
      <c r="E322" s="24"/>
      <c r="F322" s="24"/>
      <c r="G322" s="26"/>
      <c r="H322" s="26"/>
      <c r="I322" s="26"/>
      <c r="J322" s="26"/>
      <c r="K322" s="26"/>
      <c r="L322" s="26"/>
      <c r="M322" s="26"/>
      <c r="N322" s="26"/>
      <c r="P322" s="26"/>
      <c r="Q322" s="26"/>
      <c r="R322" s="25"/>
      <c r="S322" s="25"/>
      <c r="T322" s="25"/>
      <c r="U322" s="25"/>
      <c r="V322" s="24"/>
      <c r="W322" s="24"/>
      <c r="X322" s="24"/>
      <c r="Y322" s="26"/>
      <c r="Z322" s="26"/>
      <c r="AA322" s="24"/>
      <c r="AB322" s="24"/>
      <c r="AC322" s="24"/>
      <c r="AD322" s="24"/>
      <c r="AE322" s="26"/>
      <c r="AF322" s="26"/>
      <c r="AG322" s="24"/>
      <c r="AH322" s="24"/>
      <c r="AI322" s="28"/>
      <c r="AJ322" s="28"/>
      <c r="AK322" s="28"/>
      <c r="AL322" s="28"/>
      <c r="AM322" s="28"/>
      <c r="AN322" s="28"/>
      <c r="AO322" s="28"/>
      <c r="AP322" s="28"/>
      <c r="AQ322" s="28"/>
      <c r="AR322" s="28"/>
      <c r="AS322" s="28"/>
      <c r="AT322" s="28"/>
      <c r="AU322" s="28"/>
      <c r="AV322" s="24"/>
      <c r="AW322" s="28"/>
      <c r="AX322" s="28"/>
      <c r="AY322" s="28"/>
      <c r="AZ322" s="28"/>
      <c r="BA322" s="28"/>
      <c r="BB322" s="28"/>
      <c r="BC322" s="24"/>
      <c r="BD322" s="28"/>
      <c r="BE322" s="28"/>
      <c r="BF322" s="28"/>
      <c r="BG322" s="24"/>
      <c r="BH322" s="28"/>
      <c r="BI322" s="28"/>
      <c r="BJ322" s="28"/>
    </row>
    <row r="323" spans="1:62">
      <c r="A323" s="24"/>
      <c r="B323" s="28"/>
      <c r="C323" s="25"/>
      <c r="D323" s="26"/>
      <c r="E323" s="24"/>
      <c r="F323" s="24"/>
      <c r="G323" s="26"/>
      <c r="H323" s="26"/>
      <c r="I323" s="26"/>
      <c r="J323" s="26"/>
      <c r="K323" s="26"/>
      <c r="L323" s="26"/>
      <c r="M323" s="26"/>
      <c r="N323" s="26"/>
      <c r="P323" s="26"/>
      <c r="Q323" s="26"/>
      <c r="R323" s="25"/>
      <c r="S323" s="25"/>
      <c r="T323" s="25"/>
      <c r="U323" s="25"/>
      <c r="V323" s="24"/>
      <c r="W323" s="24"/>
      <c r="X323" s="24"/>
      <c r="Y323" s="26"/>
      <c r="Z323" s="26"/>
      <c r="AA323" s="24"/>
      <c r="AB323" s="24"/>
      <c r="AC323" s="24"/>
      <c r="AD323" s="24"/>
      <c r="AE323" s="26"/>
      <c r="AF323" s="26"/>
      <c r="AG323" s="24"/>
      <c r="AH323" s="24"/>
      <c r="AI323" s="28"/>
      <c r="AJ323" s="28"/>
      <c r="AK323" s="28"/>
      <c r="AL323" s="28"/>
      <c r="AM323" s="28"/>
      <c r="AN323" s="28"/>
      <c r="AO323" s="28"/>
      <c r="AP323" s="28"/>
      <c r="AQ323" s="28"/>
      <c r="AR323" s="28"/>
      <c r="AS323" s="28"/>
      <c r="AT323" s="28"/>
      <c r="AU323" s="28"/>
      <c r="AV323" s="24"/>
      <c r="AW323" s="28"/>
      <c r="AX323" s="28"/>
      <c r="AY323" s="28"/>
      <c r="AZ323" s="28"/>
      <c r="BA323" s="28"/>
      <c r="BB323" s="28"/>
      <c r="BC323" s="24"/>
      <c r="BD323" s="28"/>
      <c r="BE323" s="28"/>
      <c r="BF323" s="28"/>
      <c r="BG323" s="24"/>
      <c r="BH323" s="28"/>
      <c r="BI323" s="28"/>
      <c r="BJ323" s="28"/>
    </row>
    <row r="324" spans="1:62">
      <c r="A324" s="24"/>
      <c r="B324" s="28"/>
      <c r="C324" s="25"/>
      <c r="D324" s="26"/>
      <c r="E324" s="24"/>
      <c r="F324" s="24"/>
      <c r="G324" s="26"/>
      <c r="H324" s="26"/>
      <c r="I324" s="26"/>
      <c r="J324" s="26"/>
      <c r="K324" s="26"/>
      <c r="L324" s="26"/>
      <c r="M324" s="26"/>
      <c r="N324" s="26"/>
      <c r="P324" s="26"/>
      <c r="Q324" s="26"/>
      <c r="R324" s="25"/>
      <c r="S324" s="25"/>
      <c r="T324" s="25"/>
      <c r="U324" s="25"/>
      <c r="V324" s="24"/>
      <c r="W324" s="24"/>
      <c r="X324" s="24"/>
      <c r="Y324" s="26"/>
      <c r="Z324" s="26"/>
      <c r="AA324" s="24"/>
      <c r="AB324" s="24"/>
      <c r="AC324" s="24"/>
      <c r="AD324" s="24"/>
      <c r="AE324" s="26"/>
      <c r="AF324" s="26"/>
      <c r="AG324" s="24"/>
      <c r="AH324" s="24"/>
      <c r="AI324" s="28"/>
      <c r="AJ324" s="28"/>
      <c r="AK324" s="28"/>
      <c r="AL324" s="28"/>
      <c r="AM324" s="28"/>
      <c r="AN324" s="28"/>
      <c r="AO324" s="28"/>
      <c r="AP324" s="28"/>
      <c r="AQ324" s="28"/>
      <c r="AR324" s="28"/>
      <c r="AS324" s="28"/>
      <c r="AT324" s="28"/>
      <c r="AU324" s="28"/>
      <c r="AV324" s="24"/>
      <c r="AW324" s="28"/>
      <c r="AX324" s="28"/>
      <c r="AY324" s="28"/>
      <c r="AZ324" s="28"/>
      <c r="BA324" s="28"/>
      <c r="BB324" s="28"/>
      <c r="BC324" s="24"/>
      <c r="BD324" s="28"/>
      <c r="BE324" s="28"/>
      <c r="BF324" s="28"/>
      <c r="BG324" s="24"/>
      <c r="BH324" s="28"/>
      <c r="BI324" s="28"/>
      <c r="BJ324" s="28"/>
    </row>
    <row r="325" spans="1:62">
      <c r="A325" s="24"/>
      <c r="B325" s="28"/>
      <c r="C325" s="25"/>
      <c r="D325" s="26"/>
      <c r="E325" s="24"/>
      <c r="F325" s="24"/>
      <c r="G325" s="26"/>
      <c r="H325" s="26"/>
      <c r="I325" s="26"/>
      <c r="J325" s="26"/>
      <c r="K325" s="26"/>
      <c r="L325" s="26"/>
      <c r="M325" s="26"/>
      <c r="N325" s="26"/>
      <c r="P325" s="26"/>
      <c r="Q325" s="26"/>
      <c r="R325" s="25"/>
      <c r="S325" s="25"/>
      <c r="T325" s="25"/>
      <c r="U325" s="25"/>
      <c r="V325" s="24"/>
      <c r="W325" s="24"/>
      <c r="X325" s="24"/>
      <c r="Y325" s="26"/>
      <c r="Z325" s="26"/>
      <c r="AA325" s="24"/>
      <c r="AB325" s="24"/>
      <c r="AC325" s="24"/>
      <c r="AD325" s="24"/>
      <c r="AE325" s="26"/>
      <c r="AF325" s="26"/>
      <c r="AG325" s="24"/>
      <c r="AH325" s="24"/>
      <c r="AI325" s="28"/>
      <c r="AJ325" s="28"/>
      <c r="AK325" s="28"/>
      <c r="AL325" s="28"/>
      <c r="AM325" s="28"/>
      <c r="AN325" s="28"/>
      <c r="AO325" s="28"/>
      <c r="AP325" s="28"/>
      <c r="AQ325" s="28"/>
      <c r="AR325" s="28"/>
      <c r="AS325" s="28"/>
      <c r="AT325" s="28"/>
      <c r="AU325" s="28"/>
      <c r="AV325" s="24"/>
      <c r="AW325" s="28"/>
      <c r="AX325" s="28"/>
      <c r="AY325" s="28"/>
      <c r="AZ325" s="28"/>
      <c r="BA325" s="28"/>
      <c r="BB325" s="28"/>
      <c r="BC325" s="24"/>
      <c r="BD325" s="28"/>
      <c r="BE325" s="28"/>
      <c r="BF325" s="28"/>
      <c r="BG325" s="24"/>
      <c r="BH325" s="28"/>
      <c r="BI325" s="28"/>
      <c r="BJ325" s="28"/>
    </row>
    <row r="326" spans="1:62">
      <c r="A326" s="24"/>
      <c r="B326" s="28"/>
      <c r="C326" s="25"/>
      <c r="D326" s="26"/>
      <c r="E326" s="24"/>
      <c r="F326" s="24"/>
      <c r="G326" s="26"/>
      <c r="H326" s="26"/>
      <c r="I326" s="26"/>
      <c r="J326" s="26"/>
      <c r="K326" s="26"/>
      <c r="L326" s="26"/>
      <c r="M326" s="26"/>
      <c r="N326" s="26"/>
      <c r="P326" s="26"/>
      <c r="Q326" s="26"/>
      <c r="R326" s="25"/>
      <c r="S326" s="25"/>
      <c r="T326" s="25"/>
      <c r="U326" s="25"/>
      <c r="V326" s="24"/>
      <c r="W326" s="24"/>
      <c r="X326" s="24"/>
      <c r="Y326" s="26"/>
      <c r="Z326" s="26"/>
      <c r="AA326" s="24"/>
      <c r="AB326" s="24"/>
      <c r="AC326" s="24"/>
      <c r="AD326" s="24"/>
      <c r="AE326" s="26"/>
      <c r="AF326" s="26"/>
      <c r="AG326" s="24"/>
      <c r="AH326" s="24"/>
      <c r="AI326" s="28"/>
      <c r="AJ326" s="28"/>
      <c r="AK326" s="28"/>
      <c r="AL326" s="28"/>
      <c r="AM326" s="28"/>
      <c r="AN326" s="28"/>
      <c r="AO326" s="28"/>
      <c r="AP326" s="28"/>
      <c r="AQ326" s="28"/>
      <c r="AR326" s="28"/>
      <c r="AS326" s="28"/>
      <c r="AT326" s="28"/>
      <c r="AU326" s="28"/>
      <c r="AV326" s="24"/>
      <c r="AW326" s="28"/>
      <c r="AX326" s="28"/>
      <c r="AY326" s="28"/>
      <c r="AZ326" s="28"/>
      <c r="BA326" s="28"/>
      <c r="BB326" s="28"/>
      <c r="BC326" s="24"/>
      <c r="BD326" s="28"/>
      <c r="BE326" s="28"/>
      <c r="BF326" s="28"/>
      <c r="BG326" s="24"/>
      <c r="BH326" s="28"/>
      <c r="BI326" s="28"/>
      <c r="BJ326" s="28"/>
    </row>
    <row r="327" spans="1:62">
      <c r="A327" s="24"/>
      <c r="B327" s="28"/>
      <c r="C327" s="25"/>
      <c r="D327" s="26"/>
      <c r="E327" s="24"/>
      <c r="F327" s="24"/>
      <c r="G327" s="26"/>
      <c r="H327" s="26"/>
      <c r="I327" s="26"/>
      <c r="J327" s="26"/>
      <c r="K327" s="26"/>
      <c r="L327" s="26"/>
      <c r="M327" s="26"/>
      <c r="N327" s="26"/>
      <c r="P327" s="26"/>
      <c r="Q327" s="26"/>
      <c r="R327" s="25"/>
      <c r="S327" s="25"/>
      <c r="T327" s="25"/>
      <c r="U327" s="25"/>
      <c r="V327" s="24"/>
      <c r="W327" s="24"/>
      <c r="X327" s="24"/>
      <c r="Y327" s="26"/>
      <c r="Z327" s="26"/>
      <c r="AA327" s="24"/>
      <c r="AB327" s="24"/>
      <c r="AC327" s="24"/>
      <c r="AD327" s="24"/>
      <c r="AE327" s="26"/>
      <c r="AF327" s="26"/>
      <c r="AG327" s="24"/>
      <c r="AH327" s="24"/>
      <c r="AI327" s="28"/>
      <c r="AJ327" s="28"/>
      <c r="AK327" s="28"/>
      <c r="AL327" s="28"/>
      <c r="AM327" s="28"/>
      <c r="AN327" s="28"/>
      <c r="AO327" s="28"/>
      <c r="AP327" s="28"/>
      <c r="AQ327" s="28"/>
      <c r="AR327" s="28"/>
      <c r="AS327" s="28"/>
      <c r="AT327" s="28"/>
      <c r="AU327" s="28"/>
      <c r="AV327" s="24"/>
      <c r="AW327" s="28"/>
      <c r="AX327" s="28"/>
      <c r="AY327" s="28"/>
      <c r="AZ327" s="28"/>
      <c r="BA327" s="28"/>
      <c r="BB327" s="28"/>
      <c r="BC327" s="24"/>
      <c r="BD327" s="28"/>
      <c r="BE327" s="28"/>
      <c r="BF327" s="28"/>
      <c r="BG327" s="24"/>
      <c r="BH327" s="28"/>
      <c r="BI327" s="28"/>
      <c r="BJ327" s="28"/>
    </row>
    <row r="328" spans="1:62">
      <c r="A328" s="24"/>
      <c r="B328" s="28"/>
      <c r="C328" s="25"/>
      <c r="D328" s="26"/>
      <c r="E328" s="24"/>
      <c r="F328" s="24"/>
      <c r="G328" s="26"/>
      <c r="H328" s="26"/>
      <c r="I328" s="26"/>
      <c r="J328" s="26"/>
      <c r="K328" s="26"/>
      <c r="L328" s="26"/>
      <c r="M328" s="26"/>
      <c r="N328" s="26"/>
      <c r="P328" s="26"/>
      <c r="Q328" s="26"/>
      <c r="R328" s="25"/>
      <c r="S328" s="25"/>
      <c r="T328" s="25"/>
      <c r="U328" s="25"/>
      <c r="V328" s="24"/>
      <c r="W328" s="24"/>
      <c r="X328" s="24"/>
      <c r="Y328" s="26"/>
      <c r="Z328" s="26"/>
      <c r="AA328" s="24"/>
      <c r="AB328" s="24"/>
      <c r="AC328" s="24"/>
      <c r="AD328" s="24"/>
      <c r="AE328" s="26"/>
      <c r="AF328" s="26"/>
      <c r="AG328" s="24"/>
      <c r="AH328" s="24"/>
      <c r="AI328" s="28"/>
      <c r="AJ328" s="28"/>
      <c r="AK328" s="28"/>
      <c r="AL328" s="28"/>
      <c r="AM328" s="28"/>
      <c r="AN328" s="28"/>
      <c r="AO328" s="28"/>
      <c r="AP328" s="28"/>
      <c r="AQ328" s="28"/>
      <c r="AR328" s="28"/>
      <c r="AS328" s="28"/>
      <c r="AT328" s="28"/>
      <c r="AU328" s="28"/>
      <c r="AV328" s="24"/>
      <c r="AW328" s="28"/>
      <c r="AX328" s="28"/>
      <c r="AY328" s="28"/>
      <c r="AZ328" s="28"/>
      <c r="BA328" s="28"/>
      <c r="BB328" s="28"/>
      <c r="BC328" s="24"/>
      <c r="BD328" s="28"/>
      <c r="BE328" s="28"/>
      <c r="BF328" s="28"/>
      <c r="BG328" s="24"/>
      <c r="BH328" s="28"/>
      <c r="BI328" s="28"/>
      <c r="BJ328" s="28"/>
    </row>
    <row r="329" spans="1:62">
      <c r="A329" s="24"/>
      <c r="B329" s="28"/>
      <c r="C329" s="25"/>
      <c r="D329" s="26"/>
      <c r="E329" s="24"/>
      <c r="F329" s="24"/>
      <c r="G329" s="26"/>
      <c r="H329" s="26"/>
      <c r="I329" s="26"/>
      <c r="J329" s="26"/>
      <c r="K329" s="26"/>
      <c r="L329" s="26"/>
      <c r="M329" s="26"/>
      <c r="N329" s="26"/>
      <c r="P329" s="26"/>
      <c r="Q329" s="26"/>
      <c r="R329" s="25"/>
      <c r="S329" s="25"/>
      <c r="T329" s="25"/>
      <c r="U329" s="25"/>
      <c r="V329" s="24"/>
      <c r="W329" s="24"/>
      <c r="X329" s="24"/>
      <c r="Y329" s="26"/>
      <c r="Z329" s="26"/>
      <c r="AA329" s="24"/>
      <c r="AB329" s="24"/>
      <c r="AC329" s="24"/>
      <c r="AD329" s="24"/>
      <c r="AE329" s="26"/>
      <c r="AF329" s="26"/>
      <c r="AG329" s="24"/>
      <c r="AH329" s="24"/>
      <c r="AI329" s="28"/>
      <c r="AJ329" s="28"/>
      <c r="AK329" s="28"/>
      <c r="AL329" s="28"/>
      <c r="AM329" s="28"/>
      <c r="AN329" s="28"/>
      <c r="AO329" s="28"/>
      <c r="AP329" s="28"/>
      <c r="AQ329" s="28"/>
      <c r="AR329" s="28"/>
      <c r="AS329" s="28"/>
      <c r="AT329" s="28"/>
      <c r="AU329" s="28"/>
      <c r="AV329" s="24"/>
      <c r="AW329" s="28"/>
      <c r="AX329" s="28"/>
      <c r="AY329" s="28"/>
      <c r="AZ329" s="28"/>
      <c r="BA329" s="28"/>
      <c r="BB329" s="28"/>
      <c r="BC329" s="24"/>
      <c r="BD329" s="28"/>
      <c r="BE329" s="28"/>
      <c r="BF329" s="28"/>
      <c r="BG329" s="24"/>
      <c r="BH329" s="28"/>
      <c r="BI329" s="28"/>
      <c r="BJ329" s="28"/>
    </row>
    <row r="330" spans="1:62">
      <c r="A330" s="24"/>
      <c r="B330" s="28"/>
      <c r="C330" s="25"/>
      <c r="D330" s="26"/>
      <c r="E330" s="24"/>
      <c r="F330" s="24"/>
      <c r="G330" s="26"/>
      <c r="H330" s="26"/>
      <c r="I330" s="26"/>
      <c r="J330" s="26"/>
      <c r="K330" s="26"/>
      <c r="L330" s="26"/>
      <c r="M330" s="26"/>
      <c r="N330" s="26"/>
      <c r="P330" s="26"/>
      <c r="Q330" s="26"/>
      <c r="R330" s="25"/>
      <c r="S330" s="25"/>
      <c r="T330" s="25"/>
      <c r="U330" s="25"/>
      <c r="V330" s="24"/>
      <c r="W330" s="24"/>
      <c r="X330" s="24"/>
      <c r="Y330" s="26"/>
      <c r="Z330" s="26"/>
      <c r="AA330" s="24"/>
      <c r="AB330" s="24"/>
      <c r="AC330" s="24"/>
      <c r="AD330" s="24"/>
      <c r="AE330" s="26"/>
      <c r="AF330" s="26"/>
      <c r="AG330" s="24"/>
      <c r="AH330" s="24"/>
      <c r="AI330" s="28"/>
      <c r="AJ330" s="28"/>
      <c r="AK330" s="28"/>
      <c r="AL330" s="28"/>
      <c r="AM330" s="28"/>
      <c r="AN330" s="28"/>
      <c r="AO330" s="28"/>
      <c r="AP330" s="28"/>
      <c r="AQ330" s="28"/>
      <c r="AR330" s="28"/>
      <c r="AS330" s="28"/>
      <c r="AT330" s="28"/>
      <c r="AU330" s="28"/>
      <c r="AV330" s="24"/>
      <c r="AW330" s="28"/>
      <c r="AX330" s="28"/>
      <c r="AY330" s="28"/>
      <c r="AZ330" s="28"/>
      <c r="BA330" s="28"/>
      <c r="BB330" s="28"/>
      <c r="BC330" s="24"/>
      <c r="BD330" s="28"/>
      <c r="BE330" s="28"/>
      <c r="BF330" s="28"/>
      <c r="BG330" s="24"/>
      <c r="BH330" s="28"/>
      <c r="BI330" s="28"/>
      <c r="BJ330" s="28"/>
    </row>
    <row r="331" spans="1:62">
      <c r="A331" s="24"/>
      <c r="B331" s="28"/>
      <c r="C331" s="25"/>
      <c r="D331" s="26"/>
      <c r="E331" s="24"/>
      <c r="F331" s="24"/>
      <c r="G331" s="26"/>
      <c r="H331" s="26"/>
      <c r="I331" s="26"/>
      <c r="J331" s="26"/>
      <c r="K331" s="26"/>
      <c r="L331" s="26"/>
      <c r="M331" s="26"/>
      <c r="N331" s="26"/>
      <c r="P331" s="26"/>
      <c r="Q331" s="26"/>
      <c r="R331" s="25"/>
      <c r="S331" s="25"/>
      <c r="T331" s="25"/>
      <c r="U331" s="25"/>
      <c r="V331" s="24"/>
      <c r="W331" s="24"/>
      <c r="X331" s="24"/>
      <c r="Y331" s="26"/>
      <c r="Z331" s="26"/>
      <c r="AA331" s="24"/>
      <c r="AB331" s="24"/>
      <c r="AC331" s="24"/>
      <c r="AD331" s="24"/>
      <c r="AE331" s="26"/>
      <c r="AF331" s="26"/>
      <c r="AG331" s="24"/>
      <c r="AH331" s="24"/>
      <c r="AI331" s="28"/>
      <c r="AJ331" s="28"/>
      <c r="AK331" s="28"/>
      <c r="AL331" s="28"/>
      <c r="AM331" s="28"/>
      <c r="AN331" s="28"/>
      <c r="AO331" s="28"/>
      <c r="AP331" s="28"/>
      <c r="AQ331" s="28"/>
      <c r="AR331" s="28"/>
      <c r="AS331" s="28"/>
      <c r="AT331" s="28"/>
      <c r="AU331" s="28"/>
      <c r="AV331" s="24"/>
      <c r="AW331" s="28"/>
      <c r="AX331" s="28"/>
      <c r="AY331" s="28"/>
      <c r="AZ331" s="28"/>
      <c r="BA331" s="28"/>
      <c r="BB331" s="28"/>
      <c r="BC331" s="24"/>
      <c r="BD331" s="28"/>
      <c r="BE331" s="28"/>
      <c r="BF331" s="28"/>
      <c r="BG331" s="24"/>
      <c r="BH331" s="28"/>
      <c r="BI331" s="28"/>
      <c r="BJ331" s="28"/>
    </row>
    <row r="332" spans="1:62">
      <c r="A332" s="24"/>
      <c r="B332" s="28"/>
      <c r="C332" s="25"/>
      <c r="D332" s="26"/>
      <c r="E332" s="24"/>
      <c r="F332" s="24"/>
      <c r="G332" s="26"/>
      <c r="H332" s="26"/>
      <c r="I332" s="26"/>
      <c r="J332" s="26"/>
      <c r="K332" s="26"/>
      <c r="L332" s="26"/>
      <c r="M332" s="26"/>
      <c r="N332" s="26"/>
      <c r="P332" s="26"/>
      <c r="Q332" s="26"/>
      <c r="R332" s="25"/>
      <c r="S332" s="25"/>
      <c r="T332" s="25"/>
      <c r="U332" s="25"/>
      <c r="V332" s="24"/>
      <c r="W332" s="24"/>
      <c r="X332" s="24"/>
      <c r="Y332" s="26"/>
      <c r="Z332" s="26"/>
      <c r="AA332" s="24"/>
      <c r="AB332" s="24"/>
      <c r="AC332" s="24"/>
      <c r="AD332" s="24"/>
      <c r="AE332" s="26"/>
      <c r="AF332" s="26"/>
      <c r="AG332" s="24"/>
      <c r="AH332" s="24"/>
      <c r="AI332" s="28"/>
      <c r="AJ332" s="28"/>
      <c r="AK332" s="28"/>
      <c r="AL332" s="28"/>
      <c r="AM332" s="28"/>
      <c r="AN332" s="28"/>
      <c r="AO332" s="28"/>
      <c r="AP332" s="28"/>
      <c r="AQ332" s="28"/>
      <c r="AR332" s="28"/>
      <c r="AS332" s="28"/>
      <c r="AT332" s="28"/>
      <c r="AU332" s="28"/>
      <c r="AV332" s="24"/>
      <c r="AW332" s="28"/>
      <c r="AX332" s="28"/>
      <c r="AY332" s="28"/>
      <c r="AZ332" s="28"/>
      <c r="BA332" s="28"/>
      <c r="BB332" s="28"/>
      <c r="BC332" s="24"/>
      <c r="BD332" s="28"/>
      <c r="BE332" s="28"/>
      <c r="BF332" s="28"/>
      <c r="BG332" s="24"/>
      <c r="BH332" s="28"/>
      <c r="BI332" s="28"/>
      <c r="BJ332" s="28"/>
    </row>
    <row r="333" spans="1:62">
      <c r="A333" s="24"/>
      <c r="B333" s="28"/>
      <c r="C333" s="25"/>
      <c r="D333" s="26"/>
      <c r="E333" s="24"/>
      <c r="F333" s="24"/>
      <c r="G333" s="26"/>
      <c r="H333" s="26"/>
      <c r="I333" s="26"/>
      <c r="J333" s="26"/>
      <c r="K333" s="26"/>
      <c r="L333" s="26"/>
      <c r="M333" s="26"/>
      <c r="N333" s="26"/>
      <c r="P333" s="26"/>
      <c r="Q333" s="26"/>
      <c r="R333" s="25"/>
      <c r="S333" s="25"/>
      <c r="T333" s="25"/>
      <c r="U333" s="25"/>
      <c r="V333" s="24"/>
      <c r="W333" s="24"/>
      <c r="X333" s="24"/>
      <c r="Y333" s="26"/>
      <c r="Z333" s="26"/>
      <c r="AA333" s="24"/>
      <c r="AB333" s="24"/>
      <c r="AC333" s="24"/>
      <c r="AD333" s="24"/>
      <c r="AE333" s="26"/>
      <c r="AF333" s="26"/>
      <c r="AG333" s="24"/>
      <c r="AH333" s="24"/>
      <c r="AI333" s="28"/>
      <c r="AJ333" s="28"/>
      <c r="AK333" s="28"/>
      <c r="AL333" s="28"/>
      <c r="AM333" s="28"/>
      <c r="AN333" s="28"/>
      <c r="AO333" s="28"/>
      <c r="AP333" s="28"/>
      <c r="AQ333" s="28"/>
      <c r="AR333" s="28"/>
      <c r="AS333" s="28"/>
      <c r="AT333" s="28"/>
      <c r="AU333" s="28"/>
      <c r="AV333" s="24"/>
      <c r="AW333" s="28"/>
      <c r="AX333" s="28"/>
      <c r="AY333" s="28"/>
      <c r="AZ333" s="28"/>
      <c r="BA333" s="28"/>
      <c r="BB333" s="28"/>
      <c r="BC333" s="24"/>
      <c r="BD333" s="28"/>
      <c r="BE333" s="28"/>
      <c r="BF333" s="28"/>
      <c r="BG333" s="24"/>
      <c r="BH333" s="28"/>
      <c r="BI333" s="28"/>
      <c r="BJ333" s="28"/>
    </row>
    <row r="334" spans="1:62">
      <c r="A334" s="24"/>
      <c r="B334" s="28"/>
      <c r="C334" s="25"/>
      <c r="D334" s="26"/>
      <c r="E334" s="24"/>
      <c r="F334" s="24"/>
      <c r="G334" s="26"/>
      <c r="H334" s="26"/>
      <c r="I334" s="26"/>
      <c r="J334" s="26"/>
      <c r="K334" s="26"/>
      <c r="L334" s="26"/>
      <c r="M334" s="26"/>
      <c r="N334" s="26"/>
      <c r="P334" s="26"/>
      <c r="Q334" s="26"/>
      <c r="R334" s="25"/>
      <c r="S334" s="25"/>
      <c r="T334" s="25"/>
      <c r="U334" s="25"/>
      <c r="V334" s="24"/>
      <c r="W334" s="24"/>
      <c r="X334" s="24"/>
      <c r="Y334" s="26"/>
      <c r="Z334" s="26"/>
      <c r="AA334" s="24"/>
      <c r="AB334" s="24"/>
      <c r="AC334" s="24"/>
      <c r="AD334" s="24"/>
      <c r="AE334" s="26"/>
      <c r="AF334" s="26"/>
      <c r="AG334" s="24"/>
      <c r="AH334" s="24"/>
      <c r="AI334" s="28"/>
      <c r="AJ334" s="28"/>
      <c r="AK334" s="28"/>
      <c r="AL334" s="28"/>
      <c r="AM334" s="28"/>
      <c r="AN334" s="28"/>
      <c r="AO334" s="28"/>
      <c r="AP334" s="28"/>
      <c r="AQ334" s="28"/>
      <c r="AR334" s="28"/>
      <c r="AS334" s="28"/>
      <c r="AT334" s="28"/>
      <c r="AU334" s="28"/>
      <c r="AV334" s="24"/>
      <c r="AW334" s="28"/>
      <c r="AX334" s="28"/>
      <c r="AY334" s="28"/>
      <c r="AZ334" s="28"/>
      <c r="BA334" s="28"/>
      <c r="BB334" s="28"/>
      <c r="BC334" s="24"/>
      <c r="BD334" s="28"/>
      <c r="BE334" s="28"/>
      <c r="BF334" s="28"/>
      <c r="BG334" s="24"/>
      <c r="BH334" s="28"/>
      <c r="BI334" s="28"/>
      <c r="BJ334" s="28"/>
    </row>
    <row r="335" spans="1:62">
      <c r="A335" s="24"/>
      <c r="B335" s="28"/>
      <c r="C335" s="25"/>
      <c r="D335" s="26"/>
      <c r="E335" s="24"/>
      <c r="F335" s="24"/>
      <c r="G335" s="26"/>
      <c r="H335" s="26"/>
      <c r="I335" s="26"/>
      <c r="J335" s="26"/>
      <c r="K335" s="26"/>
      <c r="L335" s="26"/>
      <c r="M335" s="26"/>
      <c r="N335" s="26"/>
      <c r="P335" s="26"/>
      <c r="Q335" s="26"/>
      <c r="R335" s="25"/>
      <c r="S335" s="25"/>
      <c r="T335" s="25"/>
      <c r="U335" s="25"/>
      <c r="V335" s="24"/>
      <c r="W335" s="24"/>
      <c r="X335" s="24"/>
      <c r="Y335" s="26"/>
      <c r="Z335" s="26"/>
      <c r="AA335" s="24"/>
      <c r="AB335" s="24"/>
      <c r="AC335" s="24"/>
      <c r="AD335" s="24"/>
      <c r="AE335" s="26"/>
      <c r="AF335" s="26"/>
      <c r="AG335" s="24"/>
      <c r="AH335" s="24"/>
      <c r="AI335" s="28"/>
      <c r="AJ335" s="28"/>
      <c r="AK335" s="28"/>
      <c r="AL335" s="28"/>
      <c r="AM335" s="28"/>
      <c r="AN335" s="28"/>
      <c r="AO335" s="28"/>
      <c r="AP335" s="28"/>
      <c r="AQ335" s="28"/>
      <c r="AR335" s="28"/>
      <c r="AS335" s="28"/>
      <c r="AT335" s="28"/>
      <c r="AU335" s="28"/>
      <c r="AV335" s="24"/>
      <c r="AW335" s="28"/>
      <c r="AX335" s="28"/>
      <c r="AY335" s="28"/>
      <c r="AZ335" s="28"/>
      <c r="BA335" s="28"/>
      <c r="BB335" s="28"/>
      <c r="BC335" s="24"/>
      <c r="BD335" s="28"/>
      <c r="BE335" s="28"/>
      <c r="BF335" s="28"/>
      <c r="BG335" s="24"/>
      <c r="BH335" s="28"/>
      <c r="BI335" s="28"/>
      <c r="BJ335" s="28"/>
    </row>
    <row r="336" spans="1:62">
      <c r="A336" s="24"/>
      <c r="B336" s="28"/>
      <c r="C336" s="25"/>
      <c r="D336" s="26"/>
      <c r="E336" s="24"/>
      <c r="F336" s="24"/>
      <c r="G336" s="26"/>
      <c r="H336" s="26"/>
      <c r="I336" s="26"/>
      <c r="J336" s="26"/>
      <c r="K336" s="26"/>
      <c r="L336" s="26"/>
      <c r="M336" s="26"/>
      <c r="N336" s="26"/>
      <c r="P336" s="26"/>
      <c r="Q336" s="26"/>
      <c r="R336" s="25"/>
      <c r="S336" s="25"/>
      <c r="T336" s="25"/>
      <c r="U336" s="25"/>
      <c r="V336" s="24"/>
      <c r="W336" s="24"/>
      <c r="X336" s="24"/>
      <c r="Y336" s="26"/>
      <c r="Z336" s="26"/>
      <c r="AA336" s="24"/>
      <c r="AB336" s="24"/>
      <c r="AC336" s="24"/>
      <c r="AD336" s="24"/>
      <c r="AE336" s="26"/>
      <c r="AF336" s="26"/>
      <c r="AG336" s="24"/>
      <c r="AH336" s="24"/>
      <c r="AI336" s="28"/>
      <c r="AJ336" s="28"/>
      <c r="AK336" s="28"/>
      <c r="AL336" s="28"/>
      <c r="AM336" s="28"/>
      <c r="AN336" s="28"/>
      <c r="AO336" s="28"/>
      <c r="AP336" s="28"/>
      <c r="AQ336" s="28"/>
      <c r="AR336" s="28"/>
      <c r="AS336" s="28"/>
      <c r="AT336" s="28"/>
      <c r="AU336" s="28"/>
      <c r="AV336" s="24"/>
      <c r="AW336" s="28"/>
      <c r="AX336" s="28"/>
      <c r="AY336" s="28"/>
      <c r="AZ336" s="28"/>
      <c r="BA336" s="28"/>
      <c r="BB336" s="28"/>
      <c r="BC336" s="24"/>
      <c r="BD336" s="28"/>
      <c r="BE336" s="28"/>
      <c r="BF336" s="28"/>
      <c r="BG336" s="24"/>
      <c r="BH336" s="28"/>
      <c r="BI336" s="28"/>
      <c r="BJ336" s="28"/>
    </row>
    <row r="337" spans="1:62">
      <c r="A337" s="24"/>
      <c r="B337" s="28"/>
      <c r="C337" s="25"/>
      <c r="D337" s="26"/>
      <c r="E337" s="24"/>
      <c r="F337" s="24"/>
      <c r="G337" s="26"/>
      <c r="H337" s="26"/>
      <c r="I337" s="26"/>
      <c r="J337" s="26"/>
      <c r="K337" s="26"/>
      <c r="L337" s="26"/>
      <c r="M337" s="26"/>
      <c r="N337" s="26"/>
      <c r="P337" s="26"/>
      <c r="Q337" s="26"/>
      <c r="R337" s="25"/>
      <c r="S337" s="25"/>
      <c r="T337" s="25"/>
      <c r="U337" s="25"/>
      <c r="V337" s="24"/>
      <c r="W337" s="24"/>
      <c r="X337" s="24"/>
      <c r="Y337" s="26"/>
      <c r="Z337" s="26"/>
      <c r="AA337" s="24"/>
      <c r="AB337" s="24"/>
      <c r="AC337" s="24"/>
      <c r="AD337" s="24"/>
      <c r="AE337" s="26"/>
      <c r="AF337" s="26"/>
      <c r="AG337" s="24"/>
      <c r="AH337" s="24"/>
      <c r="AI337" s="28"/>
      <c r="AJ337" s="28"/>
      <c r="AK337" s="28"/>
      <c r="AL337" s="28"/>
      <c r="AM337" s="28"/>
      <c r="AN337" s="28"/>
      <c r="AO337" s="28"/>
      <c r="AP337" s="28"/>
      <c r="AQ337" s="28"/>
      <c r="AR337" s="28"/>
      <c r="AS337" s="28"/>
      <c r="AT337" s="28"/>
      <c r="AU337" s="28"/>
      <c r="AV337" s="24"/>
      <c r="AW337" s="28"/>
      <c r="AX337" s="28"/>
      <c r="AY337" s="28"/>
      <c r="AZ337" s="28"/>
      <c r="BA337" s="28"/>
      <c r="BB337" s="28"/>
      <c r="BC337" s="24"/>
      <c r="BD337" s="28"/>
      <c r="BE337" s="28"/>
      <c r="BF337" s="28"/>
      <c r="BG337" s="24"/>
      <c r="BH337" s="28"/>
      <c r="BI337" s="28"/>
      <c r="BJ337" s="28"/>
    </row>
    <row r="338" spans="1:62">
      <c r="A338" s="24"/>
      <c r="B338" s="28"/>
      <c r="C338" s="25"/>
      <c r="D338" s="26"/>
      <c r="E338" s="24"/>
      <c r="F338" s="24"/>
      <c r="G338" s="26"/>
      <c r="H338" s="26"/>
      <c r="I338" s="26"/>
      <c r="J338" s="26"/>
      <c r="K338" s="26"/>
      <c r="L338" s="26"/>
      <c r="M338" s="26"/>
      <c r="N338" s="26"/>
      <c r="P338" s="26"/>
      <c r="Q338" s="26"/>
      <c r="R338" s="25"/>
      <c r="S338" s="25"/>
      <c r="T338" s="25"/>
      <c r="U338" s="25"/>
      <c r="V338" s="24"/>
      <c r="W338" s="24"/>
      <c r="X338" s="24"/>
      <c r="Y338" s="26"/>
      <c r="Z338" s="26"/>
      <c r="AA338" s="24"/>
      <c r="AB338" s="24"/>
      <c r="AC338" s="24"/>
      <c r="AD338" s="24"/>
      <c r="AE338" s="26"/>
      <c r="AF338" s="26"/>
      <c r="AG338" s="24"/>
      <c r="AH338" s="24"/>
      <c r="AI338" s="28"/>
      <c r="AJ338" s="28"/>
      <c r="AK338" s="28"/>
      <c r="AL338" s="28"/>
      <c r="AM338" s="28"/>
      <c r="AN338" s="28"/>
      <c r="AO338" s="28"/>
      <c r="AP338" s="28"/>
      <c r="AQ338" s="28"/>
      <c r="AR338" s="28"/>
      <c r="AS338" s="28"/>
      <c r="AT338" s="28"/>
      <c r="AU338" s="28"/>
      <c r="AV338" s="24"/>
      <c r="AW338" s="28"/>
      <c r="AX338" s="28"/>
      <c r="AY338" s="28"/>
      <c r="AZ338" s="28"/>
      <c r="BA338" s="28"/>
      <c r="BB338" s="28"/>
      <c r="BC338" s="24"/>
      <c r="BD338" s="28"/>
      <c r="BE338" s="28"/>
      <c r="BF338" s="28"/>
      <c r="BG338" s="24"/>
      <c r="BH338" s="28"/>
      <c r="BI338" s="28"/>
      <c r="BJ338" s="28"/>
    </row>
    <row r="339" spans="1:62">
      <c r="A339" s="24"/>
      <c r="B339" s="28"/>
      <c r="C339" s="25"/>
      <c r="D339" s="26"/>
      <c r="E339" s="24"/>
      <c r="F339" s="24"/>
      <c r="G339" s="26"/>
      <c r="H339" s="26"/>
      <c r="I339" s="26"/>
      <c r="J339" s="26"/>
      <c r="K339" s="26"/>
      <c r="L339" s="26"/>
      <c r="M339" s="26"/>
      <c r="N339" s="26"/>
      <c r="P339" s="26"/>
      <c r="Q339" s="26"/>
      <c r="R339" s="25"/>
      <c r="S339" s="25"/>
      <c r="T339" s="25"/>
      <c r="U339" s="25"/>
      <c r="V339" s="24"/>
      <c r="W339" s="24"/>
      <c r="X339" s="24"/>
      <c r="Y339" s="26"/>
      <c r="Z339" s="26"/>
      <c r="AA339" s="24"/>
      <c r="AB339" s="24"/>
      <c r="AC339" s="24"/>
      <c r="AD339" s="24"/>
      <c r="AE339" s="26"/>
      <c r="AF339" s="26"/>
      <c r="AG339" s="24"/>
      <c r="AH339" s="24"/>
      <c r="AI339" s="28"/>
      <c r="AJ339" s="28"/>
      <c r="AK339" s="28"/>
      <c r="AL339" s="28"/>
      <c r="AM339" s="28"/>
      <c r="AN339" s="28"/>
      <c r="AO339" s="28"/>
      <c r="AP339" s="28"/>
      <c r="AQ339" s="28"/>
      <c r="AR339" s="28"/>
      <c r="AS339" s="28"/>
      <c r="AT339" s="28"/>
      <c r="AU339" s="28"/>
      <c r="AV339" s="24"/>
      <c r="AW339" s="28"/>
      <c r="AX339" s="28"/>
      <c r="AY339" s="28"/>
      <c r="AZ339" s="28"/>
      <c r="BA339" s="28"/>
      <c r="BB339" s="28"/>
      <c r="BC339" s="24"/>
      <c r="BD339" s="28"/>
      <c r="BE339" s="28"/>
      <c r="BF339" s="28"/>
      <c r="BG339" s="24"/>
      <c r="BH339" s="28"/>
      <c r="BI339" s="28"/>
      <c r="BJ339" s="28"/>
    </row>
    <row r="340" spans="1:62">
      <c r="A340" s="24"/>
      <c r="B340" s="28"/>
      <c r="C340" s="25"/>
      <c r="D340" s="26"/>
      <c r="E340" s="24"/>
      <c r="F340" s="24"/>
      <c r="G340" s="26"/>
      <c r="H340" s="26"/>
      <c r="I340" s="26"/>
      <c r="J340" s="26"/>
      <c r="K340" s="26"/>
      <c r="L340" s="26"/>
      <c r="M340" s="26"/>
      <c r="N340" s="26"/>
      <c r="P340" s="26"/>
      <c r="Q340" s="26"/>
      <c r="R340" s="25"/>
      <c r="S340" s="25"/>
      <c r="T340" s="25"/>
      <c r="U340" s="25"/>
      <c r="V340" s="24"/>
      <c r="W340" s="24"/>
      <c r="X340" s="24"/>
      <c r="Y340" s="26"/>
      <c r="Z340" s="26"/>
      <c r="AA340" s="24"/>
      <c r="AB340" s="24"/>
      <c r="AC340" s="24"/>
      <c r="AD340" s="24"/>
      <c r="AE340" s="26"/>
      <c r="AF340" s="26"/>
      <c r="AG340" s="24"/>
      <c r="AH340" s="24"/>
      <c r="AI340" s="28"/>
      <c r="AJ340" s="28"/>
      <c r="AK340" s="28"/>
      <c r="AL340" s="28"/>
      <c r="AM340" s="28"/>
      <c r="AN340" s="28"/>
      <c r="AO340" s="28"/>
      <c r="AP340" s="28"/>
      <c r="AQ340" s="28"/>
      <c r="AR340" s="28"/>
      <c r="AS340" s="28"/>
      <c r="AT340" s="28"/>
      <c r="AU340" s="28"/>
      <c r="AV340" s="24"/>
      <c r="AW340" s="28"/>
      <c r="AX340" s="28"/>
      <c r="AY340" s="28"/>
      <c r="AZ340" s="28"/>
      <c r="BA340" s="28"/>
      <c r="BB340" s="28"/>
      <c r="BC340" s="24"/>
      <c r="BD340" s="28"/>
      <c r="BE340" s="28"/>
      <c r="BF340" s="28"/>
      <c r="BG340" s="24"/>
      <c r="BH340" s="28"/>
      <c r="BI340" s="28"/>
      <c r="BJ340" s="28"/>
    </row>
    <row r="341" spans="1:62">
      <c r="A341" s="24"/>
      <c r="B341" s="28"/>
      <c r="C341" s="25"/>
      <c r="D341" s="26"/>
      <c r="E341" s="24"/>
      <c r="F341" s="24"/>
      <c r="G341" s="26"/>
      <c r="H341" s="26"/>
      <c r="I341" s="26"/>
      <c r="J341" s="26"/>
      <c r="K341" s="26"/>
      <c r="L341" s="26"/>
      <c r="M341" s="26"/>
      <c r="N341" s="26"/>
      <c r="P341" s="26"/>
      <c r="Q341" s="26"/>
      <c r="R341" s="25"/>
      <c r="S341" s="25"/>
      <c r="T341" s="25"/>
      <c r="U341" s="25"/>
      <c r="V341" s="24"/>
      <c r="W341" s="24"/>
      <c r="X341" s="24"/>
      <c r="Y341" s="26"/>
      <c r="Z341" s="26"/>
      <c r="AA341" s="24"/>
      <c r="AB341" s="24"/>
      <c r="AC341" s="24"/>
      <c r="AD341" s="24"/>
      <c r="AE341" s="26"/>
      <c r="AF341" s="26"/>
      <c r="AG341" s="24"/>
      <c r="AH341" s="24"/>
      <c r="AI341" s="28"/>
      <c r="AJ341" s="28"/>
      <c r="AK341" s="28"/>
      <c r="AL341" s="28"/>
      <c r="AM341" s="28"/>
      <c r="AN341" s="28"/>
      <c r="AO341" s="28"/>
      <c r="AP341" s="28"/>
      <c r="AQ341" s="28"/>
      <c r="AR341" s="28"/>
      <c r="AS341" s="28"/>
      <c r="AT341" s="28"/>
      <c r="AU341" s="28"/>
      <c r="AV341" s="24"/>
      <c r="AW341" s="28"/>
      <c r="AX341" s="28"/>
      <c r="AY341" s="28"/>
      <c r="AZ341" s="28"/>
      <c r="BA341" s="28"/>
      <c r="BB341" s="28"/>
      <c r="BC341" s="24"/>
      <c r="BD341" s="28"/>
      <c r="BE341" s="28"/>
      <c r="BF341" s="28"/>
      <c r="BG341" s="24"/>
      <c r="BH341" s="28"/>
      <c r="BI341" s="28"/>
      <c r="BJ341" s="28"/>
    </row>
    <row r="342" spans="1:62">
      <c r="A342" s="24"/>
      <c r="B342" s="28"/>
      <c r="C342" s="25"/>
      <c r="D342" s="26"/>
      <c r="E342" s="24"/>
      <c r="F342" s="24"/>
      <c r="G342" s="26"/>
      <c r="H342" s="26"/>
      <c r="I342" s="26"/>
      <c r="J342" s="26"/>
      <c r="K342" s="26"/>
      <c r="L342" s="26"/>
      <c r="M342" s="26"/>
      <c r="N342" s="26"/>
      <c r="P342" s="26"/>
      <c r="Q342" s="26"/>
      <c r="R342" s="25"/>
      <c r="S342" s="25"/>
      <c r="T342" s="25"/>
      <c r="U342" s="25"/>
      <c r="V342" s="24"/>
      <c r="W342" s="24"/>
      <c r="X342" s="24"/>
      <c r="Y342" s="26"/>
      <c r="Z342" s="26"/>
      <c r="AA342" s="24"/>
      <c r="AB342" s="24"/>
      <c r="AC342" s="24"/>
      <c r="AD342" s="24"/>
      <c r="AE342" s="26"/>
      <c r="AF342" s="26"/>
      <c r="AG342" s="24"/>
      <c r="AH342" s="24"/>
      <c r="AI342" s="28"/>
      <c r="AJ342" s="28"/>
      <c r="AK342" s="28"/>
      <c r="AL342" s="28"/>
      <c r="AM342" s="28"/>
      <c r="AN342" s="28"/>
      <c r="AO342" s="28"/>
      <c r="AP342" s="28"/>
      <c r="AQ342" s="28"/>
      <c r="AR342" s="28"/>
      <c r="AS342" s="28"/>
      <c r="AT342" s="28"/>
      <c r="AU342" s="28"/>
      <c r="AV342" s="24"/>
      <c r="AW342" s="28"/>
      <c r="AX342" s="28"/>
      <c r="AY342" s="28"/>
      <c r="AZ342" s="28"/>
      <c r="BA342" s="28"/>
      <c r="BB342" s="28"/>
      <c r="BC342" s="24"/>
      <c r="BD342" s="28"/>
      <c r="BE342" s="28"/>
      <c r="BF342" s="28"/>
      <c r="BG342" s="24"/>
      <c r="BH342" s="28"/>
      <c r="BI342" s="28"/>
      <c r="BJ342" s="28"/>
    </row>
    <row r="343" spans="1:62">
      <c r="A343" s="24"/>
      <c r="B343" s="28"/>
      <c r="C343" s="25"/>
      <c r="D343" s="26"/>
      <c r="E343" s="24"/>
      <c r="F343" s="24"/>
      <c r="G343" s="26"/>
      <c r="H343" s="26"/>
      <c r="I343" s="26"/>
      <c r="J343" s="26"/>
      <c r="K343" s="26"/>
      <c r="L343" s="26"/>
      <c r="M343" s="26"/>
      <c r="N343" s="26"/>
      <c r="P343" s="26"/>
      <c r="Q343" s="26"/>
      <c r="R343" s="25"/>
      <c r="S343" s="25"/>
      <c r="T343" s="25"/>
      <c r="U343" s="25"/>
      <c r="V343" s="24"/>
      <c r="W343" s="24"/>
      <c r="X343" s="24"/>
      <c r="Y343" s="26"/>
      <c r="Z343" s="26"/>
      <c r="AA343" s="24"/>
      <c r="AB343" s="24"/>
      <c r="AC343" s="24"/>
      <c r="AD343" s="24"/>
      <c r="AE343" s="26"/>
      <c r="AF343" s="26"/>
      <c r="AG343" s="24"/>
      <c r="AH343" s="24"/>
      <c r="AI343" s="28"/>
      <c r="AJ343" s="28"/>
      <c r="AK343" s="28"/>
      <c r="AL343" s="28"/>
      <c r="AM343" s="28"/>
      <c r="AN343" s="28"/>
      <c r="AO343" s="28"/>
      <c r="AP343" s="28"/>
      <c r="AQ343" s="28"/>
      <c r="AR343" s="28"/>
      <c r="AS343" s="28"/>
      <c r="AT343" s="28"/>
      <c r="AU343" s="28"/>
      <c r="AV343" s="24"/>
      <c r="AW343" s="28"/>
      <c r="AX343" s="28"/>
      <c r="AY343" s="28"/>
      <c r="AZ343" s="28"/>
      <c r="BA343" s="28"/>
      <c r="BB343" s="28"/>
      <c r="BC343" s="24"/>
      <c r="BD343" s="28"/>
      <c r="BE343" s="28"/>
      <c r="BF343" s="28"/>
      <c r="BG343" s="24"/>
      <c r="BH343" s="28"/>
      <c r="BI343" s="28"/>
      <c r="BJ343" s="28"/>
    </row>
    <row r="344" spans="1:62">
      <c r="A344" s="24"/>
      <c r="B344" s="28"/>
      <c r="C344" s="25"/>
      <c r="D344" s="26"/>
      <c r="E344" s="24"/>
      <c r="F344" s="24"/>
      <c r="G344" s="26"/>
      <c r="H344" s="26"/>
      <c r="I344" s="26"/>
      <c r="J344" s="26"/>
      <c r="K344" s="26"/>
      <c r="L344" s="26"/>
      <c r="M344" s="26"/>
      <c r="N344" s="26"/>
      <c r="P344" s="26"/>
      <c r="Q344" s="26"/>
      <c r="R344" s="25"/>
      <c r="S344" s="25"/>
      <c r="T344" s="25"/>
      <c r="U344" s="25"/>
      <c r="V344" s="24"/>
      <c r="W344" s="24"/>
      <c r="X344" s="24"/>
      <c r="Y344" s="26"/>
      <c r="Z344" s="26"/>
      <c r="AA344" s="24"/>
      <c r="AB344" s="24"/>
      <c r="AC344" s="24"/>
      <c r="AD344" s="24"/>
      <c r="AE344" s="26"/>
      <c r="AF344" s="26"/>
      <c r="AG344" s="24"/>
      <c r="AH344" s="24"/>
      <c r="AI344" s="28"/>
      <c r="AJ344" s="28"/>
      <c r="AK344" s="28"/>
      <c r="AL344" s="28"/>
      <c r="AM344" s="28"/>
      <c r="AN344" s="28"/>
      <c r="AO344" s="28"/>
      <c r="AP344" s="28"/>
      <c r="AQ344" s="28"/>
      <c r="AR344" s="28"/>
      <c r="AS344" s="28"/>
      <c r="AT344" s="28"/>
      <c r="AU344" s="28"/>
      <c r="AV344" s="24"/>
      <c r="AW344" s="28"/>
      <c r="AX344" s="28"/>
      <c r="AY344" s="28"/>
      <c r="AZ344" s="28"/>
      <c r="BA344" s="28"/>
      <c r="BB344" s="28"/>
      <c r="BC344" s="24"/>
      <c r="BD344" s="28"/>
      <c r="BE344" s="28"/>
      <c r="BF344" s="28"/>
      <c r="BG344" s="24"/>
      <c r="BH344" s="28"/>
      <c r="BI344" s="28"/>
      <c r="BJ344" s="28"/>
    </row>
    <row r="345" spans="1:62">
      <c r="A345" s="24"/>
      <c r="B345" s="28"/>
      <c r="C345" s="25"/>
      <c r="D345" s="26"/>
      <c r="E345" s="24"/>
      <c r="F345" s="24"/>
      <c r="G345" s="26"/>
      <c r="H345" s="26"/>
      <c r="I345" s="26"/>
      <c r="J345" s="26"/>
      <c r="K345" s="26"/>
      <c r="L345" s="26"/>
      <c r="M345" s="26"/>
      <c r="N345" s="26"/>
      <c r="P345" s="26"/>
      <c r="Q345" s="26"/>
      <c r="R345" s="25"/>
      <c r="S345" s="25"/>
      <c r="T345" s="25"/>
      <c r="U345" s="25"/>
      <c r="V345" s="24"/>
      <c r="W345" s="24"/>
      <c r="X345" s="24"/>
      <c r="Y345" s="26"/>
      <c r="Z345" s="26"/>
      <c r="AA345" s="24"/>
      <c r="AB345" s="24"/>
      <c r="AC345" s="24"/>
      <c r="AD345" s="24"/>
      <c r="AE345" s="26"/>
      <c r="AF345" s="26"/>
      <c r="AG345" s="24"/>
      <c r="AH345" s="24"/>
      <c r="AI345" s="28"/>
      <c r="AJ345" s="28"/>
      <c r="AK345" s="28"/>
      <c r="AL345" s="28"/>
      <c r="AM345" s="28"/>
      <c r="AN345" s="28"/>
      <c r="AO345" s="28"/>
      <c r="AP345" s="28"/>
      <c r="AQ345" s="28"/>
      <c r="AR345" s="28"/>
      <c r="AS345" s="28"/>
      <c r="AT345" s="28"/>
      <c r="AU345" s="28"/>
      <c r="AV345" s="24"/>
      <c r="AW345" s="28"/>
      <c r="AX345" s="28"/>
      <c r="AY345" s="28"/>
      <c r="AZ345" s="28"/>
      <c r="BA345" s="28"/>
      <c r="BB345" s="28"/>
      <c r="BC345" s="24"/>
      <c r="BD345" s="28"/>
      <c r="BE345" s="28"/>
      <c r="BF345" s="28"/>
      <c r="BG345" s="24"/>
      <c r="BH345" s="28"/>
      <c r="BI345" s="28"/>
      <c r="BJ345" s="28"/>
    </row>
    <row r="346" spans="1:62">
      <c r="A346" s="24"/>
      <c r="B346" s="28"/>
      <c r="C346" s="25"/>
      <c r="D346" s="26"/>
      <c r="E346" s="24"/>
      <c r="F346" s="24"/>
      <c r="G346" s="26"/>
      <c r="H346" s="26"/>
      <c r="I346" s="26"/>
      <c r="J346" s="26"/>
      <c r="K346" s="26"/>
      <c r="L346" s="26"/>
      <c r="M346" s="26"/>
      <c r="N346" s="26"/>
      <c r="P346" s="26"/>
      <c r="Q346" s="26"/>
      <c r="R346" s="25"/>
      <c r="S346" s="25"/>
      <c r="T346" s="25"/>
      <c r="U346" s="25"/>
      <c r="V346" s="24"/>
      <c r="W346" s="24"/>
      <c r="X346" s="24"/>
      <c r="Y346" s="26"/>
      <c r="Z346" s="26"/>
      <c r="AA346" s="24"/>
      <c r="AB346" s="24"/>
      <c r="AC346" s="24"/>
      <c r="AD346" s="24"/>
      <c r="AE346" s="26"/>
      <c r="AF346" s="26"/>
      <c r="AG346" s="24"/>
      <c r="AH346" s="24"/>
      <c r="AI346" s="28"/>
      <c r="AJ346" s="28"/>
      <c r="AK346" s="28"/>
      <c r="AL346" s="28"/>
      <c r="AM346" s="28"/>
      <c r="AN346" s="28"/>
      <c r="AO346" s="28"/>
      <c r="AP346" s="28"/>
      <c r="AQ346" s="28"/>
      <c r="AR346" s="28"/>
      <c r="AS346" s="28"/>
      <c r="AT346" s="28"/>
      <c r="AU346" s="28"/>
      <c r="AV346" s="24"/>
      <c r="AW346" s="28"/>
      <c r="AX346" s="28"/>
      <c r="AY346" s="28"/>
      <c r="AZ346" s="28"/>
      <c r="BA346" s="28"/>
      <c r="BB346" s="28"/>
      <c r="BC346" s="24"/>
      <c r="BD346" s="28"/>
      <c r="BE346" s="28"/>
      <c r="BF346" s="28"/>
      <c r="BG346" s="24"/>
      <c r="BH346" s="28"/>
      <c r="BI346" s="28"/>
      <c r="BJ346" s="28"/>
    </row>
    <row r="347" spans="1:62">
      <c r="A347" s="24"/>
      <c r="B347" s="28"/>
      <c r="C347" s="25"/>
      <c r="D347" s="26"/>
      <c r="E347" s="24"/>
      <c r="F347" s="24"/>
      <c r="G347" s="26"/>
      <c r="H347" s="26"/>
      <c r="I347" s="26"/>
      <c r="J347" s="26"/>
      <c r="K347" s="26"/>
      <c r="L347" s="26"/>
      <c r="M347" s="26"/>
      <c r="N347" s="26"/>
      <c r="P347" s="26"/>
      <c r="Q347" s="26"/>
      <c r="R347" s="25"/>
      <c r="S347" s="25"/>
      <c r="T347" s="25"/>
      <c r="U347" s="25"/>
      <c r="V347" s="24"/>
      <c r="W347" s="24"/>
      <c r="X347" s="24"/>
      <c r="Y347" s="26"/>
      <c r="Z347" s="26"/>
      <c r="AA347" s="24"/>
      <c r="AB347" s="24"/>
      <c r="AC347" s="24"/>
      <c r="AD347" s="24"/>
      <c r="AE347" s="26"/>
      <c r="AF347" s="26"/>
      <c r="AG347" s="24"/>
      <c r="AH347" s="24"/>
      <c r="AI347" s="28"/>
      <c r="AJ347" s="28"/>
      <c r="AK347" s="28"/>
      <c r="AL347" s="28"/>
      <c r="AM347" s="28"/>
      <c r="AN347" s="28"/>
      <c r="AO347" s="28"/>
      <c r="AP347" s="28"/>
      <c r="AQ347" s="28"/>
      <c r="AR347" s="28"/>
      <c r="AS347" s="28"/>
      <c r="AT347" s="28"/>
      <c r="AU347" s="28"/>
      <c r="AV347" s="24"/>
      <c r="AW347" s="28"/>
      <c r="AX347" s="28"/>
      <c r="AY347" s="28"/>
      <c r="AZ347" s="28"/>
      <c r="BA347" s="28"/>
      <c r="BB347" s="28"/>
      <c r="BC347" s="24"/>
      <c r="BD347" s="28"/>
      <c r="BE347" s="28"/>
      <c r="BF347" s="28"/>
      <c r="BG347" s="24"/>
      <c r="BH347" s="28"/>
      <c r="BI347" s="28"/>
      <c r="BJ347" s="28"/>
    </row>
    <row r="348" spans="1:62">
      <c r="A348" s="24"/>
      <c r="B348" s="28"/>
      <c r="C348" s="25"/>
      <c r="D348" s="26"/>
      <c r="E348" s="24"/>
      <c r="F348" s="24"/>
      <c r="G348" s="26"/>
      <c r="H348" s="26"/>
      <c r="I348" s="26"/>
      <c r="J348" s="26"/>
      <c r="K348" s="26"/>
      <c r="L348" s="26"/>
      <c r="M348" s="26"/>
      <c r="N348" s="26"/>
      <c r="P348" s="26"/>
      <c r="Q348" s="26"/>
      <c r="R348" s="25"/>
      <c r="S348" s="25"/>
      <c r="T348" s="25"/>
      <c r="U348" s="25"/>
      <c r="V348" s="24"/>
      <c r="W348" s="24"/>
      <c r="X348" s="24"/>
      <c r="Y348" s="26"/>
      <c r="Z348" s="26"/>
      <c r="AA348" s="24"/>
      <c r="AB348" s="24"/>
      <c r="AC348" s="24"/>
      <c r="AD348" s="24"/>
      <c r="AE348" s="26"/>
      <c r="AF348" s="26"/>
      <c r="AG348" s="24"/>
      <c r="AH348" s="24"/>
      <c r="AI348" s="28"/>
      <c r="AJ348" s="28"/>
      <c r="AK348" s="28"/>
      <c r="AL348" s="28"/>
      <c r="AM348" s="28"/>
      <c r="AN348" s="28"/>
      <c r="AO348" s="28"/>
      <c r="AP348" s="28"/>
      <c r="AQ348" s="28"/>
      <c r="AR348" s="28"/>
      <c r="AS348" s="28"/>
      <c r="AT348" s="28"/>
      <c r="AU348" s="28"/>
      <c r="AV348" s="24"/>
      <c r="AW348" s="28"/>
      <c r="AX348" s="28"/>
      <c r="AY348" s="28"/>
      <c r="AZ348" s="28"/>
      <c r="BA348" s="28"/>
      <c r="BB348" s="28"/>
      <c r="BC348" s="24"/>
      <c r="BD348" s="28"/>
      <c r="BE348" s="28"/>
      <c r="BF348" s="28"/>
      <c r="BG348" s="24"/>
      <c r="BH348" s="28"/>
      <c r="BI348" s="28"/>
      <c r="BJ348" s="28"/>
    </row>
    <row r="349" spans="1:62">
      <c r="A349" s="24"/>
      <c r="B349" s="28"/>
      <c r="C349" s="25"/>
      <c r="D349" s="26"/>
      <c r="E349" s="24"/>
      <c r="F349" s="24"/>
      <c r="G349" s="26"/>
      <c r="H349" s="26"/>
      <c r="I349" s="26"/>
      <c r="J349" s="26"/>
      <c r="K349" s="26"/>
      <c r="L349" s="26"/>
      <c r="M349" s="26"/>
      <c r="N349" s="26"/>
      <c r="P349" s="26"/>
      <c r="Q349" s="26"/>
      <c r="R349" s="25"/>
      <c r="S349" s="25"/>
      <c r="T349" s="25"/>
      <c r="U349" s="25"/>
      <c r="V349" s="24"/>
      <c r="W349" s="24"/>
      <c r="X349" s="24"/>
      <c r="Y349" s="26"/>
      <c r="Z349" s="26"/>
      <c r="AA349" s="24"/>
      <c r="AB349" s="24"/>
      <c r="AC349" s="24"/>
      <c r="AD349" s="24"/>
      <c r="AE349" s="26"/>
      <c r="AF349" s="26"/>
      <c r="AG349" s="24"/>
      <c r="AH349" s="24"/>
      <c r="AI349" s="28"/>
      <c r="AJ349" s="28"/>
      <c r="AK349" s="28"/>
      <c r="AL349" s="28"/>
      <c r="AM349" s="28"/>
      <c r="AN349" s="28"/>
      <c r="AO349" s="28"/>
      <c r="AP349" s="28"/>
      <c r="AQ349" s="28"/>
      <c r="AR349" s="28"/>
      <c r="AS349" s="28"/>
      <c r="AT349" s="28"/>
      <c r="AU349" s="28"/>
      <c r="AV349" s="24"/>
      <c r="AW349" s="28"/>
      <c r="AX349" s="28"/>
      <c r="AY349" s="28"/>
      <c r="AZ349" s="28"/>
      <c r="BA349" s="28"/>
      <c r="BB349" s="28"/>
      <c r="BC349" s="24"/>
      <c r="BD349" s="28"/>
      <c r="BE349" s="28"/>
      <c r="BF349" s="28"/>
      <c r="BG349" s="24"/>
      <c r="BH349" s="28"/>
      <c r="BI349" s="28"/>
      <c r="BJ349" s="28"/>
    </row>
    <row r="350" spans="1:62">
      <c r="A350" s="24"/>
      <c r="B350" s="28"/>
      <c r="C350" s="25"/>
      <c r="D350" s="26"/>
      <c r="E350" s="24"/>
      <c r="F350" s="24"/>
      <c r="G350" s="26"/>
      <c r="H350" s="26"/>
      <c r="I350" s="26"/>
      <c r="J350" s="26"/>
      <c r="K350" s="26"/>
      <c r="L350" s="26"/>
      <c r="M350" s="26"/>
      <c r="N350" s="26"/>
      <c r="P350" s="26"/>
      <c r="Q350" s="26"/>
      <c r="R350" s="25"/>
      <c r="S350" s="25"/>
      <c r="T350" s="25"/>
      <c r="U350" s="25"/>
      <c r="V350" s="24"/>
      <c r="W350" s="24"/>
      <c r="X350" s="24"/>
      <c r="Y350" s="26"/>
      <c r="Z350" s="26"/>
      <c r="AA350" s="24"/>
      <c r="AB350" s="24"/>
      <c r="AC350" s="24"/>
      <c r="AD350" s="24"/>
      <c r="AE350" s="26"/>
      <c r="AF350" s="26"/>
      <c r="AG350" s="24"/>
      <c r="AH350" s="24"/>
      <c r="AI350" s="28"/>
      <c r="AJ350" s="28"/>
      <c r="AK350" s="28"/>
      <c r="AL350" s="28"/>
      <c r="AM350" s="28"/>
      <c r="AN350" s="28"/>
      <c r="AO350" s="28"/>
      <c r="AP350" s="28"/>
      <c r="AQ350" s="28"/>
      <c r="AR350" s="28"/>
      <c r="AS350" s="28"/>
      <c r="AT350" s="28"/>
      <c r="AU350" s="28"/>
      <c r="AV350" s="24"/>
      <c r="AW350" s="28"/>
      <c r="AX350" s="28"/>
      <c r="AY350" s="28"/>
      <c r="AZ350" s="28"/>
      <c r="BA350" s="28"/>
      <c r="BB350" s="28"/>
      <c r="BC350" s="24"/>
      <c r="BD350" s="28"/>
      <c r="BE350" s="28"/>
      <c r="BF350" s="28"/>
      <c r="BG350" s="24"/>
      <c r="BH350" s="28"/>
      <c r="BI350" s="28"/>
      <c r="BJ350" s="28"/>
    </row>
    <row r="351" spans="1:62">
      <c r="A351" s="24"/>
      <c r="B351" s="28"/>
      <c r="C351" s="25"/>
      <c r="D351" s="26"/>
      <c r="E351" s="24"/>
      <c r="F351" s="24"/>
      <c r="G351" s="26"/>
      <c r="H351" s="26"/>
      <c r="I351" s="26"/>
      <c r="J351" s="26"/>
      <c r="K351" s="26"/>
      <c r="L351" s="26"/>
      <c r="M351" s="26"/>
      <c r="N351" s="26"/>
      <c r="P351" s="26"/>
      <c r="Q351" s="26"/>
      <c r="R351" s="25"/>
      <c r="S351" s="25"/>
      <c r="T351" s="25"/>
      <c r="U351" s="25"/>
      <c r="V351" s="24"/>
      <c r="W351" s="24"/>
      <c r="X351" s="24"/>
      <c r="Y351" s="26"/>
      <c r="Z351" s="26"/>
      <c r="AA351" s="24"/>
      <c r="AB351" s="24"/>
      <c r="AC351" s="24"/>
      <c r="AD351" s="24"/>
      <c r="AE351" s="26"/>
      <c r="AF351" s="26"/>
      <c r="AG351" s="24"/>
      <c r="AH351" s="24"/>
      <c r="AI351" s="28"/>
      <c r="AJ351" s="28"/>
      <c r="AK351" s="28"/>
      <c r="AL351" s="28"/>
      <c r="AM351" s="28"/>
      <c r="AN351" s="28"/>
      <c r="AO351" s="28"/>
      <c r="AP351" s="28"/>
      <c r="AQ351" s="28"/>
      <c r="AR351" s="28"/>
      <c r="AS351" s="28"/>
      <c r="AT351" s="28"/>
      <c r="AU351" s="28"/>
      <c r="AV351" s="24"/>
      <c r="AW351" s="28"/>
      <c r="AX351" s="28"/>
      <c r="AY351" s="28"/>
      <c r="AZ351" s="28"/>
      <c r="BA351" s="28"/>
      <c r="BB351" s="28"/>
      <c r="BC351" s="24"/>
      <c r="BD351" s="28"/>
      <c r="BE351" s="28"/>
      <c r="BF351" s="28"/>
      <c r="BG351" s="24"/>
      <c r="BH351" s="28"/>
      <c r="BI351" s="28"/>
      <c r="BJ351" s="28"/>
    </row>
    <row r="352" spans="1:62">
      <c r="A352" s="24"/>
      <c r="B352" s="28"/>
      <c r="C352" s="25"/>
      <c r="D352" s="26"/>
      <c r="E352" s="24"/>
      <c r="F352" s="24"/>
      <c r="G352" s="26"/>
      <c r="H352" s="26"/>
      <c r="I352" s="26"/>
      <c r="J352" s="26"/>
      <c r="K352" s="26"/>
      <c r="L352" s="26"/>
      <c r="M352" s="26"/>
      <c r="N352" s="26"/>
      <c r="P352" s="26"/>
      <c r="Q352" s="26"/>
      <c r="R352" s="25"/>
      <c r="S352" s="25"/>
      <c r="T352" s="25"/>
      <c r="U352" s="25"/>
      <c r="V352" s="24"/>
      <c r="W352" s="24"/>
      <c r="X352" s="24"/>
      <c r="Y352" s="26"/>
      <c r="Z352" s="26"/>
      <c r="AA352" s="24"/>
      <c r="AB352" s="24"/>
      <c r="AC352" s="24"/>
      <c r="AD352" s="24"/>
      <c r="AE352" s="26"/>
      <c r="AF352" s="26"/>
      <c r="AG352" s="24"/>
      <c r="AH352" s="24"/>
      <c r="AI352" s="28"/>
      <c r="AJ352" s="28"/>
      <c r="AK352" s="28"/>
      <c r="AL352" s="28"/>
      <c r="AM352" s="28"/>
      <c r="AN352" s="28"/>
      <c r="AO352" s="28"/>
      <c r="AP352" s="28"/>
      <c r="AQ352" s="28"/>
      <c r="AR352" s="28"/>
      <c r="AS352" s="28"/>
      <c r="AT352" s="28"/>
      <c r="AU352" s="28"/>
      <c r="AV352" s="24"/>
      <c r="AW352" s="28"/>
      <c r="AX352" s="28"/>
      <c r="AY352" s="28"/>
      <c r="AZ352" s="28"/>
      <c r="BA352" s="28"/>
      <c r="BB352" s="28"/>
      <c r="BC352" s="24"/>
      <c r="BD352" s="28"/>
      <c r="BE352" s="28"/>
      <c r="BF352" s="28"/>
      <c r="BG352" s="24"/>
      <c r="BH352" s="28"/>
      <c r="BI352" s="28"/>
      <c r="BJ352" s="28"/>
    </row>
    <row r="353" spans="1:62">
      <c r="A353" s="24"/>
      <c r="B353" s="28"/>
      <c r="C353" s="25"/>
      <c r="D353" s="26"/>
      <c r="E353" s="24"/>
      <c r="F353" s="24"/>
      <c r="G353" s="26"/>
      <c r="H353" s="26"/>
      <c r="I353" s="26"/>
      <c r="J353" s="26"/>
      <c r="K353" s="26"/>
      <c r="L353" s="26"/>
      <c r="M353" s="26"/>
      <c r="N353" s="26"/>
      <c r="P353" s="26"/>
      <c r="Q353" s="26"/>
      <c r="R353" s="25"/>
      <c r="S353" s="25"/>
      <c r="T353" s="25"/>
      <c r="U353" s="25"/>
      <c r="V353" s="24"/>
      <c r="W353" s="24"/>
      <c r="X353" s="24"/>
      <c r="Y353" s="26"/>
      <c r="Z353" s="26"/>
      <c r="AA353" s="24"/>
      <c r="AB353" s="24"/>
      <c r="AC353" s="24"/>
      <c r="AD353" s="24"/>
      <c r="AE353" s="26"/>
      <c r="AF353" s="26"/>
      <c r="AG353" s="24"/>
      <c r="AH353" s="24"/>
      <c r="AI353" s="28"/>
      <c r="AJ353" s="28"/>
      <c r="AK353" s="28"/>
      <c r="AL353" s="28"/>
      <c r="AM353" s="28"/>
      <c r="AN353" s="28"/>
      <c r="AO353" s="28"/>
      <c r="AP353" s="28"/>
      <c r="AQ353" s="28"/>
      <c r="AR353" s="28"/>
      <c r="AS353" s="28"/>
      <c r="AT353" s="28"/>
      <c r="AU353" s="28"/>
      <c r="AV353" s="24"/>
      <c r="AW353" s="28"/>
      <c r="AX353" s="28"/>
      <c r="AY353" s="28"/>
      <c r="AZ353" s="28"/>
      <c r="BA353" s="28"/>
      <c r="BB353" s="28"/>
      <c r="BC353" s="24"/>
      <c r="BD353" s="28"/>
      <c r="BE353" s="28"/>
      <c r="BF353" s="28"/>
      <c r="BG353" s="24"/>
      <c r="BH353" s="28"/>
      <c r="BI353" s="28"/>
      <c r="BJ353" s="28"/>
    </row>
    <row r="354" spans="1:62">
      <c r="A354" s="24"/>
      <c r="B354" s="28"/>
      <c r="C354" s="25"/>
      <c r="D354" s="26"/>
      <c r="E354" s="24"/>
      <c r="F354" s="24"/>
      <c r="G354" s="26"/>
      <c r="H354" s="26"/>
      <c r="I354" s="26"/>
      <c r="J354" s="26"/>
      <c r="K354" s="26"/>
      <c r="L354" s="26"/>
      <c r="M354" s="26"/>
      <c r="N354" s="26"/>
      <c r="P354" s="26"/>
      <c r="Q354" s="26"/>
      <c r="R354" s="25"/>
      <c r="S354" s="25"/>
      <c r="T354" s="25"/>
      <c r="U354" s="25"/>
      <c r="V354" s="24"/>
      <c r="W354" s="24"/>
      <c r="X354" s="24"/>
      <c r="Y354" s="26"/>
      <c r="Z354" s="26"/>
      <c r="AA354" s="24"/>
      <c r="AB354" s="24"/>
      <c r="AC354" s="24"/>
      <c r="AD354" s="24"/>
      <c r="AE354" s="26"/>
      <c r="AF354" s="26"/>
      <c r="AG354" s="24"/>
      <c r="AH354" s="24"/>
      <c r="AI354" s="28"/>
      <c r="AJ354" s="28"/>
      <c r="AK354" s="28"/>
      <c r="AL354" s="28"/>
      <c r="AM354" s="28"/>
      <c r="AN354" s="28"/>
      <c r="AO354" s="28"/>
      <c r="AP354" s="28"/>
      <c r="AQ354" s="28"/>
      <c r="AR354" s="28"/>
      <c r="AS354" s="28"/>
      <c r="AT354" s="28"/>
      <c r="AU354" s="28"/>
      <c r="AV354" s="24"/>
      <c r="AW354" s="28"/>
      <c r="AX354" s="28"/>
      <c r="AY354" s="28"/>
      <c r="AZ354" s="28"/>
      <c r="BA354" s="28"/>
      <c r="BB354" s="28"/>
      <c r="BC354" s="24"/>
      <c r="BD354" s="28"/>
      <c r="BE354" s="28"/>
      <c r="BF354" s="28"/>
      <c r="BG354" s="24"/>
      <c r="BH354" s="28"/>
      <c r="BI354" s="28"/>
      <c r="BJ354" s="28"/>
    </row>
    <row r="355" spans="1:62">
      <c r="A355" s="24"/>
      <c r="B355" s="28"/>
      <c r="C355" s="25"/>
      <c r="D355" s="26"/>
      <c r="E355" s="24"/>
      <c r="F355" s="24"/>
      <c r="G355" s="26"/>
      <c r="H355" s="26"/>
      <c r="I355" s="26"/>
      <c r="J355" s="26"/>
      <c r="K355" s="26"/>
      <c r="L355" s="26"/>
      <c r="M355" s="26"/>
      <c r="N355" s="26"/>
      <c r="P355" s="26"/>
      <c r="Q355" s="26"/>
      <c r="R355" s="25"/>
      <c r="S355" s="25"/>
      <c r="T355" s="25"/>
      <c r="U355" s="25"/>
      <c r="V355" s="24"/>
      <c r="W355" s="24"/>
      <c r="X355" s="24"/>
      <c r="Y355" s="26"/>
      <c r="Z355" s="26"/>
      <c r="AA355" s="24"/>
      <c r="AB355" s="24"/>
      <c r="AC355" s="24"/>
      <c r="AD355" s="24"/>
      <c r="AE355" s="26"/>
      <c r="AF355" s="26"/>
      <c r="AG355" s="24"/>
      <c r="AH355" s="24"/>
      <c r="AI355" s="28"/>
      <c r="AJ355" s="28"/>
      <c r="AK355" s="28"/>
      <c r="AL355" s="28"/>
      <c r="AM355" s="28"/>
      <c r="AN355" s="28"/>
      <c r="AO355" s="28"/>
      <c r="AP355" s="28"/>
      <c r="AQ355" s="28"/>
      <c r="AR355" s="28"/>
      <c r="AS355" s="28"/>
      <c r="AT355" s="28"/>
      <c r="AU355" s="28"/>
      <c r="AV355" s="24"/>
      <c r="AW355" s="28"/>
      <c r="AX355" s="28"/>
      <c r="AY355" s="28"/>
      <c r="AZ355" s="28"/>
      <c r="BA355" s="28"/>
      <c r="BB355" s="28"/>
      <c r="BC355" s="24"/>
      <c r="BD355" s="28"/>
      <c r="BE355" s="28"/>
      <c r="BF355" s="28"/>
      <c r="BG355" s="24"/>
      <c r="BH355" s="28"/>
      <c r="BI355" s="28"/>
      <c r="BJ355" s="28"/>
    </row>
    <row r="356" spans="1:62">
      <c r="A356" s="24"/>
      <c r="B356" s="28"/>
      <c r="C356" s="25"/>
      <c r="D356" s="26"/>
      <c r="E356" s="24"/>
      <c r="F356" s="24"/>
      <c r="G356" s="26"/>
      <c r="H356" s="26"/>
      <c r="I356" s="26"/>
      <c r="J356" s="26"/>
      <c r="K356" s="26"/>
      <c r="L356" s="26"/>
      <c r="M356" s="26"/>
      <c r="N356" s="26"/>
      <c r="P356" s="26"/>
      <c r="Q356" s="26"/>
      <c r="R356" s="25"/>
      <c r="S356" s="25"/>
      <c r="T356" s="25"/>
      <c r="U356" s="25"/>
      <c r="V356" s="24"/>
      <c r="W356" s="24"/>
      <c r="X356" s="24"/>
      <c r="Y356" s="26"/>
      <c r="Z356" s="26"/>
      <c r="AA356" s="24"/>
      <c r="AB356" s="24"/>
      <c r="AC356" s="24"/>
      <c r="AD356" s="24"/>
      <c r="AE356" s="26"/>
      <c r="AF356" s="26"/>
      <c r="AG356" s="24"/>
      <c r="AH356" s="24"/>
      <c r="AI356" s="28"/>
      <c r="AJ356" s="28"/>
      <c r="AK356" s="28"/>
      <c r="AL356" s="28"/>
      <c r="AM356" s="28"/>
      <c r="AN356" s="28"/>
      <c r="AO356" s="28"/>
      <c r="AP356" s="28"/>
      <c r="AQ356" s="28"/>
      <c r="AR356" s="28"/>
      <c r="AS356" s="28"/>
      <c r="AT356" s="28"/>
      <c r="AU356" s="28"/>
      <c r="AV356" s="24"/>
      <c r="AW356" s="28"/>
      <c r="AX356" s="28"/>
      <c r="AY356" s="28"/>
      <c r="AZ356" s="28"/>
      <c r="BA356" s="28"/>
      <c r="BB356" s="28"/>
      <c r="BC356" s="24"/>
      <c r="BD356" s="28"/>
      <c r="BE356" s="28"/>
      <c r="BF356" s="28"/>
      <c r="BG356" s="24"/>
      <c r="BH356" s="28"/>
      <c r="BI356" s="28"/>
      <c r="BJ356" s="28"/>
    </row>
    <row r="357" spans="1:62">
      <c r="A357" s="24"/>
      <c r="B357" s="28"/>
      <c r="C357" s="25"/>
      <c r="D357" s="26"/>
      <c r="E357" s="24"/>
      <c r="F357" s="24"/>
      <c r="G357" s="26"/>
      <c r="H357" s="26"/>
      <c r="I357" s="26"/>
      <c r="J357" s="26"/>
      <c r="K357" s="26"/>
      <c r="L357" s="26"/>
      <c r="M357" s="26"/>
      <c r="N357" s="26"/>
      <c r="P357" s="26"/>
      <c r="Q357" s="26"/>
      <c r="R357" s="25"/>
      <c r="S357" s="25"/>
      <c r="T357" s="25"/>
      <c r="U357" s="25"/>
      <c r="V357" s="24"/>
      <c r="W357" s="24"/>
      <c r="X357" s="24"/>
      <c r="Y357" s="26"/>
      <c r="Z357" s="26"/>
      <c r="AA357" s="24"/>
      <c r="AB357" s="24"/>
      <c r="AC357" s="24"/>
      <c r="AD357" s="24"/>
      <c r="AE357" s="26"/>
      <c r="AF357" s="26"/>
      <c r="AG357" s="24"/>
      <c r="AH357" s="24"/>
      <c r="AI357" s="28"/>
      <c r="AJ357" s="28"/>
      <c r="AK357" s="28"/>
      <c r="AL357" s="28"/>
      <c r="AM357" s="28"/>
      <c r="AN357" s="28"/>
      <c r="AO357" s="28"/>
      <c r="AP357" s="28"/>
      <c r="AQ357" s="28"/>
      <c r="AR357" s="28"/>
      <c r="AS357" s="28"/>
      <c r="AT357" s="28"/>
      <c r="AU357" s="28"/>
      <c r="AV357" s="24"/>
      <c r="AW357" s="28"/>
      <c r="AX357" s="28"/>
      <c r="AY357" s="28"/>
      <c r="AZ357" s="28"/>
      <c r="BA357" s="28"/>
      <c r="BB357" s="28"/>
      <c r="BC357" s="24"/>
      <c r="BD357" s="28"/>
      <c r="BE357" s="28"/>
      <c r="BF357" s="28"/>
      <c r="BG357" s="24"/>
      <c r="BH357" s="28"/>
      <c r="BI357" s="28"/>
      <c r="BJ357" s="28"/>
    </row>
    <row r="358" spans="1:62">
      <c r="A358" s="24"/>
      <c r="B358" s="28"/>
      <c r="C358" s="25"/>
      <c r="D358" s="26"/>
      <c r="E358" s="24"/>
      <c r="F358" s="24"/>
      <c r="G358" s="26"/>
      <c r="H358" s="26"/>
      <c r="I358" s="26"/>
      <c r="J358" s="26"/>
      <c r="K358" s="26"/>
      <c r="L358" s="26"/>
      <c r="M358" s="26"/>
      <c r="N358" s="26"/>
      <c r="P358" s="26"/>
      <c r="Q358" s="26"/>
      <c r="R358" s="25"/>
      <c r="S358" s="25"/>
      <c r="T358" s="25"/>
      <c r="U358" s="25"/>
      <c r="V358" s="24"/>
      <c r="W358" s="24"/>
      <c r="X358" s="24"/>
      <c r="Y358" s="26"/>
      <c r="Z358" s="26"/>
      <c r="AA358" s="24"/>
      <c r="AB358" s="24"/>
      <c r="AC358" s="24"/>
      <c r="AD358" s="24"/>
      <c r="AE358" s="26"/>
      <c r="AF358" s="26"/>
      <c r="AG358" s="24"/>
      <c r="AH358" s="24"/>
      <c r="AI358" s="28"/>
      <c r="AJ358" s="28"/>
      <c r="AK358" s="28"/>
      <c r="AL358" s="28"/>
      <c r="AM358" s="28"/>
      <c r="AN358" s="28"/>
      <c r="AO358" s="28"/>
      <c r="AP358" s="28"/>
      <c r="AQ358" s="28"/>
      <c r="AR358" s="28"/>
      <c r="AS358" s="28"/>
      <c r="AT358" s="28"/>
      <c r="AU358" s="28"/>
      <c r="AV358" s="24"/>
      <c r="AW358" s="28"/>
      <c r="AX358" s="28"/>
      <c r="AY358" s="28"/>
      <c r="AZ358" s="28"/>
      <c r="BA358" s="28"/>
      <c r="BB358" s="28"/>
      <c r="BC358" s="24"/>
      <c r="BD358" s="28"/>
      <c r="BE358" s="28"/>
      <c r="BF358" s="28"/>
      <c r="BG358" s="24"/>
      <c r="BH358" s="28"/>
      <c r="BI358" s="28"/>
      <c r="BJ358" s="28"/>
    </row>
    <row r="359" spans="1:62">
      <c r="A359" s="24"/>
      <c r="B359" s="28"/>
      <c r="C359" s="25"/>
      <c r="D359" s="26"/>
      <c r="E359" s="24"/>
      <c r="F359" s="24"/>
      <c r="G359" s="26"/>
      <c r="H359" s="26"/>
      <c r="I359" s="26"/>
      <c r="J359" s="26"/>
      <c r="K359" s="26"/>
      <c r="L359" s="26"/>
      <c r="M359" s="26"/>
      <c r="N359" s="26"/>
      <c r="P359" s="26"/>
      <c r="Q359" s="26"/>
      <c r="R359" s="25"/>
      <c r="S359" s="25"/>
      <c r="T359" s="25"/>
      <c r="U359" s="25"/>
      <c r="V359" s="24"/>
      <c r="W359" s="24"/>
      <c r="X359" s="24"/>
      <c r="Y359" s="26"/>
      <c r="Z359" s="26"/>
      <c r="AA359" s="24"/>
      <c r="AB359" s="24"/>
      <c r="AC359" s="24"/>
      <c r="AD359" s="24"/>
      <c r="AE359" s="26"/>
      <c r="AF359" s="26"/>
      <c r="AG359" s="24"/>
      <c r="AH359" s="24"/>
      <c r="AI359" s="28"/>
      <c r="AJ359" s="28"/>
      <c r="AK359" s="28"/>
      <c r="AL359" s="28"/>
      <c r="AM359" s="28"/>
      <c r="AN359" s="28"/>
      <c r="AO359" s="28"/>
      <c r="AP359" s="28"/>
      <c r="AQ359" s="28"/>
      <c r="AR359" s="28"/>
      <c r="AS359" s="28"/>
      <c r="AT359" s="28"/>
      <c r="AU359" s="28"/>
      <c r="AV359" s="24"/>
      <c r="AW359" s="28"/>
      <c r="AX359" s="28"/>
      <c r="AY359" s="28"/>
      <c r="AZ359" s="28"/>
      <c r="BA359" s="28"/>
      <c r="BB359" s="28"/>
      <c r="BC359" s="24"/>
      <c r="BD359" s="28"/>
      <c r="BE359" s="28"/>
      <c r="BF359" s="28"/>
      <c r="BG359" s="24"/>
      <c r="BH359" s="28"/>
      <c r="BI359" s="28"/>
      <c r="BJ359" s="28"/>
    </row>
    <row r="360" spans="1:62">
      <c r="A360" s="24"/>
      <c r="B360" s="28"/>
      <c r="C360" s="25"/>
      <c r="D360" s="26"/>
      <c r="E360" s="24"/>
      <c r="F360" s="24"/>
      <c r="G360" s="26"/>
      <c r="H360" s="26"/>
      <c r="I360" s="26"/>
      <c r="J360" s="26"/>
      <c r="K360" s="26"/>
      <c r="L360" s="26"/>
      <c r="M360" s="26"/>
      <c r="N360" s="26"/>
      <c r="P360" s="26"/>
      <c r="Q360" s="26"/>
      <c r="R360" s="25"/>
      <c r="S360" s="25"/>
      <c r="T360" s="25"/>
      <c r="U360" s="25"/>
      <c r="V360" s="24"/>
      <c r="W360" s="24"/>
      <c r="X360" s="24"/>
      <c r="Y360" s="26"/>
      <c r="Z360" s="26"/>
      <c r="AA360" s="24"/>
      <c r="AB360" s="24"/>
      <c r="AC360" s="24"/>
      <c r="AD360" s="24"/>
      <c r="AE360" s="26"/>
      <c r="AF360" s="26"/>
      <c r="AG360" s="24"/>
      <c r="AH360" s="24"/>
      <c r="AI360" s="28"/>
      <c r="AJ360" s="28"/>
      <c r="AK360" s="28"/>
      <c r="AL360" s="28"/>
      <c r="AM360" s="28"/>
      <c r="AN360" s="28"/>
      <c r="AO360" s="28"/>
      <c r="AP360" s="28"/>
      <c r="AQ360" s="28"/>
      <c r="AR360" s="28"/>
      <c r="AS360" s="28"/>
      <c r="AT360" s="28"/>
      <c r="AU360" s="28"/>
      <c r="AV360" s="24"/>
      <c r="AW360" s="28"/>
      <c r="AX360" s="28"/>
      <c r="AY360" s="28"/>
      <c r="AZ360" s="28"/>
      <c r="BA360" s="28"/>
      <c r="BB360" s="28"/>
      <c r="BC360" s="24"/>
      <c r="BD360" s="28"/>
      <c r="BE360" s="28"/>
      <c r="BF360" s="28"/>
      <c r="BG360" s="24"/>
      <c r="BH360" s="28"/>
      <c r="BI360" s="28"/>
      <c r="BJ360" s="28"/>
    </row>
    <row r="361" spans="1:62">
      <c r="A361" s="24"/>
      <c r="B361" s="28"/>
      <c r="C361" s="25"/>
      <c r="D361" s="26"/>
      <c r="E361" s="24"/>
      <c r="F361" s="24"/>
      <c r="G361" s="26"/>
      <c r="H361" s="26"/>
      <c r="I361" s="26"/>
      <c r="J361" s="26"/>
      <c r="K361" s="26"/>
      <c r="L361" s="26"/>
      <c r="M361" s="26"/>
      <c r="N361" s="26"/>
      <c r="P361" s="26"/>
      <c r="Q361" s="26"/>
      <c r="R361" s="25"/>
      <c r="S361" s="25"/>
      <c r="T361" s="25"/>
      <c r="U361" s="25"/>
      <c r="V361" s="24"/>
      <c r="W361" s="24"/>
      <c r="X361" s="24"/>
      <c r="Y361" s="26"/>
      <c r="Z361" s="26"/>
      <c r="AA361" s="24"/>
      <c r="AB361" s="24"/>
      <c r="AC361" s="24"/>
      <c r="AD361" s="24"/>
      <c r="AE361" s="26"/>
      <c r="AF361" s="26"/>
      <c r="AG361" s="24"/>
      <c r="AH361" s="24"/>
      <c r="AI361" s="28"/>
      <c r="AJ361" s="28"/>
      <c r="AK361" s="28"/>
      <c r="AL361" s="28"/>
      <c r="AM361" s="28"/>
      <c r="AN361" s="28"/>
      <c r="AO361" s="28"/>
      <c r="AP361" s="28"/>
      <c r="AQ361" s="28"/>
      <c r="AR361" s="28"/>
      <c r="AS361" s="28"/>
      <c r="AT361" s="28"/>
      <c r="AU361" s="28"/>
      <c r="AV361" s="24"/>
      <c r="AW361" s="28"/>
      <c r="AX361" s="28"/>
      <c r="AY361" s="28"/>
      <c r="AZ361" s="28"/>
      <c r="BA361" s="28"/>
      <c r="BB361" s="28"/>
      <c r="BC361" s="24"/>
      <c r="BD361" s="28"/>
      <c r="BE361" s="28"/>
      <c r="BF361" s="28"/>
      <c r="BG361" s="24"/>
      <c r="BH361" s="28"/>
      <c r="BI361" s="28"/>
      <c r="BJ361" s="28"/>
    </row>
    <row r="362" spans="1:62">
      <c r="A362" s="24"/>
      <c r="B362" s="28"/>
      <c r="C362" s="25"/>
      <c r="D362" s="26"/>
      <c r="E362" s="24"/>
      <c r="F362" s="24"/>
      <c r="G362" s="26"/>
      <c r="H362" s="26"/>
      <c r="I362" s="26"/>
      <c r="J362" s="26"/>
      <c r="K362" s="26"/>
      <c r="L362" s="26"/>
      <c r="M362" s="26"/>
      <c r="N362" s="26"/>
      <c r="P362" s="26"/>
      <c r="Q362" s="26"/>
      <c r="R362" s="25"/>
      <c r="S362" s="25"/>
      <c r="T362" s="25"/>
      <c r="U362" s="25"/>
      <c r="V362" s="24"/>
      <c r="W362" s="24"/>
      <c r="X362" s="24"/>
      <c r="Y362" s="26"/>
      <c r="Z362" s="26"/>
      <c r="AA362" s="24"/>
      <c r="AB362" s="24"/>
      <c r="AC362" s="24"/>
      <c r="AD362" s="24"/>
      <c r="AE362" s="26"/>
      <c r="AF362" s="26"/>
      <c r="AG362" s="24"/>
      <c r="AH362" s="24"/>
      <c r="AI362" s="28"/>
      <c r="AJ362" s="28"/>
      <c r="AK362" s="28"/>
      <c r="AL362" s="28"/>
      <c r="AM362" s="28"/>
      <c r="AN362" s="28"/>
      <c r="AO362" s="28"/>
      <c r="AP362" s="28"/>
      <c r="AQ362" s="28"/>
      <c r="AR362" s="28"/>
      <c r="AS362" s="28"/>
      <c r="AT362" s="28"/>
      <c r="AU362" s="28"/>
      <c r="AV362" s="24"/>
      <c r="AW362" s="28"/>
      <c r="AX362" s="28"/>
      <c r="AY362" s="28"/>
      <c r="AZ362" s="28"/>
      <c r="BA362" s="28"/>
      <c r="BB362" s="28"/>
      <c r="BC362" s="24"/>
      <c r="BD362" s="28"/>
      <c r="BE362" s="28"/>
      <c r="BF362" s="28"/>
      <c r="BG362" s="24"/>
      <c r="BH362" s="28"/>
      <c r="BI362" s="28"/>
      <c r="BJ362" s="28"/>
    </row>
    <row r="363" spans="1:62">
      <c r="A363" s="24"/>
      <c r="B363" s="28"/>
      <c r="C363" s="25"/>
      <c r="D363" s="26"/>
      <c r="E363" s="24"/>
      <c r="F363" s="24"/>
      <c r="G363" s="26"/>
      <c r="H363" s="26"/>
      <c r="I363" s="26"/>
      <c r="J363" s="26"/>
      <c r="K363" s="26"/>
      <c r="L363" s="26"/>
      <c r="M363" s="26"/>
      <c r="N363" s="26"/>
      <c r="P363" s="26"/>
      <c r="Q363" s="26"/>
      <c r="R363" s="25"/>
      <c r="S363" s="25"/>
      <c r="T363" s="25"/>
      <c r="U363" s="25"/>
      <c r="V363" s="24"/>
      <c r="W363" s="24"/>
      <c r="X363" s="24"/>
      <c r="Y363" s="26"/>
      <c r="Z363" s="26"/>
      <c r="AA363" s="24"/>
      <c r="AB363" s="24"/>
      <c r="AC363" s="24"/>
      <c r="AD363" s="24"/>
      <c r="AE363" s="26"/>
      <c r="AF363" s="26"/>
      <c r="AG363" s="24"/>
      <c r="AH363" s="24"/>
      <c r="AI363" s="28"/>
      <c r="AJ363" s="28"/>
      <c r="AK363" s="28"/>
      <c r="AL363" s="28"/>
      <c r="AM363" s="28"/>
      <c r="AN363" s="28"/>
      <c r="AO363" s="28"/>
      <c r="AP363" s="28"/>
      <c r="AQ363" s="28"/>
      <c r="AR363" s="28"/>
      <c r="AS363" s="28"/>
      <c r="AT363" s="28"/>
      <c r="AU363" s="28"/>
      <c r="AV363" s="24"/>
      <c r="AW363" s="28"/>
      <c r="AX363" s="28"/>
      <c r="AY363" s="28"/>
      <c r="AZ363" s="28"/>
      <c r="BA363" s="28"/>
      <c r="BB363" s="28"/>
      <c r="BC363" s="24"/>
      <c r="BD363" s="28"/>
      <c r="BE363" s="28"/>
      <c r="BF363" s="28"/>
      <c r="BG363" s="24"/>
      <c r="BH363" s="28"/>
      <c r="BI363" s="28"/>
      <c r="BJ363" s="28"/>
    </row>
    <row r="364" spans="1:62">
      <c r="A364" s="24"/>
      <c r="B364" s="28"/>
      <c r="C364" s="25"/>
      <c r="D364" s="26"/>
      <c r="E364" s="24"/>
      <c r="F364" s="24"/>
      <c r="G364" s="26"/>
      <c r="H364" s="26"/>
      <c r="I364" s="26"/>
      <c r="J364" s="26"/>
      <c r="K364" s="26"/>
      <c r="L364" s="26"/>
      <c r="M364" s="26"/>
      <c r="N364" s="26"/>
      <c r="P364" s="26"/>
      <c r="Q364" s="26"/>
      <c r="R364" s="25"/>
      <c r="S364" s="25"/>
      <c r="T364" s="25"/>
      <c r="U364" s="25"/>
      <c r="V364" s="24"/>
      <c r="W364" s="24"/>
      <c r="X364" s="24"/>
      <c r="Y364" s="26"/>
      <c r="Z364" s="26"/>
      <c r="AA364" s="24"/>
      <c r="AB364" s="24"/>
      <c r="AC364" s="24"/>
      <c r="AD364" s="24"/>
      <c r="AE364" s="26"/>
      <c r="AF364" s="26"/>
      <c r="AG364" s="24"/>
      <c r="AH364" s="24"/>
      <c r="AI364" s="28"/>
      <c r="AJ364" s="28"/>
      <c r="AK364" s="28"/>
      <c r="AL364" s="28"/>
      <c r="AM364" s="28"/>
      <c r="AN364" s="28"/>
      <c r="AO364" s="28"/>
      <c r="AP364" s="28"/>
      <c r="AQ364" s="28"/>
      <c r="AR364" s="28"/>
      <c r="AS364" s="28"/>
      <c r="AT364" s="28"/>
      <c r="AU364" s="28"/>
      <c r="AV364" s="24"/>
      <c r="AW364" s="28"/>
      <c r="AX364" s="28"/>
      <c r="AY364" s="28"/>
      <c r="AZ364" s="28"/>
      <c r="BA364" s="28"/>
      <c r="BB364" s="28"/>
      <c r="BC364" s="24"/>
      <c r="BD364" s="28"/>
      <c r="BE364" s="28"/>
      <c r="BF364" s="28"/>
      <c r="BG364" s="24"/>
      <c r="BH364" s="28"/>
      <c r="BI364" s="28"/>
      <c r="BJ364" s="28"/>
    </row>
    <row r="365" spans="1:62">
      <c r="A365" s="24"/>
      <c r="B365" s="28"/>
      <c r="C365" s="25"/>
      <c r="D365" s="26"/>
      <c r="E365" s="24"/>
      <c r="F365" s="24"/>
      <c r="G365" s="26"/>
      <c r="H365" s="26"/>
      <c r="I365" s="26"/>
      <c r="J365" s="26"/>
      <c r="K365" s="26"/>
      <c r="L365" s="26"/>
      <c r="M365" s="26"/>
      <c r="N365" s="26"/>
      <c r="P365" s="26"/>
      <c r="Q365" s="26"/>
      <c r="R365" s="25"/>
      <c r="S365" s="25"/>
      <c r="T365" s="25"/>
      <c r="U365" s="25"/>
      <c r="V365" s="24"/>
      <c r="W365" s="24"/>
      <c r="X365" s="24"/>
      <c r="Y365" s="26"/>
      <c r="Z365" s="26"/>
      <c r="AA365" s="24"/>
      <c r="AB365" s="24"/>
      <c r="AC365" s="24"/>
      <c r="AD365" s="24"/>
      <c r="AE365" s="26"/>
      <c r="AF365" s="26"/>
      <c r="AG365" s="24"/>
      <c r="AH365" s="24"/>
      <c r="AI365" s="28"/>
      <c r="AJ365" s="28"/>
      <c r="AK365" s="28"/>
      <c r="AL365" s="28"/>
      <c r="AM365" s="28"/>
      <c r="AN365" s="28"/>
      <c r="AO365" s="28"/>
      <c r="AP365" s="28"/>
      <c r="AQ365" s="28"/>
      <c r="AR365" s="28"/>
      <c r="AS365" s="28"/>
      <c r="AT365" s="28"/>
      <c r="AU365" s="28"/>
      <c r="AV365" s="24"/>
      <c r="AW365" s="28"/>
      <c r="AX365" s="28"/>
      <c r="AY365" s="28"/>
      <c r="AZ365" s="28"/>
      <c r="BA365" s="28"/>
      <c r="BB365" s="28"/>
      <c r="BC365" s="24"/>
      <c r="BD365" s="28"/>
      <c r="BE365" s="28"/>
      <c r="BF365" s="28"/>
      <c r="BG365" s="24"/>
      <c r="BH365" s="28"/>
      <c r="BI365" s="28"/>
      <c r="BJ365" s="28"/>
    </row>
    <row r="366" spans="1:62">
      <c r="A366" s="24"/>
      <c r="B366" s="28"/>
      <c r="C366" s="25"/>
      <c r="D366" s="26"/>
      <c r="E366" s="24"/>
      <c r="F366" s="24"/>
      <c r="G366" s="26"/>
      <c r="H366" s="26"/>
      <c r="I366" s="26"/>
      <c r="J366" s="26"/>
      <c r="K366" s="26"/>
      <c r="L366" s="26"/>
      <c r="M366" s="26"/>
      <c r="N366" s="26"/>
      <c r="P366" s="26"/>
      <c r="Q366" s="26"/>
      <c r="R366" s="25"/>
      <c r="S366" s="25"/>
      <c r="T366" s="25"/>
      <c r="U366" s="25"/>
      <c r="V366" s="24"/>
      <c r="W366" s="24"/>
      <c r="X366" s="24"/>
      <c r="Y366" s="26"/>
      <c r="Z366" s="26"/>
      <c r="AA366" s="24"/>
      <c r="AB366" s="24"/>
      <c r="AC366" s="24"/>
      <c r="AD366" s="24"/>
      <c r="AE366" s="26"/>
      <c r="AF366" s="26"/>
      <c r="AG366" s="24"/>
      <c r="AH366" s="24"/>
      <c r="AI366" s="28"/>
      <c r="AJ366" s="28"/>
      <c r="AK366" s="28"/>
      <c r="AL366" s="28"/>
      <c r="AM366" s="28"/>
      <c r="AN366" s="28"/>
      <c r="AO366" s="28"/>
      <c r="AP366" s="28"/>
      <c r="AQ366" s="28"/>
      <c r="AR366" s="28"/>
      <c r="AS366" s="28"/>
      <c r="AT366" s="28"/>
      <c r="AU366" s="28"/>
      <c r="AV366" s="24"/>
      <c r="AW366" s="28"/>
      <c r="AX366" s="28"/>
      <c r="AY366" s="28"/>
      <c r="AZ366" s="28"/>
      <c r="BA366" s="28"/>
      <c r="BB366" s="28"/>
      <c r="BC366" s="24"/>
      <c r="BD366" s="28"/>
      <c r="BE366" s="28"/>
      <c r="BF366" s="28"/>
      <c r="BG366" s="24"/>
      <c r="BH366" s="28"/>
      <c r="BI366" s="28"/>
      <c r="BJ366" s="28"/>
    </row>
    <row r="367" spans="1:62">
      <c r="A367" s="24"/>
      <c r="B367" s="28"/>
      <c r="C367" s="25"/>
      <c r="D367" s="26"/>
      <c r="E367" s="24"/>
      <c r="F367" s="24"/>
      <c r="G367" s="26"/>
      <c r="H367" s="26"/>
      <c r="I367" s="26"/>
      <c r="J367" s="26"/>
      <c r="K367" s="26"/>
      <c r="L367" s="26"/>
      <c r="M367" s="26"/>
      <c r="N367" s="26"/>
      <c r="P367" s="26"/>
      <c r="Q367" s="26"/>
      <c r="R367" s="25"/>
      <c r="S367" s="25"/>
      <c r="T367" s="25"/>
      <c r="U367" s="25"/>
      <c r="V367" s="24"/>
      <c r="W367" s="24"/>
      <c r="X367" s="24"/>
      <c r="Y367" s="26"/>
      <c r="Z367" s="26"/>
      <c r="AA367" s="24"/>
      <c r="AB367" s="24"/>
      <c r="AC367" s="24"/>
      <c r="AD367" s="24"/>
      <c r="AE367" s="26"/>
      <c r="AF367" s="26"/>
      <c r="AG367" s="24"/>
      <c r="AH367" s="24"/>
      <c r="AI367" s="28"/>
      <c r="AJ367" s="28"/>
      <c r="AK367" s="28"/>
      <c r="AL367" s="28"/>
      <c r="AM367" s="28"/>
      <c r="AN367" s="28"/>
      <c r="AO367" s="28"/>
      <c r="AP367" s="28"/>
      <c r="AQ367" s="28"/>
      <c r="AR367" s="28"/>
      <c r="AS367" s="28"/>
      <c r="AT367" s="28"/>
      <c r="AU367" s="28"/>
      <c r="AV367" s="24"/>
      <c r="AW367" s="28"/>
      <c r="AX367" s="28"/>
      <c r="AY367" s="28"/>
      <c r="AZ367" s="28"/>
      <c r="BA367" s="28"/>
      <c r="BB367" s="28"/>
      <c r="BC367" s="24"/>
      <c r="BD367" s="28"/>
      <c r="BE367" s="28"/>
      <c r="BF367" s="28"/>
      <c r="BG367" s="24"/>
      <c r="BH367" s="28"/>
      <c r="BI367" s="28"/>
      <c r="BJ367" s="28"/>
    </row>
    <row r="368" spans="1:62">
      <c r="A368" s="24"/>
      <c r="B368" s="28"/>
      <c r="C368" s="25"/>
      <c r="D368" s="26"/>
      <c r="E368" s="24"/>
      <c r="F368" s="24"/>
      <c r="G368" s="26"/>
      <c r="H368" s="26"/>
      <c r="I368" s="26"/>
      <c r="J368" s="26"/>
      <c r="K368" s="26"/>
      <c r="L368" s="26"/>
      <c r="M368" s="26"/>
      <c r="N368" s="26"/>
      <c r="P368" s="26"/>
      <c r="Q368" s="26"/>
      <c r="R368" s="25"/>
      <c r="S368" s="25"/>
      <c r="T368" s="25"/>
      <c r="U368" s="25"/>
      <c r="V368" s="24"/>
      <c r="W368" s="24"/>
      <c r="X368" s="24"/>
      <c r="Y368" s="26"/>
      <c r="Z368" s="26"/>
      <c r="AA368" s="24"/>
      <c r="AB368" s="24"/>
      <c r="AC368" s="24"/>
      <c r="AD368" s="24"/>
      <c r="AE368" s="26"/>
      <c r="AF368" s="26"/>
      <c r="AG368" s="24"/>
      <c r="AH368" s="24"/>
      <c r="AI368" s="28"/>
      <c r="AJ368" s="28"/>
      <c r="AK368" s="28"/>
      <c r="AL368" s="28"/>
      <c r="AM368" s="28"/>
      <c r="AN368" s="28"/>
      <c r="AO368" s="28"/>
      <c r="AP368" s="28"/>
      <c r="AQ368" s="28"/>
      <c r="AR368" s="28"/>
      <c r="AS368" s="28"/>
      <c r="AT368" s="28"/>
      <c r="AU368" s="28"/>
      <c r="AV368" s="24"/>
      <c r="AW368" s="28"/>
      <c r="AX368" s="28"/>
      <c r="AY368" s="28"/>
      <c r="AZ368" s="28"/>
      <c r="BA368" s="28"/>
      <c r="BB368" s="28"/>
      <c r="BC368" s="24"/>
      <c r="BD368" s="28"/>
      <c r="BE368" s="28"/>
      <c r="BF368" s="28"/>
      <c r="BG368" s="24"/>
      <c r="BH368" s="28"/>
      <c r="BI368" s="28"/>
      <c r="BJ368" s="28"/>
    </row>
    <row r="369" spans="1:62">
      <c r="A369" s="24"/>
      <c r="B369" s="28"/>
      <c r="C369" s="25"/>
      <c r="D369" s="26"/>
      <c r="E369" s="24"/>
      <c r="F369" s="24"/>
      <c r="G369" s="26"/>
      <c r="H369" s="26"/>
      <c r="I369" s="26"/>
      <c r="J369" s="26"/>
      <c r="K369" s="26"/>
      <c r="L369" s="26"/>
      <c r="M369" s="26"/>
      <c r="N369" s="26"/>
      <c r="P369" s="26"/>
      <c r="Q369" s="26"/>
      <c r="R369" s="25"/>
      <c r="S369" s="25"/>
      <c r="T369" s="25"/>
      <c r="U369" s="25"/>
      <c r="V369" s="24"/>
      <c r="W369" s="24"/>
      <c r="X369" s="24"/>
      <c r="Y369" s="26"/>
      <c r="Z369" s="26"/>
      <c r="AA369" s="24"/>
      <c r="AB369" s="24"/>
      <c r="AC369" s="24"/>
      <c r="AD369" s="24"/>
      <c r="AE369" s="26"/>
      <c r="AF369" s="26"/>
      <c r="AG369" s="24"/>
      <c r="AH369" s="24"/>
      <c r="AI369" s="28"/>
      <c r="AJ369" s="28"/>
      <c r="AK369" s="28"/>
      <c r="AL369" s="28"/>
      <c r="AM369" s="28"/>
      <c r="AN369" s="28"/>
      <c r="AO369" s="28"/>
      <c r="AP369" s="28"/>
      <c r="AQ369" s="28"/>
      <c r="AR369" s="28"/>
      <c r="AS369" s="28"/>
      <c r="AT369" s="28"/>
      <c r="AU369" s="28"/>
      <c r="AV369" s="24"/>
      <c r="AW369" s="28"/>
      <c r="AX369" s="28"/>
      <c r="AY369" s="28"/>
      <c r="AZ369" s="28"/>
      <c r="BA369" s="28"/>
      <c r="BB369" s="28"/>
      <c r="BC369" s="24"/>
      <c r="BD369" s="28"/>
      <c r="BE369" s="28"/>
      <c r="BF369" s="28"/>
      <c r="BG369" s="24"/>
      <c r="BH369" s="28"/>
      <c r="BI369" s="28"/>
      <c r="BJ369" s="28"/>
    </row>
    <row r="370" spans="1:62">
      <c r="A370" s="24"/>
      <c r="B370" s="28"/>
      <c r="C370" s="25"/>
      <c r="D370" s="26"/>
      <c r="E370" s="24"/>
      <c r="F370" s="24"/>
      <c r="G370" s="26"/>
      <c r="H370" s="26"/>
      <c r="I370" s="26"/>
      <c r="J370" s="26"/>
      <c r="K370" s="26"/>
      <c r="L370" s="26"/>
      <c r="M370" s="26"/>
      <c r="N370" s="26"/>
      <c r="P370" s="26"/>
      <c r="Q370" s="26"/>
      <c r="R370" s="25"/>
      <c r="S370" s="25"/>
      <c r="T370" s="25"/>
      <c r="U370" s="25"/>
      <c r="V370" s="24"/>
      <c r="W370" s="24"/>
      <c r="X370" s="24"/>
      <c r="Y370" s="26"/>
      <c r="Z370" s="26"/>
      <c r="AA370" s="24"/>
      <c r="AB370" s="24"/>
      <c r="AC370" s="24"/>
      <c r="AD370" s="24"/>
      <c r="AE370" s="26"/>
      <c r="AF370" s="26"/>
      <c r="AG370" s="24"/>
      <c r="AH370" s="24"/>
      <c r="AI370" s="28"/>
      <c r="AJ370" s="28"/>
      <c r="AK370" s="28"/>
      <c r="AL370" s="28"/>
      <c r="AM370" s="28"/>
      <c r="AN370" s="28"/>
      <c r="AO370" s="28"/>
      <c r="AP370" s="28"/>
      <c r="AQ370" s="28"/>
      <c r="AR370" s="28"/>
      <c r="AS370" s="28"/>
      <c r="AT370" s="28"/>
      <c r="AU370" s="28"/>
      <c r="AV370" s="24"/>
      <c r="AW370" s="28"/>
      <c r="AX370" s="28"/>
      <c r="AY370" s="28"/>
      <c r="AZ370" s="28"/>
      <c r="BA370" s="28"/>
      <c r="BB370" s="28"/>
      <c r="BC370" s="24"/>
      <c r="BD370" s="28"/>
      <c r="BE370" s="28"/>
      <c r="BF370" s="28"/>
      <c r="BG370" s="24"/>
      <c r="BH370" s="28"/>
      <c r="BI370" s="28"/>
      <c r="BJ370" s="28"/>
    </row>
    <row r="371" spans="1:62">
      <c r="A371" s="24"/>
      <c r="B371" s="28"/>
      <c r="C371" s="25"/>
      <c r="D371" s="26"/>
      <c r="E371" s="24"/>
      <c r="F371" s="24"/>
      <c r="G371" s="26"/>
      <c r="H371" s="26"/>
      <c r="I371" s="26"/>
      <c r="J371" s="26"/>
      <c r="K371" s="26"/>
      <c r="L371" s="26"/>
      <c r="M371" s="26"/>
      <c r="N371" s="26"/>
      <c r="P371" s="26"/>
      <c r="Q371" s="26"/>
      <c r="R371" s="25"/>
      <c r="S371" s="25"/>
      <c r="T371" s="25"/>
      <c r="U371" s="25"/>
      <c r="V371" s="24"/>
      <c r="W371" s="24"/>
      <c r="X371" s="24"/>
      <c r="Y371" s="26"/>
      <c r="Z371" s="26"/>
      <c r="AA371" s="24"/>
      <c r="AB371" s="24"/>
      <c r="AC371" s="24"/>
      <c r="AD371" s="24"/>
      <c r="AE371" s="26"/>
      <c r="AF371" s="26"/>
      <c r="AG371" s="24"/>
      <c r="AH371" s="24"/>
      <c r="AI371" s="28"/>
      <c r="AJ371" s="28"/>
      <c r="AK371" s="28"/>
      <c r="AL371" s="28"/>
      <c r="AM371" s="28"/>
      <c r="AN371" s="28"/>
      <c r="AO371" s="28"/>
      <c r="AP371" s="28"/>
      <c r="AQ371" s="28"/>
      <c r="AR371" s="28"/>
      <c r="AS371" s="28"/>
      <c r="AT371" s="28"/>
      <c r="AU371" s="28"/>
      <c r="AV371" s="24"/>
      <c r="AW371" s="28"/>
      <c r="AX371" s="28"/>
      <c r="AY371" s="28"/>
      <c r="AZ371" s="28"/>
      <c r="BA371" s="28"/>
      <c r="BB371" s="28"/>
      <c r="BC371" s="24"/>
      <c r="BD371" s="28"/>
      <c r="BE371" s="28"/>
      <c r="BF371" s="28"/>
      <c r="BG371" s="24"/>
      <c r="BH371" s="28"/>
      <c r="BI371" s="28"/>
      <c r="BJ371" s="28"/>
    </row>
    <row r="372" spans="1:62">
      <c r="A372" s="24"/>
      <c r="B372" s="28"/>
      <c r="C372" s="25"/>
      <c r="D372" s="26"/>
      <c r="E372" s="24"/>
      <c r="F372" s="24"/>
      <c r="G372" s="26"/>
      <c r="H372" s="26"/>
      <c r="I372" s="26"/>
      <c r="J372" s="26"/>
      <c r="K372" s="26"/>
      <c r="L372" s="26"/>
      <c r="M372" s="26"/>
      <c r="N372" s="26"/>
      <c r="P372" s="26"/>
      <c r="Q372" s="26"/>
      <c r="R372" s="25"/>
      <c r="S372" s="25"/>
      <c r="T372" s="25"/>
      <c r="U372" s="25"/>
      <c r="V372" s="24"/>
      <c r="W372" s="24"/>
      <c r="X372" s="24"/>
      <c r="Y372" s="26"/>
      <c r="Z372" s="26"/>
      <c r="AA372" s="24"/>
      <c r="AB372" s="24"/>
      <c r="AC372" s="24"/>
      <c r="AD372" s="24"/>
      <c r="AE372" s="26"/>
      <c r="AF372" s="26"/>
      <c r="AG372" s="24"/>
      <c r="AH372" s="24"/>
      <c r="AI372" s="28"/>
      <c r="AJ372" s="28"/>
      <c r="AK372" s="28"/>
      <c r="AL372" s="28"/>
      <c r="AM372" s="28"/>
      <c r="AN372" s="28"/>
      <c r="AO372" s="28"/>
      <c r="AP372" s="28"/>
      <c r="AQ372" s="28"/>
      <c r="AR372" s="28"/>
      <c r="AS372" s="28"/>
      <c r="AT372" s="28"/>
      <c r="AU372" s="28"/>
      <c r="AV372" s="24"/>
      <c r="AW372" s="28"/>
      <c r="AX372" s="28"/>
      <c r="AY372" s="28"/>
      <c r="AZ372" s="28"/>
      <c r="BA372" s="28"/>
      <c r="BB372" s="28"/>
      <c r="BC372" s="24"/>
      <c r="BD372" s="28"/>
      <c r="BE372" s="28"/>
      <c r="BF372" s="28"/>
      <c r="BG372" s="24"/>
      <c r="BH372" s="28"/>
      <c r="BI372" s="28"/>
      <c r="BJ372" s="28"/>
    </row>
    <row r="373" spans="1:62">
      <c r="A373" s="24"/>
      <c r="B373" s="28"/>
      <c r="C373" s="25"/>
      <c r="D373" s="26"/>
      <c r="E373" s="24"/>
      <c r="F373" s="24"/>
      <c r="G373" s="26"/>
      <c r="H373" s="26"/>
      <c r="I373" s="26"/>
      <c r="J373" s="26"/>
      <c r="K373" s="26"/>
      <c r="L373" s="26"/>
      <c r="M373" s="26"/>
      <c r="N373" s="26"/>
      <c r="P373" s="26"/>
      <c r="Q373" s="26"/>
      <c r="R373" s="25"/>
      <c r="S373" s="25"/>
      <c r="T373" s="25"/>
      <c r="U373" s="25"/>
      <c r="V373" s="24"/>
      <c r="W373" s="24"/>
      <c r="X373" s="24"/>
      <c r="Y373" s="26"/>
      <c r="Z373" s="26"/>
      <c r="AA373" s="24"/>
      <c r="AB373" s="24"/>
      <c r="AC373" s="24"/>
      <c r="AD373" s="24"/>
      <c r="AE373" s="26"/>
      <c r="AF373" s="26"/>
      <c r="AG373" s="24"/>
      <c r="AH373" s="24"/>
      <c r="AI373" s="28"/>
      <c r="AJ373" s="28"/>
      <c r="AK373" s="28"/>
      <c r="AL373" s="28"/>
      <c r="AM373" s="28"/>
      <c r="AN373" s="28"/>
      <c r="AO373" s="28"/>
      <c r="AP373" s="28"/>
      <c r="AQ373" s="28"/>
      <c r="AR373" s="28"/>
      <c r="AS373" s="28"/>
      <c r="AT373" s="28"/>
      <c r="AU373" s="28"/>
      <c r="AV373" s="24"/>
      <c r="AW373" s="28"/>
      <c r="AX373" s="28"/>
      <c r="AY373" s="28"/>
      <c r="AZ373" s="28"/>
      <c r="BA373" s="28"/>
      <c r="BB373" s="28"/>
      <c r="BC373" s="24"/>
      <c r="BD373" s="28"/>
      <c r="BE373" s="28"/>
      <c r="BF373" s="28"/>
      <c r="BG373" s="24"/>
      <c r="BH373" s="28"/>
      <c r="BI373" s="28"/>
      <c r="BJ373" s="28"/>
    </row>
    <row r="374" spans="1:62">
      <c r="A374" s="24"/>
      <c r="B374" s="28"/>
      <c r="C374" s="25"/>
      <c r="D374" s="26"/>
      <c r="E374" s="24"/>
      <c r="F374" s="24"/>
      <c r="G374" s="26"/>
      <c r="H374" s="26"/>
      <c r="I374" s="26"/>
      <c r="J374" s="26"/>
      <c r="K374" s="26"/>
      <c r="L374" s="26"/>
      <c r="M374" s="26"/>
      <c r="N374" s="26"/>
      <c r="P374" s="26"/>
      <c r="Q374" s="26"/>
      <c r="R374" s="25"/>
      <c r="S374" s="25"/>
      <c r="T374" s="25"/>
      <c r="U374" s="25"/>
      <c r="V374" s="24"/>
      <c r="W374" s="24"/>
      <c r="X374" s="24"/>
      <c r="Y374" s="26"/>
      <c r="Z374" s="26"/>
      <c r="AA374" s="24"/>
      <c r="AB374" s="24"/>
      <c r="AC374" s="24"/>
      <c r="AD374" s="24"/>
      <c r="AE374" s="26"/>
      <c r="AF374" s="26"/>
      <c r="AG374" s="24"/>
      <c r="AH374" s="24"/>
      <c r="AI374" s="28"/>
      <c r="AJ374" s="28"/>
      <c r="AK374" s="28"/>
      <c r="AL374" s="28"/>
      <c r="AM374" s="28"/>
      <c r="AN374" s="28"/>
      <c r="AO374" s="28"/>
      <c r="AP374" s="28"/>
      <c r="AQ374" s="28"/>
      <c r="AR374" s="28"/>
      <c r="AS374" s="28"/>
      <c r="AT374" s="28"/>
      <c r="AU374" s="28"/>
      <c r="AV374" s="24"/>
      <c r="AW374" s="28"/>
      <c r="AX374" s="28"/>
      <c r="AY374" s="28"/>
      <c r="AZ374" s="28"/>
      <c r="BA374" s="28"/>
      <c r="BB374" s="28"/>
      <c r="BC374" s="24"/>
      <c r="BD374" s="28"/>
      <c r="BE374" s="28"/>
      <c r="BF374" s="28"/>
      <c r="BG374" s="24"/>
      <c r="BH374" s="28"/>
      <c r="BI374" s="28"/>
      <c r="BJ374" s="28"/>
    </row>
    <row r="375" spans="1:62">
      <c r="A375" s="24"/>
      <c r="B375" s="28"/>
      <c r="C375" s="25"/>
      <c r="D375" s="26"/>
      <c r="E375" s="24"/>
      <c r="F375" s="24"/>
      <c r="G375" s="26"/>
      <c r="H375" s="26"/>
      <c r="I375" s="26"/>
      <c r="J375" s="26"/>
      <c r="K375" s="26"/>
      <c r="L375" s="26"/>
      <c r="M375" s="26"/>
      <c r="N375" s="26"/>
      <c r="P375" s="26"/>
      <c r="Q375" s="26"/>
      <c r="R375" s="25"/>
      <c r="S375" s="25"/>
      <c r="T375" s="25"/>
      <c r="U375" s="25"/>
      <c r="V375" s="24"/>
      <c r="W375" s="24"/>
      <c r="X375" s="24"/>
      <c r="Y375" s="26"/>
      <c r="Z375" s="26"/>
      <c r="AA375" s="24"/>
      <c r="AB375" s="24"/>
      <c r="AC375" s="24"/>
      <c r="AD375" s="24"/>
      <c r="AE375" s="26"/>
      <c r="AF375" s="26"/>
      <c r="AG375" s="24"/>
      <c r="AH375" s="24"/>
      <c r="AI375" s="28"/>
      <c r="AJ375" s="28"/>
      <c r="AK375" s="28"/>
      <c r="AL375" s="28"/>
      <c r="AM375" s="28"/>
      <c r="AN375" s="28"/>
      <c r="AO375" s="28"/>
      <c r="AP375" s="28"/>
      <c r="AQ375" s="28"/>
      <c r="AR375" s="28"/>
      <c r="AS375" s="28"/>
      <c r="AT375" s="28"/>
      <c r="AU375" s="28"/>
      <c r="AV375" s="24"/>
      <c r="AW375" s="28"/>
      <c r="AX375" s="28"/>
      <c r="AY375" s="28"/>
      <c r="AZ375" s="28"/>
      <c r="BA375" s="28"/>
      <c r="BB375" s="28"/>
      <c r="BC375" s="24"/>
      <c r="BD375" s="28"/>
      <c r="BE375" s="28"/>
      <c r="BF375" s="28"/>
      <c r="BG375" s="24"/>
      <c r="BH375" s="28"/>
      <c r="BI375" s="28"/>
      <c r="BJ375" s="28"/>
    </row>
    <row r="376" spans="1:62">
      <c r="A376" s="24"/>
      <c r="B376" s="28"/>
      <c r="C376" s="25"/>
      <c r="D376" s="26"/>
      <c r="E376" s="24"/>
      <c r="F376" s="24"/>
      <c r="G376" s="26"/>
      <c r="H376" s="26"/>
      <c r="I376" s="26"/>
      <c r="J376" s="26"/>
      <c r="K376" s="26"/>
      <c r="L376" s="26"/>
      <c r="M376" s="26"/>
      <c r="N376" s="26"/>
      <c r="P376" s="26"/>
      <c r="Q376" s="26"/>
      <c r="R376" s="25"/>
      <c r="S376" s="25"/>
      <c r="T376" s="25"/>
      <c r="U376" s="25"/>
      <c r="V376" s="24"/>
      <c r="W376" s="24"/>
      <c r="X376" s="24"/>
      <c r="Y376" s="26"/>
      <c r="Z376" s="26"/>
      <c r="AA376" s="24"/>
      <c r="AB376" s="24"/>
      <c r="AC376" s="24"/>
      <c r="AD376" s="24"/>
      <c r="AE376" s="26"/>
      <c r="AF376" s="26"/>
      <c r="AG376" s="24"/>
      <c r="AH376" s="24"/>
      <c r="AI376" s="28"/>
      <c r="AJ376" s="28"/>
      <c r="AK376" s="28"/>
      <c r="AL376" s="28"/>
      <c r="AM376" s="28"/>
      <c r="AN376" s="28"/>
      <c r="AO376" s="28"/>
      <c r="AP376" s="28"/>
      <c r="AQ376" s="28"/>
      <c r="AR376" s="28"/>
      <c r="AS376" s="28"/>
      <c r="AT376" s="28"/>
      <c r="AU376" s="28"/>
      <c r="AV376" s="24"/>
      <c r="AW376" s="28"/>
      <c r="AX376" s="28"/>
      <c r="AY376" s="28"/>
      <c r="AZ376" s="28"/>
      <c r="BA376" s="28"/>
      <c r="BB376" s="28"/>
      <c r="BC376" s="24"/>
      <c r="BD376" s="28"/>
      <c r="BE376" s="28"/>
      <c r="BF376" s="28"/>
      <c r="BG376" s="24"/>
      <c r="BH376" s="28"/>
      <c r="BI376" s="28"/>
      <c r="BJ376" s="28"/>
    </row>
    <row r="377" spans="1:62">
      <c r="A377" s="24"/>
      <c r="B377" s="28"/>
      <c r="C377" s="25"/>
      <c r="D377" s="26"/>
      <c r="E377" s="24"/>
      <c r="F377" s="24"/>
      <c r="G377" s="26"/>
      <c r="H377" s="26"/>
      <c r="I377" s="26"/>
      <c r="J377" s="26"/>
      <c r="K377" s="26"/>
      <c r="L377" s="26"/>
      <c r="M377" s="26"/>
      <c r="N377" s="26"/>
      <c r="P377" s="26"/>
      <c r="Q377" s="26"/>
      <c r="R377" s="25"/>
      <c r="S377" s="25"/>
      <c r="T377" s="25"/>
      <c r="U377" s="25"/>
      <c r="V377" s="24"/>
      <c r="W377" s="24"/>
      <c r="X377" s="24"/>
      <c r="Y377" s="26"/>
      <c r="Z377" s="26"/>
      <c r="AA377" s="24"/>
      <c r="AB377" s="24"/>
      <c r="AC377" s="24"/>
      <c r="AD377" s="24"/>
      <c r="AE377" s="26"/>
      <c r="AF377" s="26"/>
      <c r="AG377" s="24"/>
      <c r="AH377" s="24"/>
      <c r="AI377" s="28"/>
      <c r="AJ377" s="28"/>
      <c r="AK377" s="28"/>
      <c r="AL377" s="28"/>
      <c r="AM377" s="28"/>
      <c r="AN377" s="28"/>
      <c r="AO377" s="28"/>
      <c r="AP377" s="28"/>
      <c r="AQ377" s="28"/>
      <c r="AR377" s="28"/>
      <c r="AS377" s="28"/>
      <c r="AT377" s="28"/>
      <c r="AU377" s="28"/>
      <c r="AV377" s="24"/>
      <c r="AW377" s="28"/>
      <c r="AX377" s="28"/>
      <c r="AY377" s="28"/>
      <c r="AZ377" s="28"/>
      <c r="BA377" s="28"/>
      <c r="BB377" s="28"/>
      <c r="BC377" s="24"/>
      <c r="BD377" s="28"/>
      <c r="BE377" s="28"/>
      <c r="BF377" s="28"/>
      <c r="BG377" s="24"/>
      <c r="BH377" s="28"/>
      <c r="BI377" s="28"/>
      <c r="BJ377" s="28"/>
    </row>
    <row r="378" spans="1:62">
      <c r="A378" s="24"/>
      <c r="B378" s="28"/>
      <c r="C378" s="25"/>
      <c r="D378" s="26"/>
      <c r="E378" s="24"/>
      <c r="F378" s="24"/>
      <c r="G378" s="26"/>
      <c r="H378" s="26"/>
      <c r="I378" s="26"/>
      <c r="J378" s="26"/>
      <c r="K378" s="26"/>
      <c r="L378" s="26"/>
      <c r="M378" s="26"/>
      <c r="N378" s="26"/>
      <c r="P378" s="26"/>
      <c r="Q378" s="26"/>
      <c r="R378" s="25"/>
      <c r="S378" s="25"/>
      <c r="T378" s="25"/>
      <c r="U378" s="25"/>
      <c r="V378" s="24"/>
      <c r="W378" s="24"/>
      <c r="X378" s="24"/>
      <c r="Y378" s="26"/>
      <c r="Z378" s="26"/>
      <c r="AA378" s="24"/>
      <c r="AB378" s="24"/>
      <c r="AC378" s="24"/>
      <c r="AD378" s="24"/>
      <c r="AE378" s="26"/>
      <c r="AF378" s="26"/>
      <c r="AG378" s="24"/>
      <c r="AH378" s="24"/>
      <c r="AI378" s="28"/>
      <c r="AJ378" s="28"/>
      <c r="AK378" s="28"/>
      <c r="AL378" s="28"/>
      <c r="AM378" s="28"/>
      <c r="AN378" s="28"/>
      <c r="AO378" s="28"/>
      <c r="AP378" s="28"/>
      <c r="AQ378" s="28"/>
      <c r="AR378" s="28"/>
      <c r="AS378" s="28"/>
      <c r="AT378" s="28"/>
      <c r="AU378" s="28"/>
      <c r="AV378" s="24"/>
      <c r="AW378" s="28"/>
      <c r="AX378" s="28"/>
      <c r="AY378" s="28"/>
      <c r="AZ378" s="28"/>
      <c r="BA378" s="28"/>
      <c r="BB378" s="28"/>
      <c r="BC378" s="24"/>
      <c r="BD378" s="28"/>
      <c r="BE378" s="28"/>
      <c r="BF378" s="28"/>
      <c r="BG378" s="24"/>
      <c r="BH378" s="28"/>
      <c r="BI378" s="28"/>
      <c r="BJ378" s="28"/>
    </row>
    <row r="379" spans="1:62">
      <c r="A379" s="24"/>
      <c r="B379" s="28"/>
      <c r="C379" s="25"/>
      <c r="D379" s="26"/>
      <c r="E379" s="24"/>
      <c r="F379" s="24"/>
      <c r="G379" s="26"/>
      <c r="H379" s="26"/>
      <c r="I379" s="26"/>
      <c r="J379" s="26"/>
      <c r="K379" s="26"/>
      <c r="L379" s="26"/>
      <c r="M379" s="26"/>
      <c r="N379" s="26"/>
      <c r="P379" s="26"/>
      <c r="Q379" s="26"/>
      <c r="R379" s="25"/>
      <c r="S379" s="25"/>
      <c r="T379" s="25"/>
      <c r="U379" s="25"/>
      <c r="V379" s="24"/>
      <c r="W379" s="24"/>
      <c r="X379" s="24"/>
      <c r="Y379" s="26"/>
      <c r="Z379" s="26"/>
      <c r="AA379" s="24"/>
      <c r="AB379" s="24"/>
      <c r="AC379" s="24"/>
      <c r="AD379" s="24"/>
      <c r="AE379" s="26"/>
      <c r="AF379" s="26"/>
      <c r="AG379" s="24"/>
      <c r="AH379" s="24"/>
      <c r="AI379" s="28"/>
      <c r="AJ379" s="28"/>
      <c r="AK379" s="28"/>
      <c r="AL379" s="28"/>
      <c r="AM379" s="28"/>
      <c r="AN379" s="28"/>
      <c r="AO379" s="28"/>
      <c r="AP379" s="28"/>
      <c r="AQ379" s="28"/>
      <c r="AR379" s="28"/>
      <c r="AS379" s="28"/>
      <c r="AT379" s="28"/>
      <c r="AU379" s="28"/>
      <c r="AV379" s="24"/>
      <c r="AW379" s="28"/>
      <c r="AX379" s="28"/>
      <c r="AY379" s="28"/>
      <c r="AZ379" s="28"/>
      <c r="BA379" s="28"/>
      <c r="BB379" s="28"/>
      <c r="BC379" s="24"/>
      <c r="BD379" s="28"/>
      <c r="BE379" s="28"/>
      <c r="BF379" s="28"/>
      <c r="BG379" s="24"/>
      <c r="BH379" s="28"/>
      <c r="BI379" s="28"/>
      <c r="BJ379" s="28"/>
    </row>
    <row r="380" spans="1:62">
      <c r="A380" s="24"/>
      <c r="B380" s="28"/>
      <c r="C380" s="25"/>
      <c r="D380" s="26"/>
      <c r="E380" s="24"/>
      <c r="F380" s="24"/>
      <c r="G380" s="26"/>
      <c r="H380" s="26"/>
      <c r="I380" s="26"/>
      <c r="J380" s="26"/>
      <c r="K380" s="26"/>
      <c r="L380" s="26"/>
      <c r="M380" s="26"/>
      <c r="N380" s="26"/>
      <c r="P380" s="26"/>
      <c r="Q380" s="26"/>
      <c r="R380" s="25"/>
      <c r="S380" s="25"/>
      <c r="T380" s="25"/>
      <c r="U380" s="25"/>
      <c r="V380" s="24"/>
      <c r="W380" s="24"/>
      <c r="X380" s="24"/>
      <c r="Y380" s="26"/>
      <c r="Z380" s="26"/>
      <c r="AA380" s="24"/>
      <c r="AB380" s="24"/>
      <c r="AC380" s="24"/>
      <c r="AD380" s="24"/>
      <c r="AE380" s="26"/>
      <c r="AF380" s="26"/>
      <c r="AG380" s="24"/>
      <c r="AH380" s="24"/>
      <c r="AI380" s="28"/>
      <c r="AJ380" s="28"/>
      <c r="AK380" s="28"/>
      <c r="AL380" s="28"/>
      <c r="AM380" s="28"/>
      <c r="AN380" s="28"/>
      <c r="AO380" s="28"/>
      <c r="AP380" s="28"/>
      <c r="AQ380" s="28"/>
      <c r="AR380" s="28"/>
      <c r="AS380" s="28"/>
      <c r="AT380" s="28"/>
      <c r="AU380" s="28"/>
      <c r="AV380" s="24"/>
      <c r="AW380" s="28"/>
      <c r="AX380" s="28"/>
      <c r="AY380" s="28"/>
      <c r="AZ380" s="28"/>
      <c r="BA380" s="28"/>
      <c r="BB380" s="28"/>
      <c r="BC380" s="24"/>
      <c r="BD380" s="28"/>
      <c r="BE380" s="28"/>
      <c r="BF380" s="28"/>
      <c r="BG380" s="24"/>
      <c r="BH380" s="28"/>
      <c r="BI380" s="28"/>
      <c r="BJ380" s="28"/>
    </row>
    <row r="381" spans="1:62">
      <c r="A381" s="24"/>
      <c r="B381" s="28"/>
      <c r="C381" s="25"/>
      <c r="D381" s="26"/>
      <c r="E381" s="24"/>
      <c r="F381" s="24"/>
      <c r="G381" s="26"/>
      <c r="H381" s="26"/>
      <c r="I381" s="26"/>
      <c r="J381" s="26"/>
      <c r="K381" s="26"/>
      <c r="L381" s="26"/>
      <c r="M381" s="26"/>
      <c r="N381" s="26"/>
      <c r="P381" s="26"/>
      <c r="Q381" s="26"/>
      <c r="R381" s="25"/>
      <c r="S381" s="25"/>
      <c r="T381" s="25"/>
      <c r="U381" s="25"/>
      <c r="V381" s="24"/>
      <c r="W381" s="24"/>
      <c r="X381" s="24"/>
      <c r="Y381" s="26"/>
      <c r="Z381" s="26"/>
      <c r="AA381" s="24"/>
      <c r="AB381" s="24"/>
      <c r="AC381" s="24"/>
      <c r="AD381" s="24"/>
      <c r="AE381" s="26"/>
      <c r="AF381" s="26"/>
      <c r="AG381" s="24"/>
      <c r="AH381" s="24"/>
      <c r="AI381" s="28"/>
      <c r="AJ381" s="28"/>
      <c r="AK381" s="28"/>
      <c r="AL381" s="28"/>
      <c r="AM381" s="28"/>
      <c r="AN381" s="28"/>
      <c r="AO381" s="28"/>
      <c r="AP381" s="28"/>
      <c r="AQ381" s="28"/>
      <c r="AR381" s="28"/>
      <c r="AS381" s="28"/>
      <c r="AT381" s="28"/>
      <c r="AU381" s="28"/>
      <c r="AV381" s="24"/>
      <c r="AW381" s="28"/>
      <c r="AX381" s="28"/>
      <c r="AY381" s="28"/>
      <c r="AZ381" s="28"/>
      <c r="BA381" s="28"/>
      <c r="BB381" s="28"/>
      <c r="BC381" s="24"/>
      <c r="BD381" s="28"/>
      <c r="BE381" s="28"/>
      <c r="BF381" s="28"/>
      <c r="BG381" s="24"/>
      <c r="BH381" s="28"/>
      <c r="BI381" s="28"/>
      <c r="BJ381" s="28"/>
    </row>
    <row r="382" spans="1:62">
      <c r="A382" s="24"/>
      <c r="B382" s="28"/>
      <c r="C382" s="25"/>
      <c r="D382" s="26"/>
      <c r="E382" s="24"/>
      <c r="F382" s="24"/>
      <c r="G382" s="26"/>
      <c r="H382" s="26"/>
      <c r="I382" s="26"/>
      <c r="J382" s="26"/>
      <c r="K382" s="26"/>
      <c r="L382" s="26"/>
      <c r="M382" s="26"/>
      <c r="N382" s="26"/>
      <c r="P382" s="26"/>
      <c r="Q382" s="26"/>
      <c r="R382" s="25"/>
      <c r="S382" s="25"/>
      <c r="T382" s="25"/>
      <c r="U382" s="25"/>
      <c r="V382" s="24"/>
      <c r="W382" s="24"/>
      <c r="X382" s="24"/>
      <c r="Y382" s="26"/>
      <c r="Z382" s="26"/>
      <c r="AA382" s="24"/>
      <c r="AB382" s="24"/>
      <c r="AC382" s="24"/>
      <c r="AD382" s="24"/>
      <c r="AE382" s="26"/>
      <c r="AF382" s="26"/>
      <c r="AG382" s="24"/>
      <c r="AH382" s="24"/>
      <c r="AI382" s="28"/>
      <c r="AJ382" s="28"/>
      <c r="AK382" s="28"/>
      <c r="AL382" s="28"/>
      <c r="AM382" s="28"/>
      <c r="AN382" s="28"/>
      <c r="AO382" s="28"/>
      <c r="AP382" s="28"/>
      <c r="AQ382" s="28"/>
      <c r="AR382" s="28"/>
      <c r="AS382" s="28"/>
      <c r="AT382" s="28"/>
      <c r="AU382" s="28"/>
      <c r="AV382" s="24"/>
      <c r="AW382" s="28"/>
      <c r="AX382" s="28"/>
      <c r="AY382" s="28"/>
      <c r="AZ382" s="28"/>
      <c r="BA382" s="28"/>
      <c r="BB382" s="28"/>
      <c r="BC382" s="24"/>
      <c r="BD382" s="28"/>
      <c r="BE382" s="28"/>
      <c r="BF382" s="28"/>
      <c r="BG382" s="24"/>
      <c r="BH382" s="28"/>
      <c r="BI382" s="28"/>
      <c r="BJ382" s="28"/>
    </row>
    <row r="383" spans="1:62">
      <c r="A383" s="24"/>
      <c r="B383" s="28"/>
      <c r="C383" s="25"/>
      <c r="D383" s="26"/>
      <c r="E383" s="24"/>
      <c r="F383" s="24"/>
      <c r="G383" s="26"/>
      <c r="H383" s="26"/>
      <c r="I383" s="26"/>
      <c r="J383" s="26"/>
      <c r="K383" s="26"/>
      <c r="L383" s="26"/>
      <c r="M383" s="26"/>
      <c r="N383" s="26"/>
      <c r="P383" s="26"/>
      <c r="Q383" s="26"/>
      <c r="R383" s="25"/>
      <c r="S383" s="25"/>
      <c r="T383" s="25"/>
      <c r="U383" s="25"/>
      <c r="V383" s="24"/>
      <c r="W383" s="24"/>
      <c r="X383" s="24"/>
      <c r="Y383" s="26"/>
      <c r="Z383" s="26"/>
      <c r="AA383" s="24"/>
      <c r="AB383" s="24"/>
      <c r="AC383" s="24"/>
      <c r="AD383" s="24"/>
      <c r="AE383" s="26"/>
      <c r="AF383" s="26"/>
      <c r="AG383" s="24"/>
      <c r="AH383" s="24"/>
      <c r="AI383" s="28"/>
      <c r="AJ383" s="28"/>
      <c r="AK383" s="28"/>
      <c r="AL383" s="28"/>
      <c r="AM383" s="28"/>
      <c r="AN383" s="28"/>
      <c r="AO383" s="28"/>
      <c r="AP383" s="28"/>
      <c r="AQ383" s="28"/>
      <c r="AR383" s="28"/>
      <c r="AS383" s="28"/>
      <c r="AT383" s="28"/>
      <c r="AU383" s="28"/>
      <c r="AV383" s="24"/>
      <c r="AW383" s="28"/>
      <c r="AX383" s="28"/>
      <c r="AY383" s="28"/>
      <c r="AZ383" s="28"/>
      <c r="BA383" s="28"/>
      <c r="BB383" s="28"/>
      <c r="BC383" s="24"/>
      <c r="BD383" s="28"/>
      <c r="BE383" s="28"/>
      <c r="BF383" s="28"/>
      <c r="BG383" s="24"/>
      <c r="BH383" s="28"/>
      <c r="BI383" s="28"/>
      <c r="BJ383" s="28"/>
    </row>
    <row r="384" spans="1:62">
      <c r="A384" s="24"/>
      <c r="B384" s="28"/>
      <c r="C384" s="25"/>
      <c r="D384" s="26"/>
      <c r="E384" s="24"/>
      <c r="F384" s="24"/>
      <c r="G384" s="26"/>
      <c r="H384" s="26"/>
      <c r="I384" s="26"/>
      <c r="J384" s="26"/>
      <c r="K384" s="26"/>
      <c r="L384" s="26"/>
      <c r="M384" s="26"/>
      <c r="N384" s="26"/>
      <c r="P384" s="26"/>
      <c r="Q384" s="26"/>
      <c r="R384" s="25"/>
      <c r="S384" s="25"/>
      <c r="T384" s="25"/>
      <c r="U384" s="25"/>
      <c r="V384" s="24"/>
      <c r="W384" s="24"/>
      <c r="X384" s="24"/>
      <c r="Y384" s="26"/>
      <c r="Z384" s="26"/>
      <c r="AA384" s="24"/>
      <c r="AB384" s="24"/>
      <c r="AC384" s="24"/>
      <c r="AD384" s="24"/>
      <c r="AE384" s="26"/>
      <c r="AF384" s="26"/>
      <c r="AG384" s="24"/>
      <c r="AH384" s="24"/>
      <c r="AI384" s="28"/>
      <c r="AJ384" s="28"/>
      <c r="AK384" s="28"/>
      <c r="AL384" s="28"/>
      <c r="AM384" s="28"/>
      <c r="AN384" s="28"/>
      <c r="AO384" s="28"/>
      <c r="AP384" s="28"/>
      <c r="AQ384" s="28"/>
      <c r="AR384" s="28"/>
      <c r="AS384" s="28"/>
      <c r="AT384" s="28"/>
      <c r="AU384" s="28"/>
      <c r="AV384" s="24"/>
      <c r="AW384" s="28"/>
      <c r="AX384" s="28"/>
      <c r="AY384" s="28"/>
      <c r="AZ384" s="28"/>
      <c r="BA384" s="28"/>
      <c r="BB384" s="28"/>
      <c r="BC384" s="24"/>
      <c r="BD384" s="28"/>
      <c r="BE384" s="28"/>
      <c r="BF384" s="28"/>
      <c r="BG384" s="24"/>
      <c r="BH384" s="28"/>
      <c r="BI384" s="28"/>
      <c r="BJ384" s="28"/>
    </row>
    <row r="385" spans="1:62">
      <c r="A385" s="24"/>
      <c r="B385" s="28"/>
      <c r="C385" s="25"/>
      <c r="D385" s="26"/>
      <c r="E385" s="24"/>
      <c r="F385" s="24"/>
      <c r="G385" s="26"/>
      <c r="H385" s="26"/>
      <c r="I385" s="26"/>
      <c r="J385" s="26"/>
      <c r="K385" s="26"/>
      <c r="L385" s="26"/>
      <c r="M385" s="26"/>
      <c r="N385" s="26"/>
      <c r="P385" s="26"/>
      <c r="Q385" s="26"/>
      <c r="R385" s="25"/>
      <c r="S385" s="25"/>
      <c r="T385" s="25"/>
      <c r="U385" s="25"/>
      <c r="V385" s="24"/>
      <c r="W385" s="24"/>
      <c r="X385" s="24"/>
      <c r="Y385" s="26"/>
      <c r="Z385" s="26"/>
      <c r="AA385" s="24"/>
      <c r="AB385" s="24"/>
      <c r="AC385" s="24"/>
      <c r="AD385" s="24"/>
      <c r="AE385" s="26"/>
      <c r="AF385" s="26"/>
      <c r="AG385" s="24"/>
      <c r="AH385" s="24"/>
      <c r="AI385" s="28"/>
      <c r="AJ385" s="28"/>
      <c r="AK385" s="28"/>
      <c r="AL385" s="28"/>
      <c r="AM385" s="28"/>
      <c r="AN385" s="28"/>
      <c r="AO385" s="28"/>
      <c r="AP385" s="28"/>
      <c r="AQ385" s="28"/>
      <c r="AR385" s="28"/>
      <c r="AS385" s="28"/>
      <c r="AT385" s="28"/>
      <c r="AU385" s="28"/>
      <c r="AV385" s="24"/>
      <c r="AW385" s="28"/>
      <c r="AX385" s="28"/>
      <c r="AY385" s="28"/>
      <c r="AZ385" s="28"/>
      <c r="BA385" s="28"/>
      <c r="BB385" s="28"/>
      <c r="BC385" s="24"/>
      <c r="BD385" s="28"/>
      <c r="BE385" s="28"/>
      <c r="BF385" s="28"/>
      <c r="BG385" s="24"/>
      <c r="BH385" s="28"/>
      <c r="BI385" s="28"/>
      <c r="BJ385" s="28"/>
    </row>
    <row r="386" spans="1:62">
      <c r="A386" s="24"/>
      <c r="B386" s="28"/>
      <c r="C386" s="25"/>
      <c r="D386" s="26"/>
      <c r="E386" s="24"/>
      <c r="F386" s="24"/>
      <c r="G386" s="26"/>
      <c r="H386" s="26"/>
      <c r="I386" s="26"/>
      <c r="J386" s="26"/>
      <c r="K386" s="26"/>
      <c r="L386" s="26"/>
      <c r="M386" s="26"/>
      <c r="N386" s="26"/>
      <c r="P386" s="26"/>
      <c r="Q386" s="26"/>
      <c r="R386" s="25"/>
      <c r="S386" s="25"/>
      <c r="T386" s="25"/>
      <c r="U386" s="25"/>
      <c r="V386" s="24"/>
      <c r="W386" s="24"/>
      <c r="X386" s="24"/>
      <c r="Y386" s="26"/>
      <c r="Z386" s="26"/>
      <c r="AA386" s="24"/>
      <c r="AB386" s="24"/>
      <c r="AC386" s="24"/>
      <c r="AD386" s="24"/>
      <c r="AE386" s="26"/>
      <c r="AF386" s="26"/>
      <c r="AG386" s="24"/>
      <c r="AH386" s="24"/>
      <c r="AI386" s="28"/>
      <c r="AJ386" s="28"/>
      <c r="AK386" s="28"/>
      <c r="AL386" s="28"/>
      <c r="AM386" s="28"/>
      <c r="AN386" s="28"/>
      <c r="AO386" s="28"/>
      <c r="AP386" s="28"/>
      <c r="AQ386" s="28"/>
      <c r="AR386" s="28"/>
      <c r="AS386" s="28"/>
      <c r="AT386" s="28"/>
      <c r="AU386" s="28"/>
      <c r="AV386" s="24"/>
      <c r="AW386" s="28"/>
      <c r="AX386" s="28"/>
      <c r="AY386" s="28"/>
      <c r="AZ386" s="28"/>
      <c r="BA386" s="28"/>
      <c r="BB386" s="28"/>
      <c r="BC386" s="24"/>
      <c r="BD386" s="28"/>
      <c r="BE386" s="28"/>
      <c r="BF386" s="28"/>
      <c r="BG386" s="24"/>
      <c r="BH386" s="28"/>
      <c r="BI386" s="28"/>
      <c r="BJ386" s="28"/>
    </row>
    <row r="387" spans="1:62">
      <c r="A387" s="24"/>
      <c r="B387" s="28"/>
      <c r="C387" s="25"/>
      <c r="D387" s="26"/>
      <c r="E387" s="24"/>
      <c r="F387" s="24"/>
      <c r="G387" s="26"/>
      <c r="H387" s="26"/>
      <c r="I387" s="26"/>
      <c r="J387" s="26"/>
      <c r="K387" s="26"/>
      <c r="L387" s="26"/>
      <c r="M387" s="26"/>
      <c r="N387" s="26"/>
      <c r="P387" s="26"/>
      <c r="Q387" s="26"/>
      <c r="R387" s="25"/>
      <c r="S387" s="25"/>
      <c r="T387" s="25"/>
      <c r="U387" s="25"/>
      <c r="V387" s="24"/>
      <c r="W387" s="24"/>
      <c r="X387" s="24"/>
      <c r="Y387" s="26"/>
      <c r="Z387" s="26"/>
      <c r="AA387" s="24"/>
      <c r="AB387" s="24"/>
      <c r="AC387" s="24"/>
      <c r="AD387" s="24"/>
      <c r="AE387" s="26"/>
      <c r="AF387" s="26"/>
      <c r="AG387" s="24"/>
      <c r="AH387" s="24"/>
      <c r="AI387" s="28"/>
      <c r="AJ387" s="28"/>
      <c r="AK387" s="28"/>
      <c r="AL387" s="28"/>
      <c r="AM387" s="28"/>
      <c r="AN387" s="28"/>
      <c r="AO387" s="28"/>
      <c r="AP387" s="28"/>
      <c r="AQ387" s="28"/>
      <c r="AR387" s="28"/>
      <c r="AS387" s="28"/>
      <c r="AT387" s="28"/>
      <c r="AU387" s="28"/>
      <c r="AV387" s="24"/>
      <c r="AW387" s="28"/>
      <c r="AX387" s="28"/>
      <c r="AY387" s="28"/>
      <c r="AZ387" s="28"/>
      <c r="BA387" s="28"/>
      <c r="BB387" s="28"/>
      <c r="BC387" s="24"/>
      <c r="BD387" s="28"/>
      <c r="BE387" s="28"/>
      <c r="BF387" s="28"/>
      <c r="BG387" s="24"/>
      <c r="BH387" s="28"/>
      <c r="BI387" s="28"/>
      <c r="BJ387" s="28"/>
    </row>
    <row r="388" spans="1:62">
      <c r="A388" s="24"/>
      <c r="B388" s="28"/>
      <c r="C388" s="25"/>
      <c r="D388" s="26"/>
      <c r="E388" s="24"/>
      <c r="F388" s="24"/>
      <c r="G388" s="26"/>
      <c r="H388" s="26"/>
      <c r="I388" s="26"/>
      <c r="J388" s="26"/>
      <c r="K388" s="26"/>
      <c r="L388" s="26"/>
      <c r="M388" s="26"/>
      <c r="N388" s="26"/>
      <c r="P388" s="26"/>
      <c r="Q388" s="26"/>
      <c r="R388" s="25"/>
      <c r="S388" s="25"/>
      <c r="T388" s="25"/>
      <c r="U388" s="25"/>
      <c r="V388" s="24"/>
      <c r="W388" s="24"/>
      <c r="X388" s="24"/>
      <c r="Y388" s="26"/>
      <c r="Z388" s="26"/>
      <c r="AA388" s="24"/>
      <c r="AB388" s="24"/>
      <c r="AC388" s="24"/>
      <c r="AD388" s="24"/>
      <c r="AE388" s="26"/>
      <c r="AF388" s="26"/>
      <c r="AG388" s="24"/>
      <c r="AH388" s="24"/>
      <c r="AI388" s="28"/>
      <c r="AJ388" s="28"/>
      <c r="AK388" s="28"/>
      <c r="AL388" s="28"/>
      <c r="AM388" s="28"/>
      <c r="AN388" s="28"/>
      <c r="AO388" s="28"/>
      <c r="AP388" s="28"/>
      <c r="AQ388" s="28"/>
      <c r="AR388" s="28"/>
      <c r="AS388" s="28"/>
      <c r="AT388" s="28"/>
      <c r="AU388" s="28"/>
      <c r="AV388" s="24"/>
      <c r="AW388" s="28"/>
      <c r="AX388" s="28"/>
      <c r="AY388" s="28"/>
      <c r="AZ388" s="28"/>
      <c r="BA388" s="28"/>
      <c r="BB388" s="28"/>
      <c r="BC388" s="24"/>
      <c r="BD388" s="28"/>
      <c r="BE388" s="28"/>
      <c r="BF388" s="28"/>
      <c r="BG388" s="24"/>
      <c r="BH388" s="28"/>
      <c r="BI388" s="28"/>
      <c r="BJ388" s="28"/>
    </row>
    <row r="389" spans="1:62">
      <c r="A389" s="24"/>
      <c r="B389" s="28"/>
      <c r="C389" s="25"/>
      <c r="D389" s="26"/>
      <c r="E389" s="24"/>
      <c r="F389" s="24"/>
      <c r="G389" s="26"/>
      <c r="H389" s="26"/>
      <c r="I389" s="26"/>
      <c r="J389" s="26"/>
      <c r="K389" s="26"/>
      <c r="L389" s="26"/>
      <c r="M389" s="26"/>
      <c r="N389" s="26"/>
      <c r="P389" s="26"/>
      <c r="Q389" s="26"/>
      <c r="R389" s="25"/>
      <c r="S389" s="25"/>
      <c r="T389" s="25"/>
      <c r="U389" s="25"/>
      <c r="V389" s="24"/>
      <c r="W389" s="24"/>
      <c r="X389" s="24"/>
      <c r="Y389" s="26"/>
      <c r="Z389" s="26"/>
      <c r="AA389" s="24"/>
      <c r="AB389" s="24"/>
      <c r="AC389" s="24"/>
      <c r="AD389" s="24"/>
      <c r="AE389" s="26"/>
      <c r="AF389" s="26"/>
      <c r="AG389" s="24"/>
      <c r="AH389" s="24"/>
      <c r="AI389" s="28"/>
      <c r="AJ389" s="28"/>
      <c r="AK389" s="28"/>
      <c r="AL389" s="28"/>
      <c r="AM389" s="28"/>
      <c r="AN389" s="28"/>
      <c r="AO389" s="28"/>
      <c r="AP389" s="28"/>
      <c r="AQ389" s="28"/>
      <c r="AR389" s="28"/>
      <c r="AS389" s="28"/>
      <c r="AT389" s="28"/>
      <c r="AU389" s="28"/>
      <c r="AV389" s="24"/>
      <c r="AW389" s="28"/>
      <c r="AX389" s="28"/>
      <c r="AY389" s="28"/>
      <c r="AZ389" s="28"/>
      <c r="BA389" s="28"/>
      <c r="BB389" s="28"/>
      <c r="BC389" s="24"/>
      <c r="BD389" s="28"/>
      <c r="BE389" s="28"/>
      <c r="BF389" s="28"/>
      <c r="BG389" s="24"/>
      <c r="BH389" s="28"/>
      <c r="BI389" s="28"/>
      <c r="BJ389" s="28"/>
    </row>
    <row r="390" spans="1:62">
      <c r="A390" s="24"/>
      <c r="B390" s="28"/>
      <c r="C390" s="25"/>
      <c r="D390" s="26"/>
      <c r="E390" s="24"/>
      <c r="F390" s="24"/>
      <c r="G390" s="26"/>
      <c r="H390" s="26"/>
      <c r="I390" s="26"/>
      <c r="J390" s="26"/>
      <c r="K390" s="26"/>
      <c r="L390" s="26"/>
      <c r="M390" s="26"/>
      <c r="N390" s="26"/>
      <c r="P390" s="26"/>
      <c r="Q390" s="26"/>
      <c r="R390" s="25"/>
      <c r="S390" s="25"/>
      <c r="T390" s="25"/>
      <c r="U390" s="25"/>
      <c r="V390" s="24"/>
      <c r="W390" s="24"/>
      <c r="X390" s="24"/>
      <c r="Y390" s="26"/>
      <c r="Z390" s="26"/>
      <c r="AA390" s="24"/>
      <c r="AB390" s="24"/>
      <c r="AC390" s="24"/>
      <c r="AD390" s="24"/>
      <c r="AE390" s="26"/>
      <c r="AF390" s="26"/>
      <c r="AG390" s="24"/>
      <c r="AH390" s="24"/>
      <c r="AI390" s="28"/>
      <c r="AJ390" s="28"/>
      <c r="AK390" s="28"/>
      <c r="AL390" s="28"/>
      <c r="AM390" s="28"/>
      <c r="AN390" s="28"/>
      <c r="AO390" s="28"/>
      <c r="AP390" s="28"/>
      <c r="AQ390" s="28"/>
      <c r="AR390" s="28"/>
      <c r="AS390" s="28"/>
      <c r="AT390" s="28"/>
      <c r="AU390" s="28"/>
      <c r="AV390" s="24"/>
      <c r="AW390" s="28"/>
      <c r="AX390" s="28"/>
      <c r="AY390" s="28"/>
      <c r="AZ390" s="28"/>
      <c r="BA390" s="28"/>
      <c r="BB390" s="28"/>
      <c r="BC390" s="24"/>
      <c r="BD390" s="28"/>
      <c r="BE390" s="28"/>
      <c r="BF390" s="28"/>
      <c r="BG390" s="24"/>
      <c r="BH390" s="28"/>
      <c r="BI390" s="28"/>
      <c r="BJ390" s="28"/>
    </row>
    <row r="391" spans="1:62">
      <c r="A391" s="24"/>
      <c r="B391" s="28"/>
      <c r="C391" s="25"/>
      <c r="D391" s="26"/>
      <c r="E391" s="24"/>
      <c r="F391" s="24"/>
      <c r="G391" s="26"/>
      <c r="H391" s="26"/>
      <c r="I391" s="26"/>
      <c r="J391" s="26"/>
      <c r="K391" s="26"/>
      <c r="L391" s="26"/>
      <c r="M391" s="26"/>
      <c r="N391" s="26"/>
      <c r="P391" s="26"/>
      <c r="Q391" s="26"/>
      <c r="R391" s="25"/>
      <c r="S391" s="25"/>
      <c r="T391" s="25"/>
      <c r="U391" s="25"/>
      <c r="V391" s="24"/>
      <c r="W391" s="24"/>
      <c r="X391" s="24"/>
      <c r="Y391" s="26"/>
      <c r="Z391" s="26"/>
      <c r="AA391" s="24"/>
      <c r="AB391" s="24"/>
      <c r="AC391" s="24"/>
      <c r="AD391" s="24"/>
      <c r="AE391" s="26"/>
      <c r="AF391" s="26"/>
      <c r="AG391" s="24"/>
      <c r="AH391" s="24"/>
      <c r="AI391" s="28"/>
      <c r="AJ391" s="28"/>
      <c r="AK391" s="28"/>
      <c r="AL391" s="28"/>
      <c r="AM391" s="28"/>
      <c r="AN391" s="28"/>
      <c r="AO391" s="28"/>
      <c r="AP391" s="28"/>
      <c r="AQ391" s="28"/>
      <c r="AR391" s="28"/>
      <c r="AS391" s="28"/>
      <c r="AT391" s="28"/>
      <c r="AU391" s="28"/>
      <c r="AV391" s="24"/>
      <c r="AW391" s="28"/>
      <c r="AX391" s="28"/>
      <c r="AY391" s="28"/>
      <c r="AZ391" s="28"/>
      <c r="BA391" s="28"/>
      <c r="BB391" s="28"/>
      <c r="BC391" s="24"/>
      <c r="BD391" s="28"/>
      <c r="BE391" s="28"/>
      <c r="BF391" s="28"/>
      <c r="BG391" s="24"/>
      <c r="BH391" s="28"/>
      <c r="BI391" s="28"/>
      <c r="BJ391" s="28"/>
    </row>
    <row r="392" spans="1:62">
      <c r="A392" s="24"/>
      <c r="B392" s="28"/>
      <c r="C392" s="25"/>
      <c r="D392" s="26"/>
      <c r="E392" s="24"/>
      <c r="F392" s="24"/>
      <c r="G392" s="26"/>
      <c r="H392" s="26"/>
      <c r="I392" s="26"/>
      <c r="J392" s="26"/>
      <c r="K392" s="26"/>
      <c r="L392" s="26"/>
      <c r="M392" s="26"/>
      <c r="N392" s="26"/>
      <c r="P392" s="26"/>
      <c r="Q392" s="26"/>
      <c r="R392" s="25"/>
      <c r="S392" s="25"/>
      <c r="T392" s="25"/>
      <c r="U392" s="25"/>
      <c r="V392" s="24"/>
      <c r="W392" s="24"/>
      <c r="X392" s="24"/>
      <c r="Y392" s="26"/>
      <c r="Z392" s="26"/>
      <c r="AA392" s="24"/>
      <c r="AB392" s="24"/>
      <c r="AC392" s="24"/>
      <c r="AD392" s="24"/>
      <c r="AE392" s="26"/>
      <c r="AF392" s="26"/>
      <c r="AG392" s="24"/>
      <c r="AH392" s="24"/>
      <c r="AI392" s="28"/>
      <c r="AJ392" s="28"/>
      <c r="AK392" s="28"/>
      <c r="AL392" s="28"/>
      <c r="AM392" s="28"/>
      <c r="AN392" s="28"/>
      <c r="AO392" s="28"/>
      <c r="AP392" s="28"/>
      <c r="AQ392" s="28"/>
      <c r="AR392" s="28"/>
      <c r="AS392" s="28"/>
      <c r="AT392" s="28"/>
      <c r="AU392" s="28"/>
      <c r="AV392" s="24"/>
      <c r="AW392" s="28"/>
      <c r="AX392" s="28"/>
      <c r="AY392" s="28"/>
      <c r="AZ392" s="28"/>
      <c r="BA392" s="28"/>
      <c r="BB392" s="28"/>
      <c r="BC392" s="24"/>
      <c r="BD392" s="28"/>
      <c r="BE392" s="28"/>
      <c r="BF392" s="28"/>
      <c r="BG392" s="24"/>
      <c r="BH392" s="28"/>
      <c r="BI392" s="28"/>
      <c r="BJ392" s="28"/>
    </row>
    <row r="393" spans="1:62">
      <c r="A393" s="24"/>
      <c r="B393" s="28"/>
      <c r="C393" s="25"/>
      <c r="D393" s="26"/>
      <c r="E393" s="24"/>
      <c r="F393" s="24"/>
      <c r="G393" s="26"/>
      <c r="H393" s="26"/>
      <c r="I393" s="26"/>
      <c r="J393" s="26"/>
      <c r="K393" s="26"/>
      <c r="L393" s="26"/>
      <c r="M393" s="26"/>
      <c r="N393" s="26"/>
      <c r="P393" s="26"/>
      <c r="Q393" s="26"/>
      <c r="R393" s="25"/>
      <c r="S393" s="25"/>
      <c r="T393" s="25"/>
      <c r="U393" s="25"/>
      <c r="V393" s="24"/>
      <c r="W393" s="24"/>
      <c r="X393" s="24"/>
      <c r="Y393" s="26"/>
      <c r="Z393" s="26"/>
      <c r="AA393" s="24"/>
      <c r="AB393" s="24"/>
      <c r="AC393" s="24"/>
      <c r="AD393" s="24"/>
      <c r="AE393" s="26"/>
      <c r="AF393" s="26"/>
      <c r="AG393" s="24"/>
      <c r="AH393" s="24"/>
      <c r="AI393" s="28"/>
      <c r="AJ393" s="28"/>
      <c r="AK393" s="28"/>
      <c r="AL393" s="28"/>
      <c r="AM393" s="28"/>
      <c r="AN393" s="28"/>
      <c r="AO393" s="28"/>
      <c r="AP393" s="28"/>
      <c r="AQ393" s="28"/>
      <c r="AR393" s="28"/>
      <c r="AS393" s="28"/>
      <c r="AT393" s="28"/>
      <c r="AU393" s="28"/>
      <c r="AV393" s="24"/>
      <c r="AW393" s="28"/>
      <c r="AX393" s="28"/>
      <c r="AY393" s="28"/>
      <c r="AZ393" s="28"/>
      <c r="BA393" s="28"/>
      <c r="BB393" s="28"/>
      <c r="BC393" s="24"/>
      <c r="BD393" s="28"/>
      <c r="BE393" s="28"/>
      <c r="BF393" s="28"/>
      <c r="BG393" s="24"/>
      <c r="BH393" s="28"/>
      <c r="BI393" s="28"/>
      <c r="BJ393" s="28"/>
    </row>
    <row r="394" spans="1:62">
      <c r="A394" s="24"/>
      <c r="B394" s="28"/>
      <c r="C394" s="25"/>
      <c r="D394" s="26"/>
      <c r="E394" s="24"/>
      <c r="F394" s="24"/>
      <c r="G394" s="26"/>
      <c r="H394" s="26"/>
      <c r="I394" s="26"/>
      <c r="J394" s="26"/>
      <c r="K394" s="26"/>
      <c r="L394" s="26"/>
      <c r="M394" s="26"/>
      <c r="N394" s="26"/>
      <c r="P394" s="26"/>
      <c r="Q394" s="26"/>
      <c r="R394" s="25"/>
      <c r="S394" s="25"/>
      <c r="T394" s="25"/>
      <c r="U394" s="25"/>
      <c r="V394" s="24"/>
      <c r="W394" s="24"/>
      <c r="X394" s="24"/>
      <c r="Y394" s="26"/>
      <c r="Z394" s="26"/>
      <c r="AA394" s="24"/>
      <c r="AB394" s="24"/>
      <c r="AC394" s="24"/>
      <c r="AD394" s="24"/>
      <c r="AE394" s="26"/>
      <c r="AF394" s="26"/>
      <c r="AG394" s="24"/>
      <c r="AH394" s="24"/>
      <c r="AI394" s="28"/>
      <c r="AJ394" s="28"/>
      <c r="AK394" s="28"/>
      <c r="AL394" s="28"/>
      <c r="AM394" s="28"/>
      <c r="AN394" s="28"/>
      <c r="AO394" s="28"/>
      <c r="AP394" s="28"/>
      <c r="AQ394" s="28"/>
      <c r="AR394" s="28"/>
      <c r="AS394" s="28"/>
      <c r="AT394" s="28"/>
      <c r="AU394" s="28"/>
      <c r="AV394" s="24"/>
      <c r="AW394" s="28"/>
      <c r="AX394" s="28"/>
      <c r="AY394" s="28"/>
      <c r="AZ394" s="28"/>
      <c r="BA394" s="28"/>
      <c r="BB394" s="28"/>
      <c r="BC394" s="24"/>
      <c r="BD394" s="28"/>
      <c r="BE394" s="28"/>
      <c r="BF394" s="28"/>
      <c r="BG394" s="24"/>
      <c r="BH394" s="28"/>
      <c r="BI394" s="28"/>
      <c r="BJ394" s="28"/>
    </row>
    <row r="395" spans="1:62">
      <c r="A395" s="24"/>
      <c r="B395" s="28"/>
      <c r="C395" s="25"/>
      <c r="D395" s="26"/>
      <c r="E395" s="24"/>
      <c r="F395" s="24"/>
      <c r="G395" s="26"/>
      <c r="H395" s="26"/>
      <c r="I395" s="26"/>
      <c r="J395" s="26"/>
      <c r="K395" s="26"/>
      <c r="L395" s="26"/>
      <c r="M395" s="26"/>
      <c r="N395" s="26"/>
      <c r="P395" s="26"/>
      <c r="Q395" s="26"/>
      <c r="R395" s="25"/>
      <c r="S395" s="25"/>
      <c r="T395" s="25"/>
      <c r="U395" s="25"/>
      <c r="V395" s="24"/>
      <c r="W395" s="24"/>
      <c r="X395" s="24"/>
      <c r="Y395" s="26"/>
      <c r="Z395" s="26"/>
      <c r="AA395" s="24"/>
      <c r="AB395" s="24"/>
      <c r="AC395" s="24"/>
      <c r="AD395" s="24"/>
      <c r="AE395" s="26"/>
      <c r="AF395" s="26"/>
      <c r="AG395" s="24"/>
      <c r="AH395" s="24"/>
      <c r="AI395" s="28"/>
      <c r="AJ395" s="28"/>
      <c r="AK395" s="28"/>
      <c r="AL395" s="28"/>
      <c r="AM395" s="28"/>
      <c r="AN395" s="28"/>
      <c r="AO395" s="28"/>
      <c r="AP395" s="28"/>
      <c r="AQ395" s="28"/>
      <c r="AR395" s="28"/>
      <c r="AS395" s="28"/>
      <c r="AT395" s="28"/>
      <c r="AU395" s="28"/>
      <c r="AV395" s="24"/>
      <c r="AW395" s="28"/>
      <c r="AX395" s="28"/>
      <c r="AY395" s="28"/>
      <c r="AZ395" s="28"/>
      <c r="BA395" s="28"/>
      <c r="BB395" s="28"/>
      <c r="BC395" s="24"/>
      <c r="BD395" s="28"/>
      <c r="BE395" s="28"/>
      <c r="BF395" s="28"/>
      <c r="BG395" s="24"/>
      <c r="BH395" s="28"/>
      <c r="BI395" s="28"/>
      <c r="BJ395" s="28"/>
    </row>
    <row r="396" spans="1:62">
      <c r="A396" s="24"/>
      <c r="B396" s="28"/>
      <c r="C396" s="25"/>
      <c r="D396" s="26"/>
      <c r="E396" s="24"/>
      <c r="F396" s="24"/>
      <c r="G396" s="26"/>
      <c r="H396" s="26"/>
      <c r="I396" s="26"/>
      <c r="J396" s="26"/>
      <c r="K396" s="26"/>
      <c r="L396" s="26"/>
      <c r="M396" s="26"/>
      <c r="N396" s="26"/>
      <c r="P396" s="26"/>
      <c r="Q396" s="26"/>
      <c r="R396" s="25"/>
      <c r="S396" s="25"/>
      <c r="T396" s="25"/>
      <c r="U396" s="25"/>
      <c r="V396" s="24"/>
      <c r="W396" s="24"/>
      <c r="X396" s="24"/>
      <c r="Y396" s="26"/>
      <c r="Z396" s="26"/>
      <c r="AA396" s="24"/>
      <c r="AB396" s="24"/>
      <c r="AC396" s="24"/>
      <c r="AD396" s="24"/>
      <c r="AE396" s="26"/>
      <c r="AF396" s="26"/>
      <c r="AG396" s="24"/>
      <c r="AH396" s="24"/>
      <c r="AI396" s="28"/>
      <c r="AJ396" s="28"/>
      <c r="AK396" s="28"/>
      <c r="AL396" s="28"/>
      <c r="AM396" s="28"/>
      <c r="AN396" s="28"/>
      <c r="AO396" s="28"/>
      <c r="AP396" s="28"/>
      <c r="AQ396" s="28"/>
      <c r="AR396" s="28"/>
      <c r="AS396" s="28"/>
      <c r="AT396" s="28"/>
      <c r="AU396" s="28"/>
      <c r="AV396" s="24"/>
      <c r="AW396" s="28"/>
      <c r="AX396" s="28"/>
      <c r="AY396" s="28"/>
      <c r="AZ396" s="28"/>
      <c r="BA396" s="28"/>
      <c r="BB396" s="28"/>
      <c r="BC396" s="24"/>
      <c r="BD396" s="28"/>
      <c r="BE396" s="28"/>
      <c r="BF396" s="28"/>
      <c r="BG396" s="24"/>
      <c r="BH396" s="28"/>
      <c r="BI396" s="28"/>
      <c r="BJ396" s="28"/>
    </row>
    <row r="397" spans="1:62">
      <c r="A397" s="24"/>
      <c r="B397" s="28"/>
      <c r="C397" s="25"/>
      <c r="D397" s="26"/>
      <c r="E397" s="24"/>
      <c r="F397" s="24"/>
      <c r="G397" s="26"/>
      <c r="H397" s="26"/>
      <c r="I397" s="26"/>
      <c r="J397" s="26"/>
      <c r="K397" s="26"/>
      <c r="L397" s="26"/>
      <c r="M397" s="26"/>
      <c r="N397" s="26"/>
      <c r="P397" s="26"/>
      <c r="Q397" s="26"/>
      <c r="R397" s="25"/>
      <c r="S397" s="25"/>
      <c r="T397" s="25"/>
      <c r="U397" s="25"/>
      <c r="V397" s="24"/>
      <c r="W397" s="24"/>
      <c r="X397" s="24"/>
      <c r="Y397" s="26"/>
      <c r="Z397" s="26"/>
      <c r="AA397" s="24"/>
      <c r="AB397" s="24"/>
      <c r="AC397" s="24"/>
      <c r="AD397" s="24"/>
      <c r="AE397" s="26"/>
      <c r="AF397" s="26"/>
      <c r="AG397" s="24"/>
      <c r="AH397" s="24"/>
      <c r="AI397" s="28"/>
      <c r="AJ397" s="28"/>
      <c r="AK397" s="28"/>
      <c r="AL397" s="28"/>
      <c r="AM397" s="28"/>
      <c r="AN397" s="28"/>
      <c r="AO397" s="28"/>
      <c r="AP397" s="28"/>
      <c r="AQ397" s="28"/>
      <c r="AR397" s="28"/>
      <c r="AS397" s="28"/>
      <c r="AT397" s="28"/>
      <c r="AU397" s="28"/>
      <c r="AV397" s="24"/>
      <c r="AW397" s="28"/>
      <c r="AX397" s="28"/>
      <c r="AY397" s="28"/>
      <c r="AZ397" s="28"/>
      <c r="BA397" s="28"/>
      <c r="BB397" s="28"/>
      <c r="BC397" s="24"/>
      <c r="BD397" s="28"/>
      <c r="BE397" s="28"/>
      <c r="BF397" s="28"/>
      <c r="BG397" s="24"/>
      <c r="BH397" s="28"/>
      <c r="BI397" s="28"/>
      <c r="BJ397" s="28"/>
    </row>
    <row r="398" spans="1:62">
      <c r="A398" s="24"/>
      <c r="B398" s="28"/>
      <c r="C398" s="25"/>
      <c r="D398" s="26"/>
      <c r="E398" s="24"/>
      <c r="F398" s="24"/>
      <c r="G398" s="26"/>
      <c r="H398" s="26"/>
      <c r="I398" s="26"/>
      <c r="J398" s="26"/>
      <c r="K398" s="26"/>
      <c r="L398" s="26"/>
      <c r="M398" s="26"/>
      <c r="N398" s="26"/>
      <c r="P398" s="26"/>
      <c r="Q398" s="26"/>
      <c r="R398" s="25"/>
      <c r="S398" s="25"/>
      <c r="T398" s="25"/>
      <c r="U398" s="25"/>
      <c r="V398" s="24"/>
      <c r="W398" s="24"/>
      <c r="X398" s="24"/>
      <c r="Y398" s="26"/>
      <c r="Z398" s="26"/>
      <c r="AA398" s="24"/>
      <c r="AB398" s="24"/>
      <c r="AC398" s="24"/>
      <c r="AD398" s="24"/>
      <c r="AE398" s="26"/>
      <c r="AF398" s="26"/>
      <c r="AG398" s="24"/>
      <c r="AH398" s="24"/>
      <c r="AI398" s="28"/>
      <c r="AJ398" s="28"/>
      <c r="AK398" s="28"/>
      <c r="AL398" s="28"/>
      <c r="AM398" s="28"/>
      <c r="AN398" s="28"/>
      <c r="AO398" s="28"/>
      <c r="AP398" s="28"/>
      <c r="AQ398" s="28"/>
      <c r="AR398" s="28"/>
      <c r="AS398" s="28"/>
      <c r="AT398" s="28"/>
      <c r="AU398" s="28"/>
      <c r="AV398" s="24"/>
      <c r="AW398" s="28"/>
      <c r="AX398" s="28"/>
      <c r="AY398" s="28"/>
      <c r="AZ398" s="28"/>
      <c r="BA398" s="28"/>
      <c r="BB398" s="28"/>
      <c r="BC398" s="24"/>
      <c r="BD398" s="28"/>
      <c r="BE398" s="28"/>
      <c r="BF398" s="28"/>
      <c r="BG398" s="24"/>
      <c r="BH398" s="28"/>
      <c r="BI398" s="28"/>
      <c r="BJ398" s="28"/>
    </row>
    <row r="399" spans="1:62">
      <c r="A399" s="24"/>
      <c r="B399" s="28"/>
      <c r="C399" s="25"/>
      <c r="D399" s="26"/>
      <c r="E399" s="24"/>
      <c r="F399" s="24"/>
      <c r="G399" s="26"/>
      <c r="H399" s="26"/>
      <c r="I399" s="26"/>
      <c r="J399" s="26"/>
      <c r="K399" s="26"/>
      <c r="L399" s="26"/>
      <c r="M399" s="26"/>
      <c r="N399" s="26"/>
      <c r="P399" s="26"/>
      <c r="Q399" s="26"/>
      <c r="R399" s="25"/>
      <c r="S399" s="25"/>
      <c r="T399" s="25"/>
      <c r="U399" s="25"/>
      <c r="V399" s="24"/>
      <c r="W399" s="24"/>
      <c r="X399" s="24"/>
      <c r="Y399" s="26"/>
      <c r="Z399" s="26"/>
      <c r="AA399" s="24"/>
      <c r="AB399" s="24"/>
      <c r="AC399" s="24"/>
      <c r="AD399" s="24"/>
      <c r="AE399" s="26"/>
      <c r="AF399" s="26"/>
      <c r="AG399" s="24"/>
      <c r="AH399" s="24"/>
      <c r="AI399" s="28"/>
      <c r="AJ399" s="28"/>
      <c r="AK399" s="28"/>
      <c r="AL399" s="28"/>
      <c r="AM399" s="28"/>
      <c r="AN399" s="28"/>
      <c r="AO399" s="28"/>
      <c r="AP399" s="28"/>
      <c r="AQ399" s="28"/>
      <c r="AR399" s="28"/>
      <c r="AS399" s="28"/>
      <c r="AT399" s="28"/>
      <c r="AU399" s="28"/>
      <c r="AV399" s="24"/>
      <c r="AW399" s="28"/>
      <c r="AX399" s="28"/>
      <c r="AY399" s="28"/>
      <c r="AZ399" s="28"/>
      <c r="BA399" s="28"/>
      <c r="BB399" s="28"/>
      <c r="BC399" s="24"/>
      <c r="BD399" s="28"/>
      <c r="BE399" s="28"/>
      <c r="BF399" s="28"/>
      <c r="BG399" s="24"/>
      <c r="BH399" s="28"/>
      <c r="BI399" s="28"/>
      <c r="BJ399" s="28"/>
    </row>
    <row r="400" spans="1:62">
      <c r="A400" s="24"/>
      <c r="B400" s="28"/>
      <c r="C400" s="25"/>
      <c r="D400" s="26"/>
      <c r="E400" s="24"/>
      <c r="F400" s="24"/>
      <c r="G400" s="26"/>
      <c r="H400" s="26"/>
      <c r="I400" s="26"/>
      <c r="J400" s="26"/>
      <c r="K400" s="26"/>
      <c r="L400" s="26"/>
      <c r="M400" s="26"/>
      <c r="N400" s="26"/>
      <c r="P400" s="26"/>
      <c r="Q400" s="26"/>
      <c r="R400" s="25"/>
      <c r="S400" s="25"/>
      <c r="T400" s="25"/>
      <c r="U400" s="25"/>
      <c r="V400" s="24"/>
      <c r="W400" s="24"/>
      <c r="X400" s="24"/>
      <c r="Y400" s="26"/>
      <c r="Z400" s="26"/>
      <c r="AA400" s="24"/>
      <c r="AB400" s="24"/>
      <c r="AC400" s="24"/>
      <c r="AD400" s="24"/>
      <c r="AE400" s="26"/>
      <c r="AF400" s="26"/>
      <c r="AG400" s="24"/>
      <c r="AH400" s="24"/>
      <c r="AI400" s="28"/>
      <c r="AJ400" s="28"/>
      <c r="AK400" s="28"/>
      <c r="AL400" s="28"/>
      <c r="AM400" s="28"/>
      <c r="AN400" s="28"/>
      <c r="AO400" s="28"/>
      <c r="AP400" s="28"/>
      <c r="AQ400" s="28"/>
      <c r="AR400" s="28"/>
      <c r="AS400" s="28"/>
      <c r="AT400" s="28"/>
      <c r="AU400" s="28"/>
      <c r="AV400" s="24"/>
      <c r="AW400" s="28"/>
      <c r="AX400" s="28"/>
      <c r="AY400" s="28"/>
      <c r="AZ400" s="28"/>
      <c r="BA400" s="28"/>
      <c r="BB400" s="28"/>
      <c r="BC400" s="24"/>
      <c r="BD400" s="28"/>
      <c r="BE400" s="28"/>
      <c r="BF400" s="28"/>
      <c r="BG400" s="24"/>
      <c r="BH400" s="28"/>
      <c r="BI400" s="28"/>
      <c r="BJ400" s="28"/>
    </row>
    <row r="401" spans="1:62">
      <c r="A401" s="24"/>
      <c r="B401" s="28"/>
      <c r="C401" s="25"/>
      <c r="D401" s="26"/>
      <c r="E401" s="24"/>
      <c r="F401" s="24"/>
      <c r="G401" s="26"/>
      <c r="H401" s="26"/>
      <c r="I401" s="26"/>
      <c r="J401" s="26"/>
      <c r="K401" s="26"/>
      <c r="L401" s="26"/>
      <c r="M401" s="26"/>
      <c r="N401" s="26"/>
      <c r="P401" s="26"/>
      <c r="Q401" s="26"/>
      <c r="R401" s="25"/>
      <c r="S401" s="25"/>
      <c r="T401" s="25"/>
      <c r="U401" s="25"/>
      <c r="V401" s="24"/>
      <c r="W401" s="24"/>
      <c r="X401" s="24"/>
      <c r="Y401" s="26"/>
      <c r="Z401" s="26"/>
      <c r="AA401" s="24"/>
      <c r="AB401" s="24"/>
      <c r="AC401" s="24"/>
      <c r="AD401" s="24"/>
      <c r="AE401" s="26"/>
      <c r="AF401" s="26"/>
      <c r="AG401" s="24"/>
      <c r="AH401" s="24"/>
      <c r="AI401" s="28"/>
      <c r="AJ401" s="28"/>
      <c r="AK401" s="28"/>
      <c r="AL401" s="28"/>
      <c r="AM401" s="28"/>
      <c r="AN401" s="28"/>
      <c r="AO401" s="28"/>
      <c r="AP401" s="28"/>
      <c r="AQ401" s="28"/>
      <c r="AR401" s="28"/>
      <c r="AS401" s="28"/>
      <c r="AT401" s="28"/>
      <c r="AU401" s="28"/>
      <c r="AV401" s="24"/>
      <c r="AW401" s="28"/>
      <c r="AX401" s="28"/>
      <c r="AY401" s="28"/>
      <c r="AZ401" s="28"/>
      <c r="BA401" s="28"/>
      <c r="BB401" s="28"/>
      <c r="BC401" s="24"/>
      <c r="BD401" s="28"/>
      <c r="BE401" s="28"/>
      <c r="BF401" s="28"/>
      <c r="BG401" s="24"/>
      <c r="BH401" s="28"/>
      <c r="BI401" s="28"/>
      <c r="BJ401" s="28"/>
    </row>
    <row r="402" spans="1:62">
      <c r="A402" s="24"/>
      <c r="B402" s="28"/>
      <c r="C402" s="25"/>
      <c r="D402" s="26"/>
      <c r="E402" s="24"/>
      <c r="F402" s="24"/>
      <c r="G402" s="26"/>
      <c r="H402" s="26"/>
      <c r="I402" s="26"/>
      <c r="J402" s="26"/>
      <c r="K402" s="26"/>
      <c r="L402" s="26"/>
      <c r="M402" s="26"/>
      <c r="N402" s="26"/>
      <c r="P402" s="26"/>
      <c r="Q402" s="26"/>
      <c r="R402" s="25"/>
      <c r="S402" s="25"/>
      <c r="T402" s="25"/>
      <c r="U402" s="25"/>
      <c r="V402" s="24"/>
      <c r="W402" s="24"/>
      <c r="X402" s="24"/>
      <c r="Y402" s="26"/>
      <c r="Z402" s="26"/>
      <c r="AA402" s="24"/>
      <c r="AB402" s="24"/>
      <c r="AC402" s="24"/>
      <c r="AD402" s="24"/>
      <c r="AE402" s="26"/>
      <c r="AF402" s="26"/>
      <c r="AG402" s="24"/>
      <c r="AH402" s="24"/>
      <c r="AI402" s="28"/>
      <c r="AJ402" s="28"/>
      <c r="AK402" s="28"/>
      <c r="AL402" s="28"/>
      <c r="AM402" s="28"/>
      <c r="AN402" s="28"/>
      <c r="AO402" s="28"/>
      <c r="AP402" s="28"/>
      <c r="AQ402" s="28"/>
      <c r="AR402" s="28"/>
      <c r="AS402" s="28"/>
      <c r="AT402" s="28"/>
      <c r="AU402" s="28"/>
      <c r="AV402" s="24"/>
      <c r="AW402" s="28"/>
      <c r="AX402" s="28"/>
      <c r="AY402" s="28"/>
      <c r="AZ402" s="28"/>
      <c r="BA402" s="28"/>
      <c r="BB402" s="28"/>
      <c r="BC402" s="24"/>
      <c r="BD402" s="28"/>
      <c r="BE402" s="28"/>
      <c r="BF402" s="28"/>
      <c r="BG402" s="24"/>
      <c r="BH402" s="28"/>
      <c r="BI402" s="28"/>
      <c r="BJ402" s="28"/>
    </row>
    <row r="403" spans="1:62">
      <c r="A403" s="24"/>
      <c r="B403" s="28"/>
      <c r="C403" s="25"/>
      <c r="D403" s="26"/>
      <c r="E403" s="24"/>
      <c r="F403" s="24"/>
      <c r="G403" s="26"/>
      <c r="H403" s="26"/>
      <c r="I403" s="26"/>
      <c r="J403" s="26"/>
      <c r="K403" s="26"/>
      <c r="L403" s="26"/>
      <c r="M403" s="26"/>
      <c r="N403" s="26"/>
      <c r="P403" s="26"/>
      <c r="Q403" s="26"/>
      <c r="R403" s="25"/>
      <c r="S403" s="25"/>
      <c r="T403" s="25"/>
      <c r="U403" s="25"/>
      <c r="V403" s="24"/>
      <c r="W403" s="24"/>
      <c r="X403" s="24"/>
      <c r="Y403" s="26"/>
      <c r="Z403" s="26"/>
      <c r="AA403" s="24"/>
      <c r="AB403" s="24"/>
      <c r="AC403" s="24"/>
      <c r="AD403" s="24"/>
      <c r="AE403" s="26"/>
      <c r="AF403" s="26"/>
      <c r="AG403" s="24"/>
      <c r="AH403" s="24"/>
      <c r="AI403" s="28"/>
      <c r="AJ403" s="28"/>
      <c r="AK403" s="28"/>
      <c r="AL403" s="28"/>
      <c r="AM403" s="28"/>
      <c r="AN403" s="28"/>
      <c r="AO403" s="28"/>
      <c r="AP403" s="28"/>
      <c r="AQ403" s="28"/>
      <c r="AR403" s="28"/>
      <c r="AS403" s="28"/>
      <c r="AT403" s="28"/>
      <c r="AU403" s="28"/>
      <c r="AV403" s="24"/>
      <c r="AW403" s="28"/>
      <c r="AX403" s="28"/>
      <c r="AY403" s="28"/>
      <c r="AZ403" s="28"/>
      <c r="BA403" s="28"/>
      <c r="BB403" s="28"/>
      <c r="BC403" s="24"/>
      <c r="BD403" s="28"/>
      <c r="BE403" s="28"/>
      <c r="BF403" s="28"/>
      <c r="BG403" s="24"/>
      <c r="BH403" s="28"/>
      <c r="BI403" s="28"/>
      <c r="BJ403" s="28"/>
    </row>
    <row r="404" spans="1:62">
      <c r="A404" s="24"/>
      <c r="B404" s="28"/>
      <c r="C404" s="25"/>
      <c r="D404" s="26"/>
      <c r="E404" s="24"/>
      <c r="F404" s="24"/>
      <c r="G404" s="26"/>
      <c r="H404" s="26"/>
      <c r="I404" s="26"/>
      <c r="J404" s="26"/>
      <c r="K404" s="26"/>
      <c r="L404" s="26"/>
      <c r="M404" s="26"/>
      <c r="N404" s="26"/>
      <c r="P404" s="26"/>
      <c r="Q404" s="26"/>
      <c r="R404" s="25"/>
      <c r="S404" s="25"/>
      <c r="T404" s="25"/>
      <c r="U404" s="25"/>
      <c r="V404" s="24"/>
      <c r="W404" s="24"/>
      <c r="X404" s="24"/>
      <c r="Y404" s="26"/>
      <c r="Z404" s="26"/>
      <c r="AA404" s="24"/>
      <c r="AB404" s="24"/>
      <c r="AC404" s="24"/>
      <c r="AD404" s="24"/>
      <c r="AE404" s="26"/>
      <c r="AF404" s="26"/>
      <c r="AG404" s="24"/>
      <c r="AH404" s="24"/>
      <c r="AI404" s="28"/>
      <c r="AJ404" s="28"/>
      <c r="AK404" s="28"/>
      <c r="AL404" s="28"/>
      <c r="AM404" s="28"/>
      <c r="AN404" s="28"/>
      <c r="AO404" s="28"/>
      <c r="AP404" s="28"/>
      <c r="AQ404" s="28"/>
      <c r="AR404" s="28"/>
      <c r="AS404" s="28"/>
      <c r="AT404" s="28"/>
      <c r="AU404" s="28"/>
      <c r="AV404" s="24"/>
      <c r="AW404" s="28"/>
      <c r="AX404" s="28"/>
      <c r="AY404" s="28"/>
      <c r="AZ404" s="28"/>
      <c r="BA404" s="28"/>
      <c r="BB404" s="28"/>
      <c r="BC404" s="24"/>
      <c r="BD404" s="28"/>
      <c r="BE404" s="28"/>
      <c r="BF404" s="28"/>
      <c r="BG404" s="24"/>
      <c r="BH404" s="28"/>
      <c r="BI404" s="28"/>
      <c r="BJ404" s="28"/>
    </row>
    <row r="405" spans="1:62">
      <c r="A405" s="24"/>
      <c r="B405" s="28"/>
      <c r="C405" s="25"/>
      <c r="D405" s="26"/>
      <c r="E405" s="24"/>
      <c r="F405" s="24"/>
      <c r="G405" s="26"/>
      <c r="H405" s="26"/>
      <c r="I405" s="26"/>
      <c r="J405" s="26"/>
      <c r="K405" s="26"/>
      <c r="L405" s="26"/>
      <c r="M405" s="26"/>
      <c r="N405" s="26"/>
      <c r="P405" s="26"/>
      <c r="Q405" s="26"/>
      <c r="R405" s="25"/>
      <c r="S405" s="25"/>
      <c r="T405" s="25"/>
      <c r="U405" s="25"/>
      <c r="V405" s="24"/>
      <c r="W405" s="24"/>
      <c r="X405" s="24"/>
      <c r="Y405" s="26"/>
      <c r="Z405" s="26"/>
      <c r="AA405" s="24"/>
      <c r="AB405" s="24"/>
      <c r="AC405" s="24"/>
      <c r="AD405" s="24"/>
      <c r="AE405" s="26"/>
      <c r="AF405" s="26"/>
      <c r="AG405" s="24"/>
      <c r="AH405" s="24"/>
      <c r="AI405" s="28"/>
      <c r="AJ405" s="28"/>
      <c r="AK405" s="28"/>
      <c r="AL405" s="28"/>
      <c r="AM405" s="28"/>
      <c r="AN405" s="28"/>
      <c r="AO405" s="28"/>
      <c r="AP405" s="28"/>
      <c r="AQ405" s="28"/>
      <c r="AR405" s="28"/>
      <c r="AS405" s="28"/>
      <c r="AT405" s="28"/>
      <c r="AU405" s="28"/>
      <c r="AV405" s="24"/>
      <c r="AW405" s="28"/>
      <c r="AX405" s="28"/>
      <c r="AY405" s="28"/>
      <c r="AZ405" s="28"/>
      <c r="BA405" s="28"/>
      <c r="BB405" s="28"/>
      <c r="BC405" s="24"/>
      <c r="BD405" s="28"/>
      <c r="BE405" s="28"/>
      <c r="BF405" s="28"/>
      <c r="BG405" s="24"/>
      <c r="BH405" s="28"/>
      <c r="BI405" s="28"/>
      <c r="BJ405" s="28"/>
    </row>
    <row r="406" spans="1:62">
      <c r="A406" s="24"/>
      <c r="B406" s="28"/>
      <c r="C406" s="25"/>
      <c r="D406" s="26"/>
      <c r="E406" s="24"/>
      <c r="F406" s="24"/>
      <c r="G406" s="26"/>
      <c r="H406" s="26"/>
      <c r="I406" s="26"/>
      <c r="J406" s="26"/>
      <c r="K406" s="26"/>
      <c r="L406" s="26"/>
      <c r="M406" s="26"/>
      <c r="N406" s="26"/>
      <c r="P406" s="26"/>
      <c r="Q406" s="26"/>
      <c r="R406" s="25"/>
      <c r="S406" s="25"/>
      <c r="T406" s="25"/>
      <c r="U406" s="25"/>
      <c r="V406" s="24"/>
      <c r="W406" s="24"/>
      <c r="X406" s="24"/>
      <c r="Y406" s="26"/>
      <c r="Z406" s="26"/>
      <c r="AA406" s="24"/>
      <c r="AB406" s="24"/>
      <c r="AC406" s="24"/>
      <c r="AD406" s="24"/>
      <c r="AE406" s="26"/>
      <c r="AF406" s="26"/>
      <c r="AG406" s="24"/>
      <c r="AH406" s="24"/>
      <c r="AI406" s="28"/>
      <c r="AJ406" s="28"/>
      <c r="AK406" s="28"/>
      <c r="AL406" s="28"/>
      <c r="AM406" s="28"/>
      <c r="AN406" s="28"/>
      <c r="AO406" s="28"/>
      <c r="AP406" s="28"/>
      <c r="AQ406" s="28"/>
      <c r="AR406" s="28"/>
      <c r="AS406" s="28"/>
      <c r="AT406" s="28"/>
      <c r="AU406" s="28"/>
      <c r="AV406" s="24"/>
      <c r="AW406" s="28"/>
      <c r="AX406" s="28"/>
      <c r="AY406" s="28"/>
      <c r="AZ406" s="28"/>
      <c r="BA406" s="28"/>
      <c r="BB406" s="28"/>
      <c r="BC406" s="24"/>
      <c r="BD406" s="28"/>
      <c r="BE406" s="28"/>
      <c r="BF406" s="28"/>
      <c r="BG406" s="24"/>
      <c r="BH406" s="28"/>
      <c r="BI406" s="28"/>
      <c r="BJ406" s="28"/>
    </row>
    <row r="407" spans="1:62">
      <c r="A407" s="24"/>
      <c r="B407" s="28"/>
      <c r="C407" s="25"/>
      <c r="D407" s="26"/>
      <c r="E407" s="24"/>
      <c r="F407" s="24"/>
      <c r="G407" s="26"/>
      <c r="H407" s="26"/>
      <c r="I407" s="26"/>
      <c r="J407" s="26"/>
      <c r="K407" s="26"/>
      <c r="L407" s="26"/>
      <c r="M407" s="26"/>
      <c r="N407" s="26"/>
      <c r="P407" s="26"/>
      <c r="Q407" s="26"/>
      <c r="R407" s="25"/>
      <c r="S407" s="25"/>
      <c r="T407" s="25"/>
      <c r="U407" s="25"/>
      <c r="V407" s="24"/>
      <c r="W407" s="24"/>
      <c r="X407" s="24"/>
      <c r="Y407" s="26"/>
      <c r="Z407" s="26"/>
      <c r="AA407" s="24"/>
      <c r="AB407" s="24"/>
      <c r="AC407" s="24"/>
      <c r="AD407" s="24"/>
      <c r="AE407" s="26"/>
      <c r="AF407" s="26"/>
      <c r="AG407" s="24"/>
      <c r="AH407" s="24"/>
      <c r="AI407" s="28"/>
      <c r="AJ407" s="28"/>
      <c r="AK407" s="28"/>
      <c r="AL407" s="28"/>
      <c r="AM407" s="28"/>
      <c r="AN407" s="28"/>
      <c r="AO407" s="28"/>
      <c r="AP407" s="28"/>
      <c r="AQ407" s="28"/>
      <c r="AR407" s="28"/>
      <c r="AS407" s="28"/>
      <c r="AT407" s="28"/>
      <c r="AU407" s="28"/>
      <c r="AV407" s="24"/>
      <c r="AW407" s="28"/>
      <c r="AX407" s="28"/>
      <c r="AY407" s="28"/>
      <c r="AZ407" s="28"/>
      <c r="BA407" s="28"/>
      <c r="BB407" s="28"/>
      <c r="BC407" s="24"/>
      <c r="BD407" s="28"/>
      <c r="BE407" s="28"/>
      <c r="BF407" s="28"/>
      <c r="BG407" s="24"/>
      <c r="BH407" s="28"/>
      <c r="BI407" s="28"/>
      <c r="BJ407" s="28"/>
    </row>
    <row r="408" spans="1:62">
      <c r="A408" s="24"/>
      <c r="B408" s="28"/>
      <c r="C408" s="25"/>
      <c r="D408" s="26"/>
      <c r="E408" s="24"/>
      <c r="F408" s="24"/>
      <c r="G408" s="26"/>
      <c r="H408" s="26"/>
      <c r="I408" s="26"/>
      <c r="J408" s="26"/>
      <c r="K408" s="26"/>
      <c r="L408" s="26"/>
      <c r="M408" s="26"/>
      <c r="N408" s="26"/>
      <c r="P408" s="26"/>
      <c r="Q408" s="26"/>
      <c r="R408" s="25"/>
      <c r="S408" s="25"/>
      <c r="T408" s="25"/>
      <c r="U408" s="25"/>
      <c r="V408" s="24"/>
      <c r="W408" s="24"/>
      <c r="X408" s="24"/>
      <c r="Y408" s="26"/>
      <c r="Z408" s="26"/>
      <c r="AA408" s="24"/>
      <c r="AB408" s="24"/>
      <c r="AC408" s="24"/>
      <c r="AD408" s="24"/>
      <c r="AE408" s="26"/>
      <c r="AF408" s="26"/>
      <c r="AG408" s="24"/>
      <c r="AH408" s="24"/>
      <c r="AI408" s="28"/>
      <c r="AJ408" s="28"/>
      <c r="AK408" s="28"/>
      <c r="AL408" s="28"/>
      <c r="AM408" s="28"/>
      <c r="AN408" s="28"/>
      <c r="AO408" s="28"/>
      <c r="AP408" s="28"/>
      <c r="AQ408" s="28"/>
      <c r="AR408" s="28"/>
      <c r="AS408" s="28"/>
      <c r="AT408" s="28"/>
      <c r="AU408" s="28"/>
      <c r="AV408" s="24"/>
      <c r="AW408" s="28"/>
      <c r="AX408" s="28"/>
      <c r="AY408" s="28"/>
      <c r="AZ408" s="28"/>
      <c r="BA408" s="28"/>
      <c r="BB408" s="28"/>
      <c r="BC408" s="24"/>
      <c r="BD408" s="28"/>
      <c r="BE408" s="28"/>
      <c r="BF408" s="28"/>
      <c r="BG408" s="24"/>
      <c r="BH408" s="28"/>
      <c r="BI408" s="28"/>
      <c r="BJ408" s="28"/>
    </row>
    <row r="409" spans="1:62">
      <c r="A409" s="24"/>
      <c r="B409" s="28"/>
      <c r="C409" s="25"/>
      <c r="D409" s="26"/>
      <c r="E409" s="24"/>
      <c r="F409" s="24"/>
      <c r="G409" s="26"/>
      <c r="H409" s="26"/>
      <c r="I409" s="26"/>
      <c r="J409" s="26"/>
      <c r="K409" s="26"/>
      <c r="L409" s="26"/>
      <c r="M409" s="26"/>
      <c r="N409" s="26"/>
      <c r="P409" s="26"/>
      <c r="Q409" s="26"/>
      <c r="R409" s="25"/>
      <c r="S409" s="25"/>
      <c r="T409" s="25"/>
      <c r="U409" s="25"/>
      <c r="V409" s="24"/>
      <c r="W409" s="24"/>
      <c r="X409" s="24"/>
      <c r="Y409" s="26"/>
      <c r="Z409" s="26"/>
      <c r="AA409" s="24"/>
      <c r="AB409" s="24"/>
      <c r="AC409" s="24"/>
      <c r="AD409" s="24"/>
      <c r="AE409" s="26"/>
      <c r="AF409" s="26"/>
      <c r="AG409" s="24"/>
      <c r="AH409" s="24"/>
      <c r="AI409" s="28"/>
      <c r="AJ409" s="28"/>
      <c r="AK409" s="28"/>
      <c r="AL409" s="28"/>
      <c r="AM409" s="28"/>
      <c r="AN409" s="28"/>
      <c r="AO409" s="28"/>
      <c r="AP409" s="28"/>
      <c r="AQ409" s="28"/>
      <c r="AR409" s="28"/>
      <c r="AS409" s="28"/>
      <c r="AT409" s="28"/>
      <c r="AU409" s="28"/>
      <c r="AV409" s="24"/>
      <c r="AW409" s="28"/>
      <c r="AX409" s="28"/>
      <c r="AY409" s="28"/>
      <c r="AZ409" s="28"/>
      <c r="BA409" s="28"/>
      <c r="BB409" s="28"/>
      <c r="BC409" s="24"/>
      <c r="BD409" s="28"/>
      <c r="BE409" s="28"/>
      <c r="BF409" s="28"/>
      <c r="BG409" s="24"/>
      <c r="BH409" s="28"/>
      <c r="BI409" s="28"/>
      <c r="BJ409" s="28"/>
    </row>
    <row r="410" spans="1:62">
      <c r="A410" s="24"/>
      <c r="B410" s="28"/>
      <c r="C410" s="25"/>
      <c r="D410" s="26"/>
      <c r="E410" s="24"/>
      <c r="F410" s="24"/>
      <c r="G410" s="26"/>
      <c r="H410" s="26"/>
      <c r="I410" s="26"/>
      <c r="J410" s="26"/>
      <c r="K410" s="26"/>
      <c r="L410" s="26"/>
      <c r="M410" s="26"/>
      <c r="N410" s="26"/>
      <c r="P410" s="26"/>
      <c r="Q410" s="26"/>
      <c r="R410" s="25"/>
      <c r="S410" s="25"/>
      <c r="T410" s="25"/>
      <c r="U410" s="25"/>
      <c r="V410" s="24"/>
      <c r="W410" s="24"/>
      <c r="X410" s="24"/>
      <c r="Y410" s="26"/>
      <c r="Z410" s="26"/>
      <c r="AA410" s="24"/>
      <c r="AB410" s="24"/>
      <c r="AC410" s="24"/>
      <c r="AD410" s="24"/>
      <c r="AE410" s="26"/>
      <c r="AF410" s="26"/>
      <c r="AG410" s="24"/>
      <c r="AH410" s="24"/>
      <c r="AI410" s="28"/>
      <c r="AJ410" s="28"/>
      <c r="AK410" s="28"/>
      <c r="AL410" s="28"/>
      <c r="AM410" s="28"/>
      <c r="AN410" s="28"/>
      <c r="AO410" s="28"/>
      <c r="AP410" s="28"/>
      <c r="AQ410" s="28"/>
      <c r="AR410" s="28"/>
      <c r="AS410" s="28"/>
      <c r="AT410" s="28"/>
      <c r="AU410" s="28"/>
      <c r="AV410" s="24"/>
      <c r="AW410" s="28"/>
      <c r="AX410" s="28"/>
      <c r="AY410" s="28"/>
      <c r="AZ410" s="28"/>
      <c r="BA410" s="28"/>
      <c r="BB410" s="28"/>
      <c r="BC410" s="24"/>
      <c r="BD410" s="28"/>
      <c r="BE410" s="28"/>
      <c r="BF410" s="28"/>
      <c r="BG410" s="24"/>
      <c r="BH410" s="28"/>
      <c r="BI410" s="28"/>
      <c r="BJ410" s="28"/>
    </row>
    <row r="411" spans="1:62">
      <c r="A411" s="24"/>
      <c r="B411" s="28"/>
      <c r="C411" s="25"/>
      <c r="D411" s="26"/>
      <c r="E411" s="24"/>
      <c r="F411" s="24"/>
      <c r="G411" s="26"/>
      <c r="H411" s="26"/>
      <c r="I411" s="26"/>
      <c r="J411" s="26"/>
      <c r="K411" s="26"/>
      <c r="L411" s="26"/>
      <c r="M411" s="26"/>
      <c r="N411" s="26"/>
      <c r="P411" s="26"/>
      <c r="Q411" s="26"/>
      <c r="R411" s="25"/>
      <c r="S411" s="25"/>
      <c r="T411" s="25"/>
      <c r="U411" s="25"/>
      <c r="V411" s="24"/>
      <c r="W411" s="24"/>
      <c r="X411" s="24"/>
      <c r="Y411" s="26"/>
      <c r="Z411" s="26"/>
      <c r="AA411" s="24"/>
      <c r="AB411" s="24"/>
      <c r="AC411" s="24"/>
      <c r="AD411" s="24"/>
      <c r="AE411" s="26"/>
      <c r="AF411" s="26"/>
      <c r="AG411" s="24"/>
      <c r="AH411" s="24"/>
      <c r="AI411" s="28"/>
      <c r="AJ411" s="28"/>
      <c r="AK411" s="28"/>
      <c r="AL411" s="28"/>
      <c r="AM411" s="28"/>
      <c r="AN411" s="28"/>
      <c r="AO411" s="28"/>
      <c r="AP411" s="28"/>
      <c r="AQ411" s="28"/>
      <c r="AR411" s="28"/>
      <c r="AS411" s="28"/>
      <c r="AT411" s="28"/>
      <c r="AU411" s="28"/>
      <c r="AV411" s="24"/>
      <c r="AW411" s="28"/>
      <c r="AX411" s="28"/>
      <c r="AY411" s="28"/>
      <c r="AZ411" s="28"/>
      <c r="BA411" s="28"/>
      <c r="BB411" s="28"/>
      <c r="BC411" s="24"/>
      <c r="BD411" s="28"/>
      <c r="BE411" s="28"/>
      <c r="BF411" s="28"/>
      <c r="BG411" s="24"/>
      <c r="BH411" s="28"/>
      <c r="BI411" s="28"/>
      <c r="BJ411" s="28"/>
    </row>
    <row r="412" spans="1:62">
      <c r="A412" s="24"/>
      <c r="B412" s="28"/>
      <c r="C412" s="25"/>
      <c r="D412" s="26"/>
      <c r="E412" s="24"/>
      <c r="F412" s="24"/>
      <c r="G412" s="26"/>
      <c r="H412" s="26"/>
      <c r="I412" s="26"/>
      <c r="J412" s="26"/>
      <c r="K412" s="26"/>
      <c r="L412" s="26"/>
      <c r="M412" s="26"/>
      <c r="N412" s="26"/>
      <c r="P412" s="26"/>
      <c r="Q412" s="26"/>
      <c r="R412" s="25"/>
      <c r="S412" s="25"/>
      <c r="T412" s="25"/>
      <c r="U412" s="25"/>
      <c r="V412" s="24"/>
      <c r="W412" s="24"/>
      <c r="X412" s="24"/>
      <c r="Y412" s="26"/>
      <c r="Z412" s="26"/>
      <c r="AA412" s="24"/>
      <c r="AB412" s="24"/>
      <c r="AC412" s="24"/>
      <c r="AD412" s="24"/>
      <c r="AE412" s="26"/>
      <c r="AF412" s="26"/>
      <c r="AG412" s="24"/>
      <c r="AH412" s="24"/>
      <c r="AI412" s="28"/>
      <c r="AJ412" s="28"/>
      <c r="AK412" s="28"/>
      <c r="AL412" s="28"/>
      <c r="AM412" s="28"/>
      <c r="AN412" s="28"/>
      <c r="AO412" s="28"/>
      <c r="AP412" s="28"/>
      <c r="AQ412" s="28"/>
      <c r="AR412" s="28"/>
      <c r="AS412" s="28"/>
      <c r="AT412" s="28"/>
      <c r="AU412" s="28"/>
      <c r="AV412" s="24"/>
      <c r="AW412" s="28"/>
      <c r="AX412" s="28"/>
      <c r="AY412" s="28"/>
      <c r="AZ412" s="28"/>
      <c r="BA412" s="28"/>
      <c r="BB412" s="28"/>
      <c r="BC412" s="24"/>
      <c r="BD412" s="28"/>
      <c r="BE412" s="28"/>
      <c r="BF412" s="28"/>
      <c r="BG412" s="24"/>
      <c r="BH412" s="28"/>
      <c r="BI412" s="28"/>
      <c r="BJ412" s="28"/>
    </row>
    <row r="413" spans="1:62">
      <c r="A413" s="24"/>
      <c r="B413" s="28"/>
      <c r="C413" s="25"/>
      <c r="D413" s="26"/>
      <c r="E413" s="24"/>
      <c r="F413" s="24"/>
      <c r="G413" s="26"/>
      <c r="H413" s="26"/>
      <c r="I413" s="26"/>
      <c r="J413" s="26"/>
      <c r="K413" s="26"/>
      <c r="L413" s="26"/>
      <c r="M413" s="26"/>
      <c r="N413" s="26"/>
      <c r="P413" s="26"/>
      <c r="Q413" s="26"/>
      <c r="R413" s="25"/>
      <c r="S413" s="25"/>
      <c r="T413" s="25"/>
      <c r="U413" s="25"/>
      <c r="V413" s="24"/>
      <c r="W413" s="24"/>
      <c r="X413" s="24"/>
      <c r="Y413" s="26"/>
      <c r="Z413" s="26"/>
      <c r="AA413" s="24"/>
      <c r="AB413" s="24"/>
      <c r="AC413" s="24"/>
      <c r="AD413" s="24"/>
      <c r="AE413" s="26"/>
      <c r="AF413" s="26"/>
      <c r="AG413" s="24"/>
      <c r="AH413" s="24"/>
      <c r="AI413" s="28"/>
      <c r="AJ413" s="28"/>
      <c r="AK413" s="28"/>
      <c r="AL413" s="28"/>
      <c r="AM413" s="28"/>
      <c r="AN413" s="28"/>
      <c r="AO413" s="28"/>
      <c r="AP413" s="28"/>
      <c r="AQ413" s="28"/>
      <c r="AR413" s="28"/>
      <c r="AS413" s="28"/>
      <c r="AT413" s="28"/>
      <c r="AU413" s="28"/>
      <c r="AV413" s="24"/>
      <c r="AW413" s="28"/>
      <c r="AX413" s="28"/>
      <c r="AY413" s="28"/>
      <c r="AZ413" s="28"/>
      <c r="BA413" s="28"/>
      <c r="BB413" s="28"/>
      <c r="BC413" s="24"/>
      <c r="BD413" s="28"/>
      <c r="BE413" s="28"/>
      <c r="BF413" s="28"/>
      <c r="BG413" s="24"/>
      <c r="BH413" s="28"/>
      <c r="BI413" s="28"/>
      <c r="BJ413" s="28"/>
    </row>
    <row r="414" spans="1:62">
      <c r="A414" s="24"/>
      <c r="B414" s="28"/>
      <c r="C414" s="25"/>
      <c r="D414" s="26"/>
      <c r="E414" s="24"/>
      <c r="F414" s="24"/>
      <c r="G414" s="26"/>
      <c r="H414" s="26"/>
      <c r="I414" s="26"/>
      <c r="J414" s="26"/>
      <c r="K414" s="26"/>
      <c r="L414" s="26"/>
      <c r="M414" s="26"/>
      <c r="N414" s="26"/>
      <c r="P414" s="26"/>
      <c r="Q414" s="26"/>
      <c r="R414" s="25"/>
      <c r="S414" s="25"/>
      <c r="T414" s="25"/>
      <c r="U414" s="25"/>
      <c r="V414" s="24"/>
      <c r="W414" s="24"/>
      <c r="X414" s="24"/>
      <c r="Y414" s="26"/>
      <c r="Z414" s="26"/>
      <c r="AA414" s="24"/>
      <c r="AB414" s="24"/>
      <c r="AC414" s="24"/>
      <c r="AD414" s="24"/>
      <c r="AE414" s="26"/>
      <c r="AF414" s="26"/>
      <c r="AG414" s="24"/>
      <c r="AH414" s="24"/>
      <c r="AI414" s="28"/>
      <c r="AJ414" s="28"/>
      <c r="AK414" s="28"/>
      <c r="AL414" s="28"/>
      <c r="AM414" s="28"/>
      <c r="AN414" s="28"/>
      <c r="AO414" s="28"/>
      <c r="AP414" s="28"/>
      <c r="AQ414" s="28"/>
      <c r="AR414" s="28"/>
      <c r="AS414" s="28"/>
      <c r="AT414" s="28"/>
      <c r="AU414" s="28"/>
      <c r="AV414" s="24"/>
      <c r="AW414" s="28"/>
      <c r="AX414" s="28"/>
      <c r="AY414" s="28"/>
      <c r="AZ414" s="28"/>
      <c r="BA414" s="28"/>
      <c r="BB414" s="28"/>
      <c r="BC414" s="24"/>
      <c r="BD414" s="28"/>
      <c r="BE414" s="28"/>
      <c r="BF414" s="28"/>
      <c r="BG414" s="24"/>
      <c r="BH414" s="28"/>
      <c r="BI414" s="28"/>
      <c r="BJ414" s="28"/>
    </row>
    <row r="415" spans="1:62">
      <c r="A415" s="24"/>
      <c r="B415" s="28"/>
      <c r="C415" s="25"/>
      <c r="D415" s="26"/>
      <c r="E415" s="24"/>
      <c r="F415" s="24"/>
      <c r="G415" s="26"/>
      <c r="H415" s="26"/>
      <c r="I415" s="26"/>
      <c r="J415" s="26"/>
      <c r="K415" s="26"/>
      <c r="L415" s="26"/>
      <c r="M415" s="26"/>
      <c r="N415" s="26"/>
      <c r="P415" s="26"/>
      <c r="Q415" s="26"/>
      <c r="R415" s="25"/>
      <c r="S415" s="25"/>
      <c r="T415" s="25"/>
      <c r="U415" s="25"/>
      <c r="V415" s="24"/>
      <c r="W415" s="24"/>
      <c r="X415" s="24"/>
      <c r="Y415" s="26"/>
      <c r="Z415" s="26"/>
      <c r="AA415" s="24"/>
      <c r="AB415" s="24"/>
      <c r="AC415" s="24"/>
      <c r="AD415" s="24"/>
      <c r="AE415" s="26"/>
      <c r="AF415" s="26"/>
      <c r="AG415" s="24"/>
      <c r="AH415" s="24"/>
      <c r="AI415" s="28"/>
      <c r="AJ415" s="28"/>
      <c r="AK415" s="28"/>
      <c r="AL415" s="28"/>
      <c r="AM415" s="28"/>
      <c r="AN415" s="28"/>
      <c r="AO415" s="28"/>
      <c r="AP415" s="28"/>
      <c r="AQ415" s="28"/>
      <c r="AR415" s="28"/>
      <c r="AS415" s="28"/>
      <c r="AT415" s="28"/>
      <c r="AU415" s="28"/>
      <c r="AV415" s="24"/>
      <c r="AW415" s="28"/>
      <c r="AX415" s="28"/>
      <c r="AY415" s="28"/>
      <c r="AZ415" s="28"/>
      <c r="BA415" s="28"/>
      <c r="BB415" s="28"/>
      <c r="BC415" s="24"/>
      <c r="BD415" s="28"/>
      <c r="BE415" s="28"/>
      <c r="BF415" s="28"/>
      <c r="BG415" s="24"/>
      <c r="BH415" s="28"/>
      <c r="BI415" s="28"/>
      <c r="BJ415" s="28"/>
    </row>
    <row r="416" spans="1:62">
      <c r="A416" s="24"/>
      <c r="B416" s="28"/>
      <c r="C416" s="25"/>
      <c r="D416" s="26"/>
      <c r="E416" s="24"/>
      <c r="F416" s="24"/>
      <c r="G416" s="26"/>
      <c r="H416" s="26"/>
      <c r="I416" s="26"/>
      <c r="J416" s="26"/>
      <c r="K416" s="26"/>
      <c r="L416" s="26"/>
      <c r="M416" s="26"/>
      <c r="N416" s="26"/>
      <c r="P416" s="26"/>
      <c r="Q416" s="26"/>
      <c r="R416" s="25"/>
      <c r="S416" s="25"/>
      <c r="T416" s="25"/>
      <c r="U416" s="25"/>
      <c r="V416" s="24"/>
      <c r="W416" s="24"/>
      <c r="X416" s="24"/>
      <c r="Y416" s="26"/>
      <c r="Z416" s="26"/>
      <c r="AA416" s="24"/>
      <c r="AB416" s="24"/>
      <c r="AC416" s="24"/>
      <c r="AD416" s="24"/>
      <c r="AE416" s="26"/>
      <c r="AF416" s="26"/>
      <c r="AG416" s="24"/>
      <c r="AH416" s="24"/>
      <c r="AI416" s="28"/>
      <c r="AJ416" s="28"/>
      <c r="AK416" s="28"/>
      <c r="AL416" s="28"/>
      <c r="AM416" s="28"/>
      <c r="AN416" s="28"/>
      <c r="AO416" s="28"/>
      <c r="AP416" s="28"/>
      <c r="AQ416" s="28"/>
      <c r="AR416" s="28"/>
      <c r="AS416" s="28"/>
      <c r="AT416" s="28"/>
      <c r="AU416" s="28"/>
      <c r="AV416" s="24"/>
      <c r="AW416" s="28"/>
      <c r="AX416" s="28"/>
      <c r="AY416" s="28"/>
      <c r="AZ416" s="28"/>
      <c r="BA416" s="28"/>
      <c r="BB416" s="28"/>
      <c r="BC416" s="24"/>
      <c r="BD416" s="28"/>
      <c r="BE416" s="28"/>
      <c r="BF416" s="28"/>
      <c r="BG416" s="24"/>
      <c r="BH416" s="28"/>
      <c r="BI416" s="28"/>
      <c r="BJ416" s="28"/>
    </row>
    <row r="417" spans="1:62">
      <c r="A417" s="24"/>
      <c r="B417" s="28"/>
      <c r="C417" s="25"/>
      <c r="D417" s="26"/>
      <c r="E417" s="24"/>
      <c r="F417" s="24"/>
      <c r="G417" s="26"/>
      <c r="H417" s="26"/>
      <c r="I417" s="26"/>
      <c r="J417" s="26"/>
      <c r="K417" s="26"/>
      <c r="L417" s="26"/>
      <c r="M417" s="26"/>
      <c r="N417" s="26"/>
      <c r="P417" s="26"/>
      <c r="Q417" s="26"/>
      <c r="R417" s="25"/>
      <c r="S417" s="25"/>
      <c r="T417" s="25"/>
      <c r="U417" s="25"/>
      <c r="V417" s="24"/>
      <c r="W417" s="24"/>
      <c r="X417" s="24"/>
      <c r="Y417" s="26"/>
      <c r="Z417" s="26"/>
      <c r="AA417" s="24"/>
      <c r="AB417" s="24"/>
      <c r="AC417" s="24"/>
      <c r="AD417" s="24"/>
      <c r="AE417" s="26"/>
      <c r="AF417" s="26"/>
      <c r="AG417" s="24"/>
      <c r="AH417" s="24"/>
      <c r="AI417" s="28"/>
      <c r="AJ417" s="28"/>
      <c r="AK417" s="28"/>
      <c r="AL417" s="28"/>
      <c r="AM417" s="28"/>
      <c r="AN417" s="28"/>
      <c r="AO417" s="28"/>
      <c r="AP417" s="28"/>
      <c r="AQ417" s="28"/>
      <c r="AR417" s="28"/>
      <c r="AS417" s="28"/>
      <c r="AT417" s="28"/>
      <c r="AU417" s="28"/>
      <c r="AV417" s="24"/>
      <c r="AW417" s="28"/>
      <c r="AX417" s="28"/>
      <c r="AY417" s="28"/>
      <c r="AZ417" s="28"/>
      <c r="BA417" s="28"/>
      <c r="BB417" s="28"/>
      <c r="BC417" s="24"/>
      <c r="BD417" s="28"/>
      <c r="BE417" s="28"/>
      <c r="BF417" s="28"/>
      <c r="BG417" s="24"/>
      <c r="BH417" s="28"/>
      <c r="BI417" s="28"/>
      <c r="BJ417" s="28"/>
    </row>
    <row r="418" spans="1:62">
      <c r="A418" s="24"/>
      <c r="B418" s="28"/>
      <c r="C418" s="25"/>
      <c r="D418" s="26"/>
      <c r="E418" s="24"/>
      <c r="F418" s="24"/>
      <c r="G418" s="26"/>
      <c r="H418" s="26"/>
      <c r="I418" s="26"/>
      <c r="J418" s="26"/>
      <c r="K418" s="26"/>
      <c r="L418" s="26"/>
      <c r="M418" s="26"/>
      <c r="N418" s="26"/>
      <c r="P418" s="26"/>
      <c r="Q418" s="26"/>
      <c r="R418" s="25"/>
      <c r="S418" s="25"/>
      <c r="T418" s="25"/>
      <c r="U418" s="25"/>
      <c r="V418" s="24"/>
      <c r="W418" s="24"/>
      <c r="X418" s="24"/>
      <c r="Y418" s="26"/>
      <c r="Z418" s="26"/>
      <c r="AA418" s="24"/>
      <c r="AB418" s="24"/>
      <c r="AC418" s="24"/>
      <c r="AD418" s="24"/>
      <c r="AE418" s="26"/>
      <c r="AF418" s="26"/>
      <c r="AG418" s="24"/>
      <c r="AH418" s="24"/>
      <c r="AI418" s="28"/>
      <c r="AJ418" s="28"/>
      <c r="AK418" s="28"/>
      <c r="AL418" s="28"/>
      <c r="AM418" s="28"/>
      <c r="AN418" s="28"/>
      <c r="AO418" s="28"/>
      <c r="AP418" s="28"/>
      <c r="AQ418" s="28"/>
      <c r="AR418" s="28"/>
      <c r="AS418" s="28"/>
      <c r="AT418" s="28"/>
      <c r="AU418" s="28"/>
      <c r="AV418" s="24"/>
      <c r="AW418" s="28"/>
      <c r="AX418" s="28"/>
      <c r="AY418" s="28"/>
      <c r="AZ418" s="28"/>
      <c r="BA418" s="28"/>
      <c r="BB418" s="28"/>
      <c r="BC418" s="24"/>
      <c r="BD418" s="28"/>
      <c r="BE418" s="28"/>
      <c r="BF418" s="28"/>
      <c r="BG418" s="24"/>
      <c r="BH418" s="28"/>
      <c r="BI418" s="28"/>
      <c r="BJ418" s="28"/>
    </row>
    <row r="419" spans="1:62">
      <c r="A419" s="24"/>
      <c r="B419" s="28"/>
      <c r="C419" s="25"/>
      <c r="D419" s="26"/>
      <c r="E419" s="24"/>
      <c r="F419" s="24"/>
      <c r="G419" s="26"/>
      <c r="H419" s="26"/>
      <c r="I419" s="26"/>
      <c r="J419" s="26"/>
      <c r="K419" s="26"/>
      <c r="L419" s="26"/>
      <c r="M419" s="26"/>
      <c r="N419" s="26"/>
      <c r="P419" s="26"/>
      <c r="Q419" s="26"/>
      <c r="R419" s="25"/>
      <c r="S419" s="25"/>
      <c r="T419" s="25"/>
      <c r="U419" s="25"/>
      <c r="V419" s="24"/>
      <c r="W419" s="24"/>
      <c r="X419" s="24"/>
      <c r="Y419" s="26"/>
      <c r="Z419" s="26"/>
      <c r="AA419" s="24"/>
      <c r="AB419" s="24"/>
      <c r="AC419" s="24"/>
      <c r="AD419" s="24"/>
      <c r="AE419" s="26"/>
      <c r="AF419" s="26"/>
      <c r="AG419" s="24"/>
      <c r="AH419" s="24"/>
      <c r="AI419" s="28"/>
      <c r="AJ419" s="28"/>
      <c r="AK419" s="28"/>
      <c r="AL419" s="28"/>
      <c r="AM419" s="28"/>
      <c r="AN419" s="28"/>
      <c r="AO419" s="28"/>
      <c r="AP419" s="28"/>
      <c r="AQ419" s="28"/>
      <c r="AR419" s="28"/>
      <c r="AS419" s="28"/>
      <c r="AT419" s="28"/>
      <c r="AU419" s="28"/>
      <c r="AV419" s="24"/>
      <c r="AW419" s="28"/>
      <c r="AX419" s="28"/>
      <c r="AY419" s="28"/>
      <c r="AZ419" s="28"/>
      <c r="BA419" s="28"/>
      <c r="BB419" s="28"/>
      <c r="BC419" s="24"/>
      <c r="BD419" s="28"/>
      <c r="BE419" s="28"/>
      <c r="BF419" s="28"/>
      <c r="BG419" s="24"/>
      <c r="BH419" s="28"/>
      <c r="BI419" s="28"/>
      <c r="BJ419" s="28"/>
    </row>
    <row r="420" spans="1:62">
      <c r="A420" s="24"/>
      <c r="B420" s="28"/>
      <c r="C420" s="25"/>
      <c r="D420" s="26"/>
      <c r="E420" s="24"/>
      <c r="F420" s="24"/>
      <c r="G420" s="26"/>
      <c r="H420" s="26"/>
      <c r="I420" s="26"/>
      <c r="J420" s="26"/>
      <c r="K420" s="26"/>
      <c r="L420" s="26"/>
      <c r="M420" s="26"/>
      <c r="N420" s="26"/>
      <c r="P420" s="26"/>
      <c r="Q420" s="26"/>
      <c r="R420" s="25"/>
      <c r="S420" s="25"/>
      <c r="T420" s="25"/>
      <c r="U420" s="25"/>
      <c r="V420" s="24"/>
      <c r="W420" s="24"/>
      <c r="X420" s="24"/>
      <c r="Y420" s="26"/>
      <c r="Z420" s="26"/>
      <c r="AA420" s="24"/>
      <c r="AB420" s="24"/>
      <c r="AC420" s="24"/>
      <c r="AD420" s="24"/>
      <c r="AE420" s="26"/>
      <c r="AF420" s="26"/>
      <c r="AG420" s="24"/>
      <c r="AH420" s="24"/>
      <c r="AI420" s="28"/>
      <c r="AJ420" s="28"/>
      <c r="AK420" s="28"/>
      <c r="AL420" s="28"/>
      <c r="AM420" s="28"/>
      <c r="AN420" s="28"/>
      <c r="AO420" s="28"/>
      <c r="AP420" s="28"/>
      <c r="AQ420" s="28"/>
      <c r="AR420" s="28"/>
      <c r="AS420" s="28"/>
      <c r="AT420" s="28"/>
      <c r="AU420" s="28"/>
      <c r="AV420" s="24"/>
      <c r="AW420" s="28"/>
      <c r="AX420" s="28"/>
      <c r="AY420" s="28"/>
      <c r="AZ420" s="28"/>
      <c r="BA420" s="28"/>
      <c r="BB420" s="28"/>
      <c r="BC420" s="24"/>
      <c r="BD420" s="28"/>
      <c r="BE420" s="28"/>
      <c r="BF420" s="28"/>
      <c r="BG420" s="24"/>
      <c r="BH420" s="28"/>
      <c r="BI420" s="28"/>
      <c r="BJ420" s="28"/>
    </row>
    <row r="421" spans="1:62">
      <c r="A421" s="24"/>
      <c r="B421" s="28"/>
      <c r="C421" s="25"/>
      <c r="D421" s="26"/>
      <c r="E421" s="24"/>
      <c r="F421" s="24"/>
      <c r="G421" s="26"/>
      <c r="H421" s="26"/>
      <c r="I421" s="26"/>
      <c r="J421" s="26"/>
      <c r="K421" s="26"/>
      <c r="L421" s="26"/>
      <c r="M421" s="26"/>
      <c r="N421" s="26"/>
      <c r="P421" s="26"/>
      <c r="Q421" s="26"/>
      <c r="R421" s="25"/>
      <c r="S421" s="25"/>
      <c r="T421" s="25"/>
      <c r="U421" s="25"/>
      <c r="V421" s="24"/>
      <c r="W421" s="24"/>
      <c r="X421" s="24"/>
      <c r="Y421" s="26"/>
      <c r="Z421" s="26"/>
      <c r="AA421" s="24"/>
      <c r="AB421" s="24"/>
      <c r="AC421" s="24"/>
      <c r="AD421" s="24"/>
      <c r="AE421" s="26"/>
      <c r="AF421" s="26"/>
      <c r="AG421" s="24"/>
      <c r="AH421" s="24"/>
      <c r="AI421" s="28"/>
      <c r="AJ421" s="28"/>
      <c r="AK421" s="28"/>
      <c r="AL421" s="28"/>
      <c r="AM421" s="28"/>
      <c r="AN421" s="28"/>
      <c r="AO421" s="28"/>
      <c r="AP421" s="28"/>
      <c r="AQ421" s="28"/>
      <c r="AR421" s="28"/>
      <c r="AS421" s="28"/>
      <c r="AT421" s="28"/>
      <c r="AU421" s="28"/>
      <c r="AV421" s="24"/>
      <c r="AW421" s="28"/>
      <c r="AX421" s="28"/>
      <c r="AY421" s="28"/>
      <c r="AZ421" s="28"/>
      <c r="BA421" s="28"/>
      <c r="BB421" s="28"/>
      <c r="BC421" s="24"/>
      <c r="BD421" s="28"/>
      <c r="BE421" s="28"/>
      <c r="BF421" s="28"/>
      <c r="BG421" s="24"/>
      <c r="BH421" s="28"/>
      <c r="BI421" s="28"/>
      <c r="BJ421" s="28"/>
    </row>
    <row r="422" spans="1:62">
      <c r="A422" s="24"/>
      <c r="B422" s="28"/>
      <c r="C422" s="25"/>
      <c r="D422" s="26"/>
      <c r="E422" s="24"/>
      <c r="F422" s="24"/>
      <c r="G422" s="26"/>
      <c r="H422" s="26"/>
      <c r="I422" s="26"/>
      <c r="J422" s="26"/>
      <c r="K422" s="26"/>
      <c r="L422" s="26"/>
      <c r="M422" s="26"/>
      <c r="N422" s="26"/>
      <c r="P422" s="26"/>
      <c r="Q422" s="26"/>
      <c r="R422" s="25"/>
      <c r="S422" s="25"/>
      <c r="T422" s="25"/>
      <c r="U422" s="25"/>
      <c r="V422" s="24"/>
      <c r="W422" s="24"/>
      <c r="X422" s="24"/>
      <c r="Y422" s="26"/>
      <c r="Z422" s="26"/>
      <c r="AA422" s="24"/>
      <c r="AB422" s="24"/>
      <c r="AC422" s="24"/>
      <c r="AD422" s="24"/>
      <c r="AE422" s="26"/>
      <c r="AF422" s="26"/>
      <c r="AG422" s="24"/>
      <c r="AH422" s="24"/>
      <c r="AI422" s="28"/>
      <c r="AJ422" s="28"/>
      <c r="AK422" s="28"/>
      <c r="AL422" s="28"/>
      <c r="AM422" s="28"/>
      <c r="AN422" s="28"/>
      <c r="AO422" s="28"/>
      <c r="AP422" s="28"/>
      <c r="AQ422" s="28"/>
      <c r="AR422" s="28"/>
      <c r="AS422" s="28"/>
      <c r="AT422" s="28"/>
      <c r="AU422" s="28"/>
      <c r="AV422" s="24"/>
      <c r="AW422" s="28"/>
      <c r="AX422" s="28"/>
      <c r="AY422" s="28"/>
      <c r="AZ422" s="28"/>
      <c r="BA422" s="28"/>
      <c r="BB422" s="28"/>
      <c r="BC422" s="24"/>
      <c r="BD422" s="28"/>
      <c r="BE422" s="28"/>
      <c r="BF422" s="28"/>
      <c r="BG422" s="24"/>
      <c r="BH422" s="28"/>
      <c r="BI422" s="28"/>
      <c r="BJ422" s="28"/>
    </row>
    <row r="423" spans="1:62">
      <c r="A423" s="24"/>
      <c r="B423" s="28"/>
      <c r="C423" s="25"/>
      <c r="D423" s="26"/>
      <c r="E423" s="24"/>
      <c r="F423" s="24"/>
      <c r="G423" s="26"/>
      <c r="H423" s="26"/>
      <c r="I423" s="26"/>
      <c r="J423" s="26"/>
      <c r="K423" s="26"/>
      <c r="L423" s="26"/>
      <c r="M423" s="26"/>
      <c r="N423" s="26"/>
      <c r="P423" s="26"/>
      <c r="Q423" s="26"/>
      <c r="R423" s="25"/>
      <c r="S423" s="25"/>
      <c r="T423" s="25"/>
      <c r="U423" s="25"/>
      <c r="V423" s="24"/>
      <c r="W423" s="24"/>
      <c r="X423" s="24"/>
      <c r="Y423" s="26"/>
      <c r="Z423" s="26"/>
      <c r="AA423" s="24"/>
      <c r="AB423" s="24"/>
      <c r="AC423" s="24"/>
      <c r="AD423" s="24"/>
      <c r="AE423" s="26"/>
      <c r="AF423" s="26"/>
      <c r="AG423" s="24"/>
      <c r="AH423" s="24"/>
      <c r="AI423" s="28"/>
      <c r="AJ423" s="28"/>
      <c r="AK423" s="28"/>
      <c r="AL423" s="28"/>
      <c r="AM423" s="28"/>
      <c r="AN423" s="28"/>
      <c r="AO423" s="28"/>
      <c r="AP423" s="28"/>
      <c r="AQ423" s="28"/>
      <c r="AR423" s="28"/>
      <c r="AS423" s="28"/>
      <c r="AT423" s="28"/>
      <c r="AU423" s="28"/>
      <c r="AV423" s="24"/>
      <c r="AW423" s="28"/>
      <c r="AX423" s="28"/>
      <c r="AY423" s="28"/>
      <c r="AZ423" s="28"/>
      <c r="BA423" s="28"/>
      <c r="BB423" s="28"/>
      <c r="BC423" s="24"/>
      <c r="BD423" s="28"/>
      <c r="BE423" s="28"/>
      <c r="BF423" s="28"/>
      <c r="BG423" s="24"/>
      <c r="BH423" s="28"/>
      <c r="BI423" s="28"/>
      <c r="BJ423" s="28"/>
    </row>
    <row r="424" spans="1:62">
      <c r="A424" s="24"/>
      <c r="B424" s="28"/>
      <c r="C424" s="25"/>
      <c r="D424" s="26"/>
      <c r="E424" s="24"/>
      <c r="F424" s="24"/>
      <c r="G424" s="26"/>
      <c r="H424" s="26"/>
      <c r="I424" s="26"/>
      <c r="J424" s="26"/>
      <c r="K424" s="26"/>
      <c r="L424" s="26"/>
      <c r="M424" s="26"/>
      <c r="N424" s="26"/>
      <c r="P424" s="26"/>
      <c r="Q424" s="26"/>
      <c r="R424" s="25"/>
      <c r="S424" s="25"/>
      <c r="T424" s="25"/>
      <c r="U424" s="25"/>
      <c r="V424" s="24"/>
      <c r="W424" s="24"/>
      <c r="X424" s="24"/>
      <c r="Y424" s="26"/>
      <c r="Z424" s="26"/>
      <c r="AA424" s="24"/>
      <c r="AB424" s="24"/>
      <c r="AC424" s="24"/>
      <c r="AD424" s="24"/>
      <c r="AE424" s="26"/>
      <c r="AF424" s="26"/>
      <c r="AG424" s="24"/>
      <c r="AH424" s="24"/>
      <c r="AI424" s="28"/>
      <c r="AJ424" s="28"/>
      <c r="AK424" s="28"/>
      <c r="AL424" s="28"/>
      <c r="AM424" s="28"/>
      <c r="AN424" s="28"/>
      <c r="AO424" s="28"/>
      <c r="AP424" s="28"/>
      <c r="AQ424" s="28"/>
      <c r="AR424" s="28"/>
      <c r="AS424" s="28"/>
      <c r="AT424" s="28"/>
      <c r="AU424" s="28"/>
      <c r="AV424" s="24"/>
      <c r="AW424" s="28"/>
      <c r="AX424" s="28"/>
      <c r="AY424" s="28"/>
      <c r="AZ424" s="28"/>
      <c r="BA424" s="28"/>
      <c r="BB424" s="28"/>
      <c r="BC424" s="24"/>
      <c r="BD424" s="28"/>
      <c r="BE424" s="28"/>
      <c r="BF424" s="28"/>
      <c r="BG424" s="24"/>
      <c r="BH424" s="28"/>
      <c r="BI424" s="28"/>
      <c r="BJ424" s="28"/>
    </row>
    <row r="425" spans="1:62">
      <c r="A425" s="24"/>
      <c r="B425" s="28"/>
      <c r="C425" s="25"/>
      <c r="D425" s="26"/>
      <c r="E425" s="24"/>
      <c r="F425" s="24"/>
      <c r="G425" s="26"/>
      <c r="H425" s="26"/>
      <c r="I425" s="26"/>
      <c r="J425" s="26"/>
      <c r="K425" s="26"/>
      <c r="L425" s="26"/>
      <c r="M425" s="26"/>
      <c r="N425" s="26"/>
      <c r="P425" s="26"/>
      <c r="Q425" s="26"/>
      <c r="R425" s="25"/>
      <c r="S425" s="25"/>
      <c r="T425" s="25"/>
      <c r="U425" s="25"/>
      <c r="V425" s="24"/>
      <c r="W425" s="24"/>
      <c r="X425" s="24"/>
      <c r="Y425" s="26"/>
      <c r="Z425" s="26"/>
      <c r="AA425" s="24"/>
      <c r="AB425" s="24"/>
      <c r="AC425" s="24"/>
      <c r="AD425" s="24"/>
      <c r="AE425" s="26"/>
      <c r="AF425" s="26"/>
      <c r="AG425" s="24"/>
      <c r="AH425" s="24"/>
      <c r="AI425" s="28"/>
      <c r="AJ425" s="28"/>
      <c r="AK425" s="28"/>
      <c r="AL425" s="28"/>
      <c r="AM425" s="28"/>
      <c r="AN425" s="28"/>
      <c r="AO425" s="28"/>
      <c r="AP425" s="28"/>
      <c r="AQ425" s="28"/>
      <c r="AR425" s="28"/>
      <c r="AS425" s="28"/>
      <c r="AT425" s="28"/>
      <c r="AU425" s="28"/>
      <c r="AV425" s="24"/>
      <c r="AW425" s="28"/>
      <c r="AX425" s="28"/>
      <c r="AY425" s="28"/>
      <c r="AZ425" s="28"/>
      <c r="BA425" s="28"/>
      <c r="BB425" s="28"/>
      <c r="BC425" s="24"/>
      <c r="BD425" s="28"/>
      <c r="BE425" s="28"/>
      <c r="BF425" s="28"/>
      <c r="BG425" s="24"/>
      <c r="BH425" s="28"/>
      <c r="BI425" s="28"/>
      <c r="BJ425" s="28"/>
    </row>
    <row r="426" spans="1:62">
      <c r="A426" s="24"/>
      <c r="B426" s="28"/>
      <c r="C426" s="25"/>
      <c r="D426" s="26"/>
      <c r="E426" s="24"/>
      <c r="F426" s="24"/>
      <c r="G426" s="26"/>
      <c r="H426" s="26"/>
      <c r="I426" s="26"/>
      <c r="J426" s="26"/>
      <c r="K426" s="26"/>
      <c r="L426" s="26"/>
      <c r="M426" s="26"/>
      <c r="N426" s="26"/>
      <c r="P426" s="26"/>
      <c r="Q426" s="26"/>
      <c r="R426" s="25"/>
      <c r="S426" s="25"/>
      <c r="T426" s="25"/>
      <c r="U426" s="25"/>
      <c r="V426" s="24"/>
      <c r="W426" s="24"/>
      <c r="X426" s="24"/>
      <c r="Y426" s="26"/>
      <c r="Z426" s="26"/>
      <c r="AA426" s="24"/>
      <c r="AB426" s="24"/>
      <c r="AC426" s="24"/>
      <c r="AD426" s="24"/>
      <c r="AE426" s="26"/>
      <c r="AF426" s="26"/>
      <c r="AG426" s="24"/>
      <c r="AH426" s="24"/>
      <c r="AI426" s="28"/>
      <c r="AJ426" s="28"/>
      <c r="AK426" s="28"/>
      <c r="AL426" s="28"/>
      <c r="AM426" s="28"/>
      <c r="AN426" s="28"/>
      <c r="AO426" s="28"/>
      <c r="AP426" s="28"/>
      <c r="AQ426" s="28"/>
      <c r="AR426" s="28"/>
      <c r="AS426" s="28"/>
      <c r="AT426" s="28"/>
      <c r="AU426" s="28"/>
      <c r="AV426" s="24"/>
      <c r="AW426" s="28"/>
      <c r="AX426" s="28"/>
      <c r="AY426" s="28"/>
      <c r="AZ426" s="28"/>
      <c r="BA426" s="28"/>
      <c r="BB426" s="28"/>
      <c r="BC426" s="24"/>
      <c r="BD426" s="28"/>
      <c r="BE426" s="28"/>
      <c r="BF426" s="28"/>
      <c r="BG426" s="24"/>
      <c r="BH426" s="28"/>
      <c r="BI426" s="28"/>
      <c r="BJ426" s="28"/>
    </row>
    <row r="427" spans="1:62">
      <c r="A427" s="24"/>
      <c r="B427" s="28"/>
      <c r="C427" s="25"/>
      <c r="D427" s="26"/>
      <c r="E427" s="24"/>
      <c r="F427" s="24"/>
      <c r="G427" s="26"/>
      <c r="H427" s="26"/>
      <c r="I427" s="26"/>
      <c r="J427" s="26"/>
      <c r="K427" s="26"/>
      <c r="L427" s="26"/>
      <c r="M427" s="26"/>
      <c r="N427" s="26"/>
      <c r="P427" s="26"/>
      <c r="Q427" s="26"/>
      <c r="R427" s="25"/>
      <c r="S427" s="25"/>
      <c r="T427" s="25"/>
      <c r="U427" s="25"/>
      <c r="V427" s="24"/>
      <c r="W427" s="24"/>
      <c r="X427" s="24"/>
      <c r="Y427" s="26"/>
      <c r="Z427" s="26"/>
      <c r="AA427" s="24"/>
      <c r="AB427" s="24"/>
      <c r="AC427" s="24"/>
      <c r="AD427" s="24"/>
      <c r="AE427" s="26"/>
      <c r="AF427" s="26"/>
      <c r="AG427" s="24"/>
      <c r="AH427" s="24"/>
      <c r="AI427" s="28"/>
      <c r="AJ427" s="28"/>
      <c r="AK427" s="28"/>
      <c r="AL427" s="28"/>
      <c r="AM427" s="28"/>
      <c r="AN427" s="28"/>
      <c r="AO427" s="28"/>
      <c r="AP427" s="28"/>
      <c r="AQ427" s="28"/>
      <c r="AR427" s="28"/>
      <c r="AS427" s="28"/>
      <c r="AT427" s="28"/>
      <c r="AU427" s="28"/>
      <c r="AV427" s="24"/>
      <c r="AW427" s="28"/>
      <c r="AX427" s="28"/>
      <c r="AY427" s="28"/>
      <c r="AZ427" s="28"/>
      <c r="BA427" s="28"/>
      <c r="BB427" s="28"/>
      <c r="BC427" s="24"/>
      <c r="BD427" s="28"/>
      <c r="BE427" s="28"/>
      <c r="BF427" s="28"/>
      <c r="BG427" s="24"/>
      <c r="BH427" s="28"/>
      <c r="BI427" s="28"/>
      <c r="BJ427" s="28"/>
    </row>
    <row r="428" spans="1:62">
      <c r="A428" s="24"/>
      <c r="B428" s="28"/>
      <c r="C428" s="25"/>
      <c r="D428" s="26"/>
      <c r="E428" s="24"/>
      <c r="F428" s="24"/>
      <c r="G428" s="26"/>
      <c r="H428" s="26"/>
      <c r="I428" s="26"/>
      <c r="J428" s="26"/>
      <c r="K428" s="26"/>
      <c r="L428" s="26"/>
      <c r="M428" s="26"/>
      <c r="N428" s="26"/>
      <c r="P428" s="26"/>
      <c r="Q428" s="26"/>
      <c r="R428" s="25"/>
      <c r="S428" s="25"/>
      <c r="T428" s="25"/>
      <c r="U428" s="25"/>
      <c r="V428" s="24"/>
      <c r="W428" s="24"/>
      <c r="X428" s="24"/>
      <c r="Y428" s="26"/>
      <c r="Z428" s="26"/>
      <c r="AA428" s="24"/>
      <c r="AB428" s="24"/>
      <c r="AC428" s="24"/>
      <c r="AD428" s="24"/>
      <c r="AE428" s="26"/>
      <c r="AF428" s="26"/>
      <c r="AG428" s="24"/>
      <c r="AH428" s="24"/>
      <c r="AI428" s="28"/>
      <c r="AJ428" s="28"/>
      <c r="AK428" s="28"/>
      <c r="AL428" s="28"/>
      <c r="AM428" s="28"/>
      <c r="AN428" s="28"/>
      <c r="AO428" s="28"/>
      <c r="AP428" s="28"/>
      <c r="AQ428" s="28"/>
      <c r="AR428" s="28"/>
      <c r="AS428" s="28"/>
      <c r="AT428" s="28"/>
      <c r="AU428" s="28"/>
      <c r="AV428" s="24"/>
      <c r="AW428" s="28"/>
      <c r="AX428" s="28"/>
      <c r="AY428" s="28"/>
      <c r="AZ428" s="28"/>
      <c r="BA428" s="28"/>
      <c r="BB428" s="28"/>
      <c r="BC428" s="24"/>
      <c r="BD428" s="28"/>
      <c r="BE428" s="28"/>
      <c r="BF428" s="28"/>
      <c r="BG428" s="24"/>
      <c r="BH428" s="28"/>
      <c r="BI428" s="28"/>
      <c r="BJ428" s="28"/>
    </row>
    <row r="429" spans="1:62">
      <c r="A429" s="24"/>
      <c r="B429" s="28"/>
      <c r="C429" s="25"/>
      <c r="D429" s="26"/>
      <c r="E429" s="24"/>
      <c r="F429" s="24"/>
      <c r="G429" s="26"/>
      <c r="H429" s="26"/>
      <c r="I429" s="26"/>
      <c r="J429" s="26"/>
      <c r="K429" s="26"/>
      <c r="L429" s="26"/>
      <c r="M429" s="26"/>
      <c r="N429" s="26"/>
      <c r="P429" s="26"/>
      <c r="Q429" s="26"/>
      <c r="R429" s="25"/>
      <c r="S429" s="25"/>
      <c r="T429" s="25"/>
      <c r="U429" s="25"/>
      <c r="V429" s="24"/>
      <c r="W429" s="24"/>
      <c r="X429" s="24"/>
      <c r="Y429" s="26"/>
      <c r="Z429" s="26"/>
      <c r="AA429" s="24"/>
      <c r="AB429" s="24"/>
      <c r="AC429" s="24"/>
      <c r="AD429" s="24"/>
      <c r="AE429" s="26"/>
      <c r="AF429" s="26"/>
      <c r="AG429" s="24"/>
      <c r="AH429" s="24"/>
      <c r="AI429" s="28"/>
      <c r="AJ429" s="28"/>
      <c r="AK429" s="28"/>
      <c r="AL429" s="28"/>
      <c r="AM429" s="28"/>
      <c r="AN429" s="28"/>
      <c r="AO429" s="28"/>
      <c r="AP429" s="28"/>
      <c r="AQ429" s="28"/>
      <c r="AR429" s="28"/>
      <c r="AS429" s="28"/>
      <c r="AT429" s="28"/>
      <c r="AU429" s="28"/>
      <c r="AV429" s="24"/>
      <c r="AW429" s="28"/>
      <c r="AX429" s="28"/>
      <c r="AY429" s="28"/>
      <c r="AZ429" s="28"/>
      <c r="BA429" s="28"/>
      <c r="BB429" s="28"/>
      <c r="BC429" s="24"/>
      <c r="BD429" s="28"/>
      <c r="BE429" s="28"/>
      <c r="BF429" s="28"/>
      <c r="BG429" s="24"/>
      <c r="BH429" s="28"/>
      <c r="BI429" s="28"/>
      <c r="BJ429" s="28"/>
    </row>
    <row r="430" spans="1:62">
      <c r="A430" s="24"/>
      <c r="B430" s="28"/>
      <c r="C430" s="25"/>
      <c r="D430" s="26"/>
      <c r="E430" s="24"/>
      <c r="F430" s="24"/>
      <c r="G430" s="26"/>
      <c r="H430" s="26"/>
      <c r="I430" s="26"/>
      <c r="J430" s="26"/>
      <c r="K430" s="26"/>
      <c r="L430" s="26"/>
      <c r="M430" s="26"/>
      <c r="N430" s="26"/>
      <c r="P430" s="26"/>
      <c r="Q430" s="26"/>
      <c r="R430" s="25"/>
      <c r="S430" s="25"/>
      <c r="T430" s="25"/>
      <c r="U430" s="25"/>
      <c r="V430" s="24"/>
      <c r="W430" s="24"/>
      <c r="X430" s="24"/>
      <c r="Y430" s="26"/>
      <c r="Z430" s="26"/>
      <c r="AA430" s="24"/>
      <c r="AB430" s="24"/>
      <c r="AC430" s="24"/>
      <c r="AD430" s="24"/>
      <c r="AE430" s="26"/>
      <c r="AF430" s="26"/>
      <c r="AG430" s="24"/>
      <c r="AH430" s="24"/>
      <c r="AI430" s="28"/>
      <c r="AJ430" s="28"/>
      <c r="AK430" s="28"/>
      <c r="AL430" s="28"/>
      <c r="AM430" s="28"/>
      <c r="AN430" s="28"/>
      <c r="AO430" s="28"/>
      <c r="AP430" s="28"/>
      <c r="AQ430" s="28"/>
      <c r="AR430" s="28"/>
      <c r="AS430" s="28"/>
      <c r="AT430" s="28"/>
      <c r="AU430" s="28"/>
      <c r="AV430" s="24"/>
      <c r="AW430" s="28"/>
      <c r="AX430" s="28"/>
      <c r="AY430" s="28"/>
      <c r="AZ430" s="28"/>
      <c r="BA430" s="28"/>
      <c r="BB430" s="28"/>
      <c r="BC430" s="24"/>
      <c r="BD430" s="28"/>
      <c r="BE430" s="28"/>
      <c r="BF430" s="28"/>
      <c r="BG430" s="24"/>
      <c r="BH430" s="28"/>
      <c r="BI430" s="28"/>
      <c r="BJ430" s="28"/>
    </row>
    <row r="431" spans="1:62">
      <c r="A431" s="24"/>
      <c r="B431" s="28"/>
      <c r="C431" s="25"/>
      <c r="D431" s="26"/>
      <c r="E431" s="24"/>
      <c r="F431" s="24"/>
      <c r="G431" s="26"/>
      <c r="H431" s="26"/>
      <c r="I431" s="26"/>
      <c r="J431" s="26"/>
      <c r="K431" s="26"/>
      <c r="L431" s="26"/>
      <c r="M431" s="26"/>
      <c r="N431" s="26"/>
      <c r="P431" s="26"/>
      <c r="Q431" s="26"/>
      <c r="R431" s="25"/>
      <c r="S431" s="25"/>
      <c r="T431" s="25"/>
      <c r="U431" s="25"/>
      <c r="V431" s="24"/>
      <c r="W431" s="24"/>
      <c r="X431" s="24"/>
      <c r="Y431" s="26"/>
      <c r="Z431" s="26"/>
      <c r="AA431" s="24"/>
      <c r="AB431" s="24"/>
      <c r="AC431" s="24"/>
      <c r="AD431" s="24"/>
      <c r="AE431" s="26"/>
      <c r="AF431" s="26"/>
      <c r="AG431" s="24"/>
      <c r="AH431" s="24"/>
      <c r="AI431" s="28"/>
      <c r="AJ431" s="28"/>
      <c r="AK431" s="28"/>
      <c r="AL431" s="28"/>
      <c r="AM431" s="28"/>
      <c r="AN431" s="28"/>
      <c r="AO431" s="28"/>
      <c r="AP431" s="28"/>
      <c r="AQ431" s="28"/>
      <c r="AR431" s="28"/>
      <c r="AS431" s="28"/>
      <c r="AT431" s="28"/>
      <c r="AU431" s="28"/>
      <c r="AV431" s="24"/>
      <c r="AW431" s="28"/>
      <c r="AX431" s="28"/>
      <c r="AY431" s="28"/>
      <c r="AZ431" s="28"/>
      <c r="BA431" s="28"/>
      <c r="BB431" s="28"/>
      <c r="BC431" s="24"/>
      <c r="BD431" s="28"/>
      <c r="BE431" s="28"/>
      <c r="BF431" s="28"/>
      <c r="BG431" s="24"/>
      <c r="BH431" s="28"/>
      <c r="BI431" s="28"/>
      <c r="BJ431" s="28"/>
    </row>
    <row r="432" spans="1:62">
      <c r="A432" s="24"/>
      <c r="B432" s="28"/>
      <c r="C432" s="25"/>
      <c r="D432" s="26"/>
      <c r="E432" s="24"/>
      <c r="F432" s="24"/>
      <c r="G432" s="26"/>
      <c r="H432" s="26"/>
      <c r="I432" s="26"/>
      <c r="J432" s="26"/>
      <c r="K432" s="26"/>
      <c r="L432" s="26"/>
      <c r="M432" s="26"/>
      <c r="N432" s="26"/>
      <c r="P432" s="26"/>
      <c r="Q432" s="26"/>
      <c r="R432" s="25"/>
      <c r="S432" s="25"/>
      <c r="T432" s="25"/>
      <c r="U432" s="25"/>
      <c r="V432" s="24"/>
      <c r="W432" s="24"/>
      <c r="X432" s="24"/>
      <c r="Y432" s="26"/>
      <c r="Z432" s="26"/>
      <c r="AA432" s="24"/>
      <c r="AB432" s="24"/>
      <c r="AC432" s="24"/>
      <c r="AD432" s="24"/>
      <c r="AE432" s="26"/>
      <c r="AF432" s="26"/>
      <c r="AG432" s="24"/>
      <c r="AH432" s="24"/>
      <c r="AI432" s="28"/>
      <c r="AJ432" s="28"/>
      <c r="AK432" s="28"/>
      <c r="AL432" s="28"/>
      <c r="AM432" s="28"/>
      <c r="AN432" s="28"/>
      <c r="AO432" s="28"/>
      <c r="AP432" s="28"/>
      <c r="AQ432" s="28"/>
      <c r="AR432" s="28"/>
      <c r="AS432" s="28"/>
      <c r="AT432" s="28"/>
      <c r="AU432" s="28"/>
      <c r="AV432" s="24"/>
      <c r="AW432" s="28"/>
      <c r="AX432" s="28"/>
      <c r="AY432" s="28"/>
      <c r="AZ432" s="28"/>
      <c r="BA432" s="28"/>
      <c r="BB432" s="28"/>
      <c r="BC432" s="24"/>
      <c r="BD432" s="28"/>
      <c r="BE432" s="28"/>
      <c r="BF432" s="28"/>
      <c r="BG432" s="24"/>
      <c r="BH432" s="28"/>
      <c r="BI432" s="28"/>
      <c r="BJ432" s="28"/>
    </row>
    <row r="433" spans="1:62">
      <c r="A433" s="24"/>
      <c r="B433" s="28"/>
      <c r="C433" s="25"/>
      <c r="D433" s="26"/>
      <c r="E433" s="24"/>
      <c r="F433" s="24"/>
      <c r="G433" s="26"/>
      <c r="H433" s="26"/>
      <c r="I433" s="26"/>
      <c r="J433" s="26"/>
      <c r="K433" s="26"/>
      <c r="L433" s="26"/>
      <c r="M433" s="26"/>
      <c r="N433" s="26"/>
      <c r="P433" s="26"/>
      <c r="Q433" s="26"/>
      <c r="R433" s="25"/>
      <c r="S433" s="25"/>
      <c r="T433" s="25"/>
      <c r="U433" s="25"/>
      <c r="V433" s="24"/>
      <c r="W433" s="24"/>
      <c r="X433" s="24"/>
      <c r="Y433" s="26"/>
      <c r="Z433" s="26"/>
      <c r="AA433" s="24"/>
      <c r="AB433" s="24"/>
      <c r="AC433" s="24"/>
      <c r="AD433" s="24"/>
      <c r="AE433" s="26"/>
      <c r="AF433" s="26"/>
      <c r="AG433" s="24"/>
      <c r="AH433" s="24"/>
      <c r="AI433" s="28"/>
      <c r="AJ433" s="28"/>
      <c r="AK433" s="28"/>
      <c r="AL433" s="28"/>
      <c r="AM433" s="28"/>
      <c r="AN433" s="28"/>
      <c r="AO433" s="28"/>
      <c r="AP433" s="28"/>
      <c r="AQ433" s="28"/>
      <c r="AR433" s="28"/>
      <c r="AS433" s="28"/>
      <c r="AT433" s="28"/>
      <c r="AU433" s="28"/>
      <c r="AV433" s="24"/>
      <c r="AW433" s="28"/>
      <c r="AX433" s="28"/>
      <c r="AY433" s="28"/>
      <c r="AZ433" s="28"/>
      <c r="BA433" s="28"/>
      <c r="BB433" s="28"/>
      <c r="BC433" s="24"/>
      <c r="BD433" s="28"/>
      <c r="BE433" s="28"/>
      <c r="BF433" s="28"/>
      <c r="BG433" s="24"/>
      <c r="BH433" s="28"/>
      <c r="BI433" s="28"/>
      <c r="BJ433" s="28"/>
    </row>
    <row r="434" spans="1:62">
      <c r="A434" s="24"/>
      <c r="B434" s="28"/>
      <c r="C434" s="25"/>
      <c r="D434" s="26"/>
      <c r="E434" s="24"/>
      <c r="F434" s="24"/>
      <c r="G434" s="26"/>
      <c r="H434" s="26"/>
      <c r="I434" s="26"/>
      <c r="J434" s="26"/>
      <c r="K434" s="26"/>
      <c r="L434" s="26"/>
      <c r="M434" s="26"/>
      <c r="N434" s="26"/>
      <c r="P434" s="26"/>
      <c r="Q434" s="26"/>
      <c r="R434" s="25"/>
      <c r="S434" s="25"/>
      <c r="T434" s="25"/>
      <c r="U434" s="25"/>
      <c r="V434" s="24"/>
      <c r="W434" s="24"/>
      <c r="X434" s="24"/>
      <c r="Y434" s="26"/>
      <c r="Z434" s="26"/>
      <c r="AA434" s="24"/>
      <c r="AB434" s="24"/>
      <c r="AC434" s="24"/>
      <c r="AD434" s="24"/>
      <c r="AE434" s="26"/>
      <c r="AF434" s="26"/>
      <c r="AG434" s="24"/>
      <c r="AH434" s="24"/>
      <c r="AI434" s="28"/>
      <c r="AJ434" s="28"/>
      <c r="AK434" s="28"/>
      <c r="AL434" s="28"/>
      <c r="AM434" s="28"/>
      <c r="AN434" s="28"/>
      <c r="AO434" s="28"/>
      <c r="AP434" s="28"/>
      <c r="AQ434" s="28"/>
      <c r="AR434" s="28"/>
      <c r="AS434" s="28"/>
      <c r="AT434" s="28"/>
      <c r="AU434" s="28"/>
      <c r="AV434" s="24"/>
      <c r="AW434" s="28"/>
      <c r="AX434" s="28"/>
      <c r="AY434" s="28"/>
      <c r="AZ434" s="28"/>
      <c r="BA434" s="28"/>
      <c r="BB434" s="28"/>
      <c r="BC434" s="24"/>
      <c r="BD434" s="28"/>
      <c r="BE434" s="28"/>
      <c r="BF434" s="28"/>
      <c r="BG434" s="24"/>
      <c r="BH434" s="28"/>
      <c r="BI434" s="28"/>
      <c r="BJ434" s="28"/>
    </row>
    <row r="435" spans="1:62">
      <c r="A435" s="24"/>
      <c r="B435" s="28"/>
      <c r="C435" s="25"/>
      <c r="D435" s="26"/>
      <c r="E435" s="24"/>
      <c r="F435" s="24"/>
      <c r="G435" s="26"/>
      <c r="H435" s="26"/>
      <c r="I435" s="26"/>
      <c r="J435" s="26"/>
      <c r="K435" s="26"/>
      <c r="L435" s="26"/>
      <c r="M435" s="26"/>
      <c r="N435" s="26"/>
      <c r="P435" s="26"/>
      <c r="Q435" s="26"/>
      <c r="R435" s="25"/>
      <c r="S435" s="25"/>
      <c r="T435" s="25"/>
      <c r="U435" s="25"/>
      <c r="V435" s="24"/>
      <c r="W435" s="24"/>
      <c r="X435" s="24"/>
      <c r="Y435" s="26"/>
      <c r="Z435" s="26"/>
      <c r="AA435" s="24"/>
      <c r="AB435" s="24"/>
      <c r="AC435" s="24"/>
      <c r="AD435" s="24"/>
      <c r="AE435" s="26"/>
      <c r="AF435" s="26"/>
      <c r="AG435" s="24"/>
      <c r="AH435" s="24"/>
      <c r="AI435" s="28"/>
      <c r="AJ435" s="28"/>
      <c r="AK435" s="28"/>
      <c r="AL435" s="28"/>
      <c r="AM435" s="28"/>
      <c r="AN435" s="28"/>
      <c r="AO435" s="28"/>
      <c r="AP435" s="28"/>
      <c r="AQ435" s="28"/>
      <c r="AR435" s="28"/>
      <c r="AS435" s="28"/>
      <c r="AT435" s="28"/>
      <c r="AU435" s="28"/>
      <c r="AV435" s="24"/>
      <c r="AW435" s="28"/>
      <c r="AX435" s="28"/>
      <c r="AY435" s="28"/>
      <c r="AZ435" s="28"/>
      <c r="BA435" s="28"/>
      <c r="BB435" s="28"/>
      <c r="BC435" s="24"/>
      <c r="BD435" s="28"/>
      <c r="BE435" s="28"/>
      <c r="BF435" s="28"/>
      <c r="BG435" s="24"/>
      <c r="BH435" s="28"/>
      <c r="BI435" s="28"/>
      <c r="BJ435" s="28"/>
    </row>
    <row r="436" spans="1:62">
      <c r="A436" s="24"/>
      <c r="B436" s="28"/>
      <c r="C436" s="25"/>
      <c r="D436" s="26"/>
      <c r="E436" s="24"/>
      <c r="F436" s="24"/>
      <c r="G436" s="26"/>
      <c r="H436" s="26"/>
      <c r="I436" s="26"/>
      <c r="J436" s="26"/>
      <c r="K436" s="26"/>
      <c r="L436" s="26"/>
      <c r="M436" s="26"/>
      <c r="N436" s="26"/>
      <c r="P436" s="26"/>
      <c r="Q436" s="26"/>
      <c r="R436" s="25"/>
      <c r="S436" s="25"/>
      <c r="T436" s="25"/>
      <c r="U436" s="25"/>
      <c r="V436" s="24"/>
      <c r="W436" s="24"/>
      <c r="X436" s="24"/>
      <c r="Y436" s="26"/>
      <c r="Z436" s="26"/>
      <c r="AA436" s="24"/>
      <c r="AB436" s="24"/>
      <c r="AC436" s="24"/>
      <c r="AD436" s="24"/>
      <c r="AE436" s="26"/>
      <c r="AF436" s="26"/>
      <c r="AG436" s="24"/>
      <c r="AH436" s="24"/>
      <c r="AI436" s="28"/>
      <c r="AJ436" s="28"/>
      <c r="AK436" s="28"/>
      <c r="AL436" s="28"/>
      <c r="AM436" s="28"/>
      <c r="AN436" s="28"/>
      <c r="AO436" s="28"/>
      <c r="AP436" s="28"/>
      <c r="AQ436" s="28"/>
      <c r="AR436" s="28"/>
      <c r="AS436" s="28"/>
      <c r="AT436" s="28"/>
      <c r="AU436" s="28"/>
      <c r="AV436" s="24"/>
      <c r="AW436" s="28"/>
      <c r="AX436" s="28"/>
      <c r="AY436" s="28"/>
      <c r="AZ436" s="28"/>
      <c r="BA436" s="28"/>
      <c r="BB436" s="28"/>
      <c r="BC436" s="24"/>
      <c r="BD436" s="28"/>
      <c r="BE436" s="28"/>
      <c r="BF436" s="28"/>
      <c r="BG436" s="24"/>
      <c r="BH436" s="28"/>
      <c r="BI436" s="28"/>
      <c r="BJ436" s="28"/>
    </row>
    <row r="437" spans="1:62">
      <c r="A437" s="24"/>
      <c r="B437" s="28"/>
      <c r="C437" s="25"/>
      <c r="D437" s="26"/>
      <c r="E437" s="24"/>
      <c r="F437" s="24"/>
      <c r="G437" s="26"/>
      <c r="H437" s="26"/>
      <c r="I437" s="26"/>
      <c r="J437" s="26"/>
      <c r="K437" s="26"/>
      <c r="L437" s="26"/>
      <c r="M437" s="26"/>
      <c r="N437" s="26"/>
      <c r="P437" s="26"/>
      <c r="Q437" s="26"/>
      <c r="R437" s="25"/>
      <c r="S437" s="25"/>
      <c r="T437" s="25"/>
      <c r="U437" s="25"/>
      <c r="V437" s="24"/>
      <c r="W437" s="24"/>
      <c r="X437" s="24"/>
      <c r="Y437" s="26"/>
      <c r="Z437" s="26"/>
      <c r="AA437" s="24"/>
      <c r="AB437" s="24"/>
      <c r="AC437" s="24"/>
      <c r="AD437" s="24"/>
      <c r="AE437" s="26"/>
      <c r="AF437" s="26"/>
      <c r="AG437" s="24"/>
      <c r="AH437" s="24"/>
      <c r="AI437" s="28"/>
      <c r="AJ437" s="28"/>
      <c r="AK437" s="28"/>
      <c r="AL437" s="28"/>
      <c r="AM437" s="28"/>
      <c r="AN437" s="28"/>
      <c r="AO437" s="28"/>
      <c r="AP437" s="28"/>
      <c r="AQ437" s="28"/>
      <c r="AR437" s="28"/>
      <c r="AS437" s="28"/>
      <c r="AT437" s="28"/>
      <c r="AU437" s="28"/>
      <c r="AV437" s="24"/>
      <c r="AW437" s="28"/>
      <c r="AX437" s="28"/>
      <c r="AY437" s="28"/>
      <c r="AZ437" s="28"/>
      <c r="BA437" s="28"/>
      <c r="BB437" s="28"/>
      <c r="BC437" s="24"/>
      <c r="BD437" s="28"/>
      <c r="BE437" s="28"/>
      <c r="BF437" s="28"/>
      <c r="BG437" s="24"/>
      <c r="BH437" s="28"/>
      <c r="BI437" s="28"/>
      <c r="BJ437" s="28"/>
    </row>
    <row r="438" spans="1:62">
      <c r="A438" s="24"/>
      <c r="B438" s="28"/>
      <c r="C438" s="25"/>
      <c r="D438" s="26"/>
      <c r="E438" s="24"/>
      <c r="F438" s="24"/>
      <c r="G438" s="26"/>
      <c r="H438" s="26"/>
      <c r="I438" s="26"/>
      <c r="J438" s="26"/>
      <c r="K438" s="26"/>
      <c r="L438" s="26"/>
      <c r="M438" s="26"/>
      <c r="N438" s="26"/>
      <c r="P438" s="26"/>
      <c r="Q438" s="26"/>
      <c r="R438" s="25"/>
      <c r="S438" s="25"/>
      <c r="T438" s="25"/>
      <c r="U438" s="25"/>
      <c r="V438" s="24"/>
      <c r="W438" s="24"/>
      <c r="X438" s="24"/>
      <c r="Y438" s="26"/>
      <c r="Z438" s="26"/>
      <c r="AA438" s="24"/>
      <c r="AB438" s="24"/>
      <c r="AC438" s="24"/>
      <c r="AD438" s="24"/>
      <c r="AE438" s="26"/>
      <c r="AF438" s="26"/>
      <c r="AG438" s="24"/>
      <c r="AH438" s="24"/>
      <c r="AI438" s="28"/>
      <c r="AJ438" s="28"/>
      <c r="AK438" s="28"/>
      <c r="AL438" s="28"/>
      <c r="AM438" s="28"/>
      <c r="AN438" s="28"/>
      <c r="AO438" s="28"/>
      <c r="AP438" s="28"/>
      <c r="AQ438" s="28"/>
      <c r="AR438" s="28"/>
      <c r="AS438" s="28"/>
      <c r="AT438" s="28"/>
      <c r="AU438" s="28"/>
      <c r="AV438" s="24"/>
      <c r="AW438" s="28"/>
      <c r="AX438" s="28"/>
      <c r="AY438" s="28"/>
      <c r="AZ438" s="28"/>
      <c r="BA438" s="28"/>
      <c r="BB438" s="28"/>
      <c r="BC438" s="24"/>
      <c r="BD438" s="28"/>
      <c r="BE438" s="28"/>
      <c r="BF438" s="28"/>
      <c r="BG438" s="24"/>
      <c r="BH438" s="28"/>
      <c r="BI438" s="28"/>
      <c r="BJ438" s="28"/>
    </row>
    <row r="439" spans="1:62">
      <c r="A439" s="24"/>
      <c r="B439" s="28"/>
      <c r="C439" s="25"/>
      <c r="D439" s="26"/>
      <c r="E439" s="24"/>
      <c r="F439" s="24"/>
      <c r="G439" s="26"/>
      <c r="H439" s="26"/>
      <c r="I439" s="26"/>
      <c r="J439" s="26"/>
      <c r="K439" s="26"/>
      <c r="L439" s="26"/>
      <c r="M439" s="26"/>
      <c r="N439" s="26"/>
      <c r="P439" s="26"/>
      <c r="Q439" s="26"/>
      <c r="R439" s="25"/>
      <c r="S439" s="25"/>
      <c r="T439" s="25"/>
      <c r="U439" s="25"/>
      <c r="V439" s="24"/>
      <c r="W439" s="24"/>
      <c r="X439" s="24"/>
      <c r="Y439" s="26"/>
      <c r="Z439" s="26"/>
      <c r="AA439" s="24"/>
      <c r="AB439" s="24"/>
      <c r="AC439" s="24"/>
      <c r="AD439" s="24"/>
      <c r="AE439" s="26"/>
      <c r="AF439" s="26"/>
      <c r="AG439" s="24"/>
      <c r="AH439" s="24"/>
      <c r="AI439" s="28"/>
      <c r="AJ439" s="28"/>
      <c r="AK439" s="28"/>
      <c r="AL439" s="28"/>
      <c r="AM439" s="28"/>
      <c r="AN439" s="28"/>
      <c r="AO439" s="28"/>
      <c r="AP439" s="28"/>
      <c r="AQ439" s="28"/>
      <c r="AR439" s="28"/>
      <c r="AS439" s="28"/>
      <c r="AT439" s="28"/>
      <c r="AU439" s="28"/>
      <c r="AV439" s="24"/>
      <c r="AW439" s="28"/>
      <c r="AX439" s="28"/>
      <c r="AY439" s="28"/>
      <c r="AZ439" s="28"/>
      <c r="BA439" s="28"/>
      <c r="BB439" s="28"/>
      <c r="BC439" s="24"/>
      <c r="BD439" s="28"/>
      <c r="BE439" s="28"/>
      <c r="BF439" s="28"/>
      <c r="BG439" s="24"/>
      <c r="BH439" s="28"/>
      <c r="BI439" s="28"/>
      <c r="BJ439" s="28"/>
    </row>
    <row r="440" spans="1:62">
      <c r="A440" s="24"/>
      <c r="B440" s="28"/>
      <c r="C440" s="25"/>
      <c r="D440" s="26"/>
      <c r="E440" s="24"/>
      <c r="F440" s="24"/>
      <c r="G440" s="26"/>
      <c r="H440" s="26"/>
      <c r="I440" s="26"/>
      <c r="J440" s="26"/>
      <c r="K440" s="26"/>
      <c r="L440" s="26"/>
      <c r="M440" s="26"/>
      <c r="N440" s="26"/>
      <c r="P440" s="26"/>
      <c r="Q440" s="26"/>
      <c r="R440" s="25"/>
      <c r="S440" s="25"/>
      <c r="T440" s="25"/>
      <c r="U440" s="25"/>
      <c r="V440" s="24"/>
      <c r="W440" s="24"/>
      <c r="X440" s="24"/>
      <c r="Y440" s="26"/>
      <c r="Z440" s="26"/>
      <c r="AA440" s="24"/>
      <c r="AB440" s="24"/>
      <c r="AC440" s="24"/>
      <c r="AD440" s="24"/>
      <c r="AE440" s="26"/>
      <c r="AF440" s="26"/>
      <c r="AG440" s="24"/>
      <c r="AH440" s="24"/>
      <c r="AI440" s="28"/>
      <c r="AJ440" s="28"/>
      <c r="AK440" s="28"/>
      <c r="AL440" s="28"/>
      <c r="AM440" s="28"/>
      <c r="AN440" s="28"/>
      <c r="AO440" s="28"/>
      <c r="AP440" s="28"/>
      <c r="AQ440" s="28"/>
      <c r="AR440" s="28"/>
      <c r="AS440" s="28"/>
      <c r="AT440" s="28"/>
      <c r="AU440" s="28"/>
      <c r="AV440" s="24"/>
      <c r="AW440" s="28"/>
      <c r="AX440" s="28"/>
      <c r="AY440" s="28"/>
      <c r="AZ440" s="28"/>
      <c r="BA440" s="28"/>
      <c r="BB440" s="28"/>
      <c r="BC440" s="24"/>
      <c r="BD440" s="28"/>
      <c r="BE440" s="28"/>
      <c r="BF440" s="28"/>
      <c r="BG440" s="24"/>
      <c r="BH440" s="28"/>
      <c r="BI440" s="28"/>
      <c r="BJ440" s="28"/>
    </row>
    <row r="441" spans="1:62">
      <c r="A441" s="24"/>
      <c r="B441" s="28"/>
      <c r="C441" s="25"/>
      <c r="D441" s="26"/>
      <c r="E441" s="24"/>
      <c r="F441" s="24"/>
      <c r="G441" s="26"/>
      <c r="H441" s="26"/>
      <c r="I441" s="26"/>
      <c r="J441" s="26"/>
      <c r="K441" s="26"/>
      <c r="L441" s="26"/>
      <c r="M441" s="26"/>
      <c r="N441" s="26"/>
      <c r="P441" s="26"/>
      <c r="Q441" s="26"/>
      <c r="R441" s="25"/>
      <c r="S441" s="25"/>
      <c r="T441" s="25"/>
      <c r="U441" s="25"/>
      <c r="V441" s="24"/>
      <c r="W441" s="24"/>
      <c r="X441" s="24"/>
      <c r="Y441" s="26"/>
      <c r="Z441" s="26"/>
      <c r="AA441" s="24"/>
      <c r="AB441" s="24"/>
      <c r="AC441" s="24"/>
      <c r="AD441" s="24"/>
      <c r="AE441" s="26"/>
      <c r="AF441" s="26"/>
      <c r="AG441" s="24"/>
      <c r="AH441" s="24"/>
      <c r="AI441" s="28"/>
      <c r="AJ441" s="28"/>
      <c r="AK441" s="28"/>
      <c r="AL441" s="28"/>
      <c r="AM441" s="28"/>
      <c r="AN441" s="28"/>
      <c r="AO441" s="28"/>
      <c r="AP441" s="28"/>
      <c r="AQ441" s="28"/>
      <c r="AR441" s="28"/>
      <c r="AS441" s="28"/>
      <c r="AT441" s="28"/>
      <c r="AU441" s="28"/>
      <c r="AV441" s="24"/>
      <c r="AW441" s="28"/>
      <c r="AX441" s="28"/>
      <c r="AY441" s="28"/>
      <c r="AZ441" s="28"/>
      <c r="BA441" s="28"/>
      <c r="BB441" s="28"/>
      <c r="BC441" s="24"/>
      <c r="BD441" s="28"/>
      <c r="BE441" s="28"/>
      <c r="BF441" s="28"/>
      <c r="BG441" s="24"/>
      <c r="BH441" s="28"/>
      <c r="BI441" s="28"/>
      <c r="BJ441" s="28"/>
    </row>
    <row r="442" spans="1:62">
      <c r="A442" s="24"/>
      <c r="B442" s="28"/>
      <c r="C442" s="25"/>
      <c r="D442" s="26"/>
      <c r="E442" s="24"/>
      <c r="F442" s="24"/>
      <c r="G442" s="26"/>
      <c r="H442" s="26"/>
      <c r="I442" s="26"/>
      <c r="J442" s="26"/>
      <c r="K442" s="26"/>
      <c r="L442" s="26"/>
      <c r="M442" s="26"/>
      <c r="N442" s="26"/>
      <c r="P442" s="26"/>
      <c r="Q442" s="26"/>
      <c r="R442" s="25"/>
      <c r="S442" s="25"/>
      <c r="T442" s="25"/>
      <c r="U442" s="25"/>
      <c r="V442" s="24"/>
      <c r="W442" s="24"/>
      <c r="X442" s="24"/>
      <c r="Y442" s="26"/>
      <c r="Z442" s="26"/>
      <c r="AA442" s="24"/>
      <c r="AB442" s="24"/>
      <c r="AC442" s="24"/>
      <c r="AD442" s="24"/>
      <c r="AE442" s="26"/>
      <c r="AF442" s="26"/>
      <c r="AG442" s="24"/>
      <c r="AH442" s="24"/>
      <c r="AI442" s="28"/>
      <c r="AJ442" s="28"/>
      <c r="AK442" s="28"/>
      <c r="AL442" s="28"/>
      <c r="AM442" s="28"/>
      <c r="AN442" s="28"/>
      <c r="AO442" s="28"/>
      <c r="AP442" s="28"/>
      <c r="AQ442" s="28"/>
      <c r="AR442" s="28"/>
      <c r="AS442" s="28"/>
      <c r="AT442" s="28"/>
      <c r="AU442" s="28"/>
      <c r="AV442" s="24"/>
      <c r="AW442" s="28"/>
      <c r="AX442" s="28"/>
      <c r="AY442" s="28"/>
      <c r="AZ442" s="28"/>
      <c r="BA442" s="28"/>
      <c r="BB442" s="28"/>
      <c r="BC442" s="24"/>
      <c r="BD442" s="28"/>
      <c r="BE442" s="28"/>
      <c r="BF442" s="28"/>
      <c r="BG442" s="24"/>
      <c r="BH442" s="28"/>
      <c r="BI442" s="28"/>
      <c r="BJ442" s="28"/>
    </row>
    <row r="443" spans="1:62">
      <c r="A443" s="24"/>
      <c r="B443" s="28"/>
      <c r="C443" s="25"/>
      <c r="D443" s="26"/>
      <c r="E443" s="24"/>
      <c r="F443" s="24"/>
      <c r="G443" s="26"/>
      <c r="H443" s="26"/>
      <c r="I443" s="26"/>
      <c r="J443" s="26"/>
      <c r="K443" s="26"/>
      <c r="L443" s="26"/>
      <c r="M443" s="26"/>
      <c r="N443" s="26"/>
      <c r="P443" s="26"/>
      <c r="Q443" s="26"/>
      <c r="R443" s="25"/>
      <c r="S443" s="25"/>
      <c r="T443" s="25"/>
      <c r="U443" s="25"/>
      <c r="V443" s="24"/>
      <c r="W443" s="24"/>
      <c r="X443" s="24"/>
      <c r="Y443" s="26"/>
      <c r="Z443" s="26"/>
      <c r="AA443" s="24"/>
      <c r="AB443" s="24"/>
      <c r="AC443" s="24"/>
      <c r="AD443" s="24"/>
      <c r="AE443" s="26"/>
      <c r="AF443" s="26"/>
      <c r="AG443" s="24"/>
      <c r="AH443" s="24"/>
      <c r="AI443" s="28"/>
      <c r="AJ443" s="28"/>
      <c r="AK443" s="28"/>
      <c r="AL443" s="28"/>
      <c r="AM443" s="28"/>
      <c r="AN443" s="28"/>
      <c r="AO443" s="28"/>
      <c r="AP443" s="28"/>
      <c r="AQ443" s="28"/>
      <c r="AR443" s="28"/>
      <c r="AS443" s="28"/>
      <c r="AT443" s="28"/>
      <c r="AU443" s="28"/>
      <c r="AV443" s="24"/>
      <c r="AW443" s="28"/>
      <c r="AX443" s="28"/>
      <c r="AY443" s="28"/>
      <c r="AZ443" s="28"/>
      <c r="BA443" s="28"/>
      <c r="BB443" s="28"/>
      <c r="BC443" s="24"/>
      <c r="BD443" s="28"/>
      <c r="BE443" s="28"/>
      <c r="BF443" s="28"/>
      <c r="BG443" s="24"/>
      <c r="BH443" s="28"/>
      <c r="BI443" s="28"/>
      <c r="BJ443" s="28"/>
    </row>
    <row r="444" spans="1:62">
      <c r="A444" s="24"/>
      <c r="B444" s="28"/>
      <c r="C444" s="25"/>
      <c r="D444" s="26"/>
      <c r="E444" s="24"/>
      <c r="F444" s="24"/>
      <c r="G444" s="26"/>
      <c r="H444" s="26"/>
      <c r="I444" s="26"/>
      <c r="J444" s="26"/>
      <c r="K444" s="26"/>
      <c r="L444" s="26"/>
      <c r="M444" s="26"/>
      <c r="N444" s="26"/>
      <c r="P444" s="26"/>
      <c r="Q444" s="26"/>
      <c r="R444" s="25"/>
      <c r="S444" s="25"/>
      <c r="T444" s="25"/>
      <c r="U444" s="25"/>
      <c r="V444" s="24"/>
      <c r="W444" s="24"/>
      <c r="X444" s="24"/>
      <c r="Y444" s="26"/>
      <c r="Z444" s="26"/>
      <c r="AA444" s="24"/>
      <c r="AB444" s="24"/>
      <c r="AC444" s="24"/>
      <c r="AD444" s="24"/>
      <c r="AE444" s="26"/>
      <c r="AF444" s="26"/>
      <c r="AG444" s="24"/>
      <c r="AH444" s="24"/>
      <c r="AI444" s="28"/>
      <c r="AJ444" s="28"/>
      <c r="AK444" s="28"/>
      <c r="AL444" s="28"/>
      <c r="AM444" s="28"/>
      <c r="AN444" s="28"/>
      <c r="AO444" s="28"/>
      <c r="AP444" s="28"/>
      <c r="AQ444" s="28"/>
      <c r="AR444" s="28"/>
      <c r="AS444" s="28"/>
      <c r="AT444" s="28"/>
      <c r="AU444" s="28"/>
      <c r="AV444" s="24"/>
      <c r="AW444" s="28"/>
      <c r="AX444" s="28"/>
      <c r="AY444" s="28"/>
      <c r="AZ444" s="28"/>
      <c r="BA444" s="28"/>
      <c r="BB444" s="28"/>
      <c r="BC444" s="24"/>
      <c r="BD444" s="28"/>
      <c r="BE444" s="28"/>
      <c r="BF444" s="28"/>
      <c r="BG444" s="24"/>
      <c r="BH444" s="28"/>
      <c r="BI444" s="28"/>
      <c r="BJ444" s="28"/>
    </row>
    <row r="445" spans="1:62">
      <c r="A445" s="24"/>
      <c r="B445" s="28"/>
      <c r="C445" s="25"/>
      <c r="D445" s="26"/>
      <c r="E445" s="24"/>
      <c r="F445" s="24"/>
      <c r="G445" s="26"/>
      <c r="H445" s="26"/>
      <c r="I445" s="26"/>
      <c r="J445" s="26"/>
      <c r="K445" s="26"/>
      <c r="L445" s="26"/>
      <c r="M445" s="26"/>
      <c r="N445" s="26"/>
      <c r="P445" s="26"/>
      <c r="Q445" s="26"/>
      <c r="R445" s="25"/>
      <c r="S445" s="25"/>
      <c r="T445" s="25"/>
      <c r="U445" s="25"/>
      <c r="V445" s="24"/>
      <c r="W445" s="24"/>
      <c r="X445" s="24"/>
      <c r="Y445" s="26"/>
      <c r="Z445" s="26"/>
      <c r="AA445" s="24"/>
      <c r="AB445" s="24"/>
      <c r="AC445" s="24"/>
      <c r="AD445" s="24"/>
      <c r="AE445" s="26"/>
      <c r="AF445" s="26"/>
      <c r="AG445" s="24"/>
      <c r="AH445" s="24"/>
      <c r="AI445" s="28"/>
      <c r="AJ445" s="28"/>
      <c r="AK445" s="28"/>
      <c r="AL445" s="28"/>
      <c r="AM445" s="28"/>
      <c r="AN445" s="28"/>
      <c r="AO445" s="28"/>
      <c r="AP445" s="28"/>
      <c r="AQ445" s="28"/>
      <c r="AR445" s="28"/>
      <c r="AS445" s="28"/>
      <c r="AT445" s="28"/>
      <c r="AU445" s="28"/>
      <c r="AV445" s="24"/>
      <c r="AW445" s="28"/>
      <c r="AX445" s="28"/>
      <c r="AY445" s="28"/>
      <c r="AZ445" s="28"/>
      <c r="BA445" s="28"/>
      <c r="BB445" s="28"/>
      <c r="BC445" s="24"/>
      <c r="BD445" s="28"/>
      <c r="BE445" s="28"/>
      <c r="BF445" s="28"/>
      <c r="BG445" s="24"/>
      <c r="BH445" s="28"/>
      <c r="BI445" s="28"/>
      <c r="BJ445" s="28"/>
    </row>
    <row r="446" spans="1:62">
      <c r="A446" s="24"/>
      <c r="B446" s="28"/>
      <c r="C446" s="25"/>
      <c r="D446" s="26"/>
      <c r="E446" s="24"/>
      <c r="F446" s="24"/>
      <c r="G446" s="26"/>
      <c r="H446" s="26"/>
      <c r="I446" s="26"/>
      <c r="J446" s="26"/>
      <c r="K446" s="26"/>
      <c r="L446" s="26"/>
      <c r="M446" s="26"/>
      <c r="N446" s="26"/>
      <c r="P446" s="26"/>
      <c r="Q446" s="26"/>
      <c r="R446" s="25"/>
      <c r="S446" s="25"/>
      <c r="T446" s="25"/>
      <c r="U446" s="25"/>
      <c r="V446" s="24"/>
      <c r="W446" s="24"/>
      <c r="X446" s="24"/>
      <c r="Y446" s="26"/>
      <c r="Z446" s="26"/>
      <c r="AA446" s="24"/>
      <c r="AB446" s="24"/>
      <c r="AC446" s="24"/>
      <c r="AD446" s="24"/>
      <c r="AE446" s="26"/>
      <c r="AF446" s="26"/>
      <c r="AG446" s="24"/>
      <c r="AH446" s="24"/>
      <c r="AI446" s="28"/>
      <c r="AJ446" s="28"/>
      <c r="AK446" s="28"/>
      <c r="AL446" s="28"/>
      <c r="AM446" s="28"/>
      <c r="AN446" s="28"/>
      <c r="AO446" s="28"/>
      <c r="AP446" s="28"/>
      <c r="AQ446" s="28"/>
      <c r="AR446" s="28"/>
      <c r="AS446" s="28"/>
      <c r="AT446" s="28"/>
      <c r="AU446" s="28"/>
      <c r="AV446" s="24"/>
      <c r="AW446" s="28"/>
      <c r="AX446" s="28"/>
      <c r="AY446" s="28"/>
      <c r="AZ446" s="28"/>
      <c r="BA446" s="28"/>
      <c r="BB446" s="28"/>
      <c r="BC446" s="24"/>
      <c r="BD446" s="28"/>
      <c r="BE446" s="28"/>
      <c r="BF446" s="28"/>
      <c r="BG446" s="24"/>
      <c r="BH446" s="28"/>
      <c r="BI446" s="28"/>
      <c r="BJ446" s="28"/>
    </row>
    <row r="447" spans="1:62">
      <c r="A447" s="24"/>
      <c r="B447" s="28"/>
      <c r="C447" s="25"/>
      <c r="D447" s="26"/>
      <c r="E447" s="24"/>
      <c r="F447" s="24"/>
      <c r="G447" s="26"/>
      <c r="H447" s="26"/>
      <c r="I447" s="26"/>
      <c r="J447" s="26"/>
      <c r="K447" s="26"/>
      <c r="L447" s="26"/>
      <c r="M447" s="26"/>
      <c r="N447" s="26"/>
      <c r="P447" s="26"/>
      <c r="Q447" s="26"/>
      <c r="R447" s="25"/>
      <c r="S447" s="25"/>
      <c r="T447" s="25"/>
      <c r="U447" s="25"/>
      <c r="V447" s="24"/>
      <c r="W447" s="24"/>
      <c r="X447" s="24"/>
      <c r="Y447" s="26"/>
      <c r="Z447" s="26"/>
      <c r="AA447" s="24"/>
      <c r="AB447" s="24"/>
      <c r="AC447" s="24"/>
      <c r="AD447" s="24"/>
      <c r="AE447" s="26"/>
      <c r="AF447" s="26"/>
      <c r="AG447" s="24"/>
      <c r="AH447" s="24"/>
      <c r="AI447" s="28"/>
      <c r="AJ447" s="28"/>
      <c r="AK447" s="28"/>
      <c r="AL447" s="28"/>
      <c r="AM447" s="28"/>
      <c r="AN447" s="28"/>
      <c r="AO447" s="28"/>
      <c r="AP447" s="28"/>
      <c r="AQ447" s="28"/>
      <c r="AR447" s="28"/>
      <c r="AS447" s="28"/>
      <c r="AT447" s="28"/>
      <c r="AU447" s="28"/>
      <c r="AV447" s="24"/>
      <c r="AW447" s="28"/>
      <c r="AX447" s="28"/>
      <c r="AY447" s="28"/>
      <c r="AZ447" s="28"/>
      <c r="BA447" s="28"/>
      <c r="BB447" s="28"/>
      <c r="BC447" s="24"/>
      <c r="BD447" s="28"/>
      <c r="BE447" s="28"/>
      <c r="BF447" s="28"/>
      <c r="BG447" s="24"/>
      <c r="BH447" s="28"/>
      <c r="BI447" s="28"/>
      <c r="BJ447" s="28"/>
    </row>
    <row r="448" spans="1:62">
      <c r="A448" s="24"/>
      <c r="B448" s="28"/>
      <c r="C448" s="25"/>
      <c r="D448" s="26"/>
      <c r="E448" s="24"/>
      <c r="F448" s="24"/>
      <c r="G448" s="26"/>
      <c r="H448" s="26"/>
      <c r="I448" s="26"/>
      <c r="J448" s="26"/>
      <c r="K448" s="26"/>
      <c r="L448" s="26"/>
      <c r="M448" s="26"/>
      <c r="N448" s="26"/>
      <c r="P448" s="26"/>
      <c r="Q448" s="26"/>
      <c r="R448" s="25"/>
      <c r="S448" s="25"/>
      <c r="T448" s="25"/>
      <c r="U448" s="25"/>
      <c r="V448" s="24"/>
      <c r="W448" s="24"/>
      <c r="X448" s="24"/>
      <c r="Y448" s="26"/>
      <c r="Z448" s="26"/>
      <c r="AA448" s="24"/>
      <c r="AB448" s="24"/>
      <c r="AC448" s="24"/>
      <c r="AD448" s="24"/>
      <c r="AE448" s="26"/>
      <c r="AF448" s="26"/>
      <c r="AG448" s="24"/>
      <c r="AH448" s="24"/>
      <c r="AI448" s="28"/>
      <c r="AJ448" s="28"/>
      <c r="AK448" s="28"/>
      <c r="AL448" s="28"/>
      <c r="AM448" s="28"/>
      <c r="AN448" s="28"/>
      <c r="AO448" s="28"/>
      <c r="AP448" s="28"/>
      <c r="AQ448" s="28"/>
      <c r="AR448" s="28"/>
      <c r="AS448" s="28"/>
      <c r="AT448" s="28"/>
      <c r="AU448" s="28"/>
      <c r="AV448" s="24"/>
      <c r="AW448" s="28"/>
      <c r="AX448" s="28"/>
      <c r="AY448" s="28"/>
      <c r="AZ448" s="28"/>
      <c r="BA448" s="28"/>
      <c r="BB448" s="28"/>
      <c r="BC448" s="24"/>
      <c r="BD448" s="28"/>
      <c r="BE448" s="28"/>
      <c r="BF448" s="28"/>
      <c r="BG448" s="24"/>
      <c r="BH448" s="28"/>
      <c r="BI448" s="28"/>
      <c r="BJ448" s="28"/>
    </row>
    <row r="449" spans="1:62">
      <c r="A449" s="24"/>
      <c r="B449" s="28"/>
      <c r="C449" s="25"/>
      <c r="D449" s="26"/>
      <c r="E449" s="24"/>
      <c r="F449" s="24"/>
      <c r="G449" s="26"/>
      <c r="H449" s="26"/>
      <c r="I449" s="26"/>
      <c r="J449" s="26"/>
      <c r="K449" s="26"/>
      <c r="L449" s="26"/>
      <c r="M449" s="26"/>
      <c r="N449" s="26"/>
      <c r="P449" s="26"/>
      <c r="Q449" s="26"/>
      <c r="R449" s="25"/>
      <c r="S449" s="25"/>
      <c r="T449" s="25"/>
      <c r="U449" s="25"/>
      <c r="V449" s="24"/>
      <c r="W449" s="24"/>
      <c r="X449" s="24"/>
      <c r="Y449" s="26"/>
      <c r="Z449" s="26"/>
      <c r="AA449" s="24"/>
      <c r="AB449" s="24"/>
      <c r="AC449" s="24"/>
      <c r="AD449" s="24"/>
      <c r="AE449" s="26"/>
      <c r="AF449" s="26"/>
      <c r="AG449" s="24"/>
      <c r="AH449" s="24"/>
      <c r="AI449" s="28"/>
      <c r="AJ449" s="28"/>
      <c r="AK449" s="28"/>
      <c r="AL449" s="28"/>
      <c r="AM449" s="28"/>
      <c r="AN449" s="28"/>
      <c r="AO449" s="28"/>
      <c r="AP449" s="28"/>
      <c r="AQ449" s="28"/>
      <c r="AR449" s="28"/>
      <c r="AS449" s="28"/>
      <c r="AT449" s="28"/>
      <c r="AU449" s="28"/>
      <c r="AV449" s="24"/>
      <c r="AW449" s="28"/>
      <c r="AX449" s="28"/>
      <c r="AY449" s="28"/>
      <c r="AZ449" s="28"/>
      <c r="BA449" s="28"/>
      <c r="BB449" s="28"/>
      <c r="BC449" s="24"/>
      <c r="BD449" s="28"/>
      <c r="BE449" s="28"/>
      <c r="BF449" s="28"/>
      <c r="BG449" s="24"/>
      <c r="BH449" s="28"/>
      <c r="BI449" s="28"/>
      <c r="BJ449" s="28"/>
    </row>
    <row r="450" spans="1:62">
      <c r="Z450" s="26"/>
      <c r="AF450" s="26"/>
      <c r="AG450" s="24"/>
      <c r="AH450" s="24"/>
      <c r="AI450" s="28"/>
      <c r="AJ450" s="28"/>
      <c r="AK450" s="28"/>
      <c r="AL450" s="28"/>
      <c r="AM450" s="28"/>
      <c r="AN450" s="28"/>
      <c r="AO450" s="28"/>
      <c r="AP450" s="28"/>
      <c r="AQ450" s="28"/>
      <c r="AR450" s="28"/>
      <c r="AS450" s="28"/>
      <c r="AT450" s="28"/>
      <c r="AU450" s="28"/>
      <c r="AV450" s="24"/>
      <c r="AW450" s="28"/>
      <c r="AX450" s="28"/>
      <c r="AY450" s="28"/>
      <c r="AZ450" s="28"/>
      <c r="BA450" s="28"/>
      <c r="BB450" s="28"/>
      <c r="BC450" s="24"/>
      <c r="BD450" s="28"/>
      <c r="BE450" s="28"/>
      <c r="BF450" s="28"/>
      <c r="BG450" s="24"/>
      <c r="BH450" s="28"/>
      <c r="BI450" s="28"/>
      <c r="BJ450" s="28"/>
    </row>
    <row r="451" spans="1:62">
      <c r="Z451" s="26"/>
      <c r="AF451" s="26"/>
      <c r="AG451" s="24"/>
      <c r="AH451" s="24"/>
      <c r="AI451" s="28"/>
      <c r="AJ451" s="28"/>
      <c r="AK451" s="28"/>
      <c r="AL451" s="28"/>
      <c r="AM451" s="28"/>
      <c r="AN451" s="28"/>
      <c r="AO451" s="28"/>
      <c r="AP451" s="28"/>
      <c r="AQ451" s="28"/>
      <c r="AR451" s="28"/>
      <c r="AS451" s="28"/>
      <c r="AT451" s="28"/>
      <c r="AU451" s="28"/>
      <c r="AV451" s="24"/>
      <c r="AW451" s="28"/>
      <c r="AX451" s="28"/>
      <c r="AY451" s="28"/>
      <c r="AZ451" s="28"/>
      <c r="BA451" s="28"/>
      <c r="BB451" s="28"/>
      <c r="BC451" s="24"/>
      <c r="BD451" s="28"/>
      <c r="BE451" s="28"/>
      <c r="BF451" s="28"/>
      <c r="BG451" s="24"/>
      <c r="BH451" s="28"/>
      <c r="BI451" s="28"/>
      <c r="BJ451" s="28"/>
    </row>
    <row r="452" spans="1:62">
      <c r="Z452" s="26"/>
      <c r="AF452" s="26"/>
      <c r="AG452" s="24"/>
      <c r="AH452" s="24"/>
      <c r="AI452" s="28"/>
      <c r="AJ452" s="28"/>
      <c r="AK452" s="28"/>
      <c r="AL452" s="28"/>
      <c r="AM452" s="28"/>
      <c r="AN452" s="28"/>
      <c r="AO452" s="28"/>
      <c r="AP452" s="28"/>
      <c r="AQ452" s="28"/>
      <c r="AR452" s="28"/>
      <c r="AS452" s="28"/>
      <c r="AT452" s="28"/>
      <c r="AU452" s="28"/>
      <c r="AV452" s="24"/>
      <c r="AW452" s="28"/>
      <c r="AX452" s="28"/>
      <c r="AY452" s="28"/>
      <c r="AZ452" s="28"/>
      <c r="BA452" s="28"/>
      <c r="BB452" s="28"/>
      <c r="BC452" s="24"/>
      <c r="BD452" s="28"/>
      <c r="BE452" s="28"/>
      <c r="BF452" s="28"/>
      <c r="BG452" s="24"/>
      <c r="BH452" s="28"/>
      <c r="BI452" s="28"/>
      <c r="BJ452" s="28"/>
    </row>
    <row r="453" spans="1:62">
      <c r="Z453" s="26"/>
      <c r="AF453" s="26"/>
      <c r="AG453" s="24"/>
      <c r="AH453" s="24"/>
      <c r="AI453" s="28"/>
      <c r="AJ453" s="28"/>
      <c r="AK453" s="28"/>
      <c r="AL453" s="28"/>
      <c r="AM453" s="28"/>
      <c r="AN453" s="28"/>
      <c r="AO453" s="28"/>
      <c r="AP453" s="28"/>
      <c r="AQ453" s="28"/>
      <c r="AR453" s="28"/>
      <c r="AS453" s="28"/>
      <c r="AT453" s="28"/>
      <c r="AU453" s="28"/>
      <c r="AV453" s="24"/>
      <c r="AW453" s="28"/>
      <c r="AX453" s="28"/>
      <c r="AY453" s="28"/>
      <c r="AZ453" s="28"/>
      <c r="BA453" s="28"/>
      <c r="BB453" s="28"/>
      <c r="BC453" s="24"/>
      <c r="BD453" s="28"/>
      <c r="BE453" s="28"/>
      <c r="BF453" s="28"/>
      <c r="BG453" s="24"/>
      <c r="BH453" s="28"/>
      <c r="BI453" s="28"/>
      <c r="BJ453" s="28"/>
    </row>
    <row r="454" spans="1:62">
      <c r="Z454" s="26"/>
      <c r="AF454" s="26"/>
      <c r="AG454" s="24"/>
      <c r="AH454" s="24"/>
      <c r="AI454" s="28"/>
      <c r="AJ454" s="28"/>
      <c r="AK454" s="28"/>
      <c r="AL454" s="28"/>
      <c r="AM454" s="28"/>
      <c r="AN454" s="28"/>
      <c r="AO454" s="28"/>
      <c r="AP454" s="28"/>
      <c r="AQ454" s="28"/>
      <c r="AR454" s="28"/>
      <c r="AS454" s="28"/>
      <c r="AT454" s="28"/>
      <c r="AU454" s="28"/>
      <c r="AV454" s="24"/>
      <c r="AW454" s="28"/>
      <c r="AX454" s="28"/>
      <c r="AY454" s="28"/>
      <c r="AZ454" s="28"/>
      <c r="BA454" s="28"/>
      <c r="BB454" s="28"/>
      <c r="BC454" s="24"/>
      <c r="BD454" s="28"/>
      <c r="BE454" s="28"/>
      <c r="BF454" s="28"/>
      <c r="BG454" s="24"/>
      <c r="BH454" s="28"/>
      <c r="BI454" s="28"/>
      <c r="BJ454" s="28"/>
    </row>
    <row r="455" spans="1:62">
      <c r="Z455" s="26"/>
      <c r="AF455" s="26"/>
      <c r="AG455" s="24"/>
      <c r="AH455" s="24"/>
      <c r="AI455" s="28"/>
      <c r="AJ455" s="28"/>
      <c r="AK455" s="28"/>
      <c r="AL455" s="28"/>
      <c r="AM455" s="28"/>
      <c r="AN455" s="28"/>
      <c r="AO455" s="28"/>
      <c r="AP455" s="28"/>
      <c r="AQ455" s="28"/>
      <c r="AR455" s="28"/>
      <c r="AS455" s="28"/>
      <c r="AT455" s="28"/>
      <c r="AU455" s="28"/>
      <c r="AV455" s="24"/>
      <c r="AW455" s="28"/>
      <c r="AX455" s="28"/>
      <c r="AY455" s="28"/>
      <c r="AZ455" s="28"/>
      <c r="BA455" s="28"/>
      <c r="BB455" s="28"/>
      <c r="BC455" s="24"/>
      <c r="BD455" s="28"/>
      <c r="BE455" s="28"/>
      <c r="BF455" s="28"/>
      <c r="BG455" s="24"/>
      <c r="BH455" s="28"/>
      <c r="BI455" s="28"/>
      <c r="BJ455" s="28"/>
    </row>
    <row r="456" spans="1:62">
      <c r="Z456" s="26"/>
      <c r="AF456" s="26"/>
      <c r="AG456" s="24"/>
      <c r="AH456" s="24"/>
      <c r="AI456" s="28"/>
      <c r="AJ456" s="28"/>
      <c r="AK456" s="28"/>
      <c r="AL456" s="28"/>
      <c r="AM456" s="28"/>
      <c r="AN456" s="28"/>
      <c r="AO456" s="28"/>
      <c r="AP456" s="28"/>
      <c r="AQ456" s="28"/>
      <c r="AR456" s="28"/>
      <c r="AS456" s="28"/>
      <c r="AT456" s="28"/>
      <c r="AU456" s="28"/>
      <c r="AV456" s="24"/>
      <c r="AW456" s="28"/>
      <c r="AX456" s="28"/>
      <c r="AY456" s="28"/>
      <c r="AZ456" s="28"/>
      <c r="BA456" s="28"/>
      <c r="BB456" s="28"/>
      <c r="BC456" s="24"/>
      <c r="BD456" s="28"/>
      <c r="BE456" s="28"/>
      <c r="BF456" s="28"/>
      <c r="BG456" s="24"/>
      <c r="BH456" s="28"/>
      <c r="BI456" s="28"/>
      <c r="BJ456" s="28"/>
    </row>
    <row r="457" spans="1:62">
      <c r="Z457" s="26"/>
      <c r="AF457" s="26"/>
      <c r="AG457" s="24"/>
      <c r="AH457" s="24"/>
      <c r="AI457" s="28"/>
      <c r="AJ457" s="28"/>
      <c r="AK457" s="28"/>
      <c r="AL457" s="28"/>
      <c r="AM457" s="28"/>
      <c r="AN457" s="28"/>
      <c r="AO457" s="28"/>
      <c r="AP457" s="28"/>
      <c r="AQ457" s="28"/>
      <c r="AR457" s="28"/>
      <c r="AS457" s="28"/>
      <c r="AT457" s="28"/>
      <c r="AU457" s="28"/>
      <c r="AV457" s="24"/>
      <c r="AW457" s="28"/>
      <c r="AX457" s="28"/>
      <c r="AY457" s="28"/>
      <c r="AZ457" s="28"/>
      <c r="BA457" s="28"/>
      <c r="BB457" s="28"/>
      <c r="BC457" s="24"/>
      <c r="BD457" s="28"/>
      <c r="BE457" s="28"/>
      <c r="BF457" s="28"/>
      <c r="BG457" s="24"/>
      <c r="BH457" s="28"/>
      <c r="BI457" s="28"/>
      <c r="BJ457" s="28"/>
    </row>
  </sheetData>
  <protectedRanges>
    <protectedRange sqref="E91:N99 E19:N27 E31:N39 E43:N51 E55:N63 E67:N75 E79:N87 E7:N15" name="DDR2Data_1L"/>
  </protectedRanges>
  <mergeCells count="2">
    <mergeCell ref="A1:D1"/>
    <mergeCell ref="E1:F1"/>
  </mergeCells>
  <phoneticPr fontId="4" type="noConversion"/>
  <conditionalFormatting sqref="AG19:AR27 AG31:AR39 AG43:AR51 AG55:AR63 AG67:AR75 AG79:AR87 AG7:AR15 AG91:AR99">
    <cfRule type="cellIs" dxfId="22" priority="1" stopIfTrue="1" operator="equal">
      <formula>"Pass"</formula>
    </cfRule>
    <cfRule type="cellIs" dxfId="21" priority="2" stopIfTrue="1" operator="notEqual">
      <formula>"Pass"</formula>
    </cfRule>
  </conditionalFormatting>
  <conditionalFormatting sqref="AE43:AF51 AE19:AF27 AE79:AF87 AE7:AF15 AE31:AF39 AE55:AF63 AE67:AF75 AE91:AF99 Y7:Z15 Y55:Z63 Y43:Z51 Y19:Z27 Y31:Z39 Y79:Z87 Y67:Z75 Y91:Z99">
    <cfRule type="cellIs" priority="3" stopIfTrue="1" operator="equal">
      <formula>"Pass"</formula>
    </cfRule>
    <cfRule type="cellIs" dxfId="20" priority="4" stopIfTrue="1" operator="notEqual">
      <formula>"Pass"</formula>
    </cfRule>
  </conditionalFormatting>
  <conditionalFormatting sqref="S19:T27 S79:T87 S43:T51 S55:T63 S7:T15 S67:T75 S31:T39 S91:T99">
    <cfRule type="cellIs" dxfId="19" priority="5" stopIfTrue="1" operator="greaterThan">
      <formula>4000</formula>
    </cfRule>
    <cfRule type="cellIs" dxfId="18" priority="6" stopIfTrue="1" operator="lessThan">
      <formula>4000</formula>
    </cfRule>
  </conditionalFormatting>
  <conditionalFormatting sqref="A1:AS1">
    <cfRule type="expression" dxfId="17" priority="7" stopIfTrue="1">
      <formula>$E$1 = "Fail"</formula>
    </cfRule>
    <cfRule type="expression" dxfId="16" priority="8" stopIfTrue="1">
      <formula>$E$1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7174" r:id="rId4">
          <objectPr defaultSize="0" autoPict="0" r:id="rId5">
            <anchor moveWithCells="1">
              <from>
                <xdr:col>1</xdr:col>
                <xdr:colOff>114300</xdr:colOff>
                <xdr:row>103</xdr:row>
                <xdr:rowOff>0</xdr:rowOff>
              </from>
              <to>
                <xdr:col>13</xdr:col>
                <xdr:colOff>47625</xdr:colOff>
                <xdr:row>116</xdr:row>
                <xdr:rowOff>161925</xdr:rowOff>
              </to>
            </anchor>
          </objectPr>
        </oleObject>
      </mc:Choice>
      <mc:Fallback>
        <oleObject progId="Visio.Drawing.11" shapeId="7174" r:id="rId4"/>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BM457"/>
  <sheetViews>
    <sheetView zoomScale="75" workbookViewId="0">
      <selection activeCell="AS27" sqref="AS27"/>
    </sheetView>
  </sheetViews>
  <sheetFormatPr defaultColWidth="9.140625"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2" width="12" style="5" customWidth="1"/>
    <col min="13" max="15" width="16.42578125" style="5" customWidth="1"/>
    <col min="16" max="16" width="15.42578125" style="5" customWidth="1"/>
    <col min="17" max="18" width="1.140625" style="6" customWidth="1"/>
    <col min="19" max="19" width="27" style="5" customWidth="1"/>
    <col min="20" max="20" width="27" style="31" customWidth="1"/>
    <col min="21" max="21" width="11.140625" style="6" customWidth="1"/>
    <col min="22" max="22" width="13.5703125" style="6" customWidth="1"/>
    <col min="23" max="23" width="1" style="6" customWidth="1"/>
    <col min="24" max="24" width="13.7109375" style="5" customWidth="1"/>
    <col min="25" max="25" width="14.28515625" style="5" customWidth="1"/>
    <col min="26" max="26" width="1.140625" style="6" customWidth="1"/>
    <col min="27" max="27" width="27" style="5" customWidth="1"/>
    <col min="28" max="28" width="27" style="31" customWidth="1"/>
    <col min="29" max="29" width="11.140625" style="6" customWidth="1"/>
    <col min="30" max="30" width="13.5703125" style="6" customWidth="1"/>
    <col min="31" max="31" width="1" style="6" customWidth="1"/>
    <col min="32" max="32" width="13.7109375" style="5" customWidth="1"/>
    <col min="33" max="33" width="14.28515625" style="5" customWidth="1"/>
    <col min="34" max="34" width="1" style="6" customWidth="1"/>
    <col min="35" max="35" width="14.28515625" style="6" customWidth="1"/>
    <col min="36" max="36" width="13.7109375" style="6" customWidth="1"/>
    <col min="37" max="39" width="14.28515625" style="79" customWidth="1"/>
    <col min="40" max="40" width="15.5703125" style="79" customWidth="1"/>
    <col min="41" max="42" width="14.28515625" style="79" customWidth="1"/>
    <col min="43" max="43" width="27.85546875" style="79" customWidth="1"/>
    <col min="44" max="45" width="18" style="79" customWidth="1"/>
    <col min="46" max="47" width="19.42578125" style="79" customWidth="1"/>
    <col min="48" max="48" width="0.85546875" style="79" customWidth="1"/>
    <col min="49" max="49" width="17.85546875" style="79" customWidth="1"/>
    <col min="50" max="50" width="21.140625" style="79" customWidth="1"/>
    <col min="51" max="51" width="2.140625" style="6" customWidth="1"/>
    <col min="52" max="52" width="11.42578125" style="79" customWidth="1"/>
    <col min="53" max="53" width="11.28515625" style="79" customWidth="1"/>
    <col min="54" max="54" width="16.28515625" style="79" customWidth="1"/>
    <col min="55" max="55" width="11.42578125" style="79" customWidth="1"/>
    <col min="56" max="56" width="11.28515625" style="79" customWidth="1"/>
    <col min="57" max="57" width="16.28515625" style="79" customWidth="1"/>
    <col min="58" max="58" width="11.85546875" style="6" customWidth="1"/>
    <col min="59" max="59" width="11.28515625" style="79" customWidth="1"/>
    <col min="60" max="60" width="11.42578125" style="79" customWidth="1"/>
    <col min="61" max="61" width="16.28515625" style="79" customWidth="1"/>
    <col min="62" max="62" width="12.85546875" style="6" customWidth="1"/>
    <col min="63" max="63" width="11.28515625" style="79" customWidth="1"/>
    <col min="64" max="64" width="11.42578125" style="79" customWidth="1"/>
    <col min="65" max="65" width="16.28515625" style="79" customWidth="1"/>
    <col min="66" max="16384" width="9.140625" style="3"/>
  </cols>
  <sheetData>
    <row r="1" spans="1:65" ht="26.25">
      <c r="A1" s="1322" t="s">
        <v>108</v>
      </c>
      <c r="B1" s="1324"/>
      <c r="C1" s="1324"/>
      <c r="D1" s="1324"/>
      <c r="E1" s="1323" t="e">
        <f ca="1">IF(AND(AX7="Pass",AX19="Pass",AX31="Pass",AX43="Pass",AX55="Pass",AX67="Pass",AX79="Pass"),"Pass","Fail")</f>
        <v>#REF!</v>
      </c>
      <c r="F1" s="1323"/>
      <c r="G1" s="3"/>
      <c r="H1" s="3"/>
      <c r="I1" s="3"/>
      <c r="J1" s="3"/>
      <c r="K1" s="3"/>
      <c r="L1" s="3"/>
      <c r="M1" s="3"/>
      <c r="N1" s="3"/>
      <c r="O1" s="3"/>
      <c r="P1" s="3"/>
      <c r="Q1" s="3"/>
      <c r="AY1" s="79"/>
      <c r="AZ1" s="3"/>
      <c r="BA1" s="3"/>
      <c r="BB1" s="3"/>
      <c r="BC1" s="3"/>
      <c r="BD1" s="3"/>
      <c r="BE1" s="3"/>
      <c r="BF1" s="3"/>
      <c r="BG1" s="3"/>
      <c r="BH1" s="3"/>
      <c r="BI1" s="3"/>
      <c r="BJ1" s="3"/>
      <c r="BK1" s="3"/>
      <c r="BL1" s="3"/>
      <c r="BM1" s="3"/>
    </row>
    <row r="2" spans="1:65" customFormat="1" ht="18">
      <c r="A2" s="96" t="s">
        <v>10</v>
      </c>
      <c r="B2" s="299" t="e">
        <f>'DDR2 Clocks - 2L'!B2</f>
        <v>#REF!</v>
      </c>
      <c r="C2" s="100"/>
      <c r="D2" s="100"/>
      <c r="E2" s="100"/>
      <c r="F2" s="100"/>
      <c r="G2" s="100"/>
      <c r="H2" s="100"/>
      <c r="I2" s="100"/>
      <c r="J2" s="100"/>
      <c r="K2" s="100"/>
      <c r="L2" s="100"/>
      <c r="M2" s="100"/>
      <c r="N2" s="100"/>
      <c r="O2" s="100"/>
      <c r="P2" s="100"/>
      <c r="Q2" s="1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577"/>
      <c r="AX2" s="577"/>
      <c r="AY2" s="577"/>
    </row>
    <row r="3" spans="1:65" s="50" customFormat="1" ht="87.75" customHeight="1">
      <c r="A3" s="101" t="s">
        <v>457</v>
      </c>
      <c r="B3" s="101" t="s">
        <v>474</v>
      </c>
      <c r="C3" s="103" t="s">
        <v>475</v>
      </c>
      <c r="D3" s="103"/>
      <c r="E3" s="102" t="e">
        <f>"Escape       Length L0 ["&amp;$B$2&amp;"]"</f>
        <v>#REF!</v>
      </c>
      <c r="F3" s="102" t="e">
        <f>"Breakout Length L1  ["&amp;$B$2&amp;"]"</f>
        <v>#REF!</v>
      </c>
      <c r="G3" s="102" t="e">
        <f>"Main      Length L2  ["&amp;$B$2&amp;"]"</f>
        <v>#REF!</v>
      </c>
      <c r="H3" s="124" t="e">
        <f>"Stripline Route to Rs L3 ["&amp;$B$2&amp;"]"</f>
        <v>#REF!</v>
      </c>
      <c r="I3" s="124" t="e">
        <f>"Breakin to Rs L4 ["&amp;$B$2&amp;"]"</f>
        <v>#REF!</v>
      </c>
      <c r="J3" s="124" t="e">
        <f>"Rs length ["&amp;$B$2&amp;"]"</f>
        <v>#REF!</v>
      </c>
      <c r="K3" s="124" t="e">
        <f>"Breakout from Rs L5 ["&amp;$B$2&amp;"]"</f>
        <v>#REF!</v>
      </c>
      <c r="L3" s="124" t="e">
        <f>"Stripline between Rs and SDRAM L6 ["&amp;$B$2&amp;"]"</f>
        <v>#REF!</v>
      </c>
      <c r="M3" s="124" t="e">
        <f>"Breakin to SDRAM L7-1 ["&amp;$B$2&amp;"]"</f>
        <v>#REF!</v>
      </c>
      <c r="N3" s="124" t="e">
        <f>"Breakin to SDRAM L7-2 ["&amp;$B$2&amp;"]"</f>
        <v>#REF!</v>
      </c>
      <c r="O3" s="124" t="e">
        <f>"Breakin to SDRAM L8-1 ["&amp;$B$2&amp;"]"</f>
        <v>#REF!</v>
      </c>
      <c r="P3" s="124" t="e">
        <f>"Breakin to SDRAM L8-2 ["&amp;$B$2&amp;"]"</f>
        <v>#REF!</v>
      </c>
      <c r="Q3" s="124"/>
      <c r="R3" s="7"/>
      <c r="S3" s="595" t="e">
        <f>"Total MB Length to SDRAM (L0+L1+L2+L3+L4+Rs+L5+L6+L7-1+L8-1)  ["&amp;$B$2&amp;"]"</f>
        <v>#REF!</v>
      </c>
      <c r="T3" s="595" t="e">
        <f>"Total MB Length to SDRAM (P0+L0+L1+L2+L3+L4+Rs+L5+L6+L7-1+L8-1)  ["&amp;$B$2&amp;"]"</f>
        <v>#REF!</v>
      </c>
      <c r="U3" s="7" t="e">
        <f>"Target Min Length to SDRAM (U1-U4)["&amp;$B$2&amp;"]"</f>
        <v>#REF!</v>
      </c>
      <c r="V3" s="7" t="e">
        <f>"Target Max Length to SDRAM (U1-U4) ["&amp;$B$2&amp;"]"</f>
        <v>#REF!</v>
      </c>
      <c r="W3" s="7"/>
      <c r="X3" s="7" t="e">
        <f>"Length to SDRAM (U1-U4) Routed Too Short  ["&amp;$B$2&amp;"]"</f>
        <v>#REF!</v>
      </c>
      <c r="Y3" s="7" t="e">
        <f>"Length to SDRAM (U1-U4) Routed Too Long  ["&amp;$B$2&amp;"]"</f>
        <v>#REF!</v>
      </c>
      <c r="Z3" s="7"/>
      <c r="AA3" s="595" t="e">
        <f>"Total MB Length to SDRAM (L0+L1+L2+L3+L4+Rs+L5+L6+L7-2+L8-2)  ["&amp;$B$2&amp;"]"</f>
        <v>#REF!</v>
      </c>
      <c r="AB3" s="595" t="e">
        <f>"Total MB Length to SDRAM (P0+L0+L1+L2+L3+L4+Rs+L5+L6+L7-2+L8-2)  ["&amp;$B$2&amp;"]"</f>
        <v>#REF!</v>
      </c>
      <c r="AC3" s="7" t="e">
        <f>"Target Min Length to SDRAM (U5-U8)["&amp;$B$2&amp;"]"</f>
        <v>#REF!</v>
      </c>
      <c r="AD3" s="7" t="e">
        <f>"Target Max Length to SDRAM (U5-U8) ["&amp;$B$2&amp;"]"</f>
        <v>#REF!</v>
      </c>
      <c r="AE3" s="7"/>
      <c r="AF3" s="7" t="e">
        <f>"Length to SDRAM (U5-U8) Routed Too Short  ["&amp;$B$2&amp;"]"</f>
        <v>#REF!</v>
      </c>
      <c r="AG3" s="7" t="e">
        <f>"Length to SDRAM (U5-U8) Routed Too Long ["&amp;$B$2&amp;"]"</f>
        <v>#REF!</v>
      </c>
      <c r="AH3" s="7"/>
      <c r="AI3" s="7" t="e">
        <f>"L0 Length Test (&lt;="&amp;IF($B$2="mil",1,0.0254)*50&amp;$B$2&amp;")"</f>
        <v>#REF!</v>
      </c>
      <c r="AJ3" s="7" t="e">
        <f>"L1 Length Test (&lt;="&amp;IF($B$2="mil",1,0.0254)*500&amp;$B$2&amp;")"</f>
        <v>#REF!</v>
      </c>
      <c r="AK3" s="7" t="e">
        <f>"L2 Length Test (&lt;="&amp;IF($B$2="mil",1,0.0254)*2000&amp;$B$2&amp;" or L2 + L3 &lt;= "&amp;IF($B$2="mil",1,0.0254)*2750&amp;$B$2&amp;")"</f>
        <v>#REF!</v>
      </c>
      <c r="AL3" s="7" t="e">
        <f>"L4 Length Test (&lt;="&amp;IF($B$2="mil",1,0.0254)*125&amp;$B$2&amp;")"</f>
        <v>#REF!</v>
      </c>
      <c r="AM3" s="7" t="e">
        <f>"L5 Length Test (&lt;="&amp;IF($B$2="mil",1,0.0254)*125&amp;$B$2&amp;")"</f>
        <v>#REF!</v>
      </c>
      <c r="AN3" s="7" t="e">
        <f>"L6 Length Test (&lt;="&amp;IF($B$2="mil",1,0.0254)*1200&amp;$B$2&amp;" or L5+L6 &lt;="&amp;IF($B$2="mil",1,0.0254)*1350&amp;$B$2&amp;")"</f>
        <v>#REF!</v>
      </c>
      <c r="AO3" s="7" t="e">
        <f>"L7-1 Length Test (&lt;="&amp;IF($B$2="mil",1,0.0254)*650&amp;$B$2&amp;")"</f>
        <v>#REF!</v>
      </c>
      <c r="AP3" s="7" t="e">
        <f>"L7-2 Length Test (&lt;="&amp;IF($B$2="mil",1,0.0254)*650&amp;$B$2&amp;")"</f>
        <v>#REF!</v>
      </c>
      <c r="AQ3" s="7" t="e">
        <f>"L7 Matching Test (Maximum L7 - Minimum L7 &lt;="&amp;IF($B$2="mil",1,0.0254)*50&amp;IF($B$2="mil","mil","mm")&amp;")"</f>
        <v>#REF!</v>
      </c>
      <c r="AR3" s="7" t="e">
        <f>"L8-1 Length Test (&lt;="&amp;IF($B$2="mil",1,0.0254)*150&amp;$B$2&amp;") or (L7-1+L8-1 &lt;= "&amp;IF($B$2="mil",1,0.0254)*800&amp;$B$2&amp;")"</f>
        <v>#REF!</v>
      </c>
      <c r="AS3" s="7" t="e">
        <f>"L8-2 Length Test (&lt;="&amp;IF($B$2="mil",1,0.0254)*150&amp;$B$2&amp;") or (L7-2+L8-2 &lt;= "&amp;IF($B$2="mil",1,0.0254)*800&amp;$B$2&amp;")"</f>
        <v>#REF!</v>
      </c>
      <c r="AT3" s="7" t="e">
        <f>"Total MB Length to SDRAM (L0+L1+L2+L3+L4+Rs+L5+L6+L7+L8) Test "&amp;IF($B$2="mil","(500-5500mil)","(12.7-114.3mm)")</f>
        <v>#REF!</v>
      </c>
      <c r="AU3" s="7" t="e">
        <f>"Total Length to SDRAM (P0+L0+L1+L2+L3+L4+Rs+L5+L6+L7+L8) Test (&lt;="&amp; IF($B$2="mil","6000mil","127mm")&amp;")"</f>
        <v>#REF!</v>
      </c>
      <c r="AV3" s="7"/>
      <c r="AW3" s="596"/>
      <c r="AX3" s="596"/>
      <c r="AY3" s="596"/>
    </row>
    <row r="4" spans="1:65">
      <c r="A4" s="109" t="s">
        <v>197</v>
      </c>
      <c r="B4" s="485"/>
      <c r="C4" s="126"/>
      <c r="D4" s="10"/>
      <c r="E4" s="10"/>
      <c r="F4" s="23"/>
      <c r="G4" s="9"/>
      <c r="H4" s="9"/>
      <c r="I4" s="9"/>
      <c r="J4" s="9"/>
      <c r="K4" s="9"/>
      <c r="L4" s="9"/>
      <c r="M4" s="9"/>
      <c r="N4" s="9"/>
      <c r="O4" s="9"/>
      <c r="P4" s="10"/>
      <c r="Q4" s="10"/>
      <c r="R4" s="10"/>
      <c r="S4" s="9"/>
      <c r="T4" s="10"/>
      <c r="U4" s="51"/>
      <c r="V4" s="10"/>
      <c r="W4" s="10"/>
      <c r="X4" s="15"/>
      <c r="Y4" s="17"/>
      <c r="Z4" s="10"/>
      <c r="AA4" s="9"/>
      <c r="AB4" s="10"/>
      <c r="AC4" s="51"/>
      <c r="AD4" s="10"/>
      <c r="AE4" s="10"/>
      <c r="AF4" s="15"/>
      <c r="AG4" s="17"/>
      <c r="AH4" s="10"/>
      <c r="AI4" s="17"/>
      <c r="AJ4" s="17"/>
      <c r="AK4" s="16"/>
      <c r="AL4" s="16"/>
      <c r="AM4" s="16"/>
      <c r="AN4" s="16"/>
      <c r="AO4" s="16"/>
      <c r="AP4" s="16"/>
      <c r="AQ4" s="16"/>
      <c r="AR4" s="16"/>
      <c r="AS4" s="16"/>
      <c r="AT4" s="16"/>
      <c r="AU4" s="16"/>
      <c r="AV4" s="12"/>
      <c r="AW4" s="554"/>
      <c r="AX4" s="554"/>
      <c r="AY4" s="554"/>
      <c r="AZ4" s="3"/>
      <c r="BA4" s="3"/>
      <c r="BB4" s="3"/>
      <c r="BC4" s="3"/>
      <c r="BD4" s="3"/>
      <c r="BE4" s="3"/>
      <c r="BF4" s="3"/>
      <c r="BG4" s="3"/>
      <c r="BH4" s="3"/>
      <c r="BI4" s="3"/>
      <c r="BJ4" s="3"/>
      <c r="BK4" s="3"/>
      <c r="BL4" s="3"/>
      <c r="BM4" s="3"/>
    </row>
    <row r="5" spans="1:65">
      <c r="A5" s="118" t="str">
        <f>'DDR2 Strobes - 2x16'!$A$7</f>
        <v>SA_DQS0</v>
      </c>
      <c r="B5" s="130" t="str">
        <f>'DDR2 Strobes - 2x16'!$B$7</f>
        <v>Y25</v>
      </c>
      <c r="C5" s="127"/>
      <c r="D5" s="53"/>
      <c r="E5" s="80"/>
      <c r="F5" s="80"/>
      <c r="G5" s="81"/>
      <c r="H5" s="81"/>
      <c r="I5" s="81"/>
      <c r="J5" s="81"/>
      <c r="K5" s="81"/>
      <c r="L5" s="81"/>
      <c r="M5" s="81"/>
      <c r="N5" s="81"/>
      <c r="O5" s="81"/>
      <c r="P5" s="81"/>
      <c r="Q5" s="81"/>
      <c r="R5" s="58"/>
      <c r="S5" s="81"/>
      <c r="T5" s="58"/>
      <c r="U5" s="58" t="e">
        <f>'DDR2 Strobes - 2x16'!$U$7</f>
        <v>#REF!</v>
      </c>
      <c r="V5" s="58"/>
      <c r="W5" s="58"/>
      <c r="X5" s="58"/>
      <c r="Y5" s="601"/>
      <c r="Z5" s="58"/>
      <c r="AA5" s="81"/>
      <c r="AB5" s="58"/>
      <c r="AC5" s="58" t="e">
        <f>'DDR2 Strobes - 2x16'!$AC$7</f>
        <v>#REF!</v>
      </c>
      <c r="AD5" s="58"/>
      <c r="AE5" s="58"/>
      <c r="AF5" s="58"/>
      <c r="AG5" s="601"/>
      <c r="AH5" s="58"/>
      <c r="AI5" s="601"/>
      <c r="AJ5" s="601"/>
      <c r="AK5" s="601"/>
      <c r="AL5" s="601"/>
      <c r="AM5" s="601"/>
      <c r="AN5" s="601"/>
      <c r="AO5" s="601"/>
      <c r="AP5" s="601"/>
      <c r="AQ5" s="601"/>
      <c r="AR5" s="601"/>
      <c r="AS5" s="601"/>
      <c r="AT5" s="601"/>
      <c r="AU5" s="601"/>
      <c r="AV5" s="58"/>
      <c r="AW5" s="554"/>
      <c r="AX5" s="554"/>
      <c r="AY5" s="554"/>
      <c r="AZ5" s="3"/>
      <c r="BA5" s="3"/>
      <c r="BB5" s="3"/>
      <c r="BC5" s="3"/>
      <c r="BD5" s="3"/>
      <c r="BE5" s="3"/>
      <c r="BF5" s="3"/>
      <c r="BG5" s="3"/>
      <c r="BH5" s="3"/>
      <c r="BI5" s="3"/>
      <c r="BJ5" s="3"/>
      <c r="BK5" s="3"/>
      <c r="BL5" s="3"/>
      <c r="BM5" s="3"/>
    </row>
    <row r="6" spans="1:65">
      <c r="A6" s="118" t="str">
        <f>'DDR2 Strobes - 2x16'!$A$8</f>
        <v>SA_DQS0#</v>
      </c>
      <c r="B6" s="130" t="str">
        <f>'DDR2 Strobes - 2x16'!$B$8</f>
        <v>W24</v>
      </c>
      <c r="C6" s="127"/>
      <c r="D6" s="53"/>
      <c r="E6" s="80"/>
      <c r="F6" s="80"/>
      <c r="G6" s="291"/>
      <c r="H6" s="81"/>
      <c r="I6" s="81"/>
      <c r="J6" s="81"/>
      <c r="K6" s="81"/>
      <c r="L6" s="81"/>
      <c r="M6" s="81"/>
      <c r="N6" s="81"/>
      <c r="O6" s="81"/>
      <c r="P6" s="81"/>
      <c r="Q6" s="81"/>
      <c r="R6" s="58"/>
      <c r="S6" s="602"/>
      <c r="T6" s="603"/>
      <c r="U6" s="58" t="e">
        <f>'DDR2 Strobes - 2x16'!$U$8</f>
        <v>#REF!</v>
      </c>
      <c r="V6" s="58"/>
      <c r="W6" s="58"/>
      <c r="X6" s="58"/>
      <c r="Y6" s="601"/>
      <c r="Z6" s="58"/>
      <c r="AA6" s="602"/>
      <c r="AB6" s="603"/>
      <c r="AC6" s="58" t="e">
        <f>'DDR2 Strobes - 2x16'!$AC$8</f>
        <v>#REF!</v>
      </c>
      <c r="AD6" s="58"/>
      <c r="AE6" s="58"/>
      <c r="AF6" s="58"/>
      <c r="AG6" s="601"/>
      <c r="AH6" s="58"/>
      <c r="AI6" s="601"/>
      <c r="AJ6" s="601"/>
      <c r="AK6" s="604"/>
      <c r="AL6" s="604"/>
      <c r="AM6" s="604"/>
      <c r="AN6" s="604"/>
      <c r="AO6" s="604"/>
      <c r="AP6" s="604"/>
      <c r="AQ6" s="604"/>
      <c r="AR6" s="604"/>
      <c r="AS6" s="604"/>
      <c r="AT6" s="604"/>
      <c r="AU6" s="604"/>
      <c r="AV6" s="58"/>
      <c r="AW6" s="554"/>
      <c r="AX6" s="554"/>
      <c r="AY6" s="554"/>
      <c r="AZ6" s="3"/>
      <c r="BA6" s="3"/>
      <c r="BB6" s="3"/>
      <c r="BC6" s="3"/>
      <c r="BD6" s="3"/>
      <c r="BE6" s="3"/>
      <c r="BF6" s="3"/>
      <c r="BG6" s="3"/>
      <c r="BH6" s="3"/>
      <c r="BI6" s="3"/>
      <c r="BJ6" s="3"/>
      <c r="BK6" s="3"/>
      <c r="BL6" s="3"/>
      <c r="BM6" s="3"/>
    </row>
    <row r="7" spans="1:65">
      <c r="A7" s="633" t="s">
        <v>121</v>
      </c>
      <c r="B7" s="665" t="s">
        <v>513</v>
      </c>
      <c r="C7" s="658">
        <v>385.1968503937008</v>
      </c>
      <c r="D7" s="18"/>
      <c r="E7" s="621">
        <v>22.63</v>
      </c>
      <c r="F7" s="621">
        <v>0</v>
      </c>
      <c r="G7" s="622">
        <v>1165</v>
      </c>
      <c r="H7" s="622">
        <v>779.42</v>
      </c>
      <c r="I7" s="622">
        <v>78</v>
      </c>
      <c r="J7" s="277">
        <v>40</v>
      </c>
      <c r="K7" s="622">
        <v>43.4</v>
      </c>
      <c r="L7" s="622">
        <v>1122.3699999999999</v>
      </c>
      <c r="M7" s="620">
        <v>0</v>
      </c>
      <c r="N7" s="620">
        <v>0</v>
      </c>
      <c r="O7" s="622">
        <v>108.87</v>
      </c>
      <c r="P7" s="622">
        <v>118</v>
      </c>
      <c r="Q7" s="69"/>
      <c r="R7" s="21"/>
      <c r="S7" s="489">
        <f t="shared" ref="S7:S15" si="0">SUM(E7:G7,H7:M7,O7)</f>
        <v>3359.69</v>
      </c>
      <c r="T7" s="489" t="e">
        <f>S7+IF($B$2="mil",1,0.0254)*$C7</f>
        <v>#REF!</v>
      </c>
      <c r="U7" s="489" t="e">
        <f>MAX(U$5:U$6)+IF($B$2="mil",1,0.0254)*DDR2Specs!$E$3</f>
        <v>#REF!</v>
      </c>
      <c r="V7" s="489" t="e">
        <f>MIN(U$5:U$6)+IF($B$2="mil",1,0.0254)*DDR2Specs!$F$3</f>
        <v>#REF!</v>
      </c>
      <c r="W7" s="21"/>
      <c r="X7" s="598" t="e">
        <f t="shared" ref="X7:X15" si="1">IF($T7&lt;$U7,$U7-$T7,"Pass")</f>
        <v>#REF!</v>
      </c>
      <c r="Y7" s="495" t="e">
        <f t="shared" ref="Y7:Y15" si="2">IF($T7&gt;$V7,$T7-$V7,"Pass")</f>
        <v>#REF!</v>
      </c>
      <c r="Z7" s="21"/>
      <c r="AA7" s="489">
        <f t="shared" ref="AA7:AA15" si="3">SUM(E7:G7,H7:L7,N7,P7)</f>
        <v>3368.82</v>
      </c>
      <c r="AB7" s="489" t="e">
        <f>AA7+IF($B$2="mil",1,0.0254)*$C7</f>
        <v>#REF!</v>
      </c>
      <c r="AC7" s="489" t="e">
        <f>MAX(AC$5:AC$6)+IF($B$2="mil",1,0.0254)*DDR2Specs!$E$3</f>
        <v>#REF!</v>
      </c>
      <c r="AD7" s="489" t="e">
        <f>MIN(AC$5:AC$6)+IF($B$2="mil",1,0.0254)*DDR2Specs!$F$3</f>
        <v>#REF!</v>
      </c>
      <c r="AE7" s="21"/>
      <c r="AF7" s="598" t="e">
        <f>IF($AB7&lt;$AC7,$AC7-$AB7,"Pass")</f>
        <v>#REF!</v>
      </c>
      <c r="AG7" s="495" t="e">
        <f>IF($AB7&gt;$AD7,$AB7-$AD7,"Pass")</f>
        <v>#REF!</v>
      </c>
      <c r="AH7" s="21"/>
      <c r="AI7" s="495" t="e">
        <f>IF($E7&lt;=IF($B$2="mil",1,0.0254)*50,"Pass",IF($B$2="mil",1,0.0254)*50-$E7)</f>
        <v>#REF!</v>
      </c>
      <c r="AJ7" s="495" t="e">
        <f>IF($F7&lt;=IF($B$2="mil",1,0.0254)*500,"Pass",IF($B$2="mil",1,0.0254)*500-$F7)</f>
        <v>#REF!</v>
      </c>
      <c r="AK7" s="495" t="e">
        <f t="shared" ref="AK7:AK15" si="4">IF(($G7+$H7)&lt;=IF($B$2="mil",1,0.0254)*2750,"Pass",IF($B$2="mil",1,0.0254)*2750-($G7+D7))</f>
        <v>#REF!</v>
      </c>
      <c r="AL7" s="495" t="e">
        <f t="shared" ref="AL7:AL15" si="5">IF($I7&lt;=IF($B$2="mil",1,0.0254)*125,"Pass",IF($B$2="mil",1,0.0254)*125-$I7)</f>
        <v>#REF!</v>
      </c>
      <c r="AM7" s="495" t="e">
        <f t="shared" ref="AM7:AM15" si="6">IF($K7&lt;=IF($B$2="mil",1,0.0254)*125,"Pass",IF($B$2="mil",1,0.0254)*125-$K7)</f>
        <v>#REF!</v>
      </c>
      <c r="AN7" s="495" t="e">
        <f t="shared" ref="AN7:AN15" si="7">IF(($K7+$L7)&lt;=IF($B$2="mil",1,0.0254)*1350,"Pass",IF($B$2="mil",1,0.0254)*1350-($K7+L7))</f>
        <v>#REF!</v>
      </c>
      <c r="AO7" s="495" t="e">
        <f t="shared" ref="AO7:AO15" si="8">IF($M7&lt;=IF($B$2="mil",1,0.0254)*650,"Pass",IF($B$2="mil",1,0.0254)*650-$M7)</f>
        <v>#REF!</v>
      </c>
      <c r="AP7" s="495" t="e">
        <f t="shared" ref="AP7:AP15" si="9">IF($N7&lt;=IF($B$2="mil",1,0.0254)*650,"Pass",IF($B$2="mil",1,0.0254)*650-$N7)</f>
        <v>#REF!</v>
      </c>
      <c r="AQ7" s="493" t="e">
        <f t="shared" ref="AQ7:AQ15" si="10">IF(MAX(M7:N7)-MIN(M7:N7)&lt;=IF($B$2="mil",1,0.0254)*50,"Pass",MAX(M7:N7)-MIN(M7:N7)-IF($B$2="mil",1,0.0254)*50)</f>
        <v>#REF!</v>
      </c>
      <c r="AR7" s="495" t="e">
        <f t="shared" ref="AR7:AR15" ca="1" si="11">CheckLength2(IF($B$2="mil",1,0.0254)*800,$O7,M7,0)</f>
        <v>#NAME?</v>
      </c>
      <c r="AS7" s="495" t="e">
        <f t="shared" ref="AS7:AS15" ca="1" si="12">CheckLength2(IF($B$2="mil",1,0.0254)*800,$P7,N7,0)</f>
        <v>#NAME?</v>
      </c>
      <c r="AT7" s="495" t="e">
        <f t="shared" ref="AT7:AT15" si="13">IF(AND($S7&gt;=IF($B$2="mil",1,0.0254)*500, $S7&lt;=IF($B$2="mil",1,0.0254)*5500),"Pass",IF($B$2="mil",1,0.0254)*5500-$S7)</f>
        <v>#REF!</v>
      </c>
      <c r="AU7" s="495" t="e">
        <f t="shared" ref="AU7:AU15" si="14">IF(AND($T7&gt;=IF($B$2="mil",1,0.0254)*500, $T7&lt;=IF($B$2="mil",1,0.0254)*6000),"Pass",IF($B$2="mil",1,0.0254)*6000-$T7)</f>
        <v>#REF!</v>
      </c>
      <c r="AV7" s="21"/>
      <c r="AW7" s="688" t="e">
        <f ca="1">IF(AND(AF7="Pass",AG7="Pass",AI7="Pass",AJ7="Pass",AS7="Pass",AN7="Pass",AO7="Pass",AP7="Pass",AQ7="Pass",AR7="Pass",AM7="Pass",AL7="Pass",AK7="Pass",X7="Pass",Y7="Pass",AT7="Pass",AU7="Pass"),"Pass","Fail")</f>
        <v>#REF!</v>
      </c>
      <c r="AX7" s="554" t="e">
        <f ca="1">IF(AND(AW7="Pass",AW8="Pass",AW9="Pass",AW10="Pass",AW11="Pass",AW12="Pass",AW13="Pass",AW14="Pass",AW15="Pass"),"Pass","Fail")</f>
        <v>#REF!</v>
      </c>
      <c r="AY7" s="554"/>
      <c r="AZ7" s="3"/>
      <c r="BA7" s="3"/>
      <c r="BB7" s="3"/>
      <c r="BC7" s="3"/>
      <c r="BD7" s="3"/>
      <c r="BE7" s="3"/>
      <c r="BF7" s="3"/>
      <c r="BG7" s="3"/>
      <c r="BH7" s="3"/>
      <c r="BI7" s="3"/>
      <c r="BJ7" s="3"/>
      <c r="BK7" s="3"/>
      <c r="BL7" s="3"/>
      <c r="BM7" s="3"/>
    </row>
    <row r="8" spans="1:65">
      <c r="A8" s="633" t="s">
        <v>122</v>
      </c>
      <c r="B8" s="665" t="s">
        <v>514</v>
      </c>
      <c r="C8" s="658">
        <v>406.77165354330714</v>
      </c>
      <c r="D8" s="18"/>
      <c r="E8" s="621">
        <v>22.63</v>
      </c>
      <c r="F8" s="621">
        <v>0</v>
      </c>
      <c r="G8" s="622">
        <v>1130</v>
      </c>
      <c r="H8" s="622">
        <v>778.75</v>
      </c>
      <c r="I8" s="622">
        <v>85.78</v>
      </c>
      <c r="J8" s="277">
        <v>40</v>
      </c>
      <c r="K8" s="622">
        <v>44.57</v>
      </c>
      <c r="L8" s="622">
        <v>1205.76</v>
      </c>
      <c r="M8" s="620">
        <v>0</v>
      </c>
      <c r="N8" s="620">
        <v>0</v>
      </c>
      <c r="O8" s="622">
        <v>22.26</v>
      </c>
      <c r="P8" s="622">
        <v>42</v>
      </c>
      <c r="Q8" s="69"/>
      <c r="R8" s="21"/>
      <c r="S8" s="489">
        <f t="shared" si="0"/>
        <v>3329.75</v>
      </c>
      <c r="T8" s="489" t="e">
        <f t="shared" ref="T8:T15" si="15">S8+IF($B$2="mil",1,0.0254)*$C8</f>
        <v>#REF!</v>
      </c>
      <c r="U8" s="489" t="e">
        <f>MAX(U$5:U$6)+IF($B$2="mil",1,0.0254)*DDR2Specs!$E$3</f>
        <v>#REF!</v>
      </c>
      <c r="V8" s="489" t="e">
        <f>MIN(U$5:U$6)+IF($B$2="mil",1,0.0254)*DDR2Specs!$F$3</f>
        <v>#REF!</v>
      </c>
      <c r="W8" s="21"/>
      <c r="X8" s="598" t="e">
        <f t="shared" si="1"/>
        <v>#REF!</v>
      </c>
      <c r="Y8" s="495" t="e">
        <f t="shared" si="2"/>
        <v>#REF!</v>
      </c>
      <c r="Z8" s="21"/>
      <c r="AA8" s="489">
        <f t="shared" si="3"/>
        <v>3349.49</v>
      </c>
      <c r="AB8" s="489" t="e">
        <f t="shared" ref="AB8:AB15" si="16">AA8+IF($B$2="mil",1,0.0254)*$C8</f>
        <v>#REF!</v>
      </c>
      <c r="AC8" s="489" t="e">
        <f>MAX(AC$5:AC$6)+IF($B$2="mil",1,0.0254)*DDR2Specs!$E$3</f>
        <v>#REF!</v>
      </c>
      <c r="AD8" s="489" t="e">
        <f>MIN(AC$5:AC$6)+IF($B$2="mil",1,0.0254)*DDR2Specs!$F$3</f>
        <v>#REF!</v>
      </c>
      <c r="AE8" s="21"/>
      <c r="AF8" s="598" t="e">
        <f t="shared" ref="AF8:AF15" si="17">IF($AB8&lt;$AC8,$AC8-$AB8,"Pass")</f>
        <v>#REF!</v>
      </c>
      <c r="AG8" s="495" t="e">
        <f t="shared" ref="AG8:AG15" si="18">IF($AB8&gt;$AD8,$AB8-$AD8,"Pass")</f>
        <v>#REF!</v>
      </c>
      <c r="AH8" s="21"/>
      <c r="AI8" s="495" t="e">
        <f t="shared" ref="AI8:AI15" si="19">IF($E8&lt;=IF($B$2="mil",1,0.0254)*50,"Pass",IF($B$2="mil",1,0.0254)*50-$E8)</f>
        <v>#REF!</v>
      </c>
      <c r="AJ8" s="495" t="e">
        <f t="shared" ref="AJ8:AJ15" si="20">IF($F8&lt;=IF($B$2="mil",1,0.0254)*500,"Pass",IF($B$2="mil",1,0.0254)*500-$F8)</f>
        <v>#REF!</v>
      </c>
      <c r="AK8" s="495" t="e">
        <f t="shared" si="4"/>
        <v>#REF!</v>
      </c>
      <c r="AL8" s="495" t="e">
        <f t="shared" si="5"/>
        <v>#REF!</v>
      </c>
      <c r="AM8" s="495" t="e">
        <f t="shared" si="6"/>
        <v>#REF!</v>
      </c>
      <c r="AN8" s="495" t="e">
        <f t="shared" si="7"/>
        <v>#REF!</v>
      </c>
      <c r="AO8" s="495" t="e">
        <f t="shared" si="8"/>
        <v>#REF!</v>
      </c>
      <c r="AP8" s="495" t="e">
        <f t="shared" si="9"/>
        <v>#REF!</v>
      </c>
      <c r="AQ8" s="493" t="e">
        <f t="shared" si="10"/>
        <v>#REF!</v>
      </c>
      <c r="AR8" s="495" t="e">
        <f t="shared" ca="1" si="11"/>
        <v>#NAME?</v>
      </c>
      <c r="AS8" s="495" t="e">
        <f t="shared" ca="1" si="12"/>
        <v>#NAME?</v>
      </c>
      <c r="AT8" s="495" t="e">
        <f t="shared" si="13"/>
        <v>#REF!</v>
      </c>
      <c r="AU8" s="495" t="e">
        <f t="shared" si="14"/>
        <v>#REF!</v>
      </c>
      <c r="AV8" s="21"/>
      <c r="AW8" s="688" t="e">
        <f t="shared" ref="AW8:AW15" ca="1" si="21">IF(AND(AF8="Pass",AG8="Pass",AI8="Pass",AJ8="Pass",AS8="Pass",AN8="Pass",AO8="Pass",AP8="Pass",AQ8="Pass",AR8="Pass",AM8="Pass",AL8="Pass",AK8="Pass",X8="Pass",Y8="Pass",AT8="Pass",AU8="Pass"),"Pass","Fail")</f>
        <v>#REF!</v>
      </c>
      <c r="AX8" s="554"/>
      <c r="AY8" s="554"/>
      <c r="AZ8" s="3"/>
      <c r="BA8" s="3"/>
      <c r="BB8" s="3"/>
      <c r="BC8" s="3"/>
      <c r="BD8" s="3"/>
      <c r="BE8" s="3"/>
      <c r="BF8" s="3"/>
      <c r="BG8" s="3"/>
      <c r="BH8" s="3"/>
      <c r="BI8" s="3"/>
      <c r="BJ8" s="3"/>
      <c r="BK8" s="3"/>
      <c r="BL8" s="3"/>
      <c r="BM8" s="3"/>
    </row>
    <row r="9" spans="1:65">
      <c r="A9" s="633" t="s">
        <v>123</v>
      </c>
      <c r="B9" s="665" t="s">
        <v>515</v>
      </c>
      <c r="C9" s="658">
        <v>432.40157480314963</v>
      </c>
      <c r="D9" s="18"/>
      <c r="E9" s="621">
        <v>22.63</v>
      </c>
      <c r="F9" s="621">
        <v>0</v>
      </c>
      <c r="G9" s="622">
        <v>1050</v>
      </c>
      <c r="H9" s="622">
        <v>845</v>
      </c>
      <c r="I9" s="622">
        <v>29.57</v>
      </c>
      <c r="J9" s="277">
        <v>40</v>
      </c>
      <c r="K9" s="622">
        <v>85.78</v>
      </c>
      <c r="L9" s="622">
        <v>1188.58</v>
      </c>
      <c r="M9" s="620">
        <v>0</v>
      </c>
      <c r="N9" s="620">
        <v>0</v>
      </c>
      <c r="O9" s="622">
        <v>40.630000000000003</v>
      </c>
      <c r="P9" s="622">
        <v>60</v>
      </c>
      <c r="Q9" s="69"/>
      <c r="R9" s="21"/>
      <c r="S9" s="489">
        <f t="shared" si="0"/>
        <v>3302.19</v>
      </c>
      <c r="T9" s="489" t="e">
        <f t="shared" si="15"/>
        <v>#REF!</v>
      </c>
      <c r="U9" s="489" t="e">
        <f>MAX(U$5:U$6)+IF($B$2="mil",1,0.0254)*DDR2Specs!$E$3</f>
        <v>#REF!</v>
      </c>
      <c r="V9" s="489" t="e">
        <f>MIN(U$5:U$6)+IF($B$2="mil",1,0.0254)*DDR2Specs!$F$3</f>
        <v>#REF!</v>
      </c>
      <c r="W9" s="21"/>
      <c r="X9" s="598" t="e">
        <f t="shared" si="1"/>
        <v>#REF!</v>
      </c>
      <c r="Y9" s="495" t="e">
        <f t="shared" si="2"/>
        <v>#REF!</v>
      </c>
      <c r="Z9" s="21"/>
      <c r="AA9" s="489">
        <f t="shared" si="3"/>
        <v>3321.56</v>
      </c>
      <c r="AB9" s="489" t="e">
        <f t="shared" si="16"/>
        <v>#REF!</v>
      </c>
      <c r="AC9" s="489" t="e">
        <f>MAX(AC$5:AC$6)+IF($B$2="mil",1,0.0254)*DDR2Specs!$E$3</f>
        <v>#REF!</v>
      </c>
      <c r="AD9" s="489" t="e">
        <f>MIN(AC$5:AC$6)+IF($B$2="mil",1,0.0254)*DDR2Specs!$F$3</f>
        <v>#REF!</v>
      </c>
      <c r="AE9" s="21"/>
      <c r="AF9" s="598" t="e">
        <f t="shared" si="17"/>
        <v>#REF!</v>
      </c>
      <c r="AG9" s="495" t="e">
        <f t="shared" si="18"/>
        <v>#REF!</v>
      </c>
      <c r="AH9" s="21"/>
      <c r="AI9" s="495" t="e">
        <f t="shared" si="19"/>
        <v>#REF!</v>
      </c>
      <c r="AJ9" s="495" t="e">
        <f t="shared" si="20"/>
        <v>#REF!</v>
      </c>
      <c r="AK9" s="495" t="e">
        <f t="shared" si="4"/>
        <v>#REF!</v>
      </c>
      <c r="AL9" s="495" t="e">
        <f t="shared" si="5"/>
        <v>#REF!</v>
      </c>
      <c r="AM9" s="495" t="e">
        <f t="shared" si="6"/>
        <v>#REF!</v>
      </c>
      <c r="AN9" s="495" t="e">
        <f t="shared" si="7"/>
        <v>#REF!</v>
      </c>
      <c r="AO9" s="495" t="e">
        <f t="shared" si="8"/>
        <v>#REF!</v>
      </c>
      <c r="AP9" s="495" t="e">
        <f t="shared" si="9"/>
        <v>#REF!</v>
      </c>
      <c r="AQ9" s="493" t="e">
        <f t="shared" si="10"/>
        <v>#REF!</v>
      </c>
      <c r="AR9" s="495" t="e">
        <f t="shared" ca="1" si="11"/>
        <v>#NAME?</v>
      </c>
      <c r="AS9" s="495" t="e">
        <f t="shared" ca="1" si="12"/>
        <v>#NAME?</v>
      </c>
      <c r="AT9" s="495" t="e">
        <f t="shared" si="13"/>
        <v>#REF!</v>
      </c>
      <c r="AU9" s="495" t="e">
        <f t="shared" si="14"/>
        <v>#REF!</v>
      </c>
      <c r="AV9" s="21"/>
      <c r="AW9" s="688" t="e">
        <f t="shared" ca="1" si="21"/>
        <v>#REF!</v>
      </c>
      <c r="AX9" s="554"/>
      <c r="AY9" s="554"/>
      <c r="AZ9" s="3"/>
      <c r="BA9" s="3"/>
      <c r="BB9" s="3"/>
      <c r="BC9" s="3"/>
      <c r="BD9" s="3"/>
      <c r="BE9" s="3"/>
      <c r="BF9" s="3"/>
      <c r="BG9" s="3"/>
      <c r="BH9" s="3"/>
      <c r="BI9" s="3"/>
      <c r="BJ9" s="3"/>
      <c r="BK9" s="3"/>
      <c r="BL9" s="3"/>
      <c r="BM9" s="3"/>
    </row>
    <row r="10" spans="1:65">
      <c r="A10" s="633" t="s">
        <v>124</v>
      </c>
      <c r="B10" s="665" t="s">
        <v>511</v>
      </c>
      <c r="C10" s="658">
        <v>395.82677165354335</v>
      </c>
      <c r="D10" s="18"/>
      <c r="E10" s="621">
        <v>22.63</v>
      </c>
      <c r="F10" s="621">
        <v>0</v>
      </c>
      <c r="G10" s="622">
        <v>1150</v>
      </c>
      <c r="H10" s="622">
        <v>770.06</v>
      </c>
      <c r="I10" s="622">
        <v>85.78</v>
      </c>
      <c r="J10" s="277">
        <v>40</v>
      </c>
      <c r="K10" s="622">
        <v>44.57</v>
      </c>
      <c r="L10" s="622">
        <v>1215.22</v>
      </c>
      <c r="M10" s="620">
        <v>0</v>
      </c>
      <c r="N10" s="620">
        <v>0</v>
      </c>
      <c r="O10" s="622">
        <v>22.25</v>
      </c>
      <c r="P10" s="622">
        <v>32</v>
      </c>
      <c r="Q10" s="69"/>
      <c r="R10" s="21"/>
      <c r="S10" s="489">
        <f t="shared" si="0"/>
        <v>3350.51</v>
      </c>
      <c r="T10" s="489" t="e">
        <f t="shared" si="15"/>
        <v>#REF!</v>
      </c>
      <c r="U10" s="489" t="e">
        <f>MAX(U$5:U$6)+IF($B$2="mil",1,0.0254)*DDR2Specs!$E$3</f>
        <v>#REF!</v>
      </c>
      <c r="V10" s="489" t="e">
        <f>MIN(U$5:U$6)+IF($B$2="mil",1,0.0254)*DDR2Specs!$F$3</f>
        <v>#REF!</v>
      </c>
      <c r="W10" s="21"/>
      <c r="X10" s="598" t="e">
        <f t="shared" si="1"/>
        <v>#REF!</v>
      </c>
      <c r="Y10" s="495" t="e">
        <f t="shared" si="2"/>
        <v>#REF!</v>
      </c>
      <c r="Z10" s="21"/>
      <c r="AA10" s="489">
        <f t="shared" si="3"/>
        <v>3360.26</v>
      </c>
      <c r="AB10" s="489" t="e">
        <f t="shared" si="16"/>
        <v>#REF!</v>
      </c>
      <c r="AC10" s="489" t="e">
        <f>MAX(AC$5:AC$6)+IF($B$2="mil",1,0.0254)*DDR2Specs!$E$3</f>
        <v>#REF!</v>
      </c>
      <c r="AD10" s="489" t="e">
        <f>MIN(AC$5:AC$6)+IF($B$2="mil",1,0.0254)*DDR2Specs!$F$3</f>
        <v>#REF!</v>
      </c>
      <c r="AE10" s="21"/>
      <c r="AF10" s="598" t="e">
        <f t="shared" si="17"/>
        <v>#REF!</v>
      </c>
      <c r="AG10" s="495" t="e">
        <f t="shared" si="18"/>
        <v>#REF!</v>
      </c>
      <c r="AH10" s="21"/>
      <c r="AI10" s="495" t="e">
        <f t="shared" si="19"/>
        <v>#REF!</v>
      </c>
      <c r="AJ10" s="495" t="e">
        <f t="shared" si="20"/>
        <v>#REF!</v>
      </c>
      <c r="AK10" s="495" t="e">
        <f t="shared" si="4"/>
        <v>#REF!</v>
      </c>
      <c r="AL10" s="495" t="e">
        <f t="shared" si="5"/>
        <v>#REF!</v>
      </c>
      <c r="AM10" s="495" t="e">
        <f t="shared" si="6"/>
        <v>#REF!</v>
      </c>
      <c r="AN10" s="495" t="e">
        <f t="shared" si="7"/>
        <v>#REF!</v>
      </c>
      <c r="AO10" s="495" t="e">
        <f t="shared" si="8"/>
        <v>#REF!</v>
      </c>
      <c r="AP10" s="495" t="e">
        <f t="shared" si="9"/>
        <v>#REF!</v>
      </c>
      <c r="AQ10" s="493" t="e">
        <f t="shared" si="10"/>
        <v>#REF!</v>
      </c>
      <c r="AR10" s="495" t="e">
        <f t="shared" ca="1" si="11"/>
        <v>#NAME?</v>
      </c>
      <c r="AS10" s="495" t="e">
        <f t="shared" ca="1" si="12"/>
        <v>#NAME?</v>
      </c>
      <c r="AT10" s="495" t="e">
        <f t="shared" si="13"/>
        <v>#REF!</v>
      </c>
      <c r="AU10" s="495" t="e">
        <f t="shared" si="14"/>
        <v>#REF!</v>
      </c>
      <c r="AV10" s="21"/>
      <c r="AW10" s="688" t="e">
        <f t="shared" ca="1" si="21"/>
        <v>#REF!</v>
      </c>
      <c r="AX10" s="554"/>
      <c r="AY10" s="554"/>
      <c r="AZ10" s="3"/>
      <c r="BA10" s="3"/>
      <c r="BB10" s="3"/>
      <c r="BC10" s="3"/>
      <c r="BD10" s="3"/>
      <c r="BE10" s="3"/>
      <c r="BF10" s="3"/>
      <c r="BG10" s="3"/>
      <c r="BH10" s="3"/>
      <c r="BI10" s="3"/>
      <c r="BJ10" s="3"/>
      <c r="BK10" s="3"/>
      <c r="BL10" s="3"/>
      <c r="BM10" s="3"/>
    </row>
    <row r="11" spans="1:65">
      <c r="A11" s="633" t="s">
        <v>125</v>
      </c>
      <c r="B11" s="665" t="s">
        <v>512</v>
      </c>
      <c r="C11" s="658">
        <v>371.81102362204729</v>
      </c>
      <c r="D11" s="18"/>
      <c r="E11" s="621">
        <v>22.63</v>
      </c>
      <c r="F11" s="621">
        <v>0</v>
      </c>
      <c r="G11" s="622">
        <v>1085</v>
      </c>
      <c r="H11" s="622">
        <v>780.58</v>
      </c>
      <c r="I11" s="622">
        <v>105</v>
      </c>
      <c r="J11" s="277">
        <v>40</v>
      </c>
      <c r="K11" s="622">
        <v>44.71</v>
      </c>
      <c r="L11" s="622">
        <v>1229.5899999999999</v>
      </c>
      <c r="M11" s="620">
        <v>0</v>
      </c>
      <c r="N11" s="620">
        <v>0</v>
      </c>
      <c r="O11" s="622">
        <v>65.11</v>
      </c>
      <c r="P11" s="622">
        <v>75</v>
      </c>
      <c r="Q11" s="69"/>
      <c r="R11" s="21"/>
      <c r="S11" s="489">
        <f t="shared" si="0"/>
        <v>3372.6200000000003</v>
      </c>
      <c r="T11" s="489" t="e">
        <f t="shared" si="15"/>
        <v>#REF!</v>
      </c>
      <c r="U11" s="489" t="e">
        <f>MAX(U$5:U$6)+IF($B$2="mil",1,0.0254)*DDR2Specs!$E$3</f>
        <v>#REF!</v>
      </c>
      <c r="V11" s="489" t="e">
        <f>MIN(U$5:U$6)+IF($B$2="mil",1,0.0254)*DDR2Specs!$F$3</f>
        <v>#REF!</v>
      </c>
      <c r="W11" s="21"/>
      <c r="X11" s="598" t="e">
        <f t="shared" si="1"/>
        <v>#REF!</v>
      </c>
      <c r="Y11" s="495" t="e">
        <f t="shared" si="2"/>
        <v>#REF!</v>
      </c>
      <c r="Z11" s="21"/>
      <c r="AA11" s="489">
        <f t="shared" si="3"/>
        <v>3382.51</v>
      </c>
      <c r="AB11" s="489" t="e">
        <f t="shared" si="16"/>
        <v>#REF!</v>
      </c>
      <c r="AC11" s="489" t="e">
        <f>MAX(AC$5:AC$6)+IF($B$2="mil",1,0.0254)*DDR2Specs!$E$3</f>
        <v>#REF!</v>
      </c>
      <c r="AD11" s="489" t="e">
        <f>MIN(AC$5:AC$6)+IF($B$2="mil",1,0.0254)*DDR2Specs!$F$3</f>
        <v>#REF!</v>
      </c>
      <c r="AE11" s="21"/>
      <c r="AF11" s="598" t="e">
        <f t="shared" si="17"/>
        <v>#REF!</v>
      </c>
      <c r="AG11" s="495" t="e">
        <f t="shared" si="18"/>
        <v>#REF!</v>
      </c>
      <c r="AH11" s="21"/>
      <c r="AI11" s="495" t="e">
        <f t="shared" si="19"/>
        <v>#REF!</v>
      </c>
      <c r="AJ11" s="495" t="e">
        <f t="shared" si="20"/>
        <v>#REF!</v>
      </c>
      <c r="AK11" s="495" t="e">
        <f t="shared" si="4"/>
        <v>#REF!</v>
      </c>
      <c r="AL11" s="495" t="e">
        <f t="shared" si="5"/>
        <v>#REF!</v>
      </c>
      <c r="AM11" s="495" t="e">
        <f t="shared" si="6"/>
        <v>#REF!</v>
      </c>
      <c r="AN11" s="495" t="e">
        <f t="shared" si="7"/>
        <v>#REF!</v>
      </c>
      <c r="AO11" s="495" t="e">
        <f t="shared" si="8"/>
        <v>#REF!</v>
      </c>
      <c r="AP11" s="495" t="e">
        <f t="shared" si="9"/>
        <v>#REF!</v>
      </c>
      <c r="AQ11" s="493" t="e">
        <f t="shared" si="10"/>
        <v>#REF!</v>
      </c>
      <c r="AR11" s="495" t="e">
        <f t="shared" ca="1" si="11"/>
        <v>#NAME?</v>
      </c>
      <c r="AS11" s="495" t="e">
        <f t="shared" ca="1" si="12"/>
        <v>#NAME?</v>
      </c>
      <c r="AT11" s="495" t="e">
        <f t="shared" si="13"/>
        <v>#REF!</v>
      </c>
      <c r="AU11" s="495" t="e">
        <f t="shared" si="14"/>
        <v>#REF!</v>
      </c>
      <c r="AV11" s="21"/>
      <c r="AW11" s="688" t="e">
        <f t="shared" ca="1" si="21"/>
        <v>#REF!</v>
      </c>
      <c r="AX11" s="554"/>
      <c r="AY11" s="554"/>
      <c r="AZ11" s="3"/>
      <c r="BA11" s="3"/>
      <c r="BB11" s="3"/>
      <c r="BC11" s="3"/>
      <c r="BD11" s="3"/>
      <c r="BE11" s="3"/>
      <c r="BF11" s="3"/>
      <c r="BG11" s="3"/>
      <c r="BH11" s="3"/>
      <c r="BI11" s="3"/>
      <c r="BJ11" s="3"/>
      <c r="BK11" s="3"/>
      <c r="BL11" s="3"/>
      <c r="BM11" s="3"/>
    </row>
    <row r="12" spans="1:65">
      <c r="A12" s="633" t="s">
        <v>126</v>
      </c>
      <c r="B12" s="665" t="s">
        <v>510</v>
      </c>
      <c r="C12" s="658">
        <v>392.75590551181108</v>
      </c>
      <c r="D12" s="18"/>
      <c r="E12" s="621">
        <v>22.63</v>
      </c>
      <c r="F12" s="621">
        <v>0</v>
      </c>
      <c r="G12" s="622">
        <v>1116</v>
      </c>
      <c r="H12" s="622">
        <v>773.45</v>
      </c>
      <c r="I12" s="622">
        <v>96.14</v>
      </c>
      <c r="J12" s="277">
        <v>40</v>
      </c>
      <c r="K12" s="622">
        <v>85.78</v>
      </c>
      <c r="L12" s="622">
        <v>1188.45</v>
      </c>
      <c r="M12" s="620">
        <v>0</v>
      </c>
      <c r="N12" s="620">
        <v>0</v>
      </c>
      <c r="O12" s="622">
        <v>22.3</v>
      </c>
      <c r="P12" s="622">
        <v>45</v>
      </c>
      <c r="Q12" s="69"/>
      <c r="R12" s="21"/>
      <c r="S12" s="489">
        <f t="shared" si="0"/>
        <v>3344.7500000000009</v>
      </c>
      <c r="T12" s="489" t="e">
        <f t="shared" si="15"/>
        <v>#REF!</v>
      </c>
      <c r="U12" s="489" t="e">
        <f>MAX(U$5:U$6)+IF($B$2="mil",1,0.0254)*DDR2Specs!$E$3</f>
        <v>#REF!</v>
      </c>
      <c r="V12" s="489" t="e">
        <f>MIN(U$5:U$6)+IF($B$2="mil",1,0.0254)*DDR2Specs!$F$3</f>
        <v>#REF!</v>
      </c>
      <c r="W12" s="21"/>
      <c r="X12" s="598" t="e">
        <f t="shared" si="1"/>
        <v>#REF!</v>
      </c>
      <c r="Y12" s="495" t="e">
        <f t="shared" si="2"/>
        <v>#REF!</v>
      </c>
      <c r="Z12" s="21"/>
      <c r="AA12" s="489">
        <f t="shared" si="3"/>
        <v>3367.4500000000007</v>
      </c>
      <c r="AB12" s="489" t="e">
        <f t="shared" si="16"/>
        <v>#REF!</v>
      </c>
      <c r="AC12" s="489" t="e">
        <f>MAX(AC$5:AC$6)+IF($B$2="mil",1,0.0254)*DDR2Specs!$E$3</f>
        <v>#REF!</v>
      </c>
      <c r="AD12" s="489" t="e">
        <f>MIN(AC$5:AC$6)+IF($B$2="mil",1,0.0254)*DDR2Specs!$F$3</f>
        <v>#REF!</v>
      </c>
      <c r="AE12" s="21"/>
      <c r="AF12" s="598" t="e">
        <f t="shared" si="17"/>
        <v>#REF!</v>
      </c>
      <c r="AG12" s="495" t="e">
        <f t="shared" si="18"/>
        <v>#REF!</v>
      </c>
      <c r="AH12" s="21"/>
      <c r="AI12" s="495" t="e">
        <f t="shared" si="19"/>
        <v>#REF!</v>
      </c>
      <c r="AJ12" s="495" t="e">
        <f t="shared" si="20"/>
        <v>#REF!</v>
      </c>
      <c r="AK12" s="495" t="e">
        <f t="shared" si="4"/>
        <v>#REF!</v>
      </c>
      <c r="AL12" s="495" t="e">
        <f t="shared" si="5"/>
        <v>#REF!</v>
      </c>
      <c r="AM12" s="495" t="e">
        <f t="shared" si="6"/>
        <v>#REF!</v>
      </c>
      <c r="AN12" s="495" t="e">
        <f t="shared" si="7"/>
        <v>#REF!</v>
      </c>
      <c r="AO12" s="495" t="e">
        <f t="shared" si="8"/>
        <v>#REF!</v>
      </c>
      <c r="AP12" s="495" t="e">
        <f t="shared" si="9"/>
        <v>#REF!</v>
      </c>
      <c r="AQ12" s="493" t="e">
        <f t="shared" si="10"/>
        <v>#REF!</v>
      </c>
      <c r="AR12" s="495" t="e">
        <f t="shared" ca="1" si="11"/>
        <v>#NAME?</v>
      </c>
      <c r="AS12" s="495" t="e">
        <f t="shared" ca="1" si="12"/>
        <v>#NAME?</v>
      </c>
      <c r="AT12" s="495" t="e">
        <f t="shared" si="13"/>
        <v>#REF!</v>
      </c>
      <c r="AU12" s="495" t="e">
        <f t="shared" si="14"/>
        <v>#REF!</v>
      </c>
      <c r="AV12" s="21"/>
      <c r="AW12" s="688" t="e">
        <f t="shared" ca="1" si="21"/>
        <v>#REF!</v>
      </c>
      <c r="AX12" s="554"/>
      <c r="AY12" s="554"/>
      <c r="AZ12" s="3"/>
      <c r="BA12" s="3"/>
      <c r="BB12" s="3"/>
      <c r="BC12" s="3"/>
      <c r="BD12" s="3"/>
      <c r="BE12" s="3"/>
      <c r="BF12" s="3"/>
      <c r="BG12" s="3"/>
      <c r="BH12" s="3"/>
      <c r="BI12" s="3"/>
      <c r="BJ12" s="3"/>
      <c r="BK12" s="3"/>
      <c r="BL12" s="3"/>
      <c r="BM12" s="3"/>
    </row>
    <row r="13" spans="1:65">
      <c r="A13" s="633" t="s">
        <v>127</v>
      </c>
      <c r="B13" s="665" t="s">
        <v>343</v>
      </c>
      <c r="C13" s="658">
        <v>348.07086614173227</v>
      </c>
      <c r="D13" s="18"/>
      <c r="E13" s="621">
        <v>22.63</v>
      </c>
      <c r="F13" s="621">
        <v>0</v>
      </c>
      <c r="G13" s="622">
        <v>1175</v>
      </c>
      <c r="H13" s="622">
        <v>829.71</v>
      </c>
      <c r="I13" s="622">
        <v>44.57</v>
      </c>
      <c r="J13" s="277">
        <v>40</v>
      </c>
      <c r="K13" s="622">
        <v>85.78</v>
      </c>
      <c r="L13" s="622">
        <v>1176.25</v>
      </c>
      <c r="M13" s="620">
        <v>0</v>
      </c>
      <c r="N13" s="620">
        <v>0</v>
      </c>
      <c r="O13" s="622">
        <v>25.06</v>
      </c>
      <c r="P13" s="622">
        <v>35</v>
      </c>
      <c r="Q13" s="69"/>
      <c r="R13" s="21"/>
      <c r="S13" s="489">
        <f t="shared" si="0"/>
        <v>3399.0000000000005</v>
      </c>
      <c r="T13" s="489" t="e">
        <f t="shared" si="15"/>
        <v>#REF!</v>
      </c>
      <c r="U13" s="489" t="e">
        <f>MAX(U$5:U$6)+IF($B$2="mil",1,0.0254)*DDR2Specs!$E$3</f>
        <v>#REF!</v>
      </c>
      <c r="V13" s="489" t="e">
        <f>MIN(U$5:U$6)+IF($B$2="mil",1,0.0254)*DDR2Specs!$F$3</f>
        <v>#REF!</v>
      </c>
      <c r="W13" s="21"/>
      <c r="X13" s="598" t="e">
        <f t="shared" si="1"/>
        <v>#REF!</v>
      </c>
      <c r="Y13" s="495" t="e">
        <f t="shared" si="2"/>
        <v>#REF!</v>
      </c>
      <c r="Z13" s="21"/>
      <c r="AA13" s="489">
        <f t="shared" si="3"/>
        <v>3408.9400000000005</v>
      </c>
      <c r="AB13" s="489" t="e">
        <f t="shared" si="16"/>
        <v>#REF!</v>
      </c>
      <c r="AC13" s="489" t="e">
        <f>MAX(AC$5:AC$6)+IF($B$2="mil",1,0.0254)*DDR2Specs!$E$3</f>
        <v>#REF!</v>
      </c>
      <c r="AD13" s="489" t="e">
        <f>MIN(AC$5:AC$6)+IF($B$2="mil",1,0.0254)*DDR2Specs!$F$3</f>
        <v>#REF!</v>
      </c>
      <c r="AE13" s="21"/>
      <c r="AF13" s="598" t="e">
        <f t="shared" si="17"/>
        <v>#REF!</v>
      </c>
      <c r="AG13" s="495" t="e">
        <f t="shared" si="18"/>
        <v>#REF!</v>
      </c>
      <c r="AH13" s="21"/>
      <c r="AI13" s="495" t="e">
        <f t="shared" si="19"/>
        <v>#REF!</v>
      </c>
      <c r="AJ13" s="495" t="e">
        <f t="shared" si="20"/>
        <v>#REF!</v>
      </c>
      <c r="AK13" s="495" t="e">
        <f t="shared" si="4"/>
        <v>#REF!</v>
      </c>
      <c r="AL13" s="495" t="e">
        <f t="shared" si="5"/>
        <v>#REF!</v>
      </c>
      <c r="AM13" s="495" t="e">
        <f t="shared" si="6"/>
        <v>#REF!</v>
      </c>
      <c r="AN13" s="495" t="e">
        <f t="shared" si="7"/>
        <v>#REF!</v>
      </c>
      <c r="AO13" s="495" t="e">
        <f t="shared" si="8"/>
        <v>#REF!</v>
      </c>
      <c r="AP13" s="495" t="e">
        <f t="shared" si="9"/>
        <v>#REF!</v>
      </c>
      <c r="AQ13" s="493" t="e">
        <f t="shared" si="10"/>
        <v>#REF!</v>
      </c>
      <c r="AR13" s="495" t="e">
        <f t="shared" ca="1" si="11"/>
        <v>#NAME?</v>
      </c>
      <c r="AS13" s="495" t="e">
        <f t="shared" ca="1" si="12"/>
        <v>#NAME?</v>
      </c>
      <c r="AT13" s="495" t="e">
        <f t="shared" si="13"/>
        <v>#REF!</v>
      </c>
      <c r="AU13" s="495" t="e">
        <f t="shared" si="14"/>
        <v>#REF!</v>
      </c>
      <c r="AV13" s="21"/>
      <c r="AW13" s="688" t="e">
        <f t="shared" ca="1" si="21"/>
        <v>#REF!</v>
      </c>
      <c r="AX13" s="554"/>
      <c r="AY13" s="554"/>
      <c r="AZ13" s="3"/>
      <c r="BA13" s="3"/>
      <c r="BB13" s="3"/>
      <c r="BC13" s="3"/>
      <c r="BD13" s="3"/>
      <c r="BE13" s="3"/>
      <c r="BF13" s="3"/>
      <c r="BG13" s="3"/>
      <c r="BH13" s="3"/>
      <c r="BI13" s="3"/>
      <c r="BJ13" s="3"/>
      <c r="BK13" s="3"/>
      <c r="BL13" s="3"/>
      <c r="BM13" s="3"/>
    </row>
    <row r="14" spans="1:65">
      <c r="A14" s="633" t="s">
        <v>128</v>
      </c>
      <c r="B14" s="665" t="s">
        <v>509</v>
      </c>
      <c r="C14" s="658">
        <v>531.10236220472439</v>
      </c>
      <c r="D14" s="18"/>
      <c r="E14" s="621">
        <v>22.63</v>
      </c>
      <c r="F14" s="621">
        <v>0</v>
      </c>
      <c r="G14" s="622">
        <v>990</v>
      </c>
      <c r="H14" s="622">
        <v>810</v>
      </c>
      <c r="I14" s="622">
        <v>86</v>
      </c>
      <c r="J14" s="277">
        <v>40</v>
      </c>
      <c r="K14" s="622">
        <v>35</v>
      </c>
      <c r="L14" s="622">
        <v>1120</v>
      </c>
      <c r="M14" s="620">
        <v>0</v>
      </c>
      <c r="N14" s="620">
        <v>0</v>
      </c>
      <c r="O14" s="622">
        <v>108.87</v>
      </c>
      <c r="P14" s="622">
        <v>120</v>
      </c>
      <c r="Q14" s="69"/>
      <c r="R14" s="21"/>
      <c r="S14" s="489">
        <f t="shared" si="0"/>
        <v>3212.5</v>
      </c>
      <c r="T14" s="489" t="e">
        <f t="shared" si="15"/>
        <v>#REF!</v>
      </c>
      <c r="U14" s="489" t="e">
        <f>MAX(U$5:U$6)+IF($B$2="mil",1,0.0254)*DDR2Specs!$E$3</f>
        <v>#REF!</v>
      </c>
      <c r="V14" s="489" t="e">
        <f>MIN(U$5:U$6)+IF($B$2="mil",1,0.0254)*DDR2Specs!$F$3</f>
        <v>#REF!</v>
      </c>
      <c r="W14" s="21"/>
      <c r="X14" s="598" t="e">
        <f t="shared" si="1"/>
        <v>#REF!</v>
      </c>
      <c r="Y14" s="495" t="e">
        <f t="shared" si="2"/>
        <v>#REF!</v>
      </c>
      <c r="Z14" s="21"/>
      <c r="AA14" s="489">
        <f t="shared" si="3"/>
        <v>3223.63</v>
      </c>
      <c r="AB14" s="489" t="e">
        <f t="shared" si="16"/>
        <v>#REF!</v>
      </c>
      <c r="AC14" s="489" t="e">
        <f>MAX(AC$5:AC$6)+IF($B$2="mil",1,0.0254)*DDR2Specs!$E$3</f>
        <v>#REF!</v>
      </c>
      <c r="AD14" s="489" t="e">
        <f>MIN(AC$5:AC$6)+IF($B$2="mil",1,0.0254)*DDR2Specs!$F$3</f>
        <v>#REF!</v>
      </c>
      <c r="AE14" s="21"/>
      <c r="AF14" s="598" t="e">
        <f t="shared" si="17"/>
        <v>#REF!</v>
      </c>
      <c r="AG14" s="495" t="e">
        <f t="shared" si="18"/>
        <v>#REF!</v>
      </c>
      <c r="AH14" s="21"/>
      <c r="AI14" s="495" t="e">
        <f t="shared" si="19"/>
        <v>#REF!</v>
      </c>
      <c r="AJ14" s="495" t="e">
        <f t="shared" si="20"/>
        <v>#REF!</v>
      </c>
      <c r="AK14" s="495" t="e">
        <f t="shared" si="4"/>
        <v>#REF!</v>
      </c>
      <c r="AL14" s="495" t="e">
        <f t="shared" si="5"/>
        <v>#REF!</v>
      </c>
      <c r="AM14" s="495" t="e">
        <f t="shared" si="6"/>
        <v>#REF!</v>
      </c>
      <c r="AN14" s="495" t="e">
        <f t="shared" si="7"/>
        <v>#REF!</v>
      </c>
      <c r="AO14" s="495" t="e">
        <f t="shared" si="8"/>
        <v>#REF!</v>
      </c>
      <c r="AP14" s="495" t="e">
        <f t="shared" si="9"/>
        <v>#REF!</v>
      </c>
      <c r="AQ14" s="493" t="e">
        <f t="shared" si="10"/>
        <v>#REF!</v>
      </c>
      <c r="AR14" s="495" t="e">
        <f t="shared" ca="1" si="11"/>
        <v>#NAME?</v>
      </c>
      <c r="AS14" s="495" t="e">
        <f t="shared" ca="1" si="12"/>
        <v>#NAME?</v>
      </c>
      <c r="AT14" s="495" t="e">
        <f t="shared" si="13"/>
        <v>#REF!</v>
      </c>
      <c r="AU14" s="495" t="e">
        <f t="shared" si="14"/>
        <v>#REF!</v>
      </c>
      <c r="AV14" s="21"/>
      <c r="AW14" s="688" t="e">
        <f t="shared" ca="1" si="21"/>
        <v>#REF!</v>
      </c>
      <c r="AX14" s="554"/>
      <c r="AY14" s="554"/>
      <c r="AZ14" s="3"/>
      <c r="BA14" s="3"/>
      <c r="BB14" s="3"/>
      <c r="BC14" s="3"/>
      <c r="BD14" s="3"/>
      <c r="BE14" s="3"/>
      <c r="BF14" s="3"/>
      <c r="BG14" s="3"/>
      <c r="BH14" s="3"/>
      <c r="BI14" s="3"/>
      <c r="BJ14" s="3"/>
      <c r="BK14" s="3"/>
      <c r="BL14" s="3"/>
      <c r="BM14" s="3"/>
    </row>
    <row r="15" spans="1:65">
      <c r="A15" s="666" t="s">
        <v>129</v>
      </c>
      <c r="B15" s="667" t="s">
        <v>516</v>
      </c>
      <c r="C15" s="658">
        <v>364.88188976377955</v>
      </c>
      <c r="D15" s="18"/>
      <c r="E15" s="621">
        <v>22.63</v>
      </c>
      <c r="F15" s="621">
        <v>0</v>
      </c>
      <c r="G15" s="622">
        <v>1145</v>
      </c>
      <c r="H15" s="622">
        <v>840.12</v>
      </c>
      <c r="I15" s="622">
        <v>29.57</v>
      </c>
      <c r="J15" s="277">
        <v>40</v>
      </c>
      <c r="K15" s="622">
        <v>44.57</v>
      </c>
      <c r="L15" s="622">
        <v>1190.24</v>
      </c>
      <c r="M15" s="620">
        <v>0</v>
      </c>
      <c r="N15" s="620">
        <v>0</v>
      </c>
      <c r="O15" s="622">
        <v>69.19</v>
      </c>
      <c r="P15" s="622">
        <v>77</v>
      </c>
      <c r="Q15" s="69"/>
      <c r="R15" s="21"/>
      <c r="S15" s="489">
        <f t="shared" si="0"/>
        <v>3381.32</v>
      </c>
      <c r="T15" s="489" t="e">
        <f t="shared" si="15"/>
        <v>#REF!</v>
      </c>
      <c r="U15" s="489" t="e">
        <f>MAX(U$5:U$6)+IF($B$2="mil",1,0.0254)*DDR2Specs!$E$3</f>
        <v>#REF!</v>
      </c>
      <c r="V15" s="489" t="e">
        <f>MIN(U$5:U$6)+IF($B$2="mil",1,0.0254)*DDR2Specs!$F$3</f>
        <v>#REF!</v>
      </c>
      <c r="W15" s="21"/>
      <c r="X15" s="598" t="e">
        <f t="shared" si="1"/>
        <v>#REF!</v>
      </c>
      <c r="Y15" s="495" t="e">
        <f t="shared" si="2"/>
        <v>#REF!</v>
      </c>
      <c r="Z15" s="21"/>
      <c r="AA15" s="489">
        <f t="shared" si="3"/>
        <v>3389.13</v>
      </c>
      <c r="AB15" s="489" t="e">
        <f t="shared" si="16"/>
        <v>#REF!</v>
      </c>
      <c r="AC15" s="489" t="e">
        <f>MAX(AC$5:AC$6)+IF($B$2="mil",1,0.0254)*DDR2Specs!$E$3</f>
        <v>#REF!</v>
      </c>
      <c r="AD15" s="489" t="e">
        <f>MIN(AC$5:AC$6)+IF($B$2="mil",1,0.0254)*DDR2Specs!$F$3</f>
        <v>#REF!</v>
      </c>
      <c r="AE15" s="21"/>
      <c r="AF15" s="598" t="e">
        <f t="shared" si="17"/>
        <v>#REF!</v>
      </c>
      <c r="AG15" s="495" t="e">
        <f t="shared" si="18"/>
        <v>#REF!</v>
      </c>
      <c r="AH15" s="21"/>
      <c r="AI15" s="495" t="e">
        <f t="shared" si="19"/>
        <v>#REF!</v>
      </c>
      <c r="AJ15" s="495" t="e">
        <f t="shared" si="20"/>
        <v>#REF!</v>
      </c>
      <c r="AK15" s="495" t="e">
        <f t="shared" si="4"/>
        <v>#REF!</v>
      </c>
      <c r="AL15" s="495" t="e">
        <f t="shared" si="5"/>
        <v>#REF!</v>
      </c>
      <c r="AM15" s="495" t="e">
        <f t="shared" si="6"/>
        <v>#REF!</v>
      </c>
      <c r="AN15" s="495" t="e">
        <f t="shared" si="7"/>
        <v>#REF!</v>
      </c>
      <c r="AO15" s="495" t="e">
        <f t="shared" si="8"/>
        <v>#REF!</v>
      </c>
      <c r="AP15" s="495" t="e">
        <f t="shared" si="9"/>
        <v>#REF!</v>
      </c>
      <c r="AQ15" s="493" t="e">
        <f t="shared" si="10"/>
        <v>#REF!</v>
      </c>
      <c r="AR15" s="495" t="e">
        <f t="shared" ca="1" si="11"/>
        <v>#NAME?</v>
      </c>
      <c r="AS15" s="495" t="e">
        <f t="shared" ca="1" si="12"/>
        <v>#NAME?</v>
      </c>
      <c r="AT15" s="495" t="e">
        <f t="shared" si="13"/>
        <v>#REF!</v>
      </c>
      <c r="AU15" s="495" t="e">
        <f t="shared" si="14"/>
        <v>#REF!</v>
      </c>
      <c r="AV15" s="21"/>
      <c r="AW15" s="688" t="e">
        <f t="shared" ca="1" si="21"/>
        <v>#REF!</v>
      </c>
      <c r="AX15" s="554"/>
      <c r="AY15" s="554"/>
      <c r="AZ15" s="3"/>
      <c r="BA15" s="3"/>
      <c r="BB15" s="3"/>
      <c r="BC15" s="3"/>
      <c r="BD15" s="3"/>
      <c r="BE15" s="3"/>
      <c r="BF15" s="3"/>
      <c r="BG15" s="3"/>
      <c r="BH15" s="3"/>
      <c r="BI15" s="3"/>
      <c r="BJ15" s="3"/>
      <c r="BK15" s="3"/>
      <c r="BL15" s="3"/>
      <c r="BM15" s="3"/>
    </row>
    <row r="16" spans="1:65">
      <c r="A16" s="636" t="s">
        <v>198</v>
      </c>
      <c r="B16" s="668"/>
      <c r="C16" s="659"/>
      <c r="D16" s="62"/>
      <c r="E16" s="82" t="s">
        <v>21</v>
      </c>
      <c r="F16" s="82"/>
      <c r="G16" s="439"/>
      <c r="H16" s="295"/>
      <c r="I16" s="295"/>
      <c r="J16" s="295"/>
      <c r="K16" s="295"/>
      <c r="L16" s="295"/>
      <c r="M16" s="295"/>
      <c r="N16" s="295"/>
      <c r="O16" s="295"/>
      <c r="P16" s="295"/>
      <c r="Q16" s="10"/>
      <c r="R16" s="606"/>
      <c r="S16" s="82"/>
      <c r="T16" s="605"/>
      <c r="U16" s="605"/>
      <c r="V16" s="606"/>
      <c r="W16" s="606"/>
      <c r="X16" s="607"/>
      <c r="Y16" s="17"/>
      <c r="Z16" s="606"/>
      <c r="AA16" s="82"/>
      <c r="AB16" s="605"/>
      <c r="AC16" s="605"/>
      <c r="AD16" s="606"/>
      <c r="AE16" s="606"/>
      <c r="AF16" s="607"/>
      <c r="AG16" s="17"/>
      <c r="AH16" s="606"/>
      <c r="AI16" s="17"/>
      <c r="AJ16" s="17"/>
      <c r="AK16" s="16"/>
      <c r="AL16" s="16"/>
      <c r="AM16" s="16"/>
      <c r="AN16" s="16"/>
      <c r="AO16" s="16"/>
      <c r="AP16" s="16"/>
      <c r="AQ16" s="16"/>
      <c r="AR16" s="16"/>
      <c r="AS16" s="16"/>
      <c r="AT16" s="16"/>
      <c r="AU16" s="16"/>
      <c r="AV16" s="83"/>
      <c r="AW16" s="554"/>
      <c r="AX16" s="554"/>
      <c r="AY16" s="554"/>
      <c r="AZ16" s="3"/>
      <c r="BA16" s="3"/>
      <c r="BB16" s="3"/>
      <c r="BC16" s="3"/>
      <c r="BD16" s="3"/>
      <c r="BE16" s="3"/>
      <c r="BF16" s="3"/>
      <c r="BG16" s="3"/>
      <c r="BH16" s="3"/>
      <c r="BI16" s="3"/>
      <c r="BJ16" s="3"/>
      <c r="BK16" s="3"/>
      <c r="BL16" s="3"/>
      <c r="BM16" s="3"/>
    </row>
    <row r="17" spans="1:65">
      <c r="A17" s="650" t="str">
        <f>'DDR2 Strobes - 2x16'!$A$12</f>
        <v>SA_DQS1</v>
      </c>
      <c r="B17" s="669" t="str">
        <f>'DDR2 Strobes - 2x16'!$B$12</f>
        <v>Y24</v>
      </c>
      <c r="C17" s="660"/>
      <c r="D17" s="53"/>
      <c r="E17" s="81"/>
      <c r="F17" s="81"/>
      <c r="G17" s="440"/>
      <c r="H17" s="296"/>
      <c r="I17" s="296"/>
      <c r="J17" s="296"/>
      <c r="K17" s="296"/>
      <c r="L17" s="296"/>
      <c r="M17" s="296"/>
      <c r="N17" s="296"/>
      <c r="O17" s="296"/>
      <c r="P17" s="296"/>
      <c r="Q17" s="81"/>
      <c r="R17" s="58"/>
      <c r="S17" s="81"/>
      <c r="T17" s="58"/>
      <c r="U17" s="58" t="e">
        <f>'DDR2 Strobes - 2x16'!$U$12</f>
        <v>#REF!</v>
      </c>
      <c r="V17" s="58"/>
      <c r="W17" s="58"/>
      <c r="X17" s="58"/>
      <c r="Y17" s="608"/>
      <c r="Z17" s="58"/>
      <c r="AA17" s="81"/>
      <c r="AB17" s="58"/>
      <c r="AC17" s="58" t="e">
        <f>'DDR2 Strobes - 2x16'!$AC$12</f>
        <v>#REF!</v>
      </c>
      <c r="AD17" s="58"/>
      <c r="AE17" s="58"/>
      <c r="AF17" s="58"/>
      <c r="AG17" s="608"/>
      <c r="AH17" s="58"/>
      <c r="AI17" s="608"/>
      <c r="AJ17" s="608"/>
      <c r="AK17" s="608"/>
      <c r="AL17" s="608"/>
      <c r="AM17" s="608"/>
      <c r="AN17" s="608"/>
      <c r="AO17" s="608"/>
      <c r="AP17" s="608"/>
      <c r="AQ17" s="608"/>
      <c r="AR17" s="608"/>
      <c r="AS17" s="608"/>
      <c r="AT17" s="608"/>
      <c r="AU17" s="608"/>
      <c r="AV17" s="58"/>
      <c r="AW17" s="554"/>
      <c r="AX17" s="554"/>
      <c r="AY17" s="554"/>
      <c r="AZ17" s="3"/>
      <c r="BA17" s="3"/>
      <c r="BB17" s="3"/>
      <c r="BC17" s="3"/>
      <c r="BD17" s="3"/>
      <c r="BE17" s="3"/>
      <c r="BF17" s="3"/>
      <c r="BG17" s="3"/>
      <c r="BH17" s="3"/>
      <c r="BI17" s="3"/>
      <c r="BJ17" s="3"/>
      <c r="BK17" s="3"/>
      <c r="BL17" s="3"/>
      <c r="BM17" s="3"/>
    </row>
    <row r="18" spans="1:65">
      <c r="A18" s="650" t="str">
        <f>'DDR2 Strobes - 2x16'!$A$13</f>
        <v>SA_DQS1#</v>
      </c>
      <c r="B18" s="669" t="str">
        <f>'DDR2 Strobes - 2x16'!$B$13</f>
        <v>AA24</v>
      </c>
      <c r="C18" s="660"/>
      <c r="D18" s="53"/>
      <c r="E18" s="81"/>
      <c r="F18" s="81"/>
      <c r="G18" s="440"/>
      <c r="H18" s="296"/>
      <c r="I18" s="296"/>
      <c r="J18" s="296"/>
      <c r="K18" s="296"/>
      <c r="L18" s="296"/>
      <c r="M18" s="296"/>
      <c r="N18" s="296"/>
      <c r="O18" s="296"/>
      <c r="P18" s="296"/>
      <c r="Q18" s="81"/>
      <c r="R18" s="58"/>
      <c r="S18" s="602"/>
      <c r="T18" s="603"/>
      <c r="U18" s="58" t="e">
        <f>'DDR2 Strobes - 2x16'!$U$13</f>
        <v>#REF!</v>
      </c>
      <c r="V18" s="58"/>
      <c r="W18" s="58"/>
      <c r="X18" s="58"/>
      <c r="Y18" s="608"/>
      <c r="Z18" s="58"/>
      <c r="AA18" s="602"/>
      <c r="AB18" s="603"/>
      <c r="AC18" s="58" t="e">
        <f>'DDR2 Strobes - 2x16'!$AC$13</f>
        <v>#REF!</v>
      </c>
      <c r="AD18" s="58"/>
      <c r="AE18" s="58"/>
      <c r="AF18" s="58"/>
      <c r="AG18" s="608"/>
      <c r="AH18" s="58"/>
      <c r="AI18" s="608"/>
      <c r="AJ18" s="608"/>
      <c r="AK18" s="609"/>
      <c r="AL18" s="609"/>
      <c r="AM18" s="609"/>
      <c r="AN18" s="609"/>
      <c r="AO18" s="609"/>
      <c r="AP18" s="609"/>
      <c r="AQ18" s="609"/>
      <c r="AR18" s="609"/>
      <c r="AS18" s="609"/>
      <c r="AT18" s="609"/>
      <c r="AU18" s="609"/>
      <c r="AV18" s="58"/>
      <c r="AW18" s="554"/>
      <c r="AX18" s="554"/>
      <c r="AY18" s="554"/>
      <c r="AZ18" s="3"/>
      <c r="BA18" s="3"/>
      <c r="BB18" s="3"/>
      <c r="BC18" s="3"/>
      <c r="BD18" s="3"/>
      <c r="BE18" s="3"/>
      <c r="BF18" s="3"/>
      <c r="BG18" s="3"/>
      <c r="BH18" s="3"/>
      <c r="BI18" s="3"/>
      <c r="BJ18" s="3"/>
      <c r="BK18" s="3"/>
      <c r="BL18" s="3"/>
      <c r="BM18" s="3"/>
    </row>
    <row r="19" spans="1:65">
      <c r="A19" s="633" t="s">
        <v>130</v>
      </c>
      <c r="B19" s="665" t="s">
        <v>507</v>
      </c>
      <c r="C19" s="658">
        <v>612.67716535433067</v>
      </c>
      <c r="D19" s="18"/>
      <c r="E19" s="621">
        <v>22.63</v>
      </c>
      <c r="F19" s="621">
        <v>0</v>
      </c>
      <c r="G19" s="622">
        <v>1410.22</v>
      </c>
      <c r="H19" s="622">
        <v>724.35</v>
      </c>
      <c r="I19" s="622">
        <v>81.64</v>
      </c>
      <c r="J19" s="277">
        <v>40</v>
      </c>
      <c r="K19" s="622">
        <v>31.64</v>
      </c>
      <c r="L19" s="622">
        <v>1026.43</v>
      </c>
      <c r="M19" s="620">
        <v>0</v>
      </c>
      <c r="N19" s="620">
        <v>0</v>
      </c>
      <c r="O19" s="622">
        <v>101.8</v>
      </c>
      <c r="P19" s="622">
        <v>101.77</v>
      </c>
      <c r="Q19" s="69"/>
      <c r="R19" s="21"/>
      <c r="S19" s="489">
        <f t="shared" ref="S19:S27" si="22">SUM(E19:G19,H19:M19,O19)</f>
        <v>3438.71</v>
      </c>
      <c r="T19" s="489" t="e">
        <f>S19+IF($B$2="mil",1,0.0254)*$C19</f>
        <v>#REF!</v>
      </c>
      <c r="U19" s="489" t="e">
        <f>MAX(U$17:U$18)+IF($B$2="mil",1,0.0254)*DDR2Specs!$E$3</f>
        <v>#REF!</v>
      </c>
      <c r="V19" s="489" t="e">
        <f>MIN(U$17:U$18)+IF($B$2="mil",1,0.0254)*DDR2Specs!$F$3</f>
        <v>#REF!</v>
      </c>
      <c r="W19" s="21"/>
      <c r="X19" s="598" t="e">
        <f t="shared" ref="X19:X27" si="23">IF($T19&lt;$U19,$U19-$T19,"Pass")</f>
        <v>#REF!</v>
      </c>
      <c r="Y19" s="495" t="e">
        <f t="shared" ref="Y19:Y27" si="24">IF($T19&gt;$V19,$T19-$V19,"Pass")</f>
        <v>#REF!</v>
      </c>
      <c r="Z19" s="21"/>
      <c r="AA19" s="489">
        <f t="shared" ref="AA19:AA27" si="25">SUM(E19:G19,H19:L19,N19,P19)</f>
        <v>3438.68</v>
      </c>
      <c r="AB19" s="489" t="e">
        <f>AA19+IF($B$2="mil",1,0.0254)*$C19</f>
        <v>#REF!</v>
      </c>
      <c r="AC19" s="489" t="e">
        <f>MAX(AC$17:AC$18)+IF($B$2="mil",1,0.0254)*DDR2Specs!$E$3</f>
        <v>#REF!</v>
      </c>
      <c r="AD19" s="489" t="e">
        <f>MIN(AC$17:AC$18)+IF($B$2="mil",1,0.0254)*DDR2Specs!$F$3</f>
        <v>#REF!</v>
      </c>
      <c r="AE19" s="21"/>
      <c r="AF19" s="598" t="e">
        <f>IF($AB19&lt;$AC19,$AC19-$AB19,"Pass")</f>
        <v>#REF!</v>
      </c>
      <c r="AG19" s="495" t="e">
        <f>IF($AB19&gt;$AD19,$AB19-$AD19,"Pass")</f>
        <v>#REF!</v>
      </c>
      <c r="AH19" s="21"/>
      <c r="AI19" s="495" t="e">
        <f t="shared" ref="AI19:AI27" si="26">IF($E19&lt;=IF($B$2="mil",1,0.0254)*50,"Pass",IF($B$2="mil",1,0.0254)*50-$E19)</f>
        <v>#REF!</v>
      </c>
      <c r="AJ19" s="495" t="e">
        <f t="shared" ref="AJ19:AJ27" si="27">IF($F19&lt;=IF($B$2="mil",1,0.0254)*500,"Pass",IF($B$2="mil",1,0.0254)*500-$F19)</f>
        <v>#REF!</v>
      </c>
      <c r="AK19" s="495" t="e">
        <f t="shared" ref="AK19:AK27" si="28">IF(($G19+$H19)&lt;=IF($B$2="mil",1,0.0254)*2750,"Pass",IF($B$2="mil",1,0.0254)*2750-($G19+D19))</f>
        <v>#REF!</v>
      </c>
      <c r="AL19" s="495" t="e">
        <f t="shared" ref="AL19:AL27" si="29">IF($I19&lt;=IF($B$2="mil",1,0.0254)*125,"Pass",IF($B$2="mil",1,0.0254)*125-$I19)</f>
        <v>#REF!</v>
      </c>
      <c r="AM19" s="495" t="e">
        <f t="shared" ref="AM19:AM27" si="30">IF($K19&lt;=IF($B$2="mil",1,0.0254)*125,"Pass",IF($B$2="mil",1,0.0254)*125-$K19)</f>
        <v>#REF!</v>
      </c>
      <c r="AN19" s="495" t="e">
        <f t="shared" ref="AN19:AN27" si="31">IF(($K19+$L19)&lt;=IF($B$2="mil",1,0.0254)*1350,"Pass",IF($B$2="mil",1,0.0254)*1350-($K19+L19))</f>
        <v>#REF!</v>
      </c>
      <c r="AO19" s="495" t="e">
        <f t="shared" ref="AO19:AO27" si="32">IF($M19&lt;=IF($B$2="mil",1,0.0254)*650,"Pass",IF($B$2="mil",1,0.0254)*650-$M19)</f>
        <v>#REF!</v>
      </c>
      <c r="AP19" s="495" t="e">
        <f t="shared" ref="AP19:AP27" si="33">IF($N19&lt;=IF($B$2="mil",1,0.0254)*650,"Pass",IF($B$2="mil",1,0.0254)*650-$N19)</f>
        <v>#REF!</v>
      </c>
      <c r="AQ19" s="493" t="e">
        <f t="shared" ref="AQ19:AQ27" si="34">IF(MAX(M19:N19)-MIN(M19:N19)&lt;=IF($B$2="mil",1,0.0254)*50,"Pass",MAX(M19:N19)-MIN(M19:N19)-IF($B$2="mil",1,0.0254)*50)</f>
        <v>#REF!</v>
      </c>
      <c r="AR19" s="495" t="e">
        <f t="shared" ref="AR19:AR27" ca="1" si="35">CheckLength2(IF($B$2="mil",1,0.0254)*800,$O19,M19,0)</f>
        <v>#NAME?</v>
      </c>
      <c r="AS19" s="495" t="e">
        <f t="shared" ref="AS19:AS27" ca="1" si="36">CheckLength2(IF($B$2="mil",1,0.0254)*800,$P19,N19,0)</f>
        <v>#NAME?</v>
      </c>
      <c r="AT19" s="495" t="e">
        <f t="shared" ref="AT19:AT27" si="37">IF(AND($S19&gt;=IF($B$2="mil",1,0.0254)*500, $S19&lt;=IF($B$2="mil",1,0.0254)*5500),"Pass",IF($B$2="mil",1,0.0254)*5500-$S19)</f>
        <v>#REF!</v>
      </c>
      <c r="AU19" s="495" t="e">
        <f t="shared" ref="AU19:AU27" si="38">IF(AND($T19&gt;=IF($B$2="mil",1,0.0254)*500, $T19&lt;=IF($B$2="mil",1,0.0254)*6000),"Pass",IF($B$2="mil",1,0.0254)*6000-$T19)</f>
        <v>#REF!</v>
      </c>
      <c r="AV19" s="21"/>
      <c r="AW19" s="688" t="e">
        <f ca="1">IF(AND(AF19="Pass",AG19="Pass",AI19="Pass",AJ19="Pass",AS19="Pass",AN19="Pass",AO19="Pass",AP19="Pass",AQ19="Pass",AR19="Pass",AM19="Pass",AL19="Pass",AK19="Pass",X19="Pass",Y19="Pass",AT19="Pass",AU19="Pass"),"Pass","Fail")</f>
        <v>#REF!</v>
      </c>
      <c r="AX19" s="554" t="e">
        <f ca="1">IF(AND(AW19="Pass",AW20="Pass",AW21="Pass",AW22="Pass",AW23="Pass",AW24="Pass",AW25="Pass",AW26="Pass",AW27="Pass"),"Pass","Fail")</f>
        <v>#REF!</v>
      </c>
      <c r="AY19" s="554"/>
      <c r="AZ19" s="3"/>
      <c r="BA19" s="3"/>
      <c r="BB19" s="3"/>
      <c r="BC19" s="3"/>
      <c r="BD19" s="3"/>
      <c r="BE19" s="3"/>
      <c r="BF19" s="3"/>
      <c r="BG19" s="3"/>
      <c r="BH19" s="3"/>
      <c r="BI19" s="3"/>
      <c r="BJ19" s="3"/>
      <c r="BK19" s="3"/>
      <c r="BL19" s="3"/>
      <c r="BM19" s="3"/>
    </row>
    <row r="20" spans="1:65">
      <c r="A20" s="633" t="s">
        <v>131</v>
      </c>
      <c r="B20" s="665" t="s">
        <v>508</v>
      </c>
      <c r="C20" s="658">
        <v>627.75590551181108</v>
      </c>
      <c r="D20" s="18"/>
      <c r="E20" s="621">
        <v>22.63</v>
      </c>
      <c r="F20" s="621">
        <v>0</v>
      </c>
      <c r="G20" s="622">
        <v>1401.72</v>
      </c>
      <c r="H20" s="622">
        <v>817.84</v>
      </c>
      <c r="I20" s="622">
        <v>44.57</v>
      </c>
      <c r="J20" s="277">
        <v>40</v>
      </c>
      <c r="K20" s="622">
        <v>90.75</v>
      </c>
      <c r="L20" s="622">
        <v>900.65</v>
      </c>
      <c r="M20" s="620">
        <v>0</v>
      </c>
      <c r="N20" s="620">
        <v>0</v>
      </c>
      <c r="O20" s="622">
        <v>105.05</v>
      </c>
      <c r="P20" s="622">
        <v>105.02</v>
      </c>
      <c r="Q20" s="69"/>
      <c r="R20" s="21"/>
      <c r="S20" s="489">
        <f t="shared" si="22"/>
        <v>3423.2100000000005</v>
      </c>
      <c r="T20" s="489" t="e">
        <f t="shared" ref="T20:T27" si="39">S20+IF($B$2="mil",1,0.0254)*$C20</f>
        <v>#REF!</v>
      </c>
      <c r="U20" s="489" t="e">
        <f>MAX(U$17:U$18)+IF($B$2="mil",1,0.0254)*DDR2Specs!$E$3</f>
        <v>#REF!</v>
      </c>
      <c r="V20" s="489" t="e">
        <f>MIN(U$17:U$18)+IF($B$2="mil",1,0.0254)*DDR2Specs!$F$3</f>
        <v>#REF!</v>
      </c>
      <c r="W20" s="21"/>
      <c r="X20" s="598" t="e">
        <f t="shared" si="23"/>
        <v>#REF!</v>
      </c>
      <c r="Y20" s="495" t="e">
        <f t="shared" si="24"/>
        <v>#REF!</v>
      </c>
      <c r="Z20" s="21"/>
      <c r="AA20" s="489">
        <f t="shared" si="25"/>
        <v>3423.1800000000003</v>
      </c>
      <c r="AB20" s="489" t="e">
        <f t="shared" ref="AB20:AB27" si="40">AA20+IF($B$2="mil",1,0.0254)*$C20</f>
        <v>#REF!</v>
      </c>
      <c r="AC20" s="489" t="e">
        <f>MAX(AC$17:AC$18)+IF($B$2="mil",1,0.0254)*DDR2Specs!$E$3</f>
        <v>#REF!</v>
      </c>
      <c r="AD20" s="489" t="e">
        <f>MIN(AC$17:AC$18)+IF($B$2="mil",1,0.0254)*DDR2Specs!$F$3</f>
        <v>#REF!</v>
      </c>
      <c r="AE20" s="21"/>
      <c r="AF20" s="598" t="e">
        <f t="shared" ref="AF20:AF27" si="41">IF($AB20&lt;$AC20,$AC20-$AB20,"Pass")</f>
        <v>#REF!</v>
      </c>
      <c r="AG20" s="495" t="e">
        <f t="shared" ref="AG20:AG27" si="42">IF($AB20&gt;$AD20,$AB20-$AD20,"Pass")</f>
        <v>#REF!</v>
      </c>
      <c r="AH20" s="21"/>
      <c r="AI20" s="495" t="e">
        <f t="shared" si="26"/>
        <v>#REF!</v>
      </c>
      <c r="AJ20" s="495" t="e">
        <f t="shared" si="27"/>
        <v>#REF!</v>
      </c>
      <c r="AK20" s="495" t="e">
        <f t="shared" si="28"/>
        <v>#REF!</v>
      </c>
      <c r="AL20" s="495" t="e">
        <f t="shared" si="29"/>
        <v>#REF!</v>
      </c>
      <c r="AM20" s="495" t="e">
        <f t="shared" si="30"/>
        <v>#REF!</v>
      </c>
      <c r="AN20" s="495" t="e">
        <f t="shared" si="31"/>
        <v>#REF!</v>
      </c>
      <c r="AO20" s="495" t="e">
        <f t="shared" si="32"/>
        <v>#REF!</v>
      </c>
      <c r="AP20" s="495" t="e">
        <f t="shared" si="33"/>
        <v>#REF!</v>
      </c>
      <c r="AQ20" s="493" t="e">
        <f t="shared" si="34"/>
        <v>#REF!</v>
      </c>
      <c r="AR20" s="495" t="e">
        <f t="shared" ca="1" si="35"/>
        <v>#NAME?</v>
      </c>
      <c r="AS20" s="495" t="e">
        <f t="shared" ca="1" si="36"/>
        <v>#NAME?</v>
      </c>
      <c r="AT20" s="495" t="e">
        <f t="shared" si="37"/>
        <v>#REF!</v>
      </c>
      <c r="AU20" s="495" t="e">
        <f t="shared" si="38"/>
        <v>#REF!</v>
      </c>
      <c r="AV20" s="21"/>
      <c r="AW20" s="688" t="e">
        <f t="shared" ref="AW20:AW27" ca="1" si="43">IF(AND(AF20="Pass",AG20="Pass",AI20="Pass",AJ20="Pass",AS20="Pass",AN20="Pass",AO20="Pass",AP20="Pass",AQ20="Pass",AR20="Pass",AM20="Pass",AL20="Pass",AK20="Pass",X20="Pass",Y20="Pass",AT20="Pass",AU20="Pass"),"Pass","Fail")</f>
        <v>#REF!</v>
      </c>
      <c r="AX20" s="554"/>
      <c r="AY20" s="554"/>
      <c r="AZ20" s="3"/>
      <c r="BA20" s="3"/>
      <c r="BB20" s="3"/>
      <c r="BC20" s="3"/>
      <c r="BD20" s="3"/>
      <c r="BE20" s="3"/>
      <c r="BF20" s="3"/>
      <c r="BG20" s="3"/>
      <c r="BH20" s="3"/>
      <c r="BI20" s="3"/>
      <c r="BJ20" s="3"/>
      <c r="BK20" s="3"/>
      <c r="BL20" s="3"/>
      <c r="BM20" s="3"/>
    </row>
    <row r="21" spans="1:65">
      <c r="A21" s="633" t="s">
        <v>132</v>
      </c>
      <c r="B21" s="670" t="s">
        <v>109</v>
      </c>
      <c r="C21" s="658">
        <v>625.43307086614175</v>
      </c>
      <c r="D21" s="18"/>
      <c r="E21" s="621">
        <v>22.63</v>
      </c>
      <c r="F21" s="621">
        <v>0</v>
      </c>
      <c r="G21" s="622">
        <v>1370.37</v>
      </c>
      <c r="H21" s="622">
        <v>779.82</v>
      </c>
      <c r="I21" s="622">
        <v>85.78</v>
      </c>
      <c r="J21" s="277">
        <v>40</v>
      </c>
      <c r="K21" s="622">
        <v>90.75</v>
      </c>
      <c r="L21" s="622">
        <v>1010.48</v>
      </c>
      <c r="M21" s="620">
        <v>0</v>
      </c>
      <c r="N21" s="620">
        <v>0</v>
      </c>
      <c r="O21" s="622">
        <v>24.24</v>
      </c>
      <c r="P21" s="622">
        <v>24.27</v>
      </c>
      <c r="Q21" s="69"/>
      <c r="R21" s="21"/>
      <c r="S21" s="489">
        <f t="shared" si="22"/>
        <v>3424.07</v>
      </c>
      <c r="T21" s="489" t="e">
        <f t="shared" si="39"/>
        <v>#REF!</v>
      </c>
      <c r="U21" s="489" t="e">
        <f>MAX(U$17:U$18)+IF($B$2="mil",1,0.0254)*DDR2Specs!$E$3</f>
        <v>#REF!</v>
      </c>
      <c r="V21" s="489" t="e">
        <f>MIN(U$17:U$18)+IF($B$2="mil",1,0.0254)*DDR2Specs!$F$3</f>
        <v>#REF!</v>
      </c>
      <c r="W21" s="21"/>
      <c r="X21" s="598" t="e">
        <f t="shared" si="23"/>
        <v>#REF!</v>
      </c>
      <c r="Y21" s="495" t="e">
        <f t="shared" si="24"/>
        <v>#REF!</v>
      </c>
      <c r="Z21" s="21"/>
      <c r="AA21" s="489">
        <f t="shared" si="25"/>
        <v>3424.1000000000004</v>
      </c>
      <c r="AB21" s="489" t="e">
        <f t="shared" si="40"/>
        <v>#REF!</v>
      </c>
      <c r="AC21" s="489" t="e">
        <f>MAX(AC$17:AC$18)+IF($B$2="mil",1,0.0254)*DDR2Specs!$E$3</f>
        <v>#REF!</v>
      </c>
      <c r="AD21" s="489" t="e">
        <f>MIN(AC$17:AC$18)+IF($B$2="mil",1,0.0254)*DDR2Specs!$F$3</f>
        <v>#REF!</v>
      </c>
      <c r="AE21" s="21"/>
      <c r="AF21" s="598" t="e">
        <f t="shared" si="41"/>
        <v>#REF!</v>
      </c>
      <c r="AG21" s="495" t="e">
        <f t="shared" si="42"/>
        <v>#REF!</v>
      </c>
      <c r="AH21" s="21"/>
      <c r="AI21" s="495" t="e">
        <f t="shared" si="26"/>
        <v>#REF!</v>
      </c>
      <c r="AJ21" s="495" t="e">
        <f t="shared" si="27"/>
        <v>#REF!</v>
      </c>
      <c r="AK21" s="495" t="e">
        <f t="shared" si="28"/>
        <v>#REF!</v>
      </c>
      <c r="AL21" s="495" t="e">
        <f t="shared" si="29"/>
        <v>#REF!</v>
      </c>
      <c r="AM21" s="495" t="e">
        <f t="shared" si="30"/>
        <v>#REF!</v>
      </c>
      <c r="AN21" s="495" t="e">
        <f t="shared" si="31"/>
        <v>#REF!</v>
      </c>
      <c r="AO21" s="495" t="e">
        <f t="shared" si="32"/>
        <v>#REF!</v>
      </c>
      <c r="AP21" s="495" t="e">
        <f t="shared" si="33"/>
        <v>#REF!</v>
      </c>
      <c r="AQ21" s="493" t="e">
        <f t="shared" si="34"/>
        <v>#REF!</v>
      </c>
      <c r="AR21" s="495" t="e">
        <f t="shared" ca="1" si="35"/>
        <v>#NAME?</v>
      </c>
      <c r="AS21" s="495" t="e">
        <f t="shared" ca="1" si="36"/>
        <v>#NAME?</v>
      </c>
      <c r="AT21" s="495" t="e">
        <f t="shared" si="37"/>
        <v>#REF!</v>
      </c>
      <c r="AU21" s="495" t="e">
        <f t="shared" si="38"/>
        <v>#REF!</v>
      </c>
      <c r="AV21" s="21"/>
      <c r="AW21" s="688" t="e">
        <f t="shared" ca="1" si="43"/>
        <v>#REF!</v>
      </c>
      <c r="AX21" s="554"/>
      <c r="AY21" s="554"/>
      <c r="AZ21" s="3"/>
      <c r="BA21" s="3"/>
      <c r="BB21" s="3"/>
      <c r="BC21" s="3"/>
      <c r="BD21" s="3"/>
      <c r="BE21" s="3"/>
      <c r="BF21" s="3"/>
      <c r="BG21" s="3"/>
      <c r="BH21" s="3"/>
      <c r="BI21" s="3"/>
      <c r="BJ21" s="3"/>
      <c r="BK21" s="3"/>
      <c r="BL21" s="3"/>
      <c r="BM21" s="3"/>
    </row>
    <row r="22" spans="1:65">
      <c r="A22" s="633" t="s">
        <v>133</v>
      </c>
      <c r="B22" s="670" t="s">
        <v>351</v>
      </c>
      <c r="C22" s="658">
        <v>667.04724409448829</v>
      </c>
      <c r="D22" s="18"/>
      <c r="E22" s="621">
        <v>22.63</v>
      </c>
      <c r="F22" s="621">
        <v>0</v>
      </c>
      <c r="G22" s="622">
        <v>1370.23</v>
      </c>
      <c r="H22" s="622">
        <v>790.03</v>
      </c>
      <c r="I22" s="622">
        <v>44.57</v>
      </c>
      <c r="J22" s="277">
        <v>40</v>
      </c>
      <c r="K22" s="622">
        <v>85.78</v>
      </c>
      <c r="L22" s="622">
        <v>999.3</v>
      </c>
      <c r="M22" s="620">
        <v>0</v>
      </c>
      <c r="N22" s="620">
        <v>0</v>
      </c>
      <c r="O22" s="622">
        <v>25.41</v>
      </c>
      <c r="P22" s="622">
        <v>25.38</v>
      </c>
      <c r="Q22" s="69"/>
      <c r="R22" s="21"/>
      <c r="S22" s="489">
        <f t="shared" si="22"/>
        <v>3377.9500000000007</v>
      </c>
      <c r="T22" s="489" t="e">
        <f t="shared" si="39"/>
        <v>#REF!</v>
      </c>
      <c r="U22" s="489" t="e">
        <f>MAX(U$17:U$18)+IF($B$2="mil",1,0.0254)*DDR2Specs!$E$3</f>
        <v>#REF!</v>
      </c>
      <c r="V22" s="489" t="e">
        <f>MIN(U$17:U$18)+IF($B$2="mil",1,0.0254)*DDR2Specs!$F$3</f>
        <v>#REF!</v>
      </c>
      <c r="W22" s="21"/>
      <c r="X22" s="598" t="e">
        <f t="shared" si="23"/>
        <v>#REF!</v>
      </c>
      <c r="Y22" s="495" t="e">
        <f t="shared" si="24"/>
        <v>#REF!</v>
      </c>
      <c r="Z22" s="21"/>
      <c r="AA22" s="489">
        <f t="shared" si="25"/>
        <v>3377.920000000001</v>
      </c>
      <c r="AB22" s="489" t="e">
        <f t="shared" si="40"/>
        <v>#REF!</v>
      </c>
      <c r="AC22" s="489" t="e">
        <f>MAX(AC$17:AC$18)+IF($B$2="mil",1,0.0254)*DDR2Specs!$E$3</f>
        <v>#REF!</v>
      </c>
      <c r="AD22" s="489" t="e">
        <f>MIN(AC$17:AC$18)+IF($B$2="mil",1,0.0254)*DDR2Specs!$F$3</f>
        <v>#REF!</v>
      </c>
      <c r="AE22" s="21"/>
      <c r="AF22" s="598" t="e">
        <f t="shared" si="41"/>
        <v>#REF!</v>
      </c>
      <c r="AG22" s="495" t="e">
        <f t="shared" si="42"/>
        <v>#REF!</v>
      </c>
      <c r="AH22" s="21"/>
      <c r="AI22" s="495" t="e">
        <f t="shared" si="26"/>
        <v>#REF!</v>
      </c>
      <c r="AJ22" s="495" t="e">
        <f t="shared" si="27"/>
        <v>#REF!</v>
      </c>
      <c r="AK22" s="495" t="e">
        <f t="shared" si="28"/>
        <v>#REF!</v>
      </c>
      <c r="AL22" s="495" t="e">
        <f t="shared" si="29"/>
        <v>#REF!</v>
      </c>
      <c r="AM22" s="495" t="e">
        <f t="shared" si="30"/>
        <v>#REF!</v>
      </c>
      <c r="AN22" s="495" t="e">
        <f t="shared" si="31"/>
        <v>#REF!</v>
      </c>
      <c r="AO22" s="495" t="e">
        <f t="shared" si="32"/>
        <v>#REF!</v>
      </c>
      <c r="AP22" s="495" t="e">
        <f t="shared" si="33"/>
        <v>#REF!</v>
      </c>
      <c r="AQ22" s="493" t="e">
        <f t="shared" si="34"/>
        <v>#REF!</v>
      </c>
      <c r="AR22" s="495" t="e">
        <f t="shared" ca="1" si="35"/>
        <v>#NAME?</v>
      </c>
      <c r="AS22" s="495" t="e">
        <f t="shared" ca="1" si="36"/>
        <v>#NAME?</v>
      </c>
      <c r="AT22" s="495" t="e">
        <f t="shared" si="37"/>
        <v>#REF!</v>
      </c>
      <c r="AU22" s="495" t="e">
        <f t="shared" si="38"/>
        <v>#REF!</v>
      </c>
      <c r="AV22" s="21"/>
      <c r="AW22" s="688" t="e">
        <f t="shared" ca="1" si="43"/>
        <v>#REF!</v>
      </c>
      <c r="AX22" s="554"/>
      <c r="AY22" s="554"/>
      <c r="AZ22" s="3"/>
      <c r="BA22" s="3"/>
      <c r="BB22" s="3"/>
      <c r="BC22" s="3"/>
      <c r="BD22" s="3"/>
      <c r="BE22" s="3"/>
      <c r="BF22" s="3"/>
      <c r="BG22" s="3"/>
      <c r="BH22" s="3"/>
      <c r="BI22" s="3"/>
      <c r="BJ22" s="3"/>
      <c r="BK22" s="3"/>
      <c r="BL22" s="3"/>
      <c r="BM22" s="3"/>
    </row>
    <row r="23" spans="1:65">
      <c r="A23" s="633" t="s">
        <v>134</v>
      </c>
      <c r="B23" s="665" t="s">
        <v>476</v>
      </c>
      <c r="C23" s="658">
        <v>600.07874015748041</v>
      </c>
      <c r="D23" s="18"/>
      <c r="E23" s="621">
        <v>22.63</v>
      </c>
      <c r="F23" s="621">
        <v>0</v>
      </c>
      <c r="G23" s="622">
        <v>1465.72</v>
      </c>
      <c r="H23" s="622">
        <v>734.97</v>
      </c>
      <c r="I23" s="622">
        <v>44.57</v>
      </c>
      <c r="J23" s="277">
        <v>40</v>
      </c>
      <c r="K23" s="622">
        <v>85.78</v>
      </c>
      <c r="L23" s="622">
        <v>1017.96</v>
      </c>
      <c r="M23" s="620">
        <v>0</v>
      </c>
      <c r="N23" s="620">
        <v>0</v>
      </c>
      <c r="O23" s="622">
        <v>32.9</v>
      </c>
      <c r="P23" s="622">
        <v>32.93</v>
      </c>
      <c r="Q23" s="69"/>
      <c r="R23" s="21"/>
      <c r="S23" s="489">
        <f t="shared" si="22"/>
        <v>3444.5300000000007</v>
      </c>
      <c r="T23" s="489" t="e">
        <f t="shared" si="39"/>
        <v>#REF!</v>
      </c>
      <c r="U23" s="489" t="e">
        <f>MAX(U$17:U$18)+IF($B$2="mil",1,0.0254)*DDR2Specs!$E$3</f>
        <v>#REF!</v>
      </c>
      <c r="V23" s="489" t="e">
        <f>MIN(U$17:U$18)+IF($B$2="mil",1,0.0254)*DDR2Specs!$F$3</f>
        <v>#REF!</v>
      </c>
      <c r="W23" s="21"/>
      <c r="X23" s="598" t="e">
        <f t="shared" si="23"/>
        <v>#REF!</v>
      </c>
      <c r="Y23" s="495" t="e">
        <f t="shared" si="24"/>
        <v>#REF!</v>
      </c>
      <c r="Z23" s="21"/>
      <c r="AA23" s="489">
        <f t="shared" si="25"/>
        <v>3444.5600000000004</v>
      </c>
      <c r="AB23" s="489" t="e">
        <f t="shared" si="40"/>
        <v>#REF!</v>
      </c>
      <c r="AC23" s="489" t="e">
        <f>MAX(AC$17:AC$18)+IF($B$2="mil",1,0.0254)*DDR2Specs!$E$3</f>
        <v>#REF!</v>
      </c>
      <c r="AD23" s="489" t="e">
        <f>MIN(AC$17:AC$18)+IF($B$2="mil",1,0.0254)*DDR2Specs!$F$3</f>
        <v>#REF!</v>
      </c>
      <c r="AE23" s="21"/>
      <c r="AF23" s="598" t="e">
        <f t="shared" si="41"/>
        <v>#REF!</v>
      </c>
      <c r="AG23" s="495" t="e">
        <f t="shared" si="42"/>
        <v>#REF!</v>
      </c>
      <c r="AH23" s="21"/>
      <c r="AI23" s="495" t="e">
        <f t="shared" si="26"/>
        <v>#REF!</v>
      </c>
      <c r="AJ23" s="495" t="e">
        <f t="shared" si="27"/>
        <v>#REF!</v>
      </c>
      <c r="AK23" s="495" t="e">
        <f t="shared" si="28"/>
        <v>#REF!</v>
      </c>
      <c r="AL23" s="495" t="e">
        <f t="shared" si="29"/>
        <v>#REF!</v>
      </c>
      <c r="AM23" s="495" t="e">
        <f t="shared" si="30"/>
        <v>#REF!</v>
      </c>
      <c r="AN23" s="495" t="e">
        <f t="shared" si="31"/>
        <v>#REF!</v>
      </c>
      <c r="AO23" s="495" t="e">
        <f t="shared" si="32"/>
        <v>#REF!</v>
      </c>
      <c r="AP23" s="495" t="e">
        <f t="shared" si="33"/>
        <v>#REF!</v>
      </c>
      <c r="AQ23" s="493" t="e">
        <f t="shared" si="34"/>
        <v>#REF!</v>
      </c>
      <c r="AR23" s="495" t="e">
        <f t="shared" ca="1" si="35"/>
        <v>#NAME?</v>
      </c>
      <c r="AS23" s="495" t="e">
        <f t="shared" ca="1" si="36"/>
        <v>#NAME?</v>
      </c>
      <c r="AT23" s="495" t="e">
        <f t="shared" si="37"/>
        <v>#REF!</v>
      </c>
      <c r="AU23" s="495" t="e">
        <f t="shared" si="38"/>
        <v>#REF!</v>
      </c>
      <c r="AV23" s="21"/>
      <c r="AW23" s="688" t="e">
        <f t="shared" ca="1" si="43"/>
        <v>#REF!</v>
      </c>
      <c r="AX23" s="554"/>
      <c r="AY23" s="554"/>
      <c r="AZ23" s="3"/>
      <c r="BA23" s="3"/>
      <c r="BB23" s="3"/>
      <c r="BC23" s="3"/>
      <c r="BD23" s="3"/>
      <c r="BE23" s="3"/>
      <c r="BF23" s="3"/>
      <c r="BG23" s="3"/>
      <c r="BH23" s="3"/>
      <c r="BI23" s="3"/>
      <c r="BJ23" s="3"/>
      <c r="BK23" s="3"/>
      <c r="BL23" s="3"/>
      <c r="BM23" s="3"/>
    </row>
    <row r="24" spans="1:65">
      <c r="A24" s="633" t="s">
        <v>135</v>
      </c>
      <c r="B24" s="671" t="s">
        <v>477</v>
      </c>
      <c r="C24" s="658">
        <v>655.98425196850394</v>
      </c>
      <c r="D24" s="18"/>
      <c r="E24" s="621">
        <v>22.63</v>
      </c>
      <c r="F24" s="621">
        <v>0</v>
      </c>
      <c r="G24" s="622">
        <v>1361.87</v>
      </c>
      <c r="H24" s="622">
        <v>735.54</v>
      </c>
      <c r="I24" s="622">
        <v>85.78</v>
      </c>
      <c r="J24" s="277">
        <v>40</v>
      </c>
      <c r="K24" s="622">
        <v>44.57</v>
      </c>
      <c r="L24" s="622">
        <v>1027.4100000000001</v>
      </c>
      <c r="M24" s="620">
        <v>0</v>
      </c>
      <c r="N24" s="620">
        <v>0</v>
      </c>
      <c r="O24" s="622">
        <v>68.03</v>
      </c>
      <c r="P24" s="622">
        <v>68</v>
      </c>
      <c r="Q24" s="69"/>
      <c r="R24" s="21"/>
      <c r="S24" s="489">
        <f t="shared" si="22"/>
        <v>3385.8300000000004</v>
      </c>
      <c r="T24" s="489" t="e">
        <f t="shared" si="39"/>
        <v>#REF!</v>
      </c>
      <c r="U24" s="489" t="e">
        <f>MAX(U$17:U$18)+IF($B$2="mil",1,0.0254)*DDR2Specs!$E$3</f>
        <v>#REF!</v>
      </c>
      <c r="V24" s="489" t="e">
        <f>MIN(U$17:U$18)+IF($B$2="mil",1,0.0254)*DDR2Specs!$F$3</f>
        <v>#REF!</v>
      </c>
      <c r="W24" s="21"/>
      <c r="X24" s="598" t="e">
        <f t="shared" si="23"/>
        <v>#REF!</v>
      </c>
      <c r="Y24" s="495" t="e">
        <f t="shared" si="24"/>
        <v>#REF!</v>
      </c>
      <c r="Z24" s="21"/>
      <c r="AA24" s="489">
        <f t="shared" si="25"/>
        <v>3385.8</v>
      </c>
      <c r="AB24" s="489" t="e">
        <f t="shared" si="40"/>
        <v>#REF!</v>
      </c>
      <c r="AC24" s="489" t="e">
        <f>MAX(AC$17:AC$18)+IF($B$2="mil",1,0.0254)*DDR2Specs!$E$3</f>
        <v>#REF!</v>
      </c>
      <c r="AD24" s="489" t="e">
        <f>MIN(AC$17:AC$18)+IF($B$2="mil",1,0.0254)*DDR2Specs!$F$3</f>
        <v>#REF!</v>
      </c>
      <c r="AE24" s="21"/>
      <c r="AF24" s="598" t="e">
        <f t="shared" si="41"/>
        <v>#REF!</v>
      </c>
      <c r="AG24" s="495" t="e">
        <f t="shared" si="42"/>
        <v>#REF!</v>
      </c>
      <c r="AH24" s="21"/>
      <c r="AI24" s="495" t="e">
        <f t="shared" si="26"/>
        <v>#REF!</v>
      </c>
      <c r="AJ24" s="495" t="e">
        <f t="shared" si="27"/>
        <v>#REF!</v>
      </c>
      <c r="AK24" s="495" t="e">
        <f t="shared" si="28"/>
        <v>#REF!</v>
      </c>
      <c r="AL24" s="495" t="e">
        <f t="shared" si="29"/>
        <v>#REF!</v>
      </c>
      <c r="AM24" s="495" t="e">
        <f t="shared" si="30"/>
        <v>#REF!</v>
      </c>
      <c r="AN24" s="495" t="e">
        <f t="shared" si="31"/>
        <v>#REF!</v>
      </c>
      <c r="AO24" s="495" t="e">
        <f t="shared" si="32"/>
        <v>#REF!</v>
      </c>
      <c r="AP24" s="495" t="e">
        <f t="shared" si="33"/>
        <v>#REF!</v>
      </c>
      <c r="AQ24" s="493" t="e">
        <f t="shared" si="34"/>
        <v>#REF!</v>
      </c>
      <c r="AR24" s="495" t="e">
        <f t="shared" ca="1" si="35"/>
        <v>#NAME?</v>
      </c>
      <c r="AS24" s="495" t="e">
        <f t="shared" ca="1" si="36"/>
        <v>#NAME?</v>
      </c>
      <c r="AT24" s="495" t="e">
        <f t="shared" si="37"/>
        <v>#REF!</v>
      </c>
      <c r="AU24" s="495" t="e">
        <f t="shared" si="38"/>
        <v>#REF!</v>
      </c>
      <c r="AV24" s="21"/>
      <c r="AW24" s="688" t="e">
        <f t="shared" ca="1" si="43"/>
        <v>#REF!</v>
      </c>
      <c r="AX24" s="554"/>
      <c r="AY24" s="554"/>
      <c r="AZ24" s="3"/>
      <c r="BA24" s="3"/>
      <c r="BB24" s="3"/>
      <c r="BC24" s="3"/>
      <c r="BD24" s="3"/>
      <c r="BE24" s="3"/>
      <c r="BF24" s="3"/>
      <c r="BG24" s="3"/>
      <c r="BH24" s="3"/>
      <c r="BI24" s="3"/>
      <c r="BJ24" s="3"/>
      <c r="BK24" s="3"/>
      <c r="BL24" s="3"/>
      <c r="BM24" s="3"/>
    </row>
    <row r="25" spans="1:65" s="29" customFormat="1">
      <c r="A25" s="633" t="s">
        <v>233</v>
      </c>
      <c r="B25" s="665" t="s">
        <v>478</v>
      </c>
      <c r="C25" s="658">
        <v>589.64566929133866</v>
      </c>
      <c r="D25" s="18"/>
      <c r="E25" s="621">
        <v>22.63</v>
      </c>
      <c r="F25" s="621">
        <v>0</v>
      </c>
      <c r="G25" s="622">
        <v>1440.89</v>
      </c>
      <c r="H25" s="622">
        <v>695.56</v>
      </c>
      <c r="I25" s="622">
        <v>44.57</v>
      </c>
      <c r="J25" s="277">
        <v>40</v>
      </c>
      <c r="K25" s="622">
        <v>85.78</v>
      </c>
      <c r="L25" s="622">
        <v>1020.94</v>
      </c>
      <c r="M25" s="620">
        <v>0</v>
      </c>
      <c r="N25" s="620">
        <v>0</v>
      </c>
      <c r="O25" s="622">
        <v>102.17</v>
      </c>
      <c r="P25" s="622">
        <v>102.2</v>
      </c>
      <c r="Q25" s="69"/>
      <c r="R25" s="21"/>
      <c r="S25" s="489">
        <f t="shared" si="22"/>
        <v>3452.5400000000004</v>
      </c>
      <c r="T25" s="489" t="e">
        <f t="shared" si="39"/>
        <v>#REF!</v>
      </c>
      <c r="U25" s="489" t="e">
        <f>MAX(U$17:U$18)+IF($B$2="mil",1,0.0254)*DDR2Specs!$E$3</f>
        <v>#REF!</v>
      </c>
      <c r="V25" s="489" t="e">
        <f>MIN(U$17:U$18)+IF($B$2="mil",1,0.0254)*DDR2Specs!$F$3</f>
        <v>#REF!</v>
      </c>
      <c r="W25" s="21"/>
      <c r="X25" s="598" t="e">
        <f t="shared" si="23"/>
        <v>#REF!</v>
      </c>
      <c r="Y25" s="495" t="e">
        <f t="shared" si="24"/>
        <v>#REF!</v>
      </c>
      <c r="Z25" s="21"/>
      <c r="AA25" s="489">
        <f t="shared" si="25"/>
        <v>3452.57</v>
      </c>
      <c r="AB25" s="489" t="e">
        <f t="shared" si="40"/>
        <v>#REF!</v>
      </c>
      <c r="AC25" s="489" t="e">
        <f>MAX(AC$17:AC$18)+IF($B$2="mil",1,0.0254)*DDR2Specs!$E$3</f>
        <v>#REF!</v>
      </c>
      <c r="AD25" s="489" t="e">
        <f>MIN(AC$17:AC$18)+IF($B$2="mil",1,0.0254)*DDR2Specs!$F$3</f>
        <v>#REF!</v>
      </c>
      <c r="AE25" s="21"/>
      <c r="AF25" s="598" t="e">
        <f t="shared" si="41"/>
        <v>#REF!</v>
      </c>
      <c r="AG25" s="495" t="e">
        <f t="shared" si="42"/>
        <v>#REF!</v>
      </c>
      <c r="AH25" s="21"/>
      <c r="AI25" s="495" t="e">
        <f t="shared" si="26"/>
        <v>#REF!</v>
      </c>
      <c r="AJ25" s="495" t="e">
        <f t="shared" si="27"/>
        <v>#REF!</v>
      </c>
      <c r="AK25" s="495" t="e">
        <f t="shared" si="28"/>
        <v>#REF!</v>
      </c>
      <c r="AL25" s="495" t="e">
        <f t="shared" si="29"/>
        <v>#REF!</v>
      </c>
      <c r="AM25" s="495" t="e">
        <f t="shared" si="30"/>
        <v>#REF!</v>
      </c>
      <c r="AN25" s="495" t="e">
        <f t="shared" si="31"/>
        <v>#REF!</v>
      </c>
      <c r="AO25" s="495" t="e">
        <f t="shared" si="32"/>
        <v>#REF!</v>
      </c>
      <c r="AP25" s="495" t="e">
        <f t="shared" si="33"/>
        <v>#REF!</v>
      </c>
      <c r="AQ25" s="493" t="e">
        <f t="shared" si="34"/>
        <v>#REF!</v>
      </c>
      <c r="AR25" s="495" t="e">
        <f t="shared" ca="1" si="35"/>
        <v>#NAME?</v>
      </c>
      <c r="AS25" s="495" t="e">
        <f t="shared" ca="1" si="36"/>
        <v>#NAME?</v>
      </c>
      <c r="AT25" s="495" t="e">
        <f t="shared" si="37"/>
        <v>#REF!</v>
      </c>
      <c r="AU25" s="495" t="e">
        <f t="shared" si="38"/>
        <v>#REF!</v>
      </c>
      <c r="AV25" s="21"/>
      <c r="AW25" s="688" t="e">
        <f t="shared" ca="1" si="43"/>
        <v>#REF!</v>
      </c>
      <c r="AX25" s="610"/>
      <c r="AY25" s="610"/>
    </row>
    <row r="26" spans="1:65">
      <c r="A26" s="633" t="s">
        <v>136</v>
      </c>
      <c r="B26" s="665" t="s">
        <v>479</v>
      </c>
      <c r="C26" s="658">
        <v>669.29133858267721</v>
      </c>
      <c r="D26" s="18"/>
      <c r="E26" s="621">
        <v>22.63</v>
      </c>
      <c r="F26" s="621">
        <v>0</v>
      </c>
      <c r="G26" s="622">
        <v>1389.71</v>
      </c>
      <c r="H26" s="622">
        <v>775.64</v>
      </c>
      <c r="I26" s="622">
        <v>81.64</v>
      </c>
      <c r="J26" s="277">
        <v>40</v>
      </c>
      <c r="K26" s="622">
        <v>44.57</v>
      </c>
      <c r="L26" s="622">
        <v>958.31</v>
      </c>
      <c r="M26" s="620">
        <v>0</v>
      </c>
      <c r="N26" s="620">
        <v>0</v>
      </c>
      <c r="O26" s="622">
        <v>67.8</v>
      </c>
      <c r="P26" s="622">
        <v>67.77</v>
      </c>
      <c r="Q26" s="69"/>
      <c r="R26" s="21"/>
      <c r="S26" s="489">
        <f t="shared" si="22"/>
        <v>3380.3</v>
      </c>
      <c r="T26" s="489" t="e">
        <f t="shared" si="39"/>
        <v>#REF!</v>
      </c>
      <c r="U26" s="489" t="e">
        <f>MAX(U$17:U$18)+IF($B$2="mil",1,0.0254)*DDR2Specs!$E$3</f>
        <v>#REF!</v>
      </c>
      <c r="V26" s="489" t="e">
        <f>MIN(U$17:U$18)+IF($B$2="mil",1,0.0254)*DDR2Specs!$F$3</f>
        <v>#REF!</v>
      </c>
      <c r="W26" s="21"/>
      <c r="X26" s="598" t="e">
        <f t="shared" si="23"/>
        <v>#REF!</v>
      </c>
      <c r="Y26" s="495" t="e">
        <f t="shared" si="24"/>
        <v>#REF!</v>
      </c>
      <c r="Z26" s="21"/>
      <c r="AA26" s="489">
        <f t="shared" si="25"/>
        <v>3380.27</v>
      </c>
      <c r="AB26" s="489" t="e">
        <f t="shared" si="40"/>
        <v>#REF!</v>
      </c>
      <c r="AC26" s="489" t="e">
        <f>MAX(AC$17:AC$18)+IF($B$2="mil",1,0.0254)*DDR2Specs!$E$3</f>
        <v>#REF!</v>
      </c>
      <c r="AD26" s="489" t="e">
        <f>MIN(AC$17:AC$18)+IF($B$2="mil",1,0.0254)*DDR2Specs!$F$3</f>
        <v>#REF!</v>
      </c>
      <c r="AE26" s="21"/>
      <c r="AF26" s="598" t="e">
        <f t="shared" si="41"/>
        <v>#REF!</v>
      </c>
      <c r="AG26" s="495" t="e">
        <f t="shared" si="42"/>
        <v>#REF!</v>
      </c>
      <c r="AH26" s="21"/>
      <c r="AI26" s="495" t="e">
        <f t="shared" si="26"/>
        <v>#REF!</v>
      </c>
      <c r="AJ26" s="495" t="e">
        <f t="shared" si="27"/>
        <v>#REF!</v>
      </c>
      <c r="AK26" s="495" t="e">
        <f t="shared" si="28"/>
        <v>#REF!</v>
      </c>
      <c r="AL26" s="495" t="e">
        <f t="shared" si="29"/>
        <v>#REF!</v>
      </c>
      <c r="AM26" s="495" t="e">
        <f t="shared" si="30"/>
        <v>#REF!</v>
      </c>
      <c r="AN26" s="495" t="e">
        <f t="shared" si="31"/>
        <v>#REF!</v>
      </c>
      <c r="AO26" s="495" t="e">
        <f t="shared" si="32"/>
        <v>#REF!</v>
      </c>
      <c r="AP26" s="495" t="e">
        <f t="shared" si="33"/>
        <v>#REF!</v>
      </c>
      <c r="AQ26" s="493" t="e">
        <f t="shared" si="34"/>
        <v>#REF!</v>
      </c>
      <c r="AR26" s="495" t="e">
        <f t="shared" ca="1" si="35"/>
        <v>#NAME?</v>
      </c>
      <c r="AS26" s="495" t="e">
        <f t="shared" ca="1" si="36"/>
        <v>#NAME?</v>
      </c>
      <c r="AT26" s="495" t="e">
        <f t="shared" si="37"/>
        <v>#REF!</v>
      </c>
      <c r="AU26" s="495" t="e">
        <f t="shared" si="38"/>
        <v>#REF!</v>
      </c>
      <c r="AV26" s="21"/>
      <c r="AW26" s="688" t="e">
        <f t="shared" ca="1" si="43"/>
        <v>#REF!</v>
      </c>
      <c r="AX26" s="554"/>
      <c r="AY26" s="554"/>
      <c r="AZ26" s="3"/>
      <c r="BA26" s="3"/>
      <c r="BB26" s="3"/>
      <c r="BC26" s="3"/>
      <c r="BD26" s="3"/>
      <c r="BE26" s="3"/>
      <c r="BF26" s="3"/>
      <c r="BG26" s="3"/>
      <c r="BH26" s="3"/>
      <c r="BI26" s="3"/>
      <c r="BJ26" s="3"/>
      <c r="BK26" s="3"/>
      <c r="BL26" s="3"/>
      <c r="BM26" s="3"/>
    </row>
    <row r="27" spans="1:65">
      <c r="A27" s="666" t="s">
        <v>137</v>
      </c>
      <c r="B27" s="667" t="s">
        <v>517</v>
      </c>
      <c r="C27" s="658">
        <v>627.91338582677167</v>
      </c>
      <c r="D27" s="18"/>
      <c r="E27" s="621">
        <v>22.63</v>
      </c>
      <c r="F27" s="621">
        <v>0</v>
      </c>
      <c r="G27" s="622">
        <v>1427.15</v>
      </c>
      <c r="H27" s="622">
        <v>727.49</v>
      </c>
      <c r="I27" s="622">
        <v>29.57</v>
      </c>
      <c r="J27" s="277">
        <v>40</v>
      </c>
      <c r="K27" s="622">
        <v>85.78</v>
      </c>
      <c r="L27" s="622">
        <v>999.62</v>
      </c>
      <c r="M27" s="620">
        <v>0</v>
      </c>
      <c r="N27" s="620">
        <v>0</v>
      </c>
      <c r="O27" s="622">
        <v>75.42</v>
      </c>
      <c r="P27" s="622">
        <v>76.09</v>
      </c>
      <c r="Q27" s="69"/>
      <c r="R27" s="21"/>
      <c r="S27" s="489">
        <f t="shared" si="22"/>
        <v>3407.6600000000008</v>
      </c>
      <c r="T27" s="489" t="e">
        <f t="shared" si="39"/>
        <v>#REF!</v>
      </c>
      <c r="U27" s="489" t="e">
        <f>MAX(U$17:U$18)+IF($B$2="mil",1,0.0254)*DDR2Specs!$E$3</f>
        <v>#REF!</v>
      </c>
      <c r="V27" s="489" t="e">
        <f>MIN(U$17:U$18)+IF($B$2="mil",1,0.0254)*DDR2Specs!$F$3</f>
        <v>#REF!</v>
      </c>
      <c r="W27" s="21"/>
      <c r="X27" s="598" t="e">
        <f t="shared" si="23"/>
        <v>#REF!</v>
      </c>
      <c r="Y27" s="495" t="e">
        <f t="shared" si="24"/>
        <v>#REF!</v>
      </c>
      <c r="Z27" s="21"/>
      <c r="AA27" s="489">
        <f t="shared" si="25"/>
        <v>3408.3300000000008</v>
      </c>
      <c r="AB27" s="489" t="e">
        <f t="shared" si="40"/>
        <v>#REF!</v>
      </c>
      <c r="AC27" s="489" t="e">
        <f>MAX(AC$17:AC$18)+IF($B$2="mil",1,0.0254)*DDR2Specs!$E$3</f>
        <v>#REF!</v>
      </c>
      <c r="AD27" s="489" t="e">
        <f>MIN(AC$17:AC$18)+IF($B$2="mil",1,0.0254)*DDR2Specs!$F$3</f>
        <v>#REF!</v>
      </c>
      <c r="AE27" s="21"/>
      <c r="AF27" s="598" t="e">
        <f t="shared" si="41"/>
        <v>#REF!</v>
      </c>
      <c r="AG27" s="495" t="e">
        <f t="shared" si="42"/>
        <v>#REF!</v>
      </c>
      <c r="AH27" s="21"/>
      <c r="AI27" s="495" t="e">
        <f t="shared" si="26"/>
        <v>#REF!</v>
      </c>
      <c r="AJ27" s="495" t="e">
        <f t="shared" si="27"/>
        <v>#REF!</v>
      </c>
      <c r="AK27" s="495" t="e">
        <f t="shared" si="28"/>
        <v>#REF!</v>
      </c>
      <c r="AL27" s="495" t="e">
        <f t="shared" si="29"/>
        <v>#REF!</v>
      </c>
      <c r="AM27" s="495" t="e">
        <f t="shared" si="30"/>
        <v>#REF!</v>
      </c>
      <c r="AN27" s="495" t="e">
        <f t="shared" si="31"/>
        <v>#REF!</v>
      </c>
      <c r="AO27" s="495" t="e">
        <f t="shared" si="32"/>
        <v>#REF!</v>
      </c>
      <c r="AP27" s="495" t="e">
        <f t="shared" si="33"/>
        <v>#REF!</v>
      </c>
      <c r="AQ27" s="493" t="e">
        <f t="shared" si="34"/>
        <v>#REF!</v>
      </c>
      <c r="AR27" s="495" t="e">
        <f t="shared" ca="1" si="35"/>
        <v>#NAME?</v>
      </c>
      <c r="AS27" s="495" t="e">
        <f t="shared" ca="1" si="36"/>
        <v>#NAME?</v>
      </c>
      <c r="AT27" s="495" t="e">
        <f t="shared" si="37"/>
        <v>#REF!</v>
      </c>
      <c r="AU27" s="495" t="e">
        <f t="shared" si="38"/>
        <v>#REF!</v>
      </c>
      <c r="AV27" s="21"/>
      <c r="AW27" s="688" t="e">
        <f t="shared" ca="1" si="43"/>
        <v>#REF!</v>
      </c>
      <c r="AX27" s="554"/>
      <c r="AY27" s="554"/>
      <c r="AZ27" s="3"/>
      <c r="BA27" s="3"/>
      <c r="BB27" s="3"/>
      <c r="BC27" s="3"/>
      <c r="BD27" s="3"/>
      <c r="BE27" s="3"/>
      <c r="BF27" s="3"/>
      <c r="BG27" s="3"/>
      <c r="BH27" s="3"/>
      <c r="BI27" s="3"/>
      <c r="BJ27" s="3"/>
      <c r="BK27" s="3"/>
      <c r="BL27" s="3"/>
      <c r="BM27" s="3"/>
    </row>
    <row r="28" spans="1:65">
      <c r="A28" s="636" t="s">
        <v>199</v>
      </c>
      <c r="B28" s="668"/>
      <c r="C28" s="659"/>
      <c r="D28" s="62"/>
      <c r="E28" s="82"/>
      <c r="F28" s="82"/>
      <c r="G28" s="439"/>
      <c r="H28" s="295"/>
      <c r="I28" s="295"/>
      <c r="J28" s="295"/>
      <c r="K28" s="295"/>
      <c r="L28" s="295"/>
      <c r="M28" s="295"/>
      <c r="N28" s="295"/>
      <c r="O28" s="295"/>
      <c r="P28" s="295"/>
      <c r="Q28" s="10"/>
      <c r="R28" s="606"/>
      <c r="S28" s="82"/>
      <c r="T28" s="605"/>
      <c r="U28" s="605"/>
      <c r="V28" s="606"/>
      <c r="W28" s="606"/>
      <c r="X28" s="607"/>
      <c r="Y28" s="17"/>
      <c r="Z28" s="606"/>
      <c r="AA28" s="82"/>
      <c r="AB28" s="605"/>
      <c r="AC28" s="605"/>
      <c r="AD28" s="606"/>
      <c r="AE28" s="606"/>
      <c r="AF28" s="607"/>
      <c r="AG28" s="17"/>
      <c r="AH28" s="606"/>
      <c r="AI28" s="17"/>
      <c r="AJ28" s="17"/>
      <c r="AK28" s="16"/>
      <c r="AL28" s="16"/>
      <c r="AM28" s="16"/>
      <c r="AN28" s="16"/>
      <c r="AO28" s="16"/>
      <c r="AP28" s="16"/>
      <c r="AQ28" s="16"/>
      <c r="AR28" s="16"/>
      <c r="AS28" s="16"/>
      <c r="AT28" s="16"/>
      <c r="AU28" s="16"/>
      <c r="AV28" s="83"/>
      <c r="AW28" s="554"/>
      <c r="AX28" s="554"/>
      <c r="AY28" s="554"/>
      <c r="AZ28" s="3"/>
      <c r="BA28" s="3"/>
      <c r="BB28" s="3"/>
      <c r="BC28" s="3"/>
      <c r="BD28" s="3"/>
      <c r="BE28" s="3"/>
      <c r="BF28" s="3"/>
      <c r="BG28" s="3"/>
      <c r="BH28" s="3"/>
      <c r="BI28" s="3"/>
      <c r="BJ28" s="3"/>
      <c r="BK28" s="3"/>
      <c r="BL28" s="3"/>
      <c r="BM28" s="3"/>
    </row>
    <row r="29" spans="1:65">
      <c r="A29" s="650" t="str">
        <f>'DDR2 Strobes - 2x16'!$A$17</f>
        <v>SA_DQS2</v>
      </c>
      <c r="B29" s="669" t="str">
        <f>'DDR2 Strobes - 2x16'!$B$17</f>
        <v>AB24</v>
      </c>
      <c r="C29" s="660"/>
      <c r="D29" s="53"/>
      <c r="E29" s="81"/>
      <c r="F29" s="81"/>
      <c r="G29" s="440"/>
      <c r="H29" s="296"/>
      <c r="I29" s="296"/>
      <c r="J29" s="296"/>
      <c r="K29" s="296"/>
      <c r="L29" s="296"/>
      <c r="M29" s="296"/>
      <c r="N29" s="296"/>
      <c r="O29" s="296"/>
      <c r="P29" s="296"/>
      <c r="Q29" s="81"/>
      <c r="R29" s="58"/>
      <c r="S29" s="81"/>
      <c r="T29" s="58"/>
      <c r="U29" s="58" t="e">
        <f>'DDR2 Strobes - 2x16'!$U$17</f>
        <v>#REF!</v>
      </c>
      <c r="V29" s="58"/>
      <c r="W29" s="58"/>
      <c r="X29" s="58"/>
      <c r="Y29" s="608"/>
      <c r="Z29" s="58"/>
      <c r="AA29" s="81"/>
      <c r="AB29" s="58"/>
      <c r="AC29" s="58" t="e">
        <f>'DDR2 Strobes - 2x16'!$AC$17</f>
        <v>#REF!</v>
      </c>
      <c r="AD29" s="58"/>
      <c r="AE29" s="58"/>
      <c r="AF29" s="58"/>
      <c r="AG29" s="608"/>
      <c r="AH29" s="58"/>
      <c r="AI29" s="608"/>
      <c r="AJ29" s="608"/>
      <c r="AK29" s="608"/>
      <c r="AL29" s="608"/>
      <c r="AM29" s="608"/>
      <c r="AN29" s="608"/>
      <c r="AO29" s="608"/>
      <c r="AP29" s="608"/>
      <c r="AQ29" s="608"/>
      <c r="AR29" s="608"/>
      <c r="AS29" s="608"/>
      <c r="AT29" s="608"/>
      <c r="AU29" s="608"/>
      <c r="AV29" s="58"/>
      <c r="AW29" s="554"/>
      <c r="AX29" s="554"/>
      <c r="AY29" s="554"/>
      <c r="AZ29" s="3"/>
      <c r="BA29" s="3"/>
      <c r="BB29" s="3"/>
      <c r="BC29" s="3"/>
      <c r="BD29" s="3"/>
      <c r="BE29" s="3"/>
      <c r="BF29" s="3"/>
      <c r="BG29" s="3"/>
      <c r="BH29" s="3"/>
      <c r="BI29" s="3"/>
      <c r="BJ29" s="3"/>
      <c r="BK29" s="3"/>
      <c r="BL29" s="3"/>
      <c r="BM29" s="3"/>
    </row>
    <row r="30" spans="1:65">
      <c r="A30" s="650" t="str">
        <f>'DDR2 Strobes - 2x16'!$A$18</f>
        <v>SA_DQS2#</v>
      </c>
      <c r="B30" s="669" t="str">
        <f>'DDR2 Strobes - 2x16'!$B$18</f>
        <v>AB22</v>
      </c>
      <c r="C30" s="660"/>
      <c r="D30" s="53"/>
      <c r="E30" s="81"/>
      <c r="F30" s="81"/>
      <c r="G30" s="440"/>
      <c r="H30" s="296"/>
      <c r="I30" s="296"/>
      <c r="J30" s="296"/>
      <c r="K30" s="296"/>
      <c r="L30" s="296"/>
      <c r="M30" s="296"/>
      <c r="N30" s="296"/>
      <c r="O30" s="296"/>
      <c r="P30" s="296"/>
      <c r="Q30" s="81"/>
      <c r="R30" s="58"/>
      <c r="S30" s="602"/>
      <c r="T30" s="603"/>
      <c r="U30" s="58" t="e">
        <f>'DDR2 Strobes - 2x16'!$U$18</f>
        <v>#REF!</v>
      </c>
      <c r="V30" s="58"/>
      <c r="W30" s="58"/>
      <c r="X30" s="58"/>
      <c r="Y30" s="608"/>
      <c r="Z30" s="58"/>
      <c r="AA30" s="602"/>
      <c r="AB30" s="603"/>
      <c r="AC30" s="58" t="e">
        <f>'DDR2 Strobes - 2x16'!$AC$18</f>
        <v>#REF!</v>
      </c>
      <c r="AD30" s="58"/>
      <c r="AE30" s="58"/>
      <c r="AF30" s="58"/>
      <c r="AG30" s="608"/>
      <c r="AH30" s="58"/>
      <c r="AI30" s="608"/>
      <c r="AJ30" s="608"/>
      <c r="AK30" s="609"/>
      <c r="AL30" s="609"/>
      <c r="AM30" s="609"/>
      <c r="AN30" s="609"/>
      <c r="AO30" s="609"/>
      <c r="AP30" s="609"/>
      <c r="AQ30" s="609"/>
      <c r="AR30" s="609"/>
      <c r="AS30" s="609"/>
      <c r="AT30" s="609"/>
      <c r="AU30" s="609"/>
      <c r="AV30" s="58"/>
      <c r="AW30" s="554"/>
      <c r="AX30" s="554"/>
      <c r="AY30" s="554"/>
      <c r="AZ30" s="3"/>
      <c r="BA30" s="3"/>
      <c r="BB30" s="3"/>
      <c r="BC30" s="3"/>
      <c r="BD30" s="3"/>
      <c r="BE30" s="3"/>
      <c r="BF30" s="3"/>
      <c r="BG30" s="3"/>
      <c r="BH30" s="3"/>
      <c r="BI30" s="3"/>
      <c r="BJ30" s="3"/>
      <c r="BK30" s="3"/>
      <c r="BL30" s="3"/>
      <c r="BM30" s="3"/>
    </row>
    <row r="31" spans="1:65">
      <c r="A31" s="633" t="s">
        <v>138</v>
      </c>
      <c r="B31" s="665" t="s">
        <v>480</v>
      </c>
      <c r="C31" s="658">
        <v>532.63779527559052</v>
      </c>
      <c r="D31" s="18"/>
      <c r="E31" s="621">
        <v>22.63</v>
      </c>
      <c r="F31" s="621">
        <v>0</v>
      </c>
      <c r="G31" s="622">
        <v>1185</v>
      </c>
      <c r="H31" s="622">
        <v>779.42</v>
      </c>
      <c r="I31" s="622">
        <v>79</v>
      </c>
      <c r="J31" s="277">
        <v>40</v>
      </c>
      <c r="K31" s="622">
        <v>43.4</v>
      </c>
      <c r="L31" s="622">
        <v>1122.3699999999999</v>
      </c>
      <c r="M31" s="620">
        <v>0</v>
      </c>
      <c r="N31" s="620">
        <v>0</v>
      </c>
      <c r="O31" s="622">
        <v>108.87</v>
      </c>
      <c r="P31" s="622">
        <v>108.88</v>
      </c>
      <c r="Q31" s="69"/>
      <c r="R31" s="21"/>
      <c r="S31" s="489">
        <f t="shared" ref="S31:S39" si="44">SUM(E31:G31,H31:M31,O31)</f>
        <v>3380.69</v>
      </c>
      <c r="T31" s="489" t="e">
        <f>S31+IF($B$2="mil",1,0.0254)*$C31</f>
        <v>#REF!</v>
      </c>
      <c r="U31" s="489" t="e">
        <f>MAX(U$29:U$30)+IF($B$2="mil",1,0.0254)*DDR2Specs!$E$3</f>
        <v>#REF!</v>
      </c>
      <c r="V31" s="489" t="e">
        <f>MIN(U$29:U$30)+IF($B$2="mil",1,0.0254)*DDR2Specs!$F$3</f>
        <v>#REF!</v>
      </c>
      <c r="W31" s="21"/>
      <c r="X31" s="598" t="e">
        <f t="shared" ref="X31:X39" si="45">IF($T31&lt;$U31,$U31-$T31,"Pass")</f>
        <v>#REF!</v>
      </c>
      <c r="Y31" s="495" t="e">
        <f t="shared" ref="Y31:Y39" si="46">IF($T31&gt;$V31,$T31-$V31,"Pass")</f>
        <v>#REF!</v>
      </c>
      <c r="Z31" s="21"/>
      <c r="AA31" s="489">
        <f t="shared" ref="AA31:AA39" si="47">SUM(E31:G31,H31:L31,N31,P31)</f>
        <v>3380.7000000000003</v>
      </c>
      <c r="AB31" s="489" t="e">
        <f>AA31+IF($B$2="mil",1,0.0254)*$C31</f>
        <v>#REF!</v>
      </c>
      <c r="AC31" s="489" t="e">
        <f>MAX(AC$29:AC$30)+IF($B$2="mil",1,0.0254)*DDR2Specs!$E$3</f>
        <v>#REF!</v>
      </c>
      <c r="AD31" s="489" t="e">
        <f>MIN(AC$29:AC$30)+IF($B$2="mil",1,0.0254)*DDR2Specs!$F$3</f>
        <v>#REF!</v>
      </c>
      <c r="AE31" s="21"/>
      <c r="AF31" s="598" t="e">
        <f>IF($AB31&lt;$AC31,$AC31-$AB31,"Pass")</f>
        <v>#REF!</v>
      </c>
      <c r="AG31" s="495" t="e">
        <f>IF($AB31&gt;$AD31,$AB31-$AD31,"Pass")</f>
        <v>#REF!</v>
      </c>
      <c r="AH31" s="21"/>
      <c r="AI31" s="495" t="e">
        <f t="shared" ref="AI31:AI39" si="48">IF($E31&lt;=IF($B$2="mil",1,0.0254)*50,"Pass",IF($B$2="mil",1,0.0254)*50-$E31)</f>
        <v>#REF!</v>
      </c>
      <c r="AJ31" s="495" t="e">
        <f t="shared" ref="AJ31:AJ39" si="49">IF($F31&lt;=IF($B$2="mil",1,0.0254)*500,"Pass",IF($B$2="mil",1,0.0254)*500-$F31)</f>
        <v>#REF!</v>
      </c>
      <c r="AK31" s="495" t="e">
        <f t="shared" ref="AK31:AK39" si="50">IF(($G31+$H31)&lt;=IF($B$2="mil",1,0.0254)*2750,"Pass",IF($B$2="mil",1,0.0254)*2750-($G31+D31))</f>
        <v>#REF!</v>
      </c>
      <c r="AL31" s="495" t="e">
        <f t="shared" ref="AL31:AL39" si="51">IF($I31&lt;=IF($B$2="mil",1,0.0254)*125,"Pass",IF($B$2="mil",1,0.0254)*125-$I31)</f>
        <v>#REF!</v>
      </c>
      <c r="AM31" s="495" t="e">
        <f t="shared" ref="AM31:AM39" si="52">IF($K31&lt;=IF($B$2="mil",1,0.0254)*125,"Pass",IF($B$2="mil",1,0.0254)*125-$K31)</f>
        <v>#REF!</v>
      </c>
      <c r="AN31" s="495" t="e">
        <f t="shared" ref="AN31:AN39" si="53">IF(($K31+$L31)&lt;=IF($B$2="mil",1,0.0254)*1350,"Pass",IF($B$2="mil",1,0.0254)*1350-($K31+L31))</f>
        <v>#REF!</v>
      </c>
      <c r="AO31" s="495" t="e">
        <f t="shared" ref="AO31:AO39" si="54">IF($M31&lt;=IF($B$2="mil",1,0.0254)*650,"Pass",IF($B$2="mil",1,0.0254)*650-$M31)</f>
        <v>#REF!</v>
      </c>
      <c r="AP31" s="495" t="e">
        <f t="shared" ref="AP31:AP39" si="55">IF($N31&lt;=IF($B$2="mil",1,0.0254)*650,"Pass",IF($B$2="mil",1,0.0254)*650-$N31)</f>
        <v>#REF!</v>
      </c>
      <c r="AQ31" s="493" t="e">
        <f t="shared" ref="AQ31:AQ39" si="56">IF(MAX(M31:N31)-MIN(M31:N31)&lt;=IF($B$2="mil",1,0.0254)*50,"Pass",MAX(M31:N31)-MIN(M31:N31)-IF($B$2="mil",1,0.0254)*50)</f>
        <v>#REF!</v>
      </c>
      <c r="AR31" s="495" t="e">
        <f t="shared" ref="AR31:AR39" ca="1" si="57">CheckLength2(IF($B$2="mil",1,0.0254)*800,$O31,M31,0)</f>
        <v>#NAME?</v>
      </c>
      <c r="AS31" s="495" t="e">
        <f t="shared" ref="AS31:AS39" ca="1" si="58">CheckLength2(IF($B$2="mil",1,0.0254)*800,$P31,N31,0)</f>
        <v>#NAME?</v>
      </c>
      <c r="AT31" s="495" t="e">
        <f t="shared" ref="AT31:AT39" si="59">IF(AND($S31&gt;=IF($B$2="mil",1,0.0254)*500, $S31&lt;=IF($B$2="mil",1,0.0254)*5500),"Pass",IF($B$2="mil",1,0.0254)*5500-$S31)</f>
        <v>#REF!</v>
      </c>
      <c r="AU31" s="495" t="e">
        <f t="shared" ref="AU31:AU39" si="60">IF(AND($T31&gt;=IF($B$2="mil",1,0.0254)*500, $T31&lt;=IF($B$2="mil",1,0.0254)*6000),"Pass",IF($B$2="mil",1,0.0254)*6000-$T31)</f>
        <v>#REF!</v>
      </c>
      <c r="AV31" s="21"/>
      <c r="AW31" s="688" t="e">
        <f ca="1">IF(AND(AF31="Pass",AG31="Pass",AI31="Pass",AJ31="Pass",AS31="Pass",AN31="Pass",AO31="Pass",AP31="Pass",AQ31="Pass",AR31="Pass",AM31="Pass",AL31="Pass",AK31="Pass",X31="Pass",Y31="Pass",AT31="Pass",AU31="Pass"),"Pass","Fail")</f>
        <v>#REF!</v>
      </c>
      <c r="AX31" s="554" t="e">
        <f ca="1">IF(AND(AW31="Pass",AW32="Pass",AW33="Pass",AW34="Pass",AW35="Pass",AW36="Pass",AW37="Pass",AW38="Pass",AW39="Pass"),"Pass","Fail")</f>
        <v>#REF!</v>
      </c>
      <c r="AY31" s="554"/>
      <c r="AZ31" s="3"/>
      <c r="BA31" s="3"/>
      <c r="BB31" s="3"/>
      <c r="BC31" s="3"/>
      <c r="BD31" s="3"/>
      <c r="BE31" s="3"/>
      <c r="BF31" s="3"/>
      <c r="BG31" s="3"/>
      <c r="BH31" s="3"/>
      <c r="BI31" s="3"/>
      <c r="BJ31" s="3"/>
      <c r="BK31" s="3"/>
      <c r="BL31" s="3"/>
      <c r="BM31" s="3"/>
    </row>
    <row r="32" spans="1:65">
      <c r="A32" s="633" t="s">
        <v>139</v>
      </c>
      <c r="B32" s="665" t="s">
        <v>481</v>
      </c>
      <c r="C32" s="658">
        <v>514.9212598425197</v>
      </c>
      <c r="D32" s="18"/>
      <c r="E32" s="621">
        <v>22.63</v>
      </c>
      <c r="F32" s="621">
        <v>0</v>
      </c>
      <c r="G32" s="622">
        <v>1188</v>
      </c>
      <c r="H32" s="622">
        <v>778.75</v>
      </c>
      <c r="I32" s="622">
        <v>85.78</v>
      </c>
      <c r="J32" s="277">
        <v>40</v>
      </c>
      <c r="K32" s="622">
        <v>44.57</v>
      </c>
      <c r="L32" s="622">
        <v>1205.76</v>
      </c>
      <c r="M32" s="620">
        <v>0</v>
      </c>
      <c r="N32" s="620">
        <v>0</v>
      </c>
      <c r="O32" s="622">
        <v>22.26</v>
      </c>
      <c r="P32" s="622">
        <v>22.23</v>
      </c>
      <c r="Q32" s="69"/>
      <c r="R32" s="21"/>
      <c r="S32" s="489">
        <f t="shared" si="44"/>
        <v>3387.7500000000009</v>
      </c>
      <c r="T32" s="489" t="e">
        <f t="shared" ref="T32:T39" si="61">S32+IF($B$2="mil",1,0.0254)*$C32</f>
        <v>#REF!</v>
      </c>
      <c r="U32" s="489" t="e">
        <f>MAX(U$29:U$30)+IF($B$2="mil",1,0.0254)*DDR2Specs!$E$3</f>
        <v>#REF!</v>
      </c>
      <c r="V32" s="489" t="e">
        <f>MIN(U$29:U$30)+IF($B$2="mil",1,0.0254)*DDR2Specs!$F$3</f>
        <v>#REF!</v>
      </c>
      <c r="W32" s="21"/>
      <c r="X32" s="598" t="e">
        <f t="shared" si="45"/>
        <v>#REF!</v>
      </c>
      <c r="Y32" s="495" t="e">
        <f t="shared" si="46"/>
        <v>#REF!</v>
      </c>
      <c r="Z32" s="21"/>
      <c r="AA32" s="489">
        <f t="shared" si="47"/>
        <v>3387.7200000000007</v>
      </c>
      <c r="AB32" s="489" t="e">
        <f t="shared" ref="AB32:AB39" si="62">AA32+IF($B$2="mil",1,0.0254)*$C32</f>
        <v>#REF!</v>
      </c>
      <c r="AC32" s="489" t="e">
        <f>MAX(AC$29:AC$30)+IF($B$2="mil",1,0.0254)*DDR2Specs!$E$3</f>
        <v>#REF!</v>
      </c>
      <c r="AD32" s="489" t="e">
        <f>MIN(AC$29:AC$30)+IF($B$2="mil",1,0.0254)*DDR2Specs!$F$3</f>
        <v>#REF!</v>
      </c>
      <c r="AE32" s="21"/>
      <c r="AF32" s="598" t="e">
        <f t="shared" ref="AF32:AF39" si="63">IF($AB32&lt;$AC32,$AC32-$AB32,"Pass")</f>
        <v>#REF!</v>
      </c>
      <c r="AG32" s="495" t="e">
        <f t="shared" ref="AG32:AG39" si="64">IF($AB32&gt;$AD32,$AB32-$AD32,"Pass")</f>
        <v>#REF!</v>
      </c>
      <c r="AH32" s="21"/>
      <c r="AI32" s="495" t="e">
        <f t="shared" si="48"/>
        <v>#REF!</v>
      </c>
      <c r="AJ32" s="495" t="e">
        <f t="shared" si="49"/>
        <v>#REF!</v>
      </c>
      <c r="AK32" s="495" t="e">
        <f t="shared" si="50"/>
        <v>#REF!</v>
      </c>
      <c r="AL32" s="495" t="e">
        <f t="shared" si="51"/>
        <v>#REF!</v>
      </c>
      <c r="AM32" s="495" t="e">
        <f t="shared" si="52"/>
        <v>#REF!</v>
      </c>
      <c r="AN32" s="495" t="e">
        <f t="shared" si="53"/>
        <v>#REF!</v>
      </c>
      <c r="AO32" s="495" t="e">
        <f t="shared" si="54"/>
        <v>#REF!</v>
      </c>
      <c r="AP32" s="495" t="e">
        <f t="shared" si="55"/>
        <v>#REF!</v>
      </c>
      <c r="AQ32" s="493" t="e">
        <f t="shared" si="56"/>
        <v>#REF!</v>
      </c>
      <c r="AR32" s="495" t="e">
        <f t="shared" ca="1" si="57"/>
        <v>#NAME?</v>
      </c>
      <c r="AS32" s="495" t="e">
        <f t="shared" ca="1" si="58"/>
        <v>#NAME?</v>
      </c>
      <c r="AT32" s="495" t="e">
        <f t="shared" si="59"/>
        <v>#REF!</v>
      </c>
      <c r="AU32" s="495" t="e">
        <f t="shared" si="60"/>
        <v>#REF!</v>
      </c>
      <c r="AV32" s="21"/>
      <c r="AW32" s="688" t="e">
        <f t="shared" ref="AW32:AW39" ca="1" si="65">IF(AND(AF32="Pass",AG32="Pass",AI32="Pass",AJ32="Pass",AS32="Pass",AN32="Pass",AO32="Pass",AP32="Pass",AQ32="Pass",AR32="Pass",AM32="Pass",AL32="Pass",AK32="Pass",X32="Pass",Y32="Pass",AT32="Pass",AU32="Pass"),"Pass","Fail")</f>
        <v>#REF!</v>
      </c>
      <c r="AX32" s="554"/>
      <c r="AY32" s="554"/>
      <c r="AZ32" s="3"/>
      <c r="BA32" s="3"/>
      <c r="BB32" s="3"/>
      <c r="BC32" s="3"/>
      <c r="BD32" s="3"/>
      <c r="BE32" s="3"/>
      <c r="BF32" s="3"/>
      <c r="BG32" s="3"/>
      <c r="BH32" s="3"/>
      <c r="BI32" s="3"/>
      <c r="BJ32" s="3"/>
      <c r="BK32" s="3"/>
      <c r="BL32" s="3"/>
      <c r="BM32" s="3"/>
    </row>
    <row r="33" spans="1:65">
      <c r="A33" s="633" t="s">
        <v>140</v>
      </c>
      <c r="B33" s="665" t="s">
        <v>482</v>
      </c>
      <c r="C33" s="658">
        <v>468.18897637795277</v>
      </c>
      <c r="D33" s="18"/>
      <c r="E33" s="621">
        <v>22.63</v>
      </c>
      <c r="F33" s="621">
        <v>0</v>
      </c>
      <c r="G33" s="622">
        <v>1185</v>
      </c>
      <c r="H33" s="622">
        <v>845</v>
      </c>
      <c r="I33" s="622">
        <v>29.57</v>
      </c>
      <c r="J33" s="277">
        <v>40</v>
      </c>
      <c r="K33" s="622">
        <v>85.78</v>
      </c>
      <c r="L33" s="622">
        <v>1188.58</v>
      </c>
      <c r="M33" s="620">
        <v>0</v>
      </c>
      <c r="N33" s="620">
        <v>0</v>
      </c>
      <c r="O33" s="622">
        <v>40.630000000000003</v>
      </c>
      <c r="P33" s="622">
        <v>36.81</v>
      </c>
      <c r="Q33" s="69"/>
      <c r="R33" s="21"/>
      <c r="S33" s="489">
        <f t="shared" si="44"/>
        <v>3437.1900000000005</v>
      </c>
      <c r="T33" s="489" t="e">
        <f t="shared" si="61"/>
        <v>#REF!</v>
      </c>
      <c r="U33" s="489" t="e">
        <f>MAX(U$29:U$30)+IF($B$2="mil",1,0.0254)*DDR2Specs!$E$3</f>
        <v>#REF!</v>
      </c>
      <c r="V33" s="489" t="e">
        <f>MIN(U$29:U$30)+IF($B$2="mil",1,0.0254)*DDR2Specs!$F$3</f>
        <v>#REF!</v>
      </c>
      <c r="W33" s="21"/>
      <c r="X33" s="598" t="e">
        <f t="shared" si="45"/>
        <v>#REF!</v>
      </c>
      <c r="Y33" s="495" t="e">
        <f t="shared" si="46"/>
        <v>#REF!</v>
      </c>
      <c r="Z33" s="21"/>
      <c r="AA33" s="489">
        <f t="shared" si="47"/>
        <v>3433.3700000000003</v>
      </c>
      <c r="AB33" s="489" t="e">
        <f t="shared" si="62"/>
        <v>#REF!</v>
      </c>
      <c r="AC33" s="489" t="e">
        <f>MAX(AC$29:AC$30)+IF($B$2="mil",1,0.0254)*DDR2Specs!$E$3</f>
        <v>#REF!</v>
      </c>
      <c r="AD33" s="489" t="e">
        <f>MIN(AC$29:AC$30)+IF($B$2="mil",1,0.0254)*DDR2Specs!$F$3</f>
        <v>#REF!</v>
      </c>
      <c r="AE33" s="21"/>
      <c r="AF33" s="598" t="e">
        <f t="shared" si="63"/>
        <v>#REF!</v>
      </c>
      <c r="AG33" s="495" t="e">
        <f t="shared" si="64"/>
        <v>#REF!</v>
      </c>
      <c r="AH33" s="21"/>
      <c r="AI33" s="495" t="e">
        <f t="shared" si="48"/>
        <v>#REF!</v>
      </c>
      <c r="AJ33" s="495" t="e">
        <f t="shared" si="49"/>
        <v>#REF!</v>
      </c>
      <c r="AK33" s="495" t="e">
        <f t="shared" si="50"/>
        <v>#REF!</v>
      </c>
      <c r="AL33" s="495" t="e">
        <f t="shared" si="51"/>
        <v>#REF!</v>
      </c>
      <c r="AM33" s="495" t="e">
        <f t="shared" si="52"/>
        <v>#REF!</v>
      </c>
      <c r="AN33" s="495" t="e">
        <f t="shared" si="53"/>
        <v>#REF!</v>
      </c>
      <c r="AO33" s="495" t="e">
        <f t="shared" si="54"/>
        <v>#REF!</v>
      </c>
      <c r="AP33" s="495" t="e">
        <f t="shared" si="55"/>
        <v>#REF!</v>
      </c>
      <c r="AQ33" s="493" t="e">
        <f t="shared" si="56"/>
        <v>#REF!</v>
      </c>
      <c r="AR33" s="495" t="e">
        <f t="shared" ca="1" si="57"/>
        <v>#NAME?</v>
      </c>
      <c r="AS33" s="495" t="e">
        <f t="shared" ca="1" si="58"/>
        <v>#NAME?</v>
      </c>
      <c r="AT33" s="495" t="e">
        <f t="shared" si="59"/>
        <v>#REF!</v>
      </c>
      <c r="AU33" s="495" t="e">
        <f t="shared" si="60"/>
        <v>#REF!</v>
      </c>
      <c r="AV33" s="21"/>
      <c r="AW33" s="688" t="e">
        <f t="shared" ca="1" si="65"/>
        <v>#REF!</v>
      </c>
      <c r="AX33" s="554"/>
      <c r="AY33" s="554"/>
      <c r="AZ33" s="3"/>
      <c r="BA33" s="3"/>
      <c r="BB33" s="3"/>
      <c r="BC33" s="3"/>
      <c r="BD33" s="3"/>
      <c r="BE33" s="3"/>
      <c r="BF33" s="3"/>
      <c r="BG33" s="3"/>
      <c r="BH33" s="3"/>
      <c r="BI33" s="3"/>
      <c r="BJ33" s="3"/>
      <c r="BK33" s="3"/>
      <c r="BL33" s="3"/>
      <c r="BM33" s="3"/>
    </row>
    <row r="34" spans="1:65">
      <c r="A34" s="633" t="s">
        <v>141</v>
      </c>
      <c r="B34" s="665" t="s">
        <v>483</v>
      </c>
      <c r="C34" s="658">
        <v>494.40944881889766</v>
      </c>
      <c r="D34" s="18"/>
      <c r="E34" s="621">
        <v>22.63</v>
      </c>
      <c r="F34" s="621">
        <v>0</v>
      </c>
      <c r="G34" s="622">
        <v>1210</v>
      </c>
      <c r="H34" s="622">
        <v>770.06</v>
      </c>
      <c r="I34" s="622">
        <v>85.78</v>
      </c>
      <c r="J34" s="277">
        <v>40</v>
      </c>
      <c r="K34" s="622">
        <v>44.57</v>
      </c>
      <c r="L34" s="622">
        <v>1215.22</v>
      </c>
      <c r="M34" s="620">
        <v>0</v>
      </c>
      <c r="N34" s="620">
        <v>0</v>
      </c>
      <c r="O34" s="622">
        <v>22.25</v>
      </c>
      <c r="P34" s="622">
        <v>22.28</v>
      </c>
      <c r="Q34" s="69"/>
      <c r="R34" s="21"/>
      <c r="S34" s="489">
        <f t="shared" si="44"/>
        <v>3410.51</v>
      </c>
      <c r="T34" s="489" t="e">
        <f t="shared" si="61"/>
        <v>#REF!</v>
      </c>
      <c r="U34" s="489" t="e">
        <f>MAX(U$29:U$30)+IF($B$2="mil",1,0.0254)*DDR2Specs!$E$3</f>
        <v>#REF!</v>
      </c>
      <c r="V34" s="489" t="e">
        <f>MIN(U$29:U$30)+IF($B$2="mil",1,0.0254)*DDR2Specs!$F$3</f>
        <v>#REF!</v>
      </c>
      <c r="W34" s="21"/>
      <c r="X34" s="598" t="e">
        <f t="shared" si="45"/>
        <v>#REF!</v>
      </c>
      <c r="Y34" s="495" t="e">
        <f t="shared" si="46"/>
        <v>#REF!</v>
      </c>
      <c r="Z34" s="21"/>
      <c r="AA34" s="489">
        <f t="shared" si="47"/>
        <v>3410.5400000000004</v>
      </c>
      <c r="AB34" s="489" t="e">
        <f t="shared" si="62"/>
        <v>#REF!</v>
      </c>
      <c r="AC34" s="489" t="e">
        <f>MAX(AC$29:AC$30)+IF($B$2="mil",1,0.0254)*DDR2Specs!$E$3</f>
        <v>#REF!</v>
      </c>
      <c r="AD34" s="489" t="e">
        <f>MIN(AC$29:AC$30)+IF($B$2="mil",1,0.0254)*DDR2Specs!$F$3</f>
        <v>#REF!</v>
      </c>
      <c r="AE34" s="21"/>
      <c r="AF34" s="598" t="e">
        <f t="shared" si="63"/>
        <v>#REF!</v>
      </c>
      <c r="AG34" s="495" t="e">
        <f t="shared" si="64"/>
        <v>#REF!</v>
      </c>
      <c r="AH34" s="21"/>
      <c r="AI34" s="495" t="e">
        <f t="shared" si="48"/>
        <v>#REF!</v>
      </c>
      <c r="AJ34" s="495" t="e">
        <f t="shared" si="49"/>
        <v>#REF!</v>
      </c>
      <c r="AK34" s="495" t="e">
        <f t="shared" si="50"/>
        <v>#REF!</v>
      </c>
      <c r="AL34" s="495" t="e">
        <f t="shared" si="51"/>
        <v>#REF!</v>
      </c>
      <c r="AM34" s="495" t="e">
        <f t="shared" si="52"/>
        <v>#REF!</v>
      </c>
      <c r="AN34" s="495" t="e">
        <f t="shared" si="53"/>
        <v>#REF!</v>
      </c>
      <c r="AO34" s="495" t="e">
        <f t="shared" si="54"/>
        <v>#REF!</v>
      </c>
      <c r="AP34" s="495" t="e">
        <f t="shared" si="55"/>
        <v>#REF!</v>
      </c>
      <c r="AQ34" s="493" t="e">
        <f t="shared" si="56"/>
        <v>#REF!</v>
      </c>
      <c r="AR34" s="495" t="e">
        <f t="shared" ca="1" si="57"/>
        <v>#NAME?</v>
      </c>
      <c r="AS34" s="495" t="e">
        <f t="shared" ca="1" si="58"/>
        <v>#NAME?</v>
      </c>
      <c r="AT34" s="495" t="e">
        <f t="shared" si="59"/>
        <v>#REF!</v>
      </c>
      <c r="AU34" s="495" t="e">
        <f t="shared" si="60"/>
        <v>#REF!</v>
      </c>
      <c r="AV34" s="21"/>
      <c r="AW34" s="688" t="e">
        <f t="shared" ca="1" si="65"/>
        <v>#REF!</v>
      </c>
      <c r="AX34" s="554"/>
      <c r="AY34" s="554"/>
      <c r="AZ34" s="3"/>
      <c r="BA34" s="3"/>
      <c r="BB34" s="3"/>
      <c r="BC34" s="3"/>
      <c r="BD34" s="3"/>
      <c r="BE34" s="3"/>
      <c r="BF34" s="3"/>
      <c r="BG34" s="3"/>
      <c r="BH34" s="3"/>
      <c r="BI34" s="3"/>
      <c r="BJ34" s="3"/>
      <c r="BK34" s="3"/>
      <c r="BL34" s="3"/>
      <c r="BM34" s="3"/>
    </row>
    <row r="35" spans="1:65">
      <c r="A35" s="633" t="s">
        <v>142</v>
      </c>
      <c r="B35" s="665" t="s">
        <v>484</v>
      </c>
      <c r="C35" s="658">
        <v>570.90551181102364</v>
      </c>
      <c r="D35" s="18"/>
      <c r="E35" s="621">
        <v>22.63</v>
      </c>
      <c r="F35" s="621">
        <v>0</v>
      </c>
      <c r="G35" s="622">
        <v>1075</v>
      </c>
      <c r="H35" s="622">
        <v>780.58</v>
      </c>
      <c r="I35" s="622">
        <v>85</v>
      </c>
      <c r="J35" s="277">
        <v>40</v>
      </c>
      <c r="K35" s="622">
        <v>44.71</v>
      </c>
      <c r="L35" s="622">
        <v>1229.5899999999999</v>
      </c>
      <c r="M35" s="620">
        <v>0</v>
      </c>
      <c r="N35" s="620">
        <v>0</v>
      </c>
      <c r="O35" s="622">
        <v>65.11</v>
      </c>
      <c r="P35" s="622">
        <v>65.14</v>
      </c>
      <c r="Q35" s="69"/>
      <c r="R35" s="21"/>
      <c r="S35" s="489">
        <f t="shared" si="44"/>
        <v>3342.6200000000003</v>
      </c>
      <c r="T35" s="489" t="e">
        <f t="shared" si="61"/>
        <v>#REF!</v>
      </c>
      <c r="U35" s="489" t="e">
        <f>MAX(U$29:U$30)+IF($B$2="mil",1,0.0254)*DDR2Specs!$E$3</f>
        <v>#REF!</v>
      </c>
      <c r="V35" s="489" t="e">
        <f>MIN(U$29:U$30)+IF($B$2="mil",1,0.0254)*DDR2Specs!$F$3</f>
        <v>#REF!</v>
      </c>
      <c r="W35" s="21"/>
      <c r="X35" s="598" t="e">
        <f t="shared" si="45"/>
        <v>#REF!</v>
      </c>
      <c r="Y35" s="495" t="e">
        <f t="shared" si="46"/>
        <v>#REF!</v>
      </c>
      <c r="Z35" s="21"/>
      <c r="AA35" s="489">
        <f t="shared" si="47"/>
        <v>3342.65</v>
      </c>
      <c r="AB35" s="489" t="e">
        <f t="shared" si="62"/>
        <v>#REF!</v>
      </c>
      <c r="AC35" s="489" t="e">
        <f>MAX(AC$29:AC$30)+IF($B$2="mil",1,0.0254)*DDR2Specs!$E$3</f>
        <v>#REF!</v>
      </c>
      <c r="AD35" s="489" t="e">
        <f>MIN(AC$29:AC$30)+IF($B$2="mil",1,0.0254)*DDR2Specs!$F$3</f>
        <v>#REF!</v>
      </c>
      <c r="AE35" s="21"/>
      <c r="AF35" s="598" t="e">
        <f t="shared" si="63"/>
        <v>#REF!</v>
      </c>
      <c r="AG35" s="495" t="e">
        <f t="shared" si="64"/>
        <v>#REF!</v>
      </c>
      <c r="AH35" s="21"/>
      <c r="AI35" s="495" t="e">
        <f t="shared" si="48"/>
        <v>#REF!</v>
      </c>
      <c r="AJ35" s="495" t="e">
        <f t="shared" si="49"/>
        <v>#REF!</v>
      </c>
      <c r="AK35" s="495" t="e">
        <f t="shared" si="50"/>
        <v>#REF!</v>
      </c>
      <c r="AL35" s="495" t="e">
        <f t="shared" si="51"/>
        <v>#REF!</v>
      </c>
      <c r="AM35" s="495" t="e">
        <f t="shared" si="52"/>
        <v>#REF!</v>
      </c>
      <c r="AN35" s="495" t="e">
        <f t="shared" si="53"/>
        <v>#REF!</v>
      </c>
      <c r="AO35" s="495" t="e">
        <f t="shared" si="54"/>
        <v>#REF!</v>
      </c>
      <c r="AP35" s="495" t="e">
        <f t="shared" si="55"/>
        <v>#REF!</v>
      </c>
      <c r="AQ35" s="493" t="e">
        <f t="shared" si="56"/>
        <v>#REF!</v>
      </c>
      <c r="AR35" s="495" t="e">
        <f t="shared" ca="1" si="57"/>
        <v>#NAME?</v>
      </c>
      <c r="AS35" s="495" t="e">
        <f t="shared" ca="1" si="58"/>
        <v>#NAME?</v>
      </c>
      <c r="AT35" s="495" t="e">
        <f t="shared" si="59"/>
        <v>#REF!</v>
      </c>
      <c r="AU35" s="495" t="e">
        <f t="shared" si="60"/>
        <v>#REF!</v>
      </c>
      <c r="AV35" s="21"/>
      <c r="AW35" s="688" t="e">
        <f t="shared" ca="1" si="65"/>
        <v>#REF!</v>
      </c>
      <c r="AX35" s="554"/>
      <c r="AY35" s="554"/>
      <c r="AZ35" s="3"/>
      <c r="BA35" s="3"/>
      <c r="BB35" s="3"/>
      <c r="BC35" s="3"/>
      <c r="BD35" s="3"/>
      <c r="BE35" s="3"/>
      <c r="BF35" s="3"/>
      <c r="BG35" s="3"/>
      <c r="BH35" s="3"/>
      <c r="BI35" s="3"/>
      <c r="BJ35" s="3"/>
      <c r="BK35" s="3"/>
      <c r="BL35" s="3"/>
      <c r="BM35" s="3"/>
    </row>
    <row r="36" spans="1:65">
      <c r="A36" s="633" t="s">
        <v>143</v>
      </c>
      <c r="B36" s="665" t="s">
        <v>349</v>
      </c>
      <c r="C36" s="658">
        <v>498.14960629921262</v>
      </c>
      <c r="D36" s="18"/>
      <c r="E36" s="621">
        <v>22.63</v>
      </c>
      <c r="F36" s="621">
        <v>0</v>
      </c>
      <c r="G36" s="622">
        <v>1185</v>
      </c>
      <c r="H36" s="622">
        <v>773.45</v>
      </c>
      <c r="I36" s="622">
        <v>96.14</v>
      </c>
      <c r="J36" s="277">
        <v>40</v>
      </c>
      <c r="K36" s="622">
        <v>85.78</v>
      </c>
      <c r="L36" s="622">
        <v>1188.45</v>
      </c>
      <c r="M36" s="620">
        <v>0</v>
      </c>
      <c r="N36" s="620">
        <v>0</v>
      </c>
      <c r="O36" s="622">
        <v>22.3</v>
      </c>
      <c r="P36" s="622">
        <v>22.27</v>
      </c>
      <c r="Q36" s="69"/>
      <c r="R36" s="21"/>
      <c r="S36" s="489">
        <f t="shared" si="44"/>
        <v>3413.7500000000009</v>
      </c>
      <c r="T36" s="489" t="e">
        <f t="shared" si="61"/>
        <v>#REF!</v>
      </c>
      <c r="U36" s="489" t="e">
        <f>MAX(U$29:U$30)+IF($B$2="mil",1,0.0254)*DDR2Specs!$E$3</f>
        <v>#REF!</v>
      </c>
      <c r="V36" s="489" t="e">
        <f>MIN(U$29:U$30)+IF($B$2="mil",1,0.0254)*DDR2Specs!$F$3</f>
        <v>#REF!</v>
      </c>
      <c r="W36" s="21"/>
      <c r="X36" s="598" t="e">
        <f t="shared" si="45"/>
        <v>#REF!</v>
      </c>
      <c r="Y36" s="495" t="e">
        <f t="shared" si="46"/>
        <v>#REF!</v>
      </c>
      <c r="Z36" s="21"/>
      <c r="AA36" s="489">
        <f t="shared" si="47"/>
        <v>3413.7200000000007</v>
      </c>
      <c r="AB36" s="489" t="e">
        <f t="shared" si="62"/>
        <v>#REF!</v>
      </c>
      <c r="AC36" s="489" t="e">
        <f>MAX(AC$29:AC$30)+IF($B$2="mil",1,0.0254)*DDR2Specs!$E$3</f>
        <v>#REF!</v>
      </c>
      <c r="AD36" s="489" t="e">
        <f>MIN(AC$29:AC$30)+IF($B$2="mil",1,0.0254)*DDR2Specs!$F$3</f>
        <v>#REF!</v>
      </c>
      <c r="AE36" s="21"/>
      <c r="AF36" s="598" t="e">
        <f t="shared" si="63"/>
        <v>#REF!</v>
      </c>
      <c r="AG36" s="495" t="e">
        <f t="shared" si="64"/>
        <v>#REF!</v>
      </c>
      <c r="AH36" s="21"/>
      <c r="AI36" s="495" t="e">
        <f t="shared" si="48"/>
        <v>#REF!</v>
      </c>
      <c r="AJ36" s="495" t="e">
        <f t="shared" si="49"/>
        <v>#REF!</v>
      </c>
      <c r="AK36" s="495" t="e">
        <f t="shared" si="50"/>
        <v>#REF!</v>
      </c>
      <c r="AL36" s="495" t="e">
        <f t="shared" si="51"/>
        <v>#REF!</v>
      </c>
      <c r="AM36" s="495" t="e">
        <f t="shared" si="52"/>
        <v>#REF!</v>
      </c>
      <c r="AN36" s="495" t="e">
        <f t="shared" si="53"/>
        <v>#REF!</v>
      </c>
      <c r="AO36" s="495" t="e">
        <f t="shared" si="54"/>
        <v>#REF!</v>
      </c>
      <c r="AP36" s="495" t="e">
        <f t="shared" si="55"/>
        <v>#REF!</v>
      </c>
      <c r="AQ36" s="493" t="e">
        <f t="shared" si="56"/>
        <v>#REF!</v>
      </c>
      <c r="AR36" s="495" t="e">
        <f t="shared" ca="1" si="57"/>
        <v>#NAME?</v>
      </c>
      <c r="AS36" s="495" t="e">
        <f t="shared" ca="1" si="58"/>
        <v>#NAME?</v>
      </c>
      <c r="AT36" s="495" t="e">
        <f t="shared" si="59"/>
        <v>#REF!</v>
      </c>
      <c r="AU36" s="495" t="e">
        <f t="shared" si="60"/>
        <v>#REF!</v>
      </c>
      <c r="AV36" s="21"/>
      <c r="AW36" s="688" t="e">
        <f t="shared" ca="1" si="65"/>
        <v>#REF!</v>
      </c>
      <c r="AX36" s="554"/>
      <c r="AY36" s="554"/>
      <c r="AZ36" s="3"/>
      <c r="BA36" s="3"/>
      <c r="BB36" s="3"/>
      <c r="BC36" s="3"/>
      <c r="BD36" s="3"/>
      <c r="BE36" s="3"/>
      <c r="BF36" s="3"/>
      <c r="BG36" s="3"/>
      <c r="BH36" s="3"/>
      <c r="BI36" s="3"/>
      <c r="BJ36" s="3"/>
      <c r="BK36" s="3"/>
      <c r="BL36" s="3"/>
      <c r="BM36" s="3"/>
    </row>
    <row r="37" spans="1:65">
      <c r="A37" s="633" t="s">
        <v>144</v>
      </c>
      <c r="B37" s="665" t="s">
        <v>347</v>
      </c>
      <c r="C37" s="658">
        <v>466.29921259842519</v>
      </c>
      <c r="D37" s="18"/>
      <c r="E37" s="621">
        <v>22.63</v>
      </c>
      <c r="F37" s="621">
        <v>0</v>
      </c>
      <c r="G37" s="622">
        <v>1213</v>
      </c>
      <c r="H37" s="622">
        <v>829.71</v>
      </c>
      <c r="I37" s="622">
        <v>44.57</v>
      </c>
      <c r="J37" s="277">
        <v>40</v>
      </c>
      <c r="K37" s="622">
        <v>85.78</v>
      </c>
      <c r="L37" s="622">
        <v>1176.25</v>
      </c>
      <c r="M37" s="620">
        <v>0</v>
      </c>
      <c r="N37" s="620">
        <v>0</v>
      </c>
      <c r="O37" s="622">
        <v>25.06</v>
      </c>
      <c r="P37" s="622">
        <v>25.09</v>
      </c>
      <c r="Q37" s="69"/>
      <c r="R37" s="21"/>
      <c r="S37" s="489">
        <f t="shared" si="44"/>
        <v>3437.0000000000005</v>
      </c>
      <c r="T37" s="489" t="e">
        <f t="shared" si="61"/>
        <v>#REF!</v>
      </c>
      <c r="U37" s="489" t="e">
        <f>MAX(U$29:U$30)+IF($B$2="mil",1,0.0254)*DDR2Specs!$E$3</f>
        <v>#REF!</v>
      </c>
      <c r="V37" s="489" t="e">
        <f>MIN(U$29:U$30)+IF($B$2="mil",1,0.0254)*DDR2Specs!$F$3</f>
        <v>#REF!</v>
      </c>
      <c r="W37" s="21"/>
      <c r="X37" s="598" t="e">
        <f t="shared" si="45"/>
        <v>#REF!</v>
      </c>
      <c r="Y37" s="495" t="e">
        <f t="shared" si="46"/>
        <v>#REF!</v>
      </c>
      <c r="Z37" s="21"/>
      <c r="AA37" s="489">
        <f t="shared" si="47"/>
        <v>3437.0300000000007</v>
      </c>
      <c r="AB37" s="489" t="e">
        <f t="shared" si="62"/>
        <v>#REF!</v>
      </c>
      <c r="AC37" s="489" t="e">
        <f>MAX(AC$29:AC$30)+IF($B$2="mil",1,0.0254)*DDR2Specs!$E$3</f>
        <v>#REF!</v>
      </c>
      <c r="AD37" s="489" t="e">
        <f>MIN(AC$29:AC$30)+IF($B$2="mil",1,0.0254)*DDR2Specs!$F$3</f>
        <v>#REF!</v>
      </c>
      <c r="AE37" s="21"/>
      <c r="AF37" s="598" t="e">
        <f t="shared" si="63"/>
        <v>#REF!</v>
      </c>
      <c r="AG37" s="495" t="e">
        <f t="shared" si="64"/>
        <v>#REF!</v>
      </c>
      <c r="AH37" s="21"/>
      <c r="AI37" s="495" t="e">
        <f t="shared" si="48"/>
        <v>#REF!</v>
      </c>
      <c r="AJ37" s="495" t="e">
        <f t="shared" si="49"/>
        <v>#REF!</v>
      </c>
      <c r="AK37" s="495" t="e">
        <f t="shared" si="50"/>
        <v>#REF!</v>
      </c>
      <c r="AL37" s="495" t="e">
        <f t="shared" si="51"/>
        <v>#REF!</v>
      </c>
      <c r="AM37" s="495" t="e">
        <f t="shared" si="52"/>
        <v>#REF!</v>
      </c>
      <c r="AN37" s="495" t="e">
        <f t="shared" si="53"/>
        <v>#REF!</v>
      </c>
      <c r="AO37" s="495" t="e">
        <f t="shared" si="54"/>
        <v>#REF!</v>
      </c>
      <c r="AP37" s="495" t="e">
        <f t="shared" si="55"/>
        <v>#REF!</v>
      </c>
      <c r="AQ37" s="493" t="e">
        <f t="shared" si="56"/>
        <v>#REF!</v>
      </c>
      <c r="AR37" s="495" t="e">
        <f t="shared" ca="1" si="57"/>
        <v>#NAME?</v>
      </c>
      <c r="AS37" s="495" t="e">
        <f t="shared" ca="1" si="58"/>
        <v>#NAME?</v>
      </c>
      <c r="AT37" s="495" t="e">
        <f t="shared" si="59"/>
        <v>#REF!</v>
      </c>
      <c r="AU37" s="495" t="e">
        <f t="shared" si="60"/>
        <v>#REF!</v>
      </c>
      <c r="AV37" s="21"/>
      <c r="AW37" s="688" t="e">
        <f t="shared" ca="1" si="65"/>
        <v>#REF!</v>
      </c>
      <c r="AX37" s="554"/>
      <c r="AY37" s="554"/>
      <c r="AZ37" s="3"/>
      <c r="BA37" s="3"/>
      <c r="BB37" s="3"/>
      <c r="BC37" s="3"/>
      <c r="BD37" s="3"/>
      <c r="BE37" s="3"/>
      <c r="BF37" s="3"/>
      <c r="BG37" s="3"/>
      <c r="BH37" s="3"/>
      <c r="BI37" s="3"/>
      <c r="BJ37" s="3"/>
      <c r="BK37" s="3"/>
      <c r="BL37" s="3"/>
      <c r="BM37" s="3"/>
    </row>
    <row r="38" spans="1:65">
      <c r="A38" s="633" t="s">
        <v>145</v>
      </c>
      <c r="B38" s="665" t="s">
        <v>354</v>
      </c>
      <c r="C38" s="658">
        <v>475.51181102362204</v>
      </c>
      <c r="D38" s="18"/>
      <c r="E38" s="621">
        <v>22.63</v>
      </c>
      <c r="F38" s="621">
        <v>0</v>
      </c>
      <c r="G38" s="622">
        <v>1242</v>
      </c>
      <c r="H38" s="622">
        <v>769.98</v>
      </c>
      <c r="I38" s="622">
        <v>85.78</v>
      </c>
      <c r="J38" s="277">
        <v>40</v>
      </c>
      <c r="K38" s="622">
        <v>44.57</v>
      </c>
      <c r="L38" s="622">
        <v>1193.22</v>
      </c>
      <c r="M38" s="620">
        <v>0</v>
      </c>
      <c r="N38" s="620">
        <v>0</v>
      </c>
      <c r="O38" s="622">
        <v>29.47</v>
      </c>
      <c r="P38" s="622">
        <v>35.630000000000003</v>
      </c>
      <c r="Q38" s="69"/>
      <c r="R38" s="21"/>
      <c r="S38" s="489">
        <f t="shared" si="44"/>
        <v>3427.65</v>
      </c>
      <c r="T38" s="489" t="e">
        <f t="shared" si="61"/>
        <v>#REF!</v>
      </c>
      <c r="U38" s="489" t="e">
        <f>MAX(U$29:U$30)+IF($B$2="mil",1,0.0254)*DDR2Specs!$E$3</f>
        <v>#REF!</v>
      </c>
      <c r="V38" s="489" t="e">
        <f>MIN(U$29:U$30)+IF($B$2="mil",1,0.0254)*DDR2Specs!$F$3</f>
        <v>#REF!</v>
      </c>
      <c r="W38" s="21"/>
      <c r="X38" s="598" t="e">
        <f t="shared" si="45"/>
        <v>#REF!</v>
      </c>
      <c r="Y38" s="495" t="e">
        <f t="shared" si="46"/>
        <v>#REF!</v>
      </c>
      <c r="Z38" s="21"/>
      <c r="AA38" s="489">
        <f t="shared" si="47"/>
        <v>3433.8100000000004</v>
      </c>
      <c r="AB38" s="489" t="e">
        <f t="shared" si="62"/>
        <v>#REF!</v>
      </c>
      <c r="AC38" s="489" t="e">
        <f>MAX(AC$29:AC$30)+IF($B$2="mil",1,0.0254)*DDR2Specs!$E$3</f>
        <v>#REF!</v>
      </c>
      <c r="AD38" s="489" t="e">
        <f>MIN(AC$29:AC$30)+IF($B$2="mil",1,0.0254)*DDR2Specs!$F$3</f>
        <v>#REF!</v>
      </c>
      <c r="AE38" s="21"/>
      <c r="AF38" s="598" t="e">
        <f t="shared" si="63"/>
        <v>#REF!</v>
      </c>
      <c r="AG38" s="495" t="e">
        <f t="shared" si="64"/>
        <v>#REF!</v>
      </c>
      <c r="AH38" s="21"/>
      <c r="AI38" s="495" t="e">
        <f t="shared" si="48"/>
        <v>#REF!</v>
      </c>
      <c r="AJ38" s="495" t="e">
        <f t="shared" si="49"/>
        <v>#REF!</v>
      </c>
      <c r="AK38" s="495" t="e">
        <f t="shared" si="50"/>
        <v>#REF!</v>
      </c>
      <c r="AL38" s="495" t="e">
        <f t="shared" si="51"/>
        <v>#REF!</v>
      </c>
      <c r="AM38" s="495" t="e">
        <f t="shared" si="52"/>
        <v>#REF!</v>
      </c>
      <c r="AN38" s="495" t="e">
        <f t="shared" si="53"/>
        <v>#REF!</v>
      </c>
      <c r="AO38" s="495" t="e">
        <f t="shared" si="54"/>
        <v>#REF!</v>
      </c>
      <c r="AP38" s="495" t="e">
        <f t="shared" si="55"/>
        <v>#REF!</v>
      </c>
      <c r="AQ38" s="493" t="e">
        <f t="shared" si="56"/>
        <v>#REF!</v>
      </c>
      <c r="AR38" s="495" t="e">
        <f t="shared" ca="1" si="57"/>
        <v>#NAME?</v>
      </c>
      <c r="AS38" s="495" t="e">
        <f t="shared" ca="1" si="58"/>
        <v>#NAME?</v>
      </c>
      <c r="AT38" s="495" t="e">
        <f t="shared" si="59"/>
        <v>#REF!</v>
      </c>
      <c r="AU38" s="495" t="e">
        <f t="shared" si="60"/>
        <v>#REF!</v>
      </c>
      <c r="AV38" s="21"/>
      <c r="AW38" s="688" t="e">
        <f t="shared" ca="1" si="65"/>
        <v>#REF!</v>
      </c>
      <c r="AX38" s="554"/>
      <c r="AY38" s="554"/>
      <c r="AZ38" s="3"/>
      <c r="BA38" s="3"/>
      <c r="BB38" s="3"/>
      <c r="BC38" s="3"/>
      <c r="BD38" s="3"/>
      <c r="BE38" s="3"/>
      <c r="BF38" s="3"/>
      <c r="BG38" s="3"/>
      <c r="BH38" s="3"/>
      <c r="BI38" s="3"/>
      <c r="BJ38" s="3"/>
      <c r="BK38" s="3"/>
      <c r="BL38" s="3"/>
      <c r="BM38" s="3"/>
    </row>
    <row r="39" spans="1:65">
      <c r="A39" s="666" t="s">
        <v>146</v>
      </c>
      <c r="B39" s="667" t="s">
        <v>518</v>
      </c>
      <c r="C39" s="658">
        <v>464.48818897637796</v>
      </c>
      <c r="D39" s="18"/>
      <c r="E39" s="621">
        <v>22.63</v>
      </c>
      <c r="F39" s="621">
        <v>0</v>
      </c>
      <c r="G39" s="622">
        <v>1205</v>
      </c>
      <c r="H39" s="622">
        <v>840.12</v>
      </c>
      <c r="I39" s="622">
        <v>29.57</v>
      </c>
      <c r="J39" s="277">
        <v>40</v>
      </c>
      <c r="K39" s="622">
        <v>44.57</v>
      </c>
      <c r="L39" s="622">
        <v>1190.24</v>
      </c>
      <c r="M39" s="620">
        <v>0</v>
      </c>
      <c r="N39" s="620">
        <v>0</v>
      </c>
      <c r="O39" s="622">
        <v>69.19</v>
      </c>
      <c r="P39" s="622">
        <v>70.81</v>
      </c>
      <c r="Q39" s="69"/>
      <c r="R39" s="21"/>
      <c r="S39" s="489">
        <f t="shared" si="44"/>
        <v>3441.32</v>
      </c>
      <c r="T39" s="489" t="e">
        <f t="shared" si="61"/>
        <v>#REF!</v>
      </c>
      <c r="U39" s="489" t="e">
        <f>MAX(U$29:U$30)+IF($B$2="mil",1,0.0254)*DDR2Specs!$E$3</f>
        <v>#REF!</v>
      </c>
      <c r="V39" s="489" t="e">
        <f>MIN(U$29:U$30)+IF($B$2="mil",1,0.0254)*DDR2Specs!$F$3</f>
        <v>#REF!</v>
      </c>
      <c r="W39" s="21"/>
      <c r="X39" s="598" t="e">
        <f t="shared" si="45"/>
        <v>#REF!</v>
      </c>
      <c r="Y39" s="495" t="e">
        <f t="shared" si="46"/>
        <v>#REF!</v>
      </c>
      <c r="Z39" s="21"/>
      <c r="AA39" s="489">
        <f t="shared" si="47"/>
        <v>3442.94</v>
      </c>
      <c r="AB39" s="489" t="e">
        <f t="shared" si="62"/>
        <v>#REF!</v>
      </c>
      <c r="AC39" s="489" t="e">
        <f>MAX(AC$29:AC$30)+IF($B$2="mil",1,0.0254)*DDR2Specs!$E$3</f>
        <v>#REF!</v>
      </c>
      <c r="AD39" s="489" t="e">
        <f>MIN(AC$29:AC$30)+IF($B$2="mil",1,0.0254)*DDR2Specs!$F$3</f>
        <v>#REF!</v>
      </c>
      <c r="AE39" s="21"/>
      <c r="AF39" s="598" t="e">
        <f t="shared" si="63"/>
        <v>#REF!</v>
      </c>
      <c r="AG39" s="495" t="e">
        <f t="shared" si="64"/>
        <v>#REF!</v>
      </c>
      <c r="AH39" s="21"/>
      <c r="AI39" s="495" t="e">
        <f t="shared" si="48"/>
        <v>#REF!</v>
      </c>
      <c r="AJ39" s="495" t="e">
        <f t="shared" si="49"/>
        <v>#REF!</v>
      </c>
      <c r="AK39" s="495" t="e">
        <f t="shared" si="50"/>
        <v>#REF!</v>
      </c>
      <c r="AL39" s="495" t="e">
        <f t="shared" si="51"/>
        <v>#REF!</v>
      </c>
      <c r="AM39" s="495" t="e">
        <f t="shared" si="52"/>
        <v>#REF!</v>
      </c>
      <c r="AN39" s="495" t="e">
        <f t="shared" si="53"/>
        <v>#REF!</v>
      </c>
      <c r="AO39" s="495" t="e">
        <f t="shared" si="54"/>
        <v>#REF!</v>
      </c>
      <c r="AP39" s="495" t="e">
        <f t="shared" si="55"/>
        <v>#REF!</v>
      </c>
      <c r="AQ39" s="493" t="e">
        <f t="shared" si="56"/>
        <v>#REF!</v>
      </c>
      <c r="AR39" s="495" t="e">
        <f t="shared" ca="1" si="57"/>
        <v>#NAME?</v>
      </c>
      <c r="AS39" s="495" t="e">
        <f t="shared" ca="1" si="58"/>
        <v>#NAME?</v>
      </c>
      <c r="AT39" s="495" t="e">
        <f t="shared" si="59"/>
        <v>#REF!</v>
      </c>
      <c r="AU39" s="495" t="e">
        <f t="shared" si="60"/>
        <v>#REF!</v>
      </c>
      <c r="AV39" s="21"/>
      <c r="AW39" s="688" t="e">
        <f t="shared" ca="1" si="65"/>
        <v>#REF!</v>
      </c>
      <c r="AX39" s="554"/>
      <c r="AY39" s="554"/>
      <c r="AZ39" s="3"/>
      <c r="BA39" s="3"/>
      <c r="BB39" s="3"/>
      <c r="BC39" s="3"/>
      <c r="BD39" s="3"/>
      <c r="BE39" s="3"/>
      <c r="BF39" s="3"/>
      <c r="BG39" s="3"/>
      <c r="BH39" s="3"/>
      <c r="BI39" s="3"/>
      <c r="BJ39" s="3"/>
      <c r="BK39" s="3"/>
      <c r="BL39" s="3"/>
      <c r="BM39" s="3"/>
    </row>
    <row r="40" spans="1:65">
      <c r="A40" s="636" t="s">
        <v>200</v>
      </c>
      <c r="B40" s="668"/>
      <c r="C40" s="659"/>
      <c r="D40" s="62"/>
      <c r="E40" s="82"/>
      <c r="F40" s="82"/>
      <c r="G40" s="439"/>
      <c r="H40" s="295"/>
      <c r="I40" s="295"/>
      <c r="J40" s="295"/>
      <c r="K40" s="295"/>
      <c r="L40" s="295"/>
      <c r="M40" s="295"/>
      <c r="N40" s="295"/>
      <c r="O40" s="295"/>
      <c r="P40" s="295"/>
      <c r="Q40" s="10"/>
      <c r="R40" s="606"/>
      <c r="S40" s="82"/>
      <c r="T40" s="605"/>
      <c r="U40" s="605"/>
      <c r="V40" s="606"/>
      <c r="W40" s="606"/>
      <c r="X40" s="607"/>
      <c r="Y40" s="17"/>
      <c r="Z40" s="606"/>
      <c r="AA40" s="82"/>
      <c r="AB40" s="605"/>
      <c r="AC40" s="605"/>
      <c r="AD40" s="606"/>
      <c r="AE40" s="606"/>
      <c r="AF40" s="607"/>
      <c r="AG40" s="17"/>
      <c r="AH40" s="606"/>
      <c r="AI40" s="17"/>
      <c r="AJ40" s="17"/>
      <c r="AK40" s="16"/>
      <c r="AL40" s="16"/>
      <c r="AM40" s="16"/>
      <c r="AN40" s="16"/>
      <c r="AO40" s="16"/>
      <c r="AP40" s="16"/>
      <c r="AQ40" s="16"/>
      <c r="AR40" s="16"/>
      <c r="AS40" s="16"/>
      <c r="AT40" s="16"/>
      <c r="AU40" s="16"/>
      <c r="AV40" s="83"/>
      <c r="AW40" s="554"/>
      <c r="AX40" s="554"/>
      <c r="AY40" s="554"/>
      <c r="AZ40" s="3"/>
      <c r="BA40" s="3"/>
      <c r="BB40" s="3"/>
      <c r="BC40" s="3"/>
      <c r="BD40" s="3"/>
      <c r="BE40" s="3"/>
      <c r="BF40" s="3"/>
      <c r="BG40" s="3"/>
      <c r="BH40" s="3"/>
      <c r="BI40" s="3"/>
      <c r="BJ40" s="3"/>
      <c r="BK40" s="3"/>
      <c r="BL40" s="3"/>
      <c r="BM40" s="3"/>
    </row>
    <row r="41" spans="1:65">
      <c r="A41" s="650" t="str">
        <f>'DDR2 Strobes - 2x16'!$A$22</f>
        <v>SA_DQS3</v>
      </c>
      <c r="B41" s="669" t="str">
        <f>'DDR2 Strobes - 2x16'!$B$22</f>
        <v>AB21</v>
      </c>
      <c r="C41" s="660"/>
      <c r="D41" s="53"/>
      <c r="E41" s="81"/>
      <c r="F41" s="81"/>
      <c r="G41" s="440"/>
      <c r="H41" s="296"/>
      <c r="I41" s="296"/>
      <c r="J41" s="296"/>
      <c r="K41" s="296"/>
      <c r="L41" s="296"/>
      <c r="M41" s="296"/>
      <c r="N41" s="296"/>
      <c r="O41" s="296"/>
      <c r="P41" s="296"/>
      <c r="Q41" s="81"/>
      <c r="R41" s="58"/>
      <c r="S41" s="81"/>
      <c r="T41" s="58"/>
      <c r="U41" s="58" t="e">
        <f>'DDR2 Strobes - 2x16'!$U$22</f>
        <v>#REF!</v>
      </c>
      <c r="V41" s="58"/>
      <c r="W41" s="58"/>
      <c r="X41" s="58"/>
      <c r="Y41" s="608"/>
      <c r="Z41" s="58"/>
      <c r="AA41" s="81"/>
      <c r="AB41" s="58"/>
      <c r="AC41" s="58" t="e">
        <f>'DDR2 Strobes - 2x16'!$AC$22</f>
        <v>#REF!</v>
      </c>
      <c r="AD41" s="58"/>
      <c r="AE41" s="58"/>
      <c r="AF41" s="58"/>
      <c r="AG41" s="608"/>
      <c r="AH41" s="58"/>
      <c r="AI41" s="608"/>
      <c r="AJ41" s="608"/>
      <c r="AK41" s="608"/>
      <c r="AL41" s="608"/>
      <c r="AM41" s="608"/>
      <c r="AN41" s="608"/>
      <c r="AO41" s="608"/>
      <c r="AP41" s="608"/>
      <c r="AQ41" s="608"/>
      <c r="AR41" s="608"/>
      <c r="AS41" s="608"/>
      <c r="AT41" s="608"/>
      <c r="AU41" s="608"/>
      <c r="AV41" s="58"/>
      <c r="AW41" s="554"/>
      <c r="AX41" s="554"/>
      <c r="AY41" s="554"/>
      <c r="AZ41" s="3"/>
      <c r="BA41" s="3"/>
      <c r="BB41" s="3"/>
      <c r="BC41" s="3"/>
      <c r="BD41" s="3"/>
      <c r="BE41" s="3"/>
      <c r="BF41" s="3"/>
      <c r="BG41" s="3"/>
      <c r="BH41" s="3"/>
      <c r="BI41" s="3"/>
      <c r="BJ41" s="3"/>
      <c r="BK41" s="3"/>
      <c r="BL41" s="3"/>
      <c r="BM41" s="3"/>
    </row>
    <row r="42" spans="1:65">
      <c r="A42" s="650" t="str">
        <f>'DDR2 Strobes - 2x16'!$A$23</f>
        <v>SA_DQS3#</v>
      </c>
      <c r="B42" s="669" t="str">
        <f>'DDR2 Strobes - 2x16'!$B$23</f>
        <v>AB20</v>
      </c>
      <c r="C42" s="660"/>
      <c r="D42" s="53"/>
      <c r="E42" s="81"/>
      <c r="F42" s="81"/>
      <c r="G42" s="440"/>
      <c r="H42" s="296"/>
      <c r="I42" s="296"/>
      <c r="J42" s="296"/>
      <c r="K42" s="296"/>
      <c r="L42" s="296"/>
      <c r="M42" s="296"/>
      <c r="N42" s="296"/>
      <c r="O42" s="296"/>
      <c r="P42" s="296"/>
      <c r="Q42" s="81"/>
      <c r="R42" s="58"/>
      <c r="S42" s="602"/>
      <c r="T42" s="603"/>
      <c r="U42" s="58" t="e">
        <f>'DDR2 Strobes - 2x16'!$U$23</f>
        <v>#REF!</v>
      </c>
      <c r="V42" s="58"/>
      <c r="W42" s="58"/>
      <c r="X42" s="58"/>
      <c r="Y42" s="608"/>
      <c r="Z42" s="58"/>
      <c r="AA42" s="602"/>
      <c r="AB42" s="603"/>
      <c r="AC42" s="58" t="e">
        <f>'DDR2 Strobes - 2x16'!$AC$23</f>
        <v>#REF!</v>
      </c>
      <c r="AD42" s="58"/>
      <c r="AE42" s="58"/>
      <c r="AF42" s="58"/>
      <c r="AG42" s="608"/>
      <c r="AH42" s="58"/>
      <c r="AI42" s="608"/>
      <c r="AJ42" s="608"/>
      <c r="AK42" s="609"/>
      <c r="AL42" s="609"/>
      <c r="AM42" s="609"/>
      <c r="AN42" s="609"/>
      <c r="AO42" s="609"/>
      <c r="AP42" s="609"/>
      <c r="AQ42" s="609"/>
      <c r="AR42" s="609"/>
      <c r="AS42" s="609"/>
      <c r="AT42" s="609"/>
      <c r="AU42" s="609"/>
      <c r="AV42" s="58"/>
      <c r="AW42" s="554"/>
      <c r="AX42" s="554"/>
      <c r="AY42" s="554"/>
      <c r="AZ42" s="3"/>
      <c r="BA42" s="3"/>
      <c r="BB42" s="3"/>
      <c r="BC42" s="3"/>
      <c r="BD42" s="3"/>
      <c r="BE42" s="3"/>
      <c r="BF42" s="3"/>
      <c r="BG42" s="3"/>
      <c r="BH42" s="3"/>
      <c r="BI42" s="3"/>
      <c r="BJ42" s="3"/>
      <c r="BK42" s="3"/>
      <c r="BL42" s="3"/>
      <c r="BM42" s="3"/>
    </row>
    <row r="43" spans="1:65">
      <c r="A43" s="633" t="s">
        <v>147</v>
      </c>
      <c r="B43" s="672" t="s">
        <v>485</v>
      </c>
      <c r="C43" s="658">
        <v>764.01574803149606</v>
      </c>
      <c r="D43" s="18"/>
      <c r="E43" s="621">
        <v>22.63</v>
      </c>
      <c r="F43" s="621">
        <v>0</v>
      </c>
      <c r="G43" s="622">
        <v>1340</v>
      </c>
      <c r="H43" s="622">
        <v>700.29</v>
      </c>
      <c r="I43" s="622">
        <v>96.14</v>
      </c>
      <c r="J43" s="277">
        <v>40</v>
      </c>
      <c r="K43" s="622">
        <v>44.57</v>
      </c>
      <c r="L43" s="622">
        <v>960.33</v>
      </c>
      <c r="M43" s="620">
        <v>0</v>
      </c>
      <c r="N43" s="620">
        <v>0</v>
      </c>
      <c r="O43" s="622">
        <v>84.35</v>
      </c>
      <c r="P43" s="622">
        <v>84.32</v>
      </c>
      <c r="Q43" s="69"/>
      <c r="R43" s="21"/>
      <c r="S43" s="489">
        <f t="shared" ref="S43:S51" si="66">SUM(E43:G43,H43:M43,O43)</f>
        <v>3288.31</v>
      </c>
      <c r="T43" s="489" t="e">
        <f>S43+IF($B$2="mil",1,0.0254)*$C43</f>
        <v>#REF!</v>
      </c>
      <c r="U43" s="489" t="e">
        <f>MAX(U$41:U$42)+IF($B$2="mil",1,0.0254)*DDR2Specs!$E$3</f>
        <v>#REF!</v>
      </c>
      <c r="V43" s="489" t="e">
        <f>MIN(U$41:U$42)+IF($B$2="mil",1,0.0254)*DDR2Specs!$F$3</f>
        <v>#REF!</v>
      </c>
      <c r="W43" s="21"/>
      <c r="X43" s="598" t="e">
        <f t="shared" ref="X43:X51" si="67">IF($T43&lt;$U43,$U43-$T43,"Pass")</f>
        <v>#REF!</v>
      </c>
      <c r="Y43" s="495" t="e">
        <f>IF($T43&gt;$V43,$T43-$V43,"Pass")</f>
        <v>#REF!</v>
      </c>
      <c r="Z43" s="21"/>
      <c r="AA43" s="489">
        <f t="shared" ref="AA43:AA51" si="68">SUM(E43:G43,H43:L43,N43,P43)</f>
        <v>3288.28</v>
      </c>
      <c r="AB43" s="489" t="e">
        <f>AA43+IF($B$2="mil",1,0.0254)*$C43</f>
        <v>#REF!</v>
      </c>
      <c r="AC43" s="489" t="e">
        <f>MAX(AC$41:AC$42)+IF($B$2="mil",1,0.0254)*DDR2Specs!$E$3</f>
        <v>#REF!</v>
      </c>
      <c r="AD43" s="489" t="e">
        <f>MIN(AC$41:AC$42)+IF($B$2="mil",1,0.0254)*DDR2Specs!$F$3</f>
        <v>#REF!</v>
      </c>
      <c r="AE43" s="21"/>
      <c r="AF43" s="598" t="e">
        <f>IF($AB43&lt;$AC43,$AC43-$AB43,"Pass")</f>
        <v>#REF!</v>
      </c>
      <c r="AG43" s="495" t="e">
        <f>IF($AB43&gt;$AD43,$AB43-$AD43,"Pass")</f>
        <v>#REF!</v>
      </c>
      <c r="AH43" s="21"/>
      <c r="AI43" s="495" t="e">
        <f t="shared" ref="AI43:AI51" si="69">IF($E43&lt;=IF($B$2="mil",1,0.0254)*50,"Pass",IF($B$2="mil",1,0.0254)*50-$E43)</f>
        <v>#REF!</v>
      </c>
      <c r="AJ43" s="495" t="e">
        <f t="shared" ref="AJ43:AJ51" si="70">IF($F43&lt;=IF($B$2="mil",1,0.0254)*500,"Pass",IF($B$2="mil",1,0.0254)*500-$F43)</f>
        <v>#REF!</v>
      </c>
      <c r="AK43" s="495" t="e">
        <f t="shared" ref="AK43:AK51" si="71">IF(($G43+$H43)&lt;=IF($B$2="mil",1,0.0254)*2750,"Pass",IF($B$2="mil",1,0.0254)*2750-($G43+D43))</f>
        <v>#REF!</v>
      </c>
      <c r="AL43" s="495" t="e">
        <f t="shared" ref="AL43:AL51" si="72">IF($I43&lt;=IF($B$2="mil",1,0.0254)*125,"Pass",IF($B$2="mil",1,0.0254)*125-$I43)</f>
        <v>#REF!</v>
      </c>
      <c r="AM43" s="495" t="e">
        <f t="shared" ref="AM43:AM51" si="73">IF($K43&lt;=IF($B$2="mil",1,0.0254)*125,"Pass",IF($B$2="mil",1,0.0254)*125-$K43)</f>
        <v>#REF!</v>
      </c>
      <c r="AN43" s="495" t="e">
        <f t="shared" ref="AN43:AN51" si="74">IF(($K43+$L43)&lt;=IF($B$2="mil",1,0.0254)*1350,"Pass",IF($B$2="mil",1,0.0254)*1350-($K43+L43))</f>
        <v>#REF!</v>
      </c>
      <c r="AO43" s="495" t="e">
        <f t="shared" ref="AO43:AO51" si="75">IF($M43&lt;=IF($B$2="mil",1,0.0254)*650,"Pass",IF($B$2="mil",1,0.0254)*650-$M43)</f>
        <v>#REF!</v>
      </c>
      <c r="AP43" s="495" t="e">
        <f t="shared" ref="AP43:AP51" si="76">IF($N43&lt;=IF($B$2="mil",1,0.0254)*650,"Pass",IF($B$2="mil",1,0.0254)*650-$N43)</f>
        <v>#REF!</v>
      </c>
      <c r="AQ43" s="493" t="e">
        <f t="shared" ref="AQ43:AQ51" si="77">IF(MAX(M43:N43)-MIN(M43:N43)&lt;=IF($B$2="mil",1,0.0254)*50,"Pass",MAX(M43:N43)-MIN(M43:N43)-IF($B$2="mil",1,0.0254)*50)</f>
        <v>#REF!</v>
      </c>
      <c r="AR43" s="495" t="e">
        <f t="shared" ref="AR43:AR51" ca="1" si="78">CheckLength2(IF($B$2="mil",1,0.0254)*800,$O43,M43,0)</f>
        <v>#NAME?</v>
      </c>
      <c r="AS43" s="495" t="e">
        <f t="shared" ref="AS43:AS51" ca="1" si="79">CheckLength2(IF($B$2="mil",1,0.0254)*800,$P43,N43,0)</f>
        <v>#NAME?</v>
      </c>
      <c r="AT43" s="495" t="e">
        <f t="shared" ref="AT43:AT51" si="80">IF(AND($S43&gt;=IF($B$2="mil",1,0.0254)*500, $S43&lt;=IF($B$2="mil",1,0.0254)*5500),"Pass",IF($B$2="mil",1,0.0254)*5500-$S43)</f>
        <v>#REF!</v>
      </c>
      <c r="AU43" s="495" t="e">
        <f t="shared" ref="AU43:AU51" si="81">IF(AND($T43&gt;=IF($B$2="mil",1,0.0254)*500, $T43&lt;=IF($B$2="mil",1,0.0254)*6000),"Pass",IF($B$2="mil",1,0.0254)*6000-$T43)</f>
        <v>#REF!</v>
      </c>
      <c r="AV43" s="21"/>
      <c r="AW43" s="688" t="e">
        <f ca="1">IF(AND(AF43="Pass",AG43="Pass",AI43="Pass",AJ43="Pass",AS43="Pass",AN43="Pass",AO43="Pass",AP43="Pass",AQ43="Pass",AR43="Pass",AM43="Pass",AL43="Pass",AK43="Pass",X43="Pass",Y43="Pass",AT43="Pass",AU43="Pass"),"Pass","Fail")</f>
        <v>#REF!</v>
      </c>
      <c r="AX43" s="554" t="e">
        <f ca="1">IF(AND(AW43="Pass",AW44="Pass",AW45="Pass",AW46="Pass",AW47="Pass",AW48="Pass",AW49="Pass",AW50="Pass",AW51="Pass"),"Pass","Fail")</f>
        <v>#REF!</v>
      </c>
      <c r="AY43" s="554"/>
      <c r="AZ43" s="3"/>
      <c r="BA43" s="3"/>
      <c r="BB43" s="3"/>
      <c r="BC43" s="3"/>
      <c r="BD43" s="3"/>
      <c r="BE43" s="3"/>
      <c r="BF43" s="3"/>
      <c r="BG43" s="3"/>
      <c r="BH43" s="3"/>
      <c r="BI43" s="3"/>
      <c r="BJ43" s="3"/>
      <c r="BK43" s="3"/>
      <c r="BL43" s="3"/>
      <c r="BM43" s="3"/>
    </row>
    <row r="44" spans="1:65">
      <c r="A44" s="633" t="s">
        <v>148</v>
      </c>
      <c r="B44" s="665" t="s">
        <v>486</v>
      </c>
      <c r="C44" s="658">
        <v>725.94488188976379</v>
      </c>
      <c r="D44" s="18"/>
      <c r="E44" s="621">
        <v>22.63</v>
      </c>
      <c r="F44" s="621">
        <v>0</v>
      </c>
      <c r="G44" s="622">
        <v>1370</v>
      </c>
      <c r="H44" s="622">
        <v>765.62</v>
      </c>
      <c r="I44" s="622">
        <v>44.57</v>
      </c>
      <c r="J44" s="277">
        <v>40</v>
      </c>
      <c r="K44" s="622">
        <v>44.57</v>
      </c>
      <c r="L44" s="622">
        <v>1004.63</v>
      </c>
      <c r="M44" s="620">
        <v>0</v>
      </c>
      <c r="N44" s="620">
        <v>0</v>
      </c>
      <c r="O44" s="622">
        <v>22.27</v>
      </c>
      <c r="P44" s="622">
        <v>22.3</v>
      </c>
      <c r="Q44" s="69"/>
      <c r="R44" s="21"/>
      <c r="S44" s="489">
        <f t="shared" si="66"/>
        <v>3314.2900000000004</v>
      </c>
      <c r="T44" s="489" t="e">
        <f t="shared" ref="T44:T51" si="82">S44+IF($B$2="mil",1,0.0254)*$C44</f>
        <v>#REF!</v>
      </c>
      <c r="U44" s="489" t="e">
        <f>MAX(U$41:U$42)+IF($B$2="mil",1,0.0254)*DDR2Specs!$E$3</f>
        <v>#REF!</v>
      </c>
      <c r="V44" s="489" t="e">
        <f>MIN(U$41:U$42)+IF($B$2="mil",1,0.0254)*DDR2Specs!$F$3</f>
        <v>#REF!</v>
      </c>
      <c r="W44" s="21"/>
      <c r="X44" s="598" t="e">
        <f t="shared" si="67"/>
        <v>#REF!</v>
      </c>
      <c r="Y44" s="495" t="e">
        <f t="shared" ref="Y44:Y51" si="83">IF($T44&gt;$V44,$T44-$V44,"Pass")</f>
        <v>#REF!</v>
      </c>
      <c r="Z44" s="21"/>
      <c r="AA44" s="489">
        <f t="shared" si="68"/>
        <v>3314.3200000000006</v>
      </c>
      <c r="AB44" s="489" t="e">
        <f t="shared" ref="AB44:AB51" si="84">AA44+IF($B$2="mil",1,0.0254)*$C44</f>
        <v>#REF!</v>
      </c>
      <c r="AC44" s="489" t="e">
        <f>MAX(AC$41:AC$42)+IF($B$2="mil",1,0.0254)*DDR2Specs!$E$3</f>
        <v>#REF!</v>
      </c>
      <c r="AD44" s="489" t="e">
        <f>MIN(AC$41:AC$42)+IF($B$2="mil",1,0.0254)*DDR2Specs!$F$3</f>
        <v>#REF!</v>
      </c>
      <c r="AE44" s="21"/>
      <c r="AF44" s="598" t="e">
        <f t="shared" ref="AF44:AF51" si="85">IF($AB44&lt;$AC44,$AC44-$AB44,"Pass")</f>
        <v>#REF!</v>
      </c>
      <c r="AG44" s="495" t="e">
        <f t="shared" ref="AG44:AG51" si="86">IF($AB44&gt;$AD44,$AB44-$AD44,"Pass")</f>
        <v>#REF!</v>
      </c>
      <c r="AH44" s="21"/>
      <c r="AI44" s="495" t="e">
        <f t="shared" si="69"/>
        <v>#REF!</v>
      </c>
      <c r="AJ44" s="495" t="e">
        <f t="shared" si="70"/>
        <v>#REF!</v>
      </c>
      <c r="AK44" s="495" t="e">
        <f t="shared" si="71"/>
        <v>#REF!</v>
      </c>
      <c r="AL44" s="495" t="e">
        <f t="shared" si="72"/>
        <v>#REF!</v>
      </c>
      <c r="AM44" s="495" t="e">
        <f t="shared" si="73"/>
        <v>#REF!</v>
      </c>
      <c r="AN44" s="495" t="e">
        <f t="shared" si="74"/>
        <v>#REF!</v>
      </c>
      <c r="AO44" s="495" t="e">
        <f t="shared" si="75"/>
        <v>#REF!</v>
      </c>
      <c r="AP44" s="495" t="e">
        <f t="shared" si="76"/>
        <v>#REF!</v>
      </c>
      <c r="AQ44" s="493" t="e">
        <f t="shared" si="77"/>
        <v>#REF!</v>
      </c>
      <c r="AR44" s="495" t="e">
        <f t="shared" ca="1" si="78"/>
        <v>#NAME?</v>
      </c>
      <c r="AS44" s="495" t="e">
        <f t="shared" ca="1" si="79"/>
        <v>#NAME?</v>
      </c>
      <c r="AT44" s="495" t="e">
        <f t="shared" si="80"/>
        <v>#REF!</v>
      </c>
      <c r="AU44" s="495" t="e">
        <f t="shared" si="81"/>
        <v>#REF!</v>
      </c>
      <c r="AV44" s="21"/>
      <c r="AW44" s="688" t="e">
        <f t="shared" ref="AW44:AW51" ca="1" si="87">IF(AND(AF44="Pass",AG44="Pass",AI44="Pass",AJ44="Pass",AS44="Pass",AN44="Pass",AO44="Pass",AP44="Pass",AQ44="Pass",AR44="Pass",AM44="Pass",AL44="Pass",AK44="Pass",X44="Pass",Y44="Pass",AT44="Pass",AU44="Pass"),"Pass","Fail")</f>
        <v>#REF!</v>
      </c>
      <c r="AX44" s="554"/>
      <c r="AY44" s="554"/>
      <c r="AZ44" s="3"/>
      <c r="BA44" s="3"/>
      <c r="BB44" s="3"/>
      <c r="BC44" s="3"/>
      <c r="BD44" s="3"/>
      <c r="BE44" s="3"/>
      <c r="BF44" s="3"/>
      <c r="BG44" s="3"/>
      <c r="BH44" s="3"/>
      <c r="BI44" s="3"/>
      <c r="BJ44" s="3"/>
      <c r="BK44" s="3"/>
      <c r="BL44" s="3"/>
      <c r="BM44" s="3"/>
    </row>
    <row r="45" spans="1:65">
      <c r="A45" s="633" t="s">
        <v>149</v>
      </c>
      <c r="B45" s="665" t="s">
        <v>348</v>
      </c>
      <c r="C45" s="658">
        <v>793.66141732283461</v>
      </c>
      <c r="D45" s="18"/>
      <c r="E45" s="621">
        <v>22.63</v>
      </c>
      <c r="F45" s="621">
        <v>0</v>
      </c>
      <c r="G45" s="622">
        <v>1312</v>
      </c>
      <c r="H45" s="622">
        <v>763.62</v>
      </c>
      <c r="I45" s="622">
        <v>44.57</v>
      </c>
      <c r="J45" s="277">
        <v>40</v>
      </c>
      <c r="K45" s="622">
        <v>85.78</v>
      </c>
      <c r="L45" s="622">
        <v>958.18</v>
      </c>
      <c r="M45" s="620">
        <v>0</v>
      </c>
      <c r="N45" s="620">
        <v>0</v>
      </c>
      <c r="O45" s="622">
        <v>32.28</v>
      </c>
      <c r="P45" s="622">
        <v>32.31</v>
      </c>
      <c r="Q45" s="69"/>
      <c r="R45" s="21"/>
      <c r="S45" s="489">
        <f t="shared" si="66"/>
        <v>3259.0600000000004</v>
      </c>
      <c r="T45" s="489" t="e">
        <f t="shared" si="82"/>
        <v>#REF!</v>
      </c>
      <c r="U45" s="489" t="e">
        <f>MAX(U$41:U$42)+IF($B$2="mil",1,0.0254)*DDR2Specs!$E$3</f>
        <v>#REF!</v>
      </c>
      <c r="V45" s="489" t="e">
        <f>MIN(U$41:U$42)+IF($B$2="mil",1,0.0254)*DDR2Specs!$F$3</f>
        <v>#REF!</v>
      </c>
      <c r="W45" s="21"/>
      <c r="X45" s="598" t="e">
        <f t="shared" si="67"/>
        <v>#REF!</v>
      </c>
      <c r="Y45" s="495" t="e">
        <f t="shared" si="83"/>
        <v>#REF!</v>
      </c>
      <c r="Z45" s="21"/>
      <c r="AA45" s="489">
        <f t="shared" si="68"/>
        <v>3259.09</v>
      </c>
      <c r="AB45" s="489" t="e">
        <f t="shared" si="84"/>
        <v>#REF!</v>
      </c>
      <c r="AC45" s="489" t="e">
        <f>MAX(AC$41:AC$42)+IF($B$2="mil",1,0.0254)*DDR2Specs!$E$3</f>
        <v>#REF!</v>
      </c>
      <c r="AD45" s="489" t="e">
        <f>MIN(AC$41:AC$42)+IF($B$2="mil",1,0.0254)*DDR2Specs!$F$3</f>
        <v>#REF!</v>
      </c>
      <c r="AE45" s="21"/>
      <c r="AF45" s="598" t="e">
        <f t="shared" si="85"/>
        <v>#REF!</v>
      </c>
      <c r="AG45" s="495" t="e">
        <f t="shared" si="86"/>
        <v>#REF!</v>
      </c>
      <c r="AH45" s="21"/>
      <c r="AI45" s="495" t="e">
        <f t="shared" si="69"/>
        <v>#REF!</v>
      </c>
      <c r="AJ45" s="495" t="e">
        <f t="shared" si="70"/>
        <v>#REF!</v>
      </c>
      <c r="AK45" s="495" t="e">
        <f t="shared" si="71"/>
        <v>#REF!</v>
      </c>
      <c r="AL45" s="495" t="e">
        <f t="shared" si="72"/>
        <v>#REF!</v>
      </c>
      <c r="AM45" s="495" t="e">
        <f t="shared" si="73"/>
        <v>#REF!</v>
      </c>
      <c r="AN45" s="495" t="e">
        <f t="shared" si="74"/>
        <v>#REF!</v>
      </c>
      <c r="AO45" s="495" t="e">
        <f t="shared" si="75"/>
        <v>#REF!</v>
      </c>
      <c r="AP45" s="495" t="e">
        <f t="shared" si="76"/>
        <v>#REF!</v>
      </c>
      <c r="AQ45" s="493" t="e">
        <f t="shared" si="77"/>
        <v>#REF!</v>
      </c>
      <c r="AR45" s="495" t="e">
        <f t="shared" ca="1" si="78"/>
        <v>#NAME?</v>
      </c>
      <c r="AS45" s="495" t="e">
        <f t="shared" ca="1" si="79"/>
        <v>#NAME?</v>
      </c>
      <c r="AT45" s="495" t="e">
        <f t="shared" si="80"/>
        <v>#REF!</v>
      </c>
      <c r="AU45" s="495" t="e">
        <f t="shared" si="81"/>
        <v>#REF!</v>
      </c>
      <c r="AV45" s="21"/>
      <c r="AW45" s="688" t="e">
        <f t="shared" ca="1" si="87"/>
        <v>#REF!</v>
      </c>
      <c r="AX45" s="554"/>
      <c r="AY45" s="554"/>
      <c r="AZ45" s="3"/>
      <c r="BA45" s="3"/>
      <c r="BB45" s="3"/>
      <c r="BC45" s="3"/>
      <c r="BD45" s="3"/>
      <c r="BE45" s="3"/>
      <c r="BF45" s="3"/>
      <c r="BG45" s="3"/>
      <c r="BH45" s="3"/>
      <c r="BI45" s="3"/>
      <c r="BJ45" s="3"/>
      <c r="BK45" s="3"/>
      <c r="BL45" s="3"/>
      <c r="BM45" s="3"/>
    </row>
    <row r="46" spans="1:65">
      <c r="A46" s="633" t="s">
        <v>150</v>
      </c>
      <c r="B46" s="665" t="s">
        <v>353</v>
      </c>
      <c r="C46" s="658">
        <v>909.6062992125984</v>
      </c>
      <c r="D46" s="18"/>
      <c r="E46" s="621">
        <v>22.63</v>
      </c>
      <c r="F46" s="621">
        <v>0</v>
      </c>
      <c r="G46" s="622">
        <v>1175</v>
      </c>
      <c r="H46" s="622">
        <v>718.59</v>
      </c>
      <c r="I46" s="622">
        <v>85.78</v>
      </c>
      <c r="J46" s="277">
        <v>40</v>
      </c>
      <c r="K46" s="622">
        <v>44.57</v>
      </c>
      <c r="L46" s="622">
        <v>1010.54</v>
      </c>
      <c r="M46" s="620">
        <v>0</v>
      </c>
      <c r="N46" s="620">
        <v>0</v>
      </c>
      <c r="O46" s="622">
        <v>31.4</v>
      </c>
      <c r="P46" s="622">
        <v>31.37</v>
      </c>
      <c r="Q46" s="69"/>
      <c r="R46" s="21"/>
      <c r="S46" s="489">
        <f t="shared" si="66"/>
        <v>3128.51</v>
      </c>
      <c r="T46" s="489" t="e">
        <f t="shared" si="82"/>
        <v>#REF!</v>
      </c>
      <c r="U46" s="489" t="e">
        <f>MAX(U$41:U$42)+IF($B$2="mil",1,0.0254)*DDR2Specs!$E$3</f>
        <v>#REF!</v>
      </c>
      <c r="V46" s="489" t="e">
        <f>MIN(U$41:U$42)+IF($B$2="mil",1,0.0254)*DDR2Specs!$F$3</f>
        <v>#REF!</v>
      </c>
      <c r="W46" s="21"/>
      <c r="X46" s="598" t="e">
        <f t="shared" si="67"/>
        <v>#REF!</v>
      </c>
      <c r="Y46" s="495" t="e">
        <f t="shared" si="83"/>
        <v>#REF!</v>
      </c>
      <c r="Z46" s="21"/>
      <c r="AA46" s="489">
        <f t="shared" si="68"/>
        <v>3128.48</v>
      </c>
      <c r="AB46" s="489" t="e">
        <f t="shared" si="84"/>
        <v>#REF!</v>
      </c>
      <c r="AC46" s="489" t="e">
        <f>MAX(AC$41:AC$42)+IF($B$2="mil",1,0.0254)*DDR2Specs!$E$3</f>
        <v>#REF!</v>
      </c>
      <c r="AD46" s="489" t="e">
        <f>MIN(AC$41:AC$42)+IF($B$2="mil",1,0.0254)*DDR2Specs!$F$3</f>
        <v>#REF!</v>
      </c>
      <c r="AE46" s="21"/>
      <c r="AF46" s="598" t="e">
        <f t="shared" si="85"/>
        <v>#REF!</v>
      </c>
      <c r="AG46" s="495" t="e">
        <f t="shared" si="86"/>
        <v>#REF!</v>
      </c>
      <c r="AH46" s="21"/>
      <c r="AI46" s="495" t="e">
        <f t="shared" si="69"/>
        <v>#REF!</v>
      </c>
      <c r="AJ46" s="495" t="e">
        <f t="shared" si="70"/>
        <v>#REF!</v>
      </c>
      <c r="AK46" s="495" t="e">
        <f t="shared" si="71"/>
        <v>#REF!</v>
      </c>
      <c r="AL46" s="495" t="e">
        <f t="shared" si="72"/>
        <v>#REF!</v>
      </c>
      <c r="AM46" s="495" t="e">
        <f t="shared" si="73"/>
        <v>#REF!</v>
      </c>
      <c r="AN46" s="495" t="e">
        <f t="shared" si="74"/>
        <v>#REF!</v>
      </c>
      <c r="AO46" s="495" t="e">
        <f t="shared" si="75"/>
        <v>#REF!</v>
      </c>
      <c r="AP46" s="495" t="e">
        <f t="shared" si="76"/>
        <v>#REF!</v>
      </c>
      <c r="AQ46" s="493" t="e">
        <f t="shared" si="77"/>
        <v>#REF!</v>
      </c>
      <c r="AR46" s="495" t="e">
        <f t="shared" ca="1" si="78"/>
        <v>#NAME?</v>
      </c>
      <c r="AS46" s="495" t="e">
        <f t="shared" ca="1" si="79"/>
        <v>#NAME?</v>
      </c>
      <c r="AT46" s="495" t="e">
        <f t="shared" si="80"/>
        <v>#REF!</v>
      </c>
      <c r="AU46" s="495" t="e">
        <f t="shared" si="81"/>
        <v>#REF!</v>
      </c>
      <c r="AV46" s="21"/>
      <c r="AW46" s="688" t="e">
        <f t="shared" ca="1" si="87"/>
        <v>#REF!</v>
      </c>
      <c r="AX46" s="554"/>
      <c r="AY46" s="554"/>
      <c r="AZ46" s="3"/>
      <c r="BA46" s="3"/>
      <c r="BB46" s="3"/>
      <c r="BC46" s="3"/>
      <c r="BD46" s="3"/>
      <c r="BE46" s="3"/>
      <c r="BF46" s="3"/>
      <c r="BG46" s="3"/>
      <c r="BH46" s="3"/>
      <c r="BI46" s="3"/>
      <c r="BJ46" s="3"/>
      <c r="BK46" s="3"/>
      <c r="BL46" s="3"/>
      <c r="BM46" s="3"/>
    </row>
    <row r="47" spans="1:65">
      <c r="A47" s="633" t="s">
        <v>151</v>
      </c>
      <c r="B47" s="665" t="s">
        <v>350</v>
      </c>
      <c r="C47" s="658">
        <v>749.6062992125984</v>
      </c>
      <c r="D47" s="18"/>
      <c r="E47" s="621">
        <v>22.63</v>
      </c>
      <c r="F47" s="621">
        <v>0</v>
      </c>
      <c r="G47" s="622">
        <v>1310</v>
      </c>
      <c r="H47" s="622">
        <v>735</v>
      </c>
      <c r="I47" s="622">
        <v>44.57</v>
      </c>
      <c r="J47" s="277">
        <v>40</v>
      </c>
      <c r="K47" s="622">
        <v>85.78</v>
      </c>
      <c r="L47" s="622">
        <v>1040.77</v>
      </c>
      <c r="M47" s="620">
        <v>0</v>
      </c>
      <c r="N47" s="620">
        <v>0</v>
      </c>
      <c r="O47" s="622">
        <v>22.27</v>
      </c>
      <c r="P47" s="622">
        <v>24.29</v>
      </c>
      <c r="Q47" s="69"/>
      <c r="R47" s="21"/>
      <c r="S47" s="489">
        <f t="shared" si="66"/>
        <v>3301.0200000000004</v>
      </c>
      <c r="T47" s="489" t="e">
        <f t="shared" si="82"/>
        <v>#REF!</v>
      </c>
      <c r="U47" s="489" t="e">
        <f>MAX(U$41:U$42)+IF($B$2="mil",1,0.0254)*DDR2Specs!$E$3</f>
        <v>#REF!</v>
      </c>
      <c r="V47" s="489" t="e">
        <f>MIN(U$41:U$42)+IF($B$2="mil",1,0.0254)*DDR2Specs!$F$3</f>
        <v>#REF!</v>
      </c>
      <c r="W47" s="21"/>
      <c r="X47" s="598" t="e">
        <f t="shared" si="67"/>
        <v>#REF!</v>
      </c>
      <c r="Y47" s="495" t="e">
        <f t="shared" si="83"/>
        <v>#REF!</v>
      </c>
      <c r="Z47" s="21"/>
      <c r="AA47" s="489">
        <f t="shared" si="68"/>
        <v>3303.0400000000004</v>
      </c>
      <c r="AB47" s="489" t="e">
        <f t="shared" si="84"/>
        <v>#REF!</v>
      </c>
      <c r="AC47" s="489" t="e">
        <f>MAX(AC$41:AC$42)+IF($B$2="mil",1,0.0254)*DDR2Specs!$E$3</f>
        <v>#REF!</v>
      </c>
      <c r="AD47" s="489" t="e">
        <f>MIN(AC$41:AC$42)+IF($B$2="mil",1,0.0254)*DDR2Specs!$F$3</f>
        <v>#REF!</v>
      </c>
      <c r="AE47" s="21"/>
      <c r="AF47" s="598" t="e">
        <f t="shared" si="85"/>
        <v>#REF!</v>
      </c>
      <c r="AG47" s="495" t="e">
        <f t="shared" si="86"/>
        <v>#REF!</v>
      </c>
      <c r="AH47" s="21"/>
      <c r="AI47" s="495" t="e">
        <f t="shared" si="69"/>
        <v>#REF!</v>
      </c>
      <c r="AJ47" s="495" t="e">
        <f t="shared" si="70"/>
        <v>#REF!</v>
      </c>
      <c r="AK47" s="495" t="e">
        <f t="shared" si="71"/>
        <v>#REF!</v>
      </c>
      <c r="AL47" s="495" t="e">
        <f t="shared" si="72"/>
        <v>#REF!</v>
      </c>
      <c r="AM47" s="495" t="e">
        <f t="shared" si="73"/>
        <v>#REF!</v>
      </c>
      <c r="AN47" s="495" t="e">
        <f t="shared" si="74"/>
        <v>#REF!</v>
      </c>
      <c r="AO47" s="495" t="e">
        <f t="shared" si="75"/>
        <v>#REF!</v>
      </c>
      <c r="AP47" s="495" t="e">
        <f t="shared" si="76"/>
        <v>#REF!</v>
      </c>
      <c r="AQ47" s="493" t="e">
        <f t="shared" si="77"/>
        <v>#REF!</v>
      </c>
      <c r="AR47" s="495" t="e">
        <f t="shared" ca="1" si="78"/>
        <v>#NAME?</v>
      </c>
      <c r="AS47" s="495" t="e">
        <f t="shared" ca="1" si="79"/>
        <v>#NAME?</v>
      </c>
      <c r="AT47" s="495" t="e">
        <f t="shared" si="80"/>
        <v>#REF!</v>
      </c>
      <c r="AU47" s="495" t="e">
        <f t="shared" si="81"/>
        <v>#REF!</v>
      </c>
      <c r="AV47" s="21"/>
      <c r="AW47" s="688" t="e">
        <f t="shared" ca="1" si="87"/>
        <v>#REF!</v>
      </c>
      <c r="AX47" s="554"/>
      <c r="AY47" s="554"/>
      <c r="AZ47" s="3"/>
      <c r="BA47" s="3"/>
      <c r="BB47" s="3"/>
      <c r="BC47" s="3"/>
      <c r="BD47" s="3"/>
      <c r="BE47" s="3"/>
      <c r="BF47" s="3"/>
      <c r="BG47" s="3"/>
      <c r="BH47" s="3"/>
      <c r="BI47" s="3"/>
      <c r="BJ47" s="3"/>
      <c r="BK47" s="3"/>
      <c r="BL47" s="3"/>
      <c r="BM47" s="3"/>
    </row>
    <row r="48" spans="1:65">
      <c r="A48" s="633" t="s">
        <v>152</v>
      </c>
      <c r="B48" s="672" t="s">
        <v>487</v>
      </c>
      <c r="C48" s="658">
        <v>808.70078740157487</v>
      </c>
      <c r="D48" s="18"/>
      <c r="E48" s="621">
        <v>22.63</v>
      </c>
      <c r="F48" s="621">
        <v>0</v>
      </c>
      <c r="G48" s="622">
        <v>1255</v>
      </c>
      <c r="H48" s="622">
        <v>753.05</v>
      </c>
      <c r="I48" s="622">
        <v>85.78</v>
      </c>
      <c r="J48" s="277">
        <v>40</v>
      </c>
      <c r="K48" s="622">
        <v>44.57</v>
      </c>
      <c r="L48" s="622">
        <v>998.44</v>
      </c>
      <c r="M48" s="620">
        <v>0</v>
      </c>
      <c r="N48" s="620">
        <v>0</v>
      </c>
      <c r="O48" s="622">
        <v>44.7</v>
      </c>
      <c r="P48" s="622">
        <v>44.67</v>
      </c>
      <c r="Q48" s="69"/>
      <c r="R48" s="21"/>
      <c r="S48" s="489">
        <f t="shared" si="66"/>
        <v>3244.17</v>
      </c>
      <c r="T48" s="489" t="e">
        <f t="shared" si="82"/>
        <v>#REF!</v>
      </c>
      <c r="U48" s="489" t="e">
        <f>MAX(U$41:U$42)+IF($B$2="mil",1,0.0254)*DDR2Specs!$E$3</f>
        <v>#REF!</v>
      </c>
      <c r="V48" s="489" t="e">
        <f>MIN(U$41:U$42)+IF($B$2="mil",1,0.0254)*DDR2Specs!$F$3</f>
        <v>#REF!</v>
      </c>
      <c r="W48" s="21"/>
      <c r="X48" s="598" t="e">
        <f t="shared" si="67"/>
        <v>#REF!</v>
      </c>
      <c r="Y48" s="495" t="e">
        <f t="shared" si="83"/>
        <v>#REF!</v>
      </c>
      <c r="Z48" s="21"/>
      <c r="AA48" s="489">
        <f t="shared" si="68"/>
        <v>3244.1400000000003</v>
      </c>
      <c r="AB48" s="489" t="e">
        <f t="shared" si="84"/>
        <v>#REF!</v>
      </c>
      <c r="AC48" s="489" t="e">
        <f>MAX(AC$41:AC$42)+IF($B$2="mil",1,0.0254)*DDR2Specs!$E$3</f>
        <v>#REF!</v>
      </c>
      <c r="AD48" s="489" t="e">
        <f>MIN(AC$41:AC$42)+IF($B$2="mil",1,0.0254)*DDR2Specs!$F$3</f>
        <v>#REF!</v>
      </c>
      <c r="AE48" s="21"/>
      <c r="AF48" s="598" t="e">
        <f t="shared" si="85"/>
        <v>#REF!</v>
      </c>
      <c r="AG48" s="495" t="e">
        <f t="shared" si="86"/>
        <v>#REF!</v>
      </c>
      <c r="AH48" s="21"/>
      <c r="AI48" s="495" t="e">
        <f t="shared" si="69"/>
        <v>#REF!</v>
      </c>
      <c r="AJ48" s="495" t="e">
        <f t="shared" si="70"/>
        <v>#REF!</v>
      </c>
      <c r="AK48" s="495" t="e">
        <f t="shared" si="71"/>
        <v>#REF!</v>
      </c>
      <c r="AL48" s="495" t="e">
        <f t="shared" si="72"/>
        <v>#REF!</v>
      </c>
      <c r="AM48" s="495" t="e">
        <f t="shared" si="73"/>
        <v>#REF!</v>
      </c>
      <c r="AN48" s="495" t="e">
        <f t="shared" si="74"/>
        <v>#REF!</v>
      </c>
      <c r="AO48" s="495" t="e">
        <f t="shared" si="75"/>
        <v>#REF!</v>
      </c>
      <c r="AP48" s="495" t="e">
        <f t="shared" si="76"/>
        <v>#REF!</v>
      </c>
      <c r="AQ48" s="493" t="e">
        <f t="shared" si="77"/>
        <v>#REF!</v>
      </c>
      <c r="AR48" s="495" t="e">
        <f t="shared" ca="1" si="78"/>
        <v>#NAME?</v>
      </c>
      <c r="AS48" s="495" t="e">
        <f t="shared" ca="1" si="79"/>
        <v>#NAME?</v>
      </c>
      <c r="AT48" s="495" t="e">
        <f t="shared" si="80"/>
        <v>#REF!</v>
      </c>
      <c r="AU48" s="495" t="e">
        <f t="shared" si="81"/>
        <v>#REF!</v>
      </c>
      <c r="AV48" s="21"/>
      <c r="AW48" s="688" t="e">
        <f t="shared" ca="1" si="87"/>
        <v>#REF!</v>
      </c>
      <c r="AX48" s="554"/>
      <c r="AY48" s="554"/>
      <c r="AZ48" s="3"/>
      <c r="BA48" s="3"/>
      <c r="BB48" s="3"/>
      <c r="BC48" s="3"/>
      <c r="BD48" s="3"/>
      <c r="BE48" s="3"/>
      <c r="BF48" s="3"/>
      <c r="BG48" s="3"/>
      <c r="BH48" s="3"/>
      <c r="BI48" s="3"/>
      <c r="BJ48" s="3"/>
      <c r="BK48" s="3"/>
      <c r="BL48" s="3"/>
      <c r="BM48" s="3"/>
    </row>
    <row r="49" spans="1:65">
      <c r="A49" s="633" t="s">
        <v>153</v>
      </c>
      <c r="B49" s="665" t="s">
        <v>488</v>
      </c>
      <c r="C49" s="658">
        <v>901.61417322834643</v>
      </c>
      <c r="D49" s="18"/>
      <c r="E49" s="621">
        <v>22.63</v>
      </c>
      <c r="F49" s="621">
        <v>0</v>
      </c>
      <c r="G49" s="622">
        <v>1150</v>
      </c>
      <c r="H49" s="622">
        <v>790.79</v>
      </c>
      <c r="I49" s="622">
        <v>44.57</v>
      </c>
      <c r="J49" s="277">
        <v>40</v>
      </c>
      <c r="K49" s="622">
        <v>85.78</v>
      </c>
      <c r="L49" s="622">
        <v>897.89</v>
      </c>
      <c r="M49" s="620">
        <v>0</v>
      </c>
      <c r="N49" s="620">
        <v>0</v>
      </c>
      <c r="O49" s="622">
        <v>103.32</v>
      </c>
      <c r="P49" s="622">
        <v>103.36</v>
      </c>
      <c r="Q49" s="69"/>
      <c r="R49" s="21"/>
      <c r="S49" s="489">
        <f t="shared" si="66"/>
        <v>3134.98</v>
      </c>
      <c r="T49" s="489" t="e">
        <f t="shared" si="82"/>
        <v>#REF!</v>
      </c>
      <c r="U49" s="489" t="e">
        <f>MAX(U$41:U$42)+IF($B$2="mil",1,0.0254)*DDR2Specs!$E$3</f>
        <v>#REF!</v>
      </c>
      <c r="V49" s="489" t="e">
        <f>MIN(U$41:U$42)+IF($B$2="mil",1,0.0254)*DDR2Specs!$F$3</f>
        <v>#REF!</v>
      </c>
      <c r="W49" s="21"/>
      <c r="X49" s="598" t="e">
        <f t="shared" si="67"/>
        <v>#REF!</v>
      </c>
      <c r="Y49" s="495" t="e">
        <f t="shared" si="83"/>
        <v>#REF!</v>
      </c>
      <c r="Z49" s="21"/>
      <c r="AA49" s="489">
        <f t="shared" si="68"/>
        <v>3135.02</v>
      </c>
      <c r="AB49" s="489" t="e">
        <f t="shared" si="84"/>
        <v>#REF!</v>
      </c>
      <c r="AC49" s="489" t="e">
        <f>MAX(AC$41:AC$42)+IF($B$2="mil",1,0.0254)*DDR2Specs!$E$3</f>
        <v>#REF!</v>
      </c>
      <c r="AD49" s="489" t="e">
        <f>MIN(AC$41:AC$42)+IF($B$2="mil",1,0.0254)*DDR2Specs!$F$3</f>
        <v>#REF!</v>
      </c>
      <c r="AE49" s="21"/>
      <c r="AF49" s="598" t="e">
        <f t="shared" si="85"/>
        <v>#REF!</v>
      </c>
      <c r="AG49" s="495" t="e">
        <f t="shared" si="86"/>
        <v>#REF!</v>
      </c>
      <c r="AH49" s="21"/>
      <c r="AI49" s="495" t="e">
        <f t="shared" si="69"/>
        <v>#REF!</v>
      </c>
      <c r="AJ49" s="495" t="e">
        <f t="shared" si="70"/>
        <v>#REF!</v>
      </c>
      <c r="AK49" s="495" t="e">
        <f t="shared" si="71"/>
        <v>#REF!</v>
      </c>
      <c r="AL49" s="495" t="e">
        <f t="shared" si="72"/>
        <v>#REF!</v>
      </c>
      <c r="AM49" s="495" t="e">
        <f t="shared" si="73"/>
        <v>#REF!</v>
      </c>
      <c r="AN49" s="495" t="e">
        <f t="shared" si="74"/>
        <v>#REF!</v>
      </c>
      <c r="AO49" s="495" t="e">
        <f t="shared" si="75"/>
        <v>#REF!</v>
      </c>
      <c r="AP49" s="495" t="e">
        <f t="shared" si="76"/>
        <v>#REF!</v>
      </c>
      <c r="AQ49" s="493" t="e">
        <f t="shared" si="77"/>
        <v>#REF!</v>
      </c>
      <c r="AR49" s="495" t="e">
        <f t="shared" ca="1" si="78"/>
        <v>#NAME?</v>
      </c>
      <c r="AS49" s="495" t="e">
        <f t="shared" ca="1" si="79"/>
        <v>#NAME?</v>
      </c>
      <c r="AT49" s="495" t="e">
        <f t="shared" si="80"/>
        <v>#REF!</v>
      </c>
      <c r="AU49" s="495" t="e">
        <f t="shared" si="81"/>
        <v>#REF!</v>
      </c>
      <c r="AV49" s="21"/>
      <c r="AW49" s="688" t="e">
        <f t="shared" ca="1" si="87"/>
        <v>#REF!</v>
      </c>
      <c r="AX49" s="554"/>
      <c r="AY49" s="554"/>
      <c r="AZ49" s="3"/>
      <c r="BA49" s="3"/>
      <c r="BB49" s="3"/>
      <c r="BC49" s="3"/>
      <c r="BD49" s="3"/>
      <c r="BE49" s="3"/>
      <c r="BF49" s="3"/>
      <c r="BG49" s="3"/>
      <c r="BH49" s="3"/>
      <c r="BI49" s="3"/>
      <c r="BJ49" s="3"/>
      <c r="BK49" s="3"/>
      <c r="BL49" s="3"/>
      <c r="BM49" s="3"/>
    </row>
    <row r="50" spans="1:65">
      <c r="A50" s="633" t="s">
        <v>154</v>
      </c>
      <c r="B50" s="665" t="s">
        <v>355</v>
      </c>
      <c r="C50" s="658">
        <v>894.17322834645665</v>
      </c>
      <c r="D50" s="18"/>
      <c r="E50" s="621">
        <v>22.63</v>
      </c>
      <c r="F50" s="621">
        <v>0</v>
      </c>
      <c r="G50" s="622">
        <v>1186</v>
      </c>
      <c r="H50" s="622">
        <v>728</v>
      </c>
      <c r="I50" s="622">
        <v>85.78</v>
      </c>
      <c r="J50" s="277">
        <v>40</v>
      </c>
      <c r="K50" s="622">
        <v>44.57</v>
      </c>
      <c r="L50" s="622">
        <v>956.07</v>
      </c>
      <c r="M50" s="620">
        <v>0</v>
      </c>
      <c r="N50" s="620">
        <v>0</v>
      </c>
      <c r="O50" s="622">
        <v>94.03</v>
      </c>
      <c r="P50" s="622">
        <v>95.46</v>
      </c>
      <c r="Q50" s="69"/>
      <c r="R50" s="21"/>
      <c r="S50" s="489">
        <f t="shared" si="66"/>
        <v>3157.0800000000004</v>
      </c>
      <c r="T50" s="489" t="e">
        <f t="shared" si="82"/>
        <v>#REF!</v>
      </c>
      <c r="U50" s="489" t="e">
        <f>MAX(U$41:U$42)+IF($B$2="mil",1,0.0254)*DDR2Specs!$E$3</f>
        <v>#REF!</v>
      </c>
      <c r="V50" s="489" t="e">
        <f>MIN(U$41:U$42)+IF($B$2="mil",1,0.0254)*DDR2Specs!$F$3</f>
        <v>#REF!</v>
      </c>
      <c r="W50" s="21"/>
      <c r="X50" s="598" t="e">
        <f t="shared" si="67"/>
        <v>#REF!</v>
      </c>
      <c r="Y50" s="495" t="e">
        <f t="shared" si="83"/>
        <v>#REF!</v>
      </c>
      <c r="Z50" s="21"/>
      <c r="AA50" s="489">
        <f t="shared" si="68"/>
        <v>3158.51</v>
      </c>
      <c r="AB50" s="489" t="e">
        <f t="shared" si="84"/>
        <v>#REF!</v>
      </c>
      <c r="AC50" s="489" t="e">
        <f>MAX(AC$41:AC$42)+IF($B$2="mil",1,0.0254)*DDR2Specs!$E$3</f>
        <v>#REF!</v>
      </c>
      <c r="AD50" s="489" t="e">
        <f>MIN(AC$41:AC$42)+IF($B$2="mil",1,0.0254)*DDR2Specs!$F$3</f>
        <v>#REF!</v>
      </c>
      <c r="AE50" s="21"/>
      <c r="AF50" s="598" t="e">
        <f t="shared" si="85"/>
        <v>#REF!</v>
      </c>
      <c r="AG50" s="495" t="e">
        <f t="shared" si="86"/>
        <v>#REF!</v>
      </c>
      <c r="AH50" s="21"/>
      <c r="AI50" s="495" t="e">
        <f t="shared" si="69"/>
        <v>#REF!</v>
      </c>
      <c r="AJ50" s="495" t="e">
        <f t="shared" si="70"/>
        <v>#REF!</v>
      </c>
      <c r="AK50" s="495" t="e">
        <f t="shared" si="71"/>
        <v>#REF!</v>
      </c>
      <c r="AL50" s="495" t="e">
        <f t="shared" si="72"/>
        <v>#REF!</v>
      </c>
      <c r="AM50" s="495" t="e">
        <f t="shared" si="73"/>
        <v>#REF!</v>
      </c>
      <c r="AN50" s="495" t="e">
        <f t="shared" si="74"/>
        <v>#REF!</v>
      </c>
      <c r="AO50" s="495" t="e">
        <f t="shared" si="75"/>
        <v>#REF!</v>
      </c>
      <c r="AP50" s="495" t="e">
        <f t="shared" si="76"/>
        <v>#REF!</v>
      </c>
      <c r="AQ50" s="493" t="e">
        <f t="shared" si="77"/>
        <v>#REF!</v>
      </c>
      <c r="AR50" s="495" t="e">
        <f t="shared" ca="1" si="78"/>
        <v>#NAME?</v>
      </c>
      <c r="AS50" s="495" t="e">
        <f t="shared" ca="1" si="79"/>
        <v>#NAME?</v>
      </c>
      <c r="AT50" s="495" t="e">
        <f t="shared" si="80"/>
        <v>#REF!</v>
      </c>
      <c r="AU50" s="495" t="e">
        <f t="shared" si="81"/>
        <v>#REF!</v>
      </c>
      <c r="AV50" s="21"/>
      <c r="AW50" s="688" t="e">
        <f t="shared" ca="1" si="87"/>
        <v>#REF!</v>
      </c>
      <c r="AX50" s="554"/>
      <c r="AY50" s="554"/>
      <c r="AZ50" s="3"/>
      <c r="BA50" s="3"/>
      <c r="BB50" s="3"/>
      <c r="BC50" s="3"/>
      <c r="BD50" s="3"/>
      <c r="BE50" s="3"/>
      <c r="BF50" s="3"/>
      <c r="BG50" s="3"/>
      <c r="BH50" s="3"/>
      <c r="BI50" s="3"/>
      <c r="BJ50" s="3"/>
      <c r="BK50" s="3"/>
      <c r="BL50" s="3"/>
      <c r="BM50" s="3"/>
    </row>
    <row r="51" spans="1:65">
      <c r="A51" s="666" t="s">
        <v>155</v>
      </c>
      <c r="B51" s="667" t="s">
        <v>519</v>
      </c>
      <c r="C51" s="658">
        <v>728.70078740157487</v>
      </c>
      <c r="D51" s="18"/>
      <c r="E51" s="621">
        <v>22.63</v>
      </c>
      <c r="F51" s="621">
        <v>0</v>
      </c>
      <c r="G51" s="622">
        <v>1350</v>
      </c>
      <c r="H51" s="622">
        <v>720</v>
      </c>
      <c r="I51" s="622">
        <v>85.78</v>
      </c>
      <c r="J51" s="277">
        <v>40</v>
      </c>
      <c r="K51" s="622">
        <v>85.78</v>
      </c>
      <c r="L51" s="622">
        <v>949.23</v>
      </c>
      <c r="M51" s="620">
        <v>0</v>
      </c>
      <c r="N51" s="620">
        <v>0</v>
      </c>
      <c r="O51" s="622">
        <v>68.790000000000006</v>
      </c>
      <c r="P51" s="622">
        <v>70.290000000000006</v>
      </c>
      <c r="Q51" s="69"/>
      <c r="R51" s="21"/>
      <c r="S51" s="489">
        <f t="shared" si="66"/>
        <v>3322.2100000000005</v>
      </c>
      <c r="T51" s="489" t="e">
        <f t="shared" si="82"/>
        <v>#REF!</v>
      </c>
      <c r="U51" s="489" t="e">
        <f>MAX(U$41:U$42)+IF($B$2="mil",1,0.0254)*DDR2Specs!$E$3</f>
        <v>#REF!</v>
      </c>
      <c r="V51" s="489" t="e">
        <f>MIN(U$41:U$42)+IF($B$2="mil",1,0.0254)*DDR2Specs!$F$3</f>
        <v>#REF!</v>
      </c>
      <c r="W51" s="21"/>
      <c r="X51" s="598" t="e">
        <f t="shared" si="67"/>
        <v>#REF!</v>
      </c>
      <c r="Y51" s="495" t="e">
        <f t="shared" si="83"/>
        <v>#REF!</v>
      </c>
      <c r="Z51" s="21"/>
      <c r="AA51" s="489">
        <f t="shared" si="68"/>
        <v>3323.7100000000005</v>
      </c>
      <c r="AB51" s="489" t="e">
        <f t="shared" si="84"/>
        <v>#REF!</v>
      </c>
      <c r="AC51" s="489" t="e">
        <f>MAX(AC$41:AC$42)+IF($B$2="mil",1,0.0254)*DDR2Specs!$E$3</f>
        <v>#REF!</v>
      </c>
      <c r="AD51" s="489" t="e">
        <f>MIN(AC$41:AC$42)+IF($B$2="mil",1,0.0254)*DDR2Specs!$F$3</f>
        <v>#REF!</v>
      </c>
      <c r="AE51" s="21"/>
      <c r="AF51" s="598" t="e">
        <f t="shared" si="85"/>
        <v>#REF!</v>
      </c>
      <c r="AG51" s="495" t="e">
        <f t="shared" si="86"/>
        <v>#REF!</v>
      </c>
      <c r="AH51" s="21"/>
      <c r="AI51" s="495" t="e">
        <f t="shared" si="69"/>
        <v>#REF!</v>
      </c>
      <c r="AJ51" s="495" t="e">
        <f t="shared" si="70"/>
        <v>#REF!</v>
      </c>
      <c r="AK51" s="495" t="e">
        <f t="shared" si="71"/>
        <v>#REF!</v>
      </c>
      <c r="AL51" s="495" t="e">
        <f t="shared" si="72"/>
        <v>#REF!</v>
      </c>
      <c r="AM51" s="495" t="e">
        <f t="shared" si="73"/>
        <v>#REF!</v>
      </c>
      <c r="AN51" s="495" t="e">
        <f t="shared" si="74"/>
        <v>#REF!</v>
      </c>
      <c r="AO51" s="495" t="e">
        <f t="shared" si="75"/>
        <v>#REF!</v>
      </c>
      <c r="AP51" s="495" t="e">
        <f t="shared" si="76"/>
        <v>#REF!</v>
      </c>
      <c r="AQ51" s="493" t="e">
        <f t="shared" si="77"/>
        <v>#REF!</v>
      </c>
      <c r="AR51" s="495" t="e">
        <f t="shared" ca="1" si="78"/>
        <v>#NAME?</v>
      </c>
      <c r="AS51" s="495" t="e">
        <f t="shared" ca="1" si="79"/>
        <v>#NAME?</v>
      </c>
      <c r="AT51" s="495" t="e">
        <f t="shared" si="80"/>
        <v>#REF!</v>
      </c>
      <c r="AU51" s="495" t="e">
        <f t="shared" si="81"/>
        <v>#REF!</v>
      </c>
      <c r="AV51" s="21"/>
      <c r="AW51" s="688" t="e">
        <f t="shared" ca="1" si="87"/>
        <v>#REF!</v>
      </c>
      <c r="AX51" s="554"/>
      <c r="AY51" s="554"/>
      <c r="AZ51" s="3"/>
      <c r="BA51" s="3"/>
      <c r="BB51" s="3"/>
      <c r="BC51" s="3"/>
      <c r="BD51" s="3"/>
      <c r="BE51" s="3"/>
      <c r="BF51" s="3"/>
      <c r="BG51" s="3"/>
      <c r="BH51" s="3"/>
      <c r="BI51" s="3"/>
      <c r="BJ51" s="3"/>
      <c r="BK51" s="3"/>
      <c r="BL51" s="3"/>
      <c r="BM51" s="3"/>
    </row>
    <row r="52" spans="1:65">
      <c r="A52" s="636" t="s">
        <v>201</v>
      </c>
      <c r="B52" s="668"/>
      <c r="C52" s="659"/>
      <c r="D52" s="62"/>
      <c r="E52" s="82"/>
      <c r="F52" s="82"/>
      <c r="G52" s="439"/>
      <c r="H52" s="295"/>
      <c r="I52" s="295"/>
      <c r="J52" s="295"/>
      <c r="K52" s="295"/>
      <c r="L52" s="295"/>
      <c r="M52" s="295"/>
      <c r="N52" s="295"/>
      <c r="O52" s="295"/>
      <c r="P52" s="295"/>
      <c r="Q52" s="10"/>
      <c r="R52" s="606"/>
      <c r="S52" s="82"/>
      <c r="T52" s="605"/>
      <c r="U52" s="605"/>
      <c r="V52" s="606"/>
      <c r="W52" s="606"/>
      <c r="X52" s="607"/>
      <c r="Y52" s="17"/>
      <c r="Z52" s="606"/>
      <c r="AA52" s="82"/>
      <c r="AB52" s="605"/>
      <c r="AC52" s="605"/>
      <c r="AD52" s="606"/>
      <c r="AE52" s="606"/>
      <c r="AF52" s="607"/>
      <c r="AG52" s="17"/>
      <c r="AH52" s="606"/>
      <c r="AI52" s="17"/>
      <c r="AJ52" s="17"/>
      <c r="AK52" s="16"/>
      <c r="AL52" s="16"/>
      <c r="AM52" s="16"/>
      <c r="AN52" s="16"/>
      <c r="AO52" s="16"/>
      <c r="AP52" s="16"/>
      <c r="AQ52" s="16"/>
      <c r="AR52" s="16"/>
      <c r="AS52" s="16"/>
      <c r="AT52" s="16"/>
      <c r="AU52" s="16"/>
      <c r="AV52" s="83"/>
      <c r="AW52" s="554"/>
      <c r="AX52" s="554"/>
      <c r="AY52" s="554"/>
      <c r="AZ52" s="3"/>
      <c r="BA52" s="3"/>
      <c r="BB52" s="3"/>
      <c r="BC52" s="3"/>
      <c r="BD52" s="3"/>
      <c r="BE52" s="3"/>
      <c r="BF52" s="3"/>
      <c r="BG52" s="3"/>
      <c r="BH52" s="3"/>
      <c r="BI52" s="3"/>
      <c r="BJ52" s="3"/>
      <c r="BK52" s="3"/>
      <c r="BL52" s="3"/>
      <c r="BM52" s="3"/>
    </row>
    <row r="53" spans="1:65">
      <c r="A53" s="650" t="str">
        <f>'DDR2 Strobes - 2x16'!$A$27</f>
        <v>SA_DQS4</v>
      </c>
      <c r="B53" s="669" t="str">
        <f>'DDR2 Strobes - 2x16'!$B$27</f>
        <v>AB19</v>
      </c>
      <c r="C53" s="660"/>
      <c r="D53" s="53"/>
      <c r="E53" s="81"/>
      <c r="F53" s="81"/>
      <c r="G53" s="440"/>
      <c r="H53" s="296"/>
      <c r="I53" s="296"/>
      <c r="J53" s="296"/>
      <c r="K53" s="296"/>
      <c r="L53" s="296"/>
      <c r="M53" s="296"/>
      <c r="N53" s="296"/>
      <c r="O53" s="296"/>
      <c r="P53" s="296"/>
      <c r="Q53" s="81"/>
      <c r="R53" s="58"/>
      <c r="S53" s="81"/>
      <c r="T53" s="58"/>
      <c r="U53" s="58" t="e">
        <f>'DDR2 Strobes - 2x16'!$U$27</f>
        <v>#REF!</v>
      </c>
      <c r="V53" s="58"/>
      <c r="W53" s="58"/>
      <c r="X53" s="58"/>
      <c r="Y53" s="608"/>
      <c r="Z53" s="58"/>
      <c r="AA53" s="81"/>
      <c r="AB53" s="58"/>
      <c r="AC53" s="58" t="e">
        <f>'DDR2 Strobes - 2x16'!$AC$27</f>
        <v>#REF!</v>
      </c>
      <c r="AD53" s="58"/>
      <c r="AE53" s="58"/>
      <c r="AF53" s="58"/>
      <c r="AG53" s="608"/>
      <c r="AH53" s="58"/>
      <c r="AI53" s="608"/>
      <c r="AJ53" s="608"/>
      <c r="AK53" s="608"/>
      <c r="AL53" s="608"/>
      <c r="AM53" s="608"/>
      <c r="AN53" s="608"/>
      <c r="AO53" s="608"/>
      <c r="AP53" s="608"/>
      <c r="AQ53" s="608"/>
      <c r="AR53" s="608"/>
      <c r="AS53" s="608"/>
      <c r="AT53" s="608"/>
      <c r="AU53" s="608"/>
      <c r="AV53" s="58"/>
      <c r="AW53" s="554"/>
      <c r="AX53" s="554"/>
      <c r="AY53" s="554"/>
      <c r="AZ53" s="3"/>
      <c r="BA53" s="3"/>
      <c r="BB53" s="3"/>
      <c r="BC53" s="3"/>
      <c r="BD53" s="3"/>
      <c r="BE53" s="3"/>
      <c r="BF53" s="3"/>
      <c r="BG53" s="3"/>
      <c r="BH53" s="3"/>
      <c r="BI53" s="3"/>
      <c r="BJ53" s="3"/>
      <c r="BK53" s="3"/>
      <c r="BL53" s="3"/>
      <c r="BM53" s="3"/>
    </row>
    <row r="54" spans="1:65">
      <c r="A54" s="650" t="str">
        <f>'DDR2 Strobes - 2x16'!$A$28</f>
        <v>SA_DQS4#</v>
      </c>
      <c r="B54" s="669" t="str">
        <f>'DDR2 Strobes - 2x16'!$B$28</f>
        <v>AB18</v>
      </c>
      <c r="C54" s="660"/>
      <c r="D54" s="53"/>
      <c r="E54" s="81"/>
      <c r="F54" s="81"/>
      <c r="G54" s="440"/>
      <c r="H54" s="296"/>
      <c r="I54" s="296"/>
      <c r="J54" s="296"/>
      <c r="K54" s="296"/>
      <c r="L54" s="296"/>
      <c r="M54" s="296"/>
      <c r="N54" s="296"/>
      <c r="O54" s="296"/>
      <c r="P54" s="296"/>
      <c r="Q54" s="81"/>
      <c r="R54" s="58"/>
      <c r="S54" s="602"/>
      <c r="T54" s="603"/>
      <c r="U54" s="58" t="e">
        <f>'DDR2 Strobes - 2x16'!$U$28</f>
        <v>#REF!</v>
      </c>
      <c r="V54" s="58"/>
      <c r="W54" s="58"/>
      <c r="X54" s="58"/>
      <c r="Y54" s="608"/>
      <c r="Z54" s="58"/>
      <c r="AA54" s="602"/>
      <c r="AB54" s="603"/>
      <c r="AC54" s="58" t="e">
        <f>'DDR2 Strobes - 2x16'!$AC$28</f>
        <v>#REF!</v>
      </c>
      <c r="AD54" s="58"/>
      <c r="AE54" s="58"/>
      <c r="AF54" s="58"/>
      <c r="AG54" s="608"/>
      <c r="AH54" s="58"/>
      <c r="AI54" s="608"/>
      <c r="AJ54" s="608"/>
      <c r="AK54" s="609"/>
      <c r="AL54" s="609"/>
      <c r="AM54" s="609"/>
      <c r="AN54" s="609"/>
      <c r="AO54" s="609"/>
      <c r="AP54" s="609"/>
      <c r="AQ54" s="609"/>
      <c r="AR54" s="609"/>
      <c r="AS54" s="609"/>
      <c r="AT54" s="609"/>
      <c r="AU54" s="609"/>
      <c r="AV54" s="58"/>
      <c r="AW54" s="554"/>
      <c r="AX54" s="554"/>
      <c r="AY54" s="554"/>
      <c r="AZ54" s="3"/>
      <c r="BA54" s="3"/>
      <c r="BB54" s="3"/>
      <c r="BC54" s="3"/>
      <c r="BD54" s="3"/>
      <c r="BE54" s="3"/>
      <c r="BF54" s="3"/>
      <c r="BG54" s="3"/>
      <c r="BH54" s="3"/>
      <c r="BI54" s="3"/>
      <c r="BJ54" s="3"/>
      <c r="BK54" s="3"/>
      <c r="BL54" s="3"/>
      <c r="BM54" s="3"/>
    </row>
    <row r="55" spans="1:65">
      <c r="A55" s="633" t="s">
        <v>156</v>
      </c>
      <c r="B55" s="665" t="s">
        <v>489</v>
      </c>
      <c r="C55" s="658">
        <v>655.8661417322835</v>
      </c>
      <c r="D55" s="18"/>
      <c r="E55" s="621">
        <v>22.63</v>
      </c>
      <c r="F55" s="621">
        <v>0</v>
      </c>
      <c r="G55" s="622">
        <v>1260</v>
      </c>
      <c r="H55" s="622">
        <v>821.61</v>
      </c>
      <c r="I55" s="622">
        <v>44.57</v>
      </c>
      <c r="J55" s="277">
        <v>40</v>
      </c>
      <c r="K55" s="622">
        <v>85.78</v>
      </c>
      <c r="L55" s="622">
        <v>1101.1199999999999</v>
      </c>
      <c r="M55" s="620">
        <v>0</v>
      </c>
      <c r="N55" s="620">
        <v>0</v>
      </c>
      <c r="O55" s="622">
        <v>95.78</v>
      </c>
      <c r="P55" s="622">
        <v>95.76</v>
      </c>
      <c r="Q55" s="69"/>
      <c r="R55" s="21"/>
      <c r="S55" s="489">
        <f t="shared" ref="S55:S63" si="88">SUM(E55:G55,H55:M55,O55)</f>
        <v>3471.4900000000007</v>
      </c>
      <c r="T55" s="489" t="e">
        <f>S55+IF($B$2="mil",1,0.0254)*$C55</f>
        <v>#REF!</v>
      </c>
      <c r="U55" s="489" t="e">
        <f>MAX(U$53:U$54)+IF($B$2="mil",1,0.0254)*DDR2Specs!$E$3</f>
        <v>#REF!</v>
      </c>
      <c r="V55" s="489" t="e">
        <f>MIN(U$53:U$54)+IF($B$2="mil",1,0.0254)*DDR2Specs!$F$3</f>
        <v>#REF!</v>
      </c>
      <c r="W55" s="21"/>
      <c r="X55" s="598" t="e">
        <f t="shared" ref="X55:X63" si="89">IF($T55&lt;$U55,$U55-$T55,"Pass")</f>
        <v>#REF!</v>
      </c>
      <c r="Y55" s="495" t="e">
        <f t="shared" ref="Y55:Y63" si="90">IF($T55&gt;$V55,$T55-$V55,"Pass")</f>
        <v>#REF!</v>
      </c>
      <c r="Z55" s="21"/>
      <c r="AA55" s="489">
        <f t="shared" ref="AA55:AA63" si="91">SUM(E55:G55,H55:L55,N55,P55)</f>
        <v>3471.4700000000007</v>
      </c>
      <c r="AB55" s="489" t="e">
        <f>AA55+IF($B$2="mil",1,0.0254)*$C55</f>
        <v>#REF!</v>
      </c>
      <c r="AC55" s="489" t="e">
        <f>MAX(AC$53:AC$54)+IF($B$2="mil",1,0.0254)*DDR2Specs!$E$3</f>
        <v>#REF!</v>
      </c>
      <c r="AD55" s="489" t="e">
        <f>MIN(AC$53:AC$54)+IF($B$2="mil",1,0.0254)*DDR2Specs!$F$3</f>
        <v>#REF!</v>
      </c>
      <c r="AE55" s="21"/>
      <c r="AF55" s="598" t="e">
        <f>IF($AB55&lt;$AC55,$AC55-$AB55,"Pass")</f>
        <v>#REF!</v>
      </c>
      <c r="AG55" s="495" t="e">
        <f>IF($AB55&gt;$AD55,$AB55-$AD55,"Pass")</f>
        <v>#REF!</v>
      </c>
      <c r="AH55" s="21"/>
      <c r="AI55" s="495" t="e">
        <f t="shared" ref="AI55:AI63" si="92">IF($E55&lt;=IF($B$2="mil",1,0.0254)*50,"Pass",IF($B$2="mil",1,0.0254)*50-$E55)</f>
        <v>#REF!</v>
      </c>
      <c r="AJ55" s="495" t="e">
        <f t="shared" ref="AJ55:AJ63" si="93">IF($F55&lt;=IF($B$2="mil",1,0.0254)*500,"Pass",IF($B$2="mil",1,0.0254)*500-$F55)</f>
        <v>#REF!</v>
      </c>
      <c r="AK55" s="495" t="e">
        <f t="shared" ref="AK55:AK63" si="94">IF(($G55+$H55)&lt;=IF($B$2="mil",1,0.0254)*2750,"Pass",IF($B$2="mil",1,0.0254)*2750-($G55+D55))</f>
        <v>#REF!</v>
      </c>
      <c r="AL55" s="495" t="e">
        <f t="shared" ref="AL55:AL63" si="95">IF($I55&lt;=IF($B$2="mil",1,0.0254)*125,"Pass",IF($B$2="mil",1,0.0254)*125-$I55)</f>
        <v>#REF!</v>
      </c>
      <c r="AM55" s="495" t="e">
        <f t="shared" ref="AM55:AM63" si="96">IF($K55&lt;=IF($B$2="mil",1,0.0254)*125,"Pass",IF($B$2="mil",1,0.0254)*125-$K55)</f>
        <v>#REF!</v>
      </c>
      <c r="AN55" s="495" t="e">
        <f t="shared" ref="AN55:AN63" si="97">IF(($K55+$L55)&lt;=IF($B$2="mil",1,0.0254)*1350,"Pass",IF($B$2="mil",1,0.0254)*1350-($K55+L55))</f>
        <v>#REF!</v>
      </c>
      <c r="AO55" s="495" t="e">
        <f t="shared" ref="AO55:AO63" si="98">IF($M55&lt;=IF($B$2="mil",1,0.0254)*650,"Pass",IF($B$2="mil",1,0.0254)*650-$M55)</f>
        <v>#REF!</v>
      </c>
      <c r="AP55" s="495" t="e">
        <f t="shared" ref="AP55:AP63" si="99">IF($N55&lt;=IF($B$2="mil",1,0.0254)*650,"Pass",IF($B$2="mil",1,0.0254)*650-$N55)</f>
        <v>#REF!</v>
      </c>
      <c r="AQ55" s="493" t="e">
        <f t="shared" ref="AQ55:AQ63" si="100">IF(MAX(M55:N55)-MIN(M55:N55)&lt;=IF($B$2="mil",1,0.0254)*50,"Pass",MAX(M55:N55)-MIN(M55:N55)-IF($B$2="mil",1,0.0254)*50)</f>
        <v>#REF!</v>
      </c>
      <c r="AR55" s="495" t="e">
        <f t="shared" ref="AR55:AR63" ca="1" si="101">CheckLength2(IF($B$2="mil",1,0.0254)*800,$O55,M55,0)</f>
        <v>#NAME?</v>
      </c>
      <c r="AS55" s="495" t="e">
        <f t="shared" ref="AS55:AS63" ca="1" si="102">CheckLength2(IF($B$2="mil",1,0.0254)*800,$P55,N55,0)</f>
        <v>#NAME?</v>
      </c>
      <c r="AT55" s="495" t="e">
        <f t="shared" ref="AT55:AT63" si="103">IF(AND($S55&gt;=IF($B$2="mil",1,0.0254)*500, $S55&lt;=IF($B$2="mil",1,0.0254)*5500),"Pass",IF($B$2="mil",1,0.0254)*5500-$S55)</f>
        <v>#REF!</v>
      </c>
      <c r="AU55" s="495" t="e">
        <f t="shared" ref="AU55:AU63" si="104">IF(AND($T55&gt;=IF($B$2="mil",1,0.0254)*500, $T55&lt;=IF($B$2="mil",1,0.0254)*6000),"Pass",IF($B$2="mil",1,0.0254)*6000-$T55)</f>
        <v>#REF!</v>
      </c>
      <c r="AV55" s="21"/>
      <c r="AW55" s="688" t="e">
        <f ca="1">IF(AND(AF55="Pass",AG55="Pass",AI55="Pass",AJ55="Pass",AS55="Pass",AN55="Pass",AO55="Pass",AP55="Pass",AQ55="Pass",AR55="Pass",AM55="Pass",AL55="Pass",AK55="Pass",X55="Pass",Y55="Pass",AT55="Pass",AU55="Pass"),"Pass","Fail")</f>
        <v>#REF!</v>
      </c>
      <c r="AX55" s="554" t="e">
        <f ca="1">IF(AND(AW55="Pass",AW56="Pass",AW57="Pass",AW58="Pass",AW59="Pass",AW60="Pass",AW61="Pass",AW62="Pass",AW63="Pass"),"Pass","Fail")</f>
        <v>#REF!</v>
      </c>
      <c r="AY55" s="554"/>
      <c r="AZ55" s="3"/>
      <c r="BA55" s="3"/>
      <c r="BB55" s="3"/>
      <c r="BC55" s="3"/>
      <c r="BD55" s="3"/>
      <c r="BE55" s="3"/>
      <c r="BF55" s="3"/>
      <c r="BG55" s="3"/>
      <c r="BH55" s="3"/>
      <c r="BI55" s="3"/>
      <c r="BJ55" s="3"/>
      <c r="BK55" s="3"/>
      <c r="BL55" s="3"/>
      <c r="BM55" s="3"/>
    </row>
    <row r="56" spans="1:65">
      <c r="A56" s="633" t="s">
        <v>157</v>
      </c>
      <c r="B56" s="665" t="s">
        <v>357</v>
      </c>
      <c r="C56" s="658">
        <v>729.25196850393706</v>
      </c>
      <c r="D56" s="18"/>
      <c r="E56" s="621">
        <v>22.63</v>
      </c>
      <c r="F56" s="621">
        <v>0</v>
      </c>
      <c r="G56" s="622">
        <v>1205</v>
      </c>
      <c r="H56" s="622">
        <v>783</v>
      </c>
      <c r="I56" s="622">
        <v>85.78</v>
      </c>
      <c r="J56" s="277">
        <v>40</v>
      </c>
      <c r="K56" s="622">
        <v>44.57</v>
      </c>
      <c r="L56" s="622">
        <v>1204.29</v>
      </c>
      <c r="M56" s="620">
        <v>0</v>
      </c>
      <c r="N56" s="620">
        <v>0</v>
      </c>
      <c r="O56" s="622">
        <v>22.26</v>
      </c>
      <c r="P56" s="622">
        <v>22.23</v>
      </c>
      <c r="Q56" s="69"/>
      <c r="R56" s="21"/>
      <c r="S56" s="489">
        <f t="shared" si="88"/>
        <v>3407.5300000000007</v>
      </c>
      <c r="T56" s="489" t="e">
        <f t="shared" ref="T56:T63" si="105">S56+IF($B$2="mil",1,0.0254)*$C56</f>
        <v>#REF!</v>
      </c>
      <c r="U56" s="489" t="e">
        <f>MAX(U$53:U$54)+IF($B$2="mil",1,0.0254)*DDR2Specs!$E$3</f>
        <v>#REF!</v>
      </c>
      <c r="V56" s="489" t="e">
        <f>MIN(U$53:U$54)+IF($B$2="mil",1,0.0254)*DDR2Specs!$F$3</f>
        <v>#REF!</v>
      </c>
      <c r="W56" s="21"/>
      <c r="X56" s="598" t="e">
        <f t="shared" si="89"/>
        <v>#REF!</v>
      </c>
      <c r="Y56" s="495" t="e">
        <f t="shared" si="90"/>
        <v>#REF!</v>
      </c>
      <c r="Z56" s="21"/>
      <c r="AA56" s="489">
        <f t="shared" si="91"/>
        <v>3407.5000000000005</v>
      </c>
      <c r="AB56" s="489" t="e">
        <f t="shared" ref="AB56:AB63" si="106">AA56+IF($B$2="mil",1,0.0254)*$C56</f>
        <v>#REF!</v>
      </c>
      <c r="AC56" s="489" t="e">
        <f>MAX(AC$53:AC$54)+IF($B$2="mil",1,0.0254)*DDR2Specs!$E$3</f>
        <v>#REF!</v>
      </c>
      <c r="AD56" s="489" t="e">
        <f>MIN(AC$53:AC$54)+IF($B$2="mil",1,0.0254)*DDR2Specs!$F$3</f>
        <v>#REF!</v>
      </c>
      <c r="AE56" s="21"/>
      <c r="AF56" s="598" t="e">
        <f t="shared" ref="AF56:AF63" si="107">IF($AB56&lt;$AC56,$AC56-$AB56,"Pass")</f>
        <v>#REF!</v>
      </c>
      <c r="AG56" s="495" t="e">
        <f t="shared" ref="AG56:AG63" si="108">IF($AB56&gt;$AD56,$AB56-$AD56,"Pass")</f>
        <v>#REF!</v>
      </c>
      <c r="AH56" s="21"/>
      <c r="AI56" s="495" t="e">
        <f t="shared" si="92"/>
        <v>#REF!</v>
      </c>
      <c r="AJ56" s="495" t="e">
        <f t="shared" si="93"/>
        <v>#REF!</v>
      </c>
      <c r="AK56" s="495" t="e">
        <f t="shared" si="94"/>
        <v>#REF!</v>
      </c>
      <c r="AL56" s="495" t="e">
        <f t="shared" si="95"/>
        <v>#REF!</v>
      </c>
      <c r="AM56" s="495" t="e">
        <f t="shared" si="96"/>
        <v>#REF!</v>
      </c>
      <c r="AN56" s="495" t="e">
        <f t="shared" si="97"/>
        <v>#REF!</v>
      </c>
      <c r="AO56" s="495" t="e">
        <f t="shared" si="98"/>
        <v>#REF!</v>
      </c>
      <c r="AP56" s="495" t="e">
        <f t="shared" si="99"/>
        <v>#REF!</v>
      </c>
      <c r="AQ56" s="493" t="e">
        <f t="shared" si="100"/>
        <v>#REF!</v>
      </c>
      <c r="AR56" s="495" t="e">
        <f t="shared" ca="1" si="101"/>
        <v>#NAME?</v>
      </c>
      <c r="AS56" s="495" t="e">
        <f t="shared" ca="1" si="102"/>
        <v>#NAME?</v>
      </c>
      <c r="AT56" s="495" t="e">
        <f t="shared" si="103"/>
        <v>#REF!</v>
      </c>
      <c r="AU56" s="495" t="e">
        <f t="shared" si="104"/>
        <v>#REF!</v>
      </c>
      <c r="AV56" s="21"/>
      <c r="AW56" s="688" t="e">
        <f t="shared" ref="AW56:AW63" ca="1" si="109">IF(AND(AF56="Pass",AG56="Pass",AI56="Pass",AJ56="Pass",AS56="Pass",AN56="Pass",AO56="Pass",AP56="Pass",AQ56="Pass",AR56="Pass",AM56="Pass",AL56="Pass",AK56="Pass",X56="Pass",Y56="Pass",AT56="Pass",AU56="Pass"),"Pass","Fail")</f>
        <v>#REF!</v>
      </c>
      <c r="AX56" s="554"/>
      <c r="AY56" s="554"/>
      <c r="AZ56" s="3"/>
      <c r="BA56" s="3"/>
      <c r="BB56" s="3"/>
      <c r="BC56" s="3"/>
      <c r="BD56" s="3"/>
      <c r="BE56" s="3"/>
      <c r="BF56" s="3"/>
      <c r="BG56" s="3"/>
      <c r="BH56" s="3"/>
      <c r="BI56" s="3"/>
      <c r="BJ56" s="3"/>
      <c r="BK56" s="3"/>
      <c r="BL56" s="3"/>
      <c r="BM56" s="3"/>
    </row>
    <row r="57" spans="1:65">
      <c r="A57" s="633" t="s">
        <v>158</v>
      </c>
      <c r="B57" s="665" t="s">
        <v>361</v>
      </c>
      <c r="C57" s="658">
        <v>732.12598425196848</v>
      </c>
      <c r="D57" s="18"/>
      <c r="E57" s="621">
        <v>22.63</v>
      </c>
      <c r="F57" s="621">
        <v>0</v>
      </c>
      <c r="G57" s="622">
        <v>1220</v>
      </c>
      <c r="H57" s="622">
        <v>826.59</v>
      </c>
      <c r="I57" s="622">
        <v>44.57</v>
      </c>
      <c r="J57" s="277">
        <v>40</v>
      </c>
      <c r="K57" s="622">
        <v>85.78</v>
      </c>
      <c r="L57" s="622">
        <v>1141.55</v>
      </c>
      <c r="M57" s="620">
        <v>0</v>
      </c>
      <c r="N57" s="620">
        <v>0</v>
      </c>
      <c r="O57" s="622">
        <v>22.28</v>
      </c>
      <c r="P57" s="622">
        <v>22.25</v>
      </c>
      <c r="Q57" s="69"/>
      <c r="R57" s="21"/>
      <c r="S57" s="489">
        <f t="shared" si="88"/>
        <v>3403.400000000001</v>
      </c>
      <c r="T57" s="489" t="e">
        <f t="shared" si="105"/>
        <v>#REF!</v>
      </c>
      <c r="U57" s="489" t="e">
        <f>MAX(U$53:U$54)+IF($B$2="mil",1,0.0254)*DDR2Specs!$E$3</f>
        <v>#REF!</v>
      </c>
      <c r="V57" s="489" t="e">
        <f>MIN(U$53:U$54)+IF($B$2="mil",1,0.0254)*DDR2Specs!$F$3</f>
        <v>#REF!</v>
      </c>
      <c r="W57" s="21"/>
      <c r="X57" s="598" t="e">
        <f t="shared" si="89"/>
        <v>#REF!</v>
      </c>
      <c r="Y57" s="495" t="e">
        <f t="shared" si="90"/>
        <v>#REF!</v>
      </c>
      <c r="Z57" s="21"/>
      <c r="AA57" s="489">
        <f t="shared" si="91"/>
        <v>3403.3700000000008</v>
      </c>
      <c r="AB57" s="489" t="e">
        <f t="shared" si="106"/>
        <v>#REF!</v>
      </c>
      <c r="AC57" s="489" t="e">
        <f>MAX(AC$53:AC$54)+IF($B$2="mil",1,0.0254)*DDR2Specs!$E$3</f>
        <v>#REF!</v>
      </c>
      <c r="AD57" s="489" t="e">
        <f>MIN(AC$53:AC$54)+IF($B$2="mil",1,0.0254)*DDR2Specs!$F$3</f>
        <v>#REF!</v>
      </c>
      <c r="AE57" s="21"/>
      <c r="AF57" s="598" t="e">
        <f t="shared" si="107"/>
        <v>#REF!</v>
      </c>
      <c r="AG57" s="495" t="e">
        <f t="shared" si="108"/>
        <v>#REF!</v>
      </c>
      <c r="AH57" s="21"/>
      <c r="AI57" s="495" t="e">
        <f t="shared" si="92"/>
        <v>#REF!</v>
      </c>
      <c r="AJ57" s="495" t="e">
        <f t="shared" si="93"/>
        <v>#REF!</v>
      </c>
      <c r="AK57" s="495" t="e">
        <f t="shared" si="94"/>
        <v>#REF!</v>
      </c>
      <c r="AL57" s="495" t="e">
        <f t="shared" si="95"/>
        <v>#REF!</v>
      </c>
      <c r="AM57" s="495" t="e">
        <f t="shared" si="96"/>
        <v>#REF!</v>
      </c>
      <c r="AN57" s="495" t="e">
        <f t="shared" si="97"/>
        <v>#REF!</v>
      </c>
      <c r="AO57" s="495" t="e">
        <f t="shared" si="98"/>
        <v>#REF!</v>
      </c>
      <c r="AP57" s="495" t="e">
        <f t="shared" si="99"/>
        <v>#REF!</v>
      </c>
      <c r="AQ57" s="493" t="e">
        <f t="shared" si="100"/>
        <v>#REF!</v>
      </c>
      <c r="AR57" s="495" t="e">
        <f t="shared" ca="1" si="101"/>
        <v>#NAME?</v>
      </c>
      <c r="AS57" s="495" t="e">
        <f t="shared" ca="1" si="102"/>
        <v>#NAME?</v>
      </c>
      <c r="AT57" s="495" t="e">
        <f t="shared" si="103"/>
        <v>#REF!</v>
      </c>
      <c r="AU57" s="495" t="e">
        <f t="shared" si="104"/>
        <v>#REF!</v>
      </c>
      <c r="AV57" s="21"/>
      <c r="AW57" s="688" t="e">
        <f t="shared" ca="1" si="109"/>
        <v>#REF!</v>
      </c>
      <c r="AX57" s="554"/>
      <c r="AY57" s="554"/>
      <c r="AZ57" s="3"/>
      <c r="BA57" s="3"/>
      <c r="BB57" s="3"/>
      <c r="BC57" s="3"/>
      <c r="BD57" s="3"/>
      <c r="BE57" s="3"/>
      <c r="BF57" s="3"/>
      <c r="BG57" s="3"/>
      <c r="BH57" s="3"/>
      <c r="BI57" s="3"/>
      <c r="BJ57" s="3"/>
      <c r="BK57" s="3"/>
      <c r="BL57" s="3"/>
      <c r="BM57" s="3"/>
    </row>
    <row r="58" spans="1:65">
      <c r="A58" s="633" t="s">
        <v>159</v>
      </c>
      <c r="B58" s="665" t="s">
        <v>490</v>
      </c>
      <c r="C58" s="658">
        <v>731.0236220472442</v>
      </c>
      <c r="D58" s="18"/>
      <c r="E58" s="621">
        <v>22.63</v>
      </c>
      <c r="F58" s="621">
        <v>0</v>
      </c>
      <c r="G58" s="622">
        <v>1180</v>
      </c>
      <c r="H58" s="622">
        <v>782</v>
      </c>
      <c r="I58" s="622">
        <v>85.78</v>
      </c>
      <c r="J58" s="277">
        <v>40</v>
      </c>
      <c r="K58" s="622">
        <v>44.57</v>
      </c>
      <c r="L58" s="622">
        <v>1227.3599999999999</v>
      </c>
      <c r="M58" s="620">
        <v>0</v>
      </c>
      <c r="N58" s="620">
        <v>0</v>
      </c>
      <c r="O58" s="622">
        <v>22.25</v>
      </c>
      <c r="P58" s="622">
        <v>22.28</v>
      </c>
      <c r="Q58" s="69"/>
      <c r="R58" s="21"/>
      <c r="S58" s="489">
        <f t="shared" si="88"/>
        <v>3404.59</v>
      </c>
      <c r="T58" s="489" t="e">
        <f t="shared" si="105"/>
        <v>#REF!</v>
      </c>
      <c r="U58" s="489" t="e">
        <f>MAX(U$53:U$54)+IF($B$2="mil",1,0.0254)*DDR2Specs!$E$3</f>
        <v>#REF!</v>
      </c>
      <c r="V58" s="489" t="e">
        <f>MIN(U$53:U$54)+IF($B$2="mil",1,0.0254)*DDR2Specs!$F$3</f>
        <v>#REF!</v>
      </c>
      <c r="W58" s="21"/>
      <c r="X58" s="598" t="e">
        <f t="shared" si="89"/>
        <v>#REF!</v>
      </c>
      <c r="Y58" s="495" t="e">
        <f t="shared" si="90"/>
        <v>#REF!</v>
      </c>
      <c r="Z58" s="21"/>
      <c r="AA58" s="489">
        <f t="shared" si="91"/>
        <v>3404.6200000000003</v>
      </c>
      <c r="AB58" s="489" t="e">
        <f t="shared" si="106"/>
        <v>#REF!</v>
      </c>
      <c r="AC58" s="489" t="e">
        <f>MAX(AC$53:AC$54)+IF($B$2="mil",1,0.0254)*DDR2Specs!$E$3</f>
        <v>#REF!</v>
      </c>
      <c r="AD58" s="489" t="e">
        <f>MIN(AC$53:AC$54)+IF($B$2="mil",1,0.0254)*DDR2Specs!$F$3</f>
        <v>#REF!</v>
      </c>
      <c r="AE58" s="21"/>
      <c r="AF58" s="598" t="e">
        <f t="shared" si="107"/>
        <v>#REF!</v>
      </c>
      <c r="AG58" s="495" t="e">
        <f t="shared" si="108"/>
        <v>#REF!</v>
      </c>
      <c r="AH58" s="21"/>
      <c r="AI58" s="495" t="e">
        <f t="shared" si="92"/>
        <v>#REF!</v>
      </c>
      <c r="AJ58" s="495" t="e">
        <f t="shared" si="93"/>
        <v>#REF!</v>
      </c>
      <c r="AK58" s="495" t="e">
        <f t="shared" si="94"/>
        <v>#REF!</v>
      </c>
      <c r="AL58" s="495" t="e">
        <f t="shared" si="95"/>
        <v>#REF!</v>
      </c>
      <c r="AM58" s="495" t="e">
        <f t="shared" si="96"/>
        <v>#REF!</v>
      </c>
      <c r="AN58" s="495" t="e">
        <f t="shared" si="97"/>
        <v>#REF!</v>
      </c>
      <c r="AO58" s="495" t="e">
        <f t="shared" si="98"/>
        <v>#REF!</v>
      </c>
      <c r="AP58" s="495" t="e">
        <f t="shared" si="99"/>
        <v>#REF!</v>
      </c>
      <c r="AQ58" s="493" t="e">
        <f t="shared" si="100"/>
        <v>#REF!</v>
      </c>
      <c r="AR58" s="495" t="e">
        <f t="shared" ca="1" si="101"/>
        <v>#NAME?</v>
      </c>
      <c r="AS58" s="495" t="e">
        <f t="shared" ca="1" si="102"/>
        <v>#NAME?</v>
      </c>
      <c r="AT58" s="495" t="e">
        <f t="shared" si="103"/>
        <v>#REF!</v>
      </c>
      <c r="AU58" s="495" t="e">
        <f t="shared" si="104"/>
        <v>#REF!</v>
      </c>
      <c r="AV58" s="21"/>
      <c r="AW58" s="688" t="e">
        <f t="shared" ca="1" si="109"/>
        <v>#REF!</v>
      </c>
      <c r="AX58" s="554"/>
      <c r="AY58" s="554"/>
      <c r="AZ58" s="3"/>
      <c r="BA58" s="3"/>
      <c r="BB58" s="3"/>
      <c r="BC58" s="3"/>
      <c r="BD58" s="3"/>
      <c r="BE58" s="3"/>
      <c r="BF58" s="3"/>
      <c r="BG58" s="3"/>
      <c r="BH58" s="3"/>
      <c r="BI58" s="3"/>
      <c r="BJ58" s="3"/>
      <c r="BK58" s="3"/>
      <c r="BL58" s="3"/>
      <c r="BM58" s="3"/>
    </row>
    <row r="59" spans="1:65">
      <c r="A59" s="633" t="s">
        <v>160</v>
      </c>
      <c r="B59" s="665" t="s">
        <v>491</v>
      </c>
      <c r="C59" s="658">
        <v>672.48031496062993</v>
      </c>
      <c r="D59" s="18"/>
      <c r="E59" s="621">
        <v>22.63</v>
      </c>
      <c r="F59" s="621">
        <v>0</v>
      </c>
      <c r="G59" s="622">
        <v>1260</v>
      </c>
      <c r="H59" s="622">
        <v>763.41</v>
      </c>
      <c r="I59" s="622">
        <v>44.57</v>
      </c>
      <c r="J59" s="277">
        <v>40</v>
      </c>
      <c r="K59" s="622">
        <v>85.78</v>
      </c>
      <c r="L59" s="622">
        <v>1177.8</v>
      </c>
      <c r="M59" s="620">
        <v>0</v>
      </c>
      <c r="N59" s="620">
        <v>0</v>
      </c>
      <c r="O59" s="622">
        <v>66.61</v>
      </c>
      <c r="P59" s="622">
        <v>66.64</v>
      </c>
      <c r="Q59" s="69"/>
      <c r="R59" s="21"/>
      <c r="S59" s="489">
        <f t="shared" si="88"/>
        <v>3460.8000000000006</v>
      </c>
      <c r="T59" s="489" t="e">
        <f t="shared" si="105"/>
        <v>#REF!</v>
      </c>
      <c r="U59" s="489" t="e">
        <f>MAX(U$53:U$54)+IF($B$2="mil",1,0.0254)*DDR2Specs!$E$3</f>
        <v>#REF!</v>
      </c>
      <c r="V59" s="489" t="e">
        <f>MIN(U$53:U$54)+IF($B$2="mil",1,0.0254)*DDR2Specs!$F$3</f>
        <v>#REF!</v>
      </c>
      <c r="W59" s="21"/>
      <c r="X59" s="598" t="e">
        <f t="shared" si="89"/>
        <v>#REF!</v>
      </c>
      <c r="Y59" s="495" t="e">
        <f t="shared" si="90"/>
        <v>#REF!</v>
      </c>
      <c r="Z59" s="21"/>
      <c r="AA59" s="489">
        <f t="shared" si="91"/>
        <v>3460.8300000000004</v>
      </c>
      <c r="AB59" s="489" t="e">
        <f t="shared" si="106"/>
        <v>#REF!</v>
      </c>
      <c r="AC59" s="489" t="e">
        <f>MAX(AC$53:AC$54)+IF($B$2="mil",1,0.0254)*DDR2Specs!$E$3</f>
        <v>#REF!</v>
      </c>
      <c r="AD59" s="489" t="e">
        <f>MIN(AC$53:AC$54)+IF($B$2="mil",1,0.0254)*DDR2Specs!$F$3</f>
        <v>#REF!</v>
      </c>
      <c r="AE59" s="21"/>
      <c r="AF59" s="598" t="e">
        <f t="shared" si="107"/>
        <v>#REF!</v>
      </c>
      <c r="AG59" s="495" t="e">
        <f t="shared" si="108"/>
        <v>#REF!</v>
      </c>
      <c r="AH59" s="21"/>
      <c r="AI59" s="495" t="e">
        <f t="shared" si="92"/>
        <v>#REF!</v>
      </c>
      <c r="AJ59" s="495" t="e">
        <f t="shared" si="93"/>
        <v>#REF!</v>
      </c>
      <c r="AK59" s="495" t="e">
        <f t="shared" si="94"/>
        <v>#REF!</v>
      </c>
      <c r="AL59" s="495" t="e">
        <f t="shared" si="95"/>
        <v>#REF!</v>
      </c>
      <c r="AM59" s="495" t="e">
        <f t="shared" si="96"/>
        <v>#REF!</v>
      </c>
      <c r="AN59" s="495" t="e">
        <f t="shared" si="97"/>
        <v>#REF!</v>
      </c>
      <c r="AO59" s="495" t="e">
        <f t="shared" si="98"/>
        <v>#REF!</v>
      </c>
      <c r="AP59" s="495" t="e">
        <f t="shared" si="99"/>
        <v>#REF!</v>
      </c>
      <c r="AQ59" s="493" t="e">
        <f t="shared" si="100"/>
        <v>#REF!</v>
      </c>
      <c r="AR59" s="495" t="e">
        <f t="shared" ca="1" si="101"/>
        <v>#NAME?</v>
      </c>
      <c r="AS59" s="495" t="e">
        <f t="shared" ca="1" si="102"/>
        <v>#NAME?</v>
      </c>
      <c r="AT59" s="495" t="e">
        <f t="shared" si="103"/>
        <v>#REF!</v>
      </c>
      <c r="AU59" s="495" t="e">
        <f t="shared" si="104"/>
        <v>#REF!</v>
      </c>
      <c r="AV59" s="21"/>
      <c r="AW59" s="688" t="e">
        <f t="shared" ca="1" si="109"/>
        <v>#REF!</v>
      </c>
      <c r="AX59" s="554"/>
      <c r="AY59" s="554"/>
      <c r="AZ59" s="3"/>
      <c r="BA59" s="3"/>
      <c r="BB59" s="3"/>
      <c r="BC59" s="3"/>
      <c r="BD59" s="3"/>
      <c r="BE59" s="3"/>
      <c r="BF59" s="3"/>
      <c r="BG59" s="3"/>
      <c r="BH59" s="3"/>
      <c r="BI59" s="3"/>
      <c r="BJ59" s="3"/>
      <c r="BK59" s="3"/>
      <c r="BL59" s="3"/>
      <c r="BM59" s="3"/>
    </row>
    <row r="60" spans="1:65">
      <c r="A60" s="633" t="s">
        <v>161</v>
      </c>
      <c r="B60" s="665" t="s">
        <v>356</v>
      </c>
      <c r="C60" s="658">
        <v>669.5275590551181</v>
      </c>
      <c r="D60" s="18"/>
      <c r="E60" s="621">
        <v>22.63</v>
      </c>
      <c r="F60" s="621">
        <v>0</v>
      </c>
      <c r="G60" s="622">
        <v>1263</v>
      </c>
      <c r="H60" s="622">
        <v>782</v>
      </c>
      <c r="I60" s="622">
        <v>85.78</v>
      </c>
      <c r="J60" s="277">
        <v>40</v>
      </c>
      <c r="K60" s="622">
        <v>44.57</v>
      </c>
      <c r="L60" s="622">
        <v>1154.69</v>
      </c>
      <c r="M60" s="620">
        <v>0</v>
      </c>
      <c r="N60" s="620">
        <v>0</v>
      </c>
      <c r="O60" s="622">
        <v>63.34</v>
      </c>
      <c r="P60" s="622">
        <v>63.31</v>
      </c>
      <c r="Q60" s="69"/>
      <c r="R60" s="21"/>
      <c r="S60" s="489">
        <f t="shared" si="88"/>
        <v>3456.0100000000007</v>
      </c>
      <c r="T60" s="489" t="e">
        <f t="shared" si="105"/>
        <v>#REF!</v>
      </c>
      <c r="U60" s="489" t="e">
        <f>MAX(U$53:U$54)+IF($B$2="mil",1,0.0254)*DDR2Specs!$E$3</f>
        <v>#REF!</v>
      </c>
      <c r="V60" s="489" t="e">
        <f>MIN(U$53:U$54)+IF($B$2="mil",1,0.0254)*DDR2Specs!$F$3</f>
        <v>#REF!</v>
      </c>
      <c r="W60" s="21"/>
      <c r="X60" s="598" t="e">
        <f t="shared" si="89"/>
        <v>#REF!</v>
      </c>
      <c r="Y60" s="495" t="e">
        <f t="shared" si="90"/>
        <v>#REF!</v>
      </c>
      <c r="Z60" s="21"/>
      <c r="AA60" s="489">
        <f t="shared" si="91"/>
        <v>3455.9800000000005</v>
      </c>
      <c r="AB60" s="489" t="e">
        <f t="shared" si="106"/>
        <v>#REF!</v>
      </c>
      <c r="AC60" s="489" t="e">
        <f>MAX(AC$53:AC$54)+IF($B$2="mil",1,0.0254)*DDR2Specs!$E$3</f>
        <v>#REF!</v>
      </c>
      <c r="AD60" s="489" t="e">
        <f>MIN(AC$53:AC$54)+IF($B$2="mil",1,0.0254)*DDR2Specs!$F$3</f>
        <v>#REF!</v>
      </c>
      <c r="AE60" s="21"/>
      <c r="AF60" s="598" t="e">
        <f t="shared" si="107"/>
        <v>#REF!</v>
      </c>
      <c r="AG60" s="495" t="e">
        <f t="shared" si="108"/>
        <v>#REF!</v>
      </c>
      <c r="AH60" s="21"/>
      <c r="AI60" s="495" t="e">
        <f t="shared" si="92"/>
        <v>#REF!</v>
      </c>
      <c r="AJ60" s="495" t="e">
        <f t="shared" si="93"/>
        <v>#REF!</v>
      </c>
      <c r="AK60" s="495" t="e">
        <f t="shared" si="94"/>
        <v>#REF!</v>
      </c>
      <c r="AL60" s="495" t="e">
        <f t="shared" si="95"/>
        <v>#REF!</v>
      </c>
      <c r="AM60" s="495" t="e">
        <f t="shared" si="96"/>
        <v>#REF!</v>
      </c>
      <c r="AN60" s="495" t="e">
        <f t="shared" si="97"/>
        <v>#REF!</v>
      </c>
      <c r="AO60" s="495" t="e">
        <f t="shared" si="98"/>
        <v>#REF!</v>
      </c>
      <c r="AP60" s="495" t="e">
        <f t="shared" si="99"/>
        <v>#REF!</v>
      </c>
      <c r="AQ60" s="493" t="e">
        <f t="shared" si="100"/>
        <v>#REF!</v>
      </c>
      <c r="AR60" s="495" t="e">
        <f t="shared" ca="1" si="101"/>
        <v>#NAME?</v>
      </c>
      <c r="AS60" s="495" t="e">
        <f t="shared" ca="1" si="102"/>
        <v>#NAME?</v>
      </c>
      <c r="AT60" s="495" t="e">
        <f t="shared" si="103"/>
        <v>#REF!</v>
      </c>
      <c r="AU60" s="495" t="e">
        <f t="shared" si="104"/>
        <v>#REF!</v>
      </c>
      <c r="AV60" s="21"/>
      <c r="AW60" s="688" t="e">
        <f t="shared" ca="1" si="109"/>
        <v>#REF!</v>
      </c>
      <c r="AX60" s="554"/>
      <c r="AY60" s="554"/>
      <c r="AZ60" s="3"/>
      <c r="BA60" s="3"/>
      <c r="BB60" s="3"/>
      <c r="BC60" s="3"/>
      <c r="BD60" s="3"/>
      <c r="BE60" s="3"/>
      <c r="BF60" s="3"/>
      <c r="BG60" s="3"/>
      <c r="BH60" s="3"/>
      <c r="BI60" s="3"/>
      <c r="BJ60" s="3"/>
      <c r="BK60" s="3"/>
      <c r="BL60" s="3"/>
      <c r="BM60" s="3"/>
    </row>
    <row r="61" spans="1:65">
      <c r="A61" s="633" t="s">
        <v>162</v>
      </c>
      <c r="B61" s="665" t="s">
        <v>492</v>
      </c>
      <c r="C61" s="658">
        <v>639.96062992125985</v>
      </c>
      <c r="D61" s="18"/>
      <c r="E61" s="621">
        <v>22.63</v>
      </c>
      <c r="F61" s="621">
        <v>0</v>
      </c>
      <c r="G61" s="622">
        <v>1264</v>
      </c>
      <c r="H61" s="622">
        <v>782</v>
      </c>
      <c r="I61" s="622">
        <v>85.78</v>
      </c>
      <c r="J61" s="277">
        <v>40</v>
      </c>
      <c r="K61" s="622">
        <v>44.57</v>
      </c>
      <c r="L61" s="622">
        <v>1221.51</v>
      </c>
      <c r="M61" s="620">
        <v>0</v>
      </c>
      <c r="N61" s="620">
        <v>0</v>
      </c>
      <c r="O61" s="622">
        <v>25.06</v>
      </c>
      <c r="P61" s="622">
        <v>25.09</v>
      </c>
      <c r="Q61" s="69"/>
      <c r="R61" s="21"/>
      <c r="S61" s="489">
        <f t="shared" si="88"/>
        <v>3485.5500000000006</v>
      </c>
      <c r="T61" s="489" t="e">
        <f t="shared" si="105"/>
        <v>#REF!</v>
      </c>
      <c r="U61" s="489" t="e">
        <f>MAX(U$53:U$54)+IF($B$2="mil",1,0.0254)*DDR2Specs!$E$3</f>
        <v>#REF!</v>
      </c>
      <c r="V61" s="489" t="e">
        <f>MIN(U$53:U$54)+IF($B$2="mil",1,0.0254)*DDR2Specs!$F$3</f>
        <v>#REF!</v>
      </c>
      <c r="W61" s="21"/>
      <c r="X61" s="598" t="e">
        <f t="shared" si="89"/>
        <v>#REF!</v>
      </c>
      <c r="Y61" s="495" t="e">
        <f t="shared" si="90"/>
        <v>#REF!</v>
      </c>
      <c r="Z61" s="21"/>
      <c r="AA61" s="489">
        <f t="shared" si="91"/>
        <v>3485.5800000000008</v>
      </c>
      <c r="AB61" s="489" t="e">
        <f t="shared" si="106"/>
        <v>#REF!</v>
      </c>
      <c r="AC61" s="489" t="e">
        <f>MAX(AC$53:AC$54)+IF($B$2="mil",1,0.0254)*DDR2Specs!$E$3</f>
        <v>#REF!</v>
      </c>
      <c r="AD61" s="489" t="e">
        <f>MIN(AC$53:AC$54)+IF($B$2="mil",1,0.0254)*DDR2Specs!$F$3</f>
        <v>#REF!</v>
      </c>
      <c r="AE61" s="21"/>
      <c r="AF61" s="598" t="e">
        <f t="shared" si="107"/>
        <v>#REF!</v>
      </c>
      <c r="AG61" s="495" t="e">
        <f t="shared" si="108"/>
        <v>#REF!</v>
      </c>
      <c r="AH61" s="21"/>
      <c r="AI61" s="495" t="e">
        <f t="shared" si="92"/>
        <v>#REF!</v>
      </c>
      <c r="AJ61" s="495" t="e">
        <f t="shared" si="93"/>
        <v>#REF!</v>
      </c>
      <c r="AK61" s="495" t="e">
        <f t="shared" si="94"/>
        <v>#REF!</v>
      </c>
      <c r="AL61" s="495" t="e">
        <f t="shared" si="95"/>
        <v>#REF!</v>
      </c>
      <c r="AM61" s="495" t="e">
        <f t="shared" si="96"/>
        <v>#REF!</v>
      </c>
      <c r="AN61" s="495" t="e">
        <f t="shared" si="97"/>
        <v>#REF!</v>
      </c>
      <c r="AO61" s="495" t="e">
        <f t="shared" si="98"/>
        <v>#REF!</v>
      </c>
      <c r="AP61" s="495" t="e">
        <f t="shared" si="99"/>
        <v>#REF!</v>
      </c>
      <c r="AQ61" s="493" t="e">
        <f t="shared" si="100"/>
        <v>#REF!</v>
      </c>
      <c r="AR61" s="495" t="e">
        <f t="shared" ca="1" si="101"/>
        <v>#NAME?</v>
      </c>
      <c r="AS61" s="495" t="e">
        <f t="shared" ca="1" si="102"/>
        <v>#NAME?</v>
      </c>
      <c r="AT61" s="495" t="e">
        <f t="shared" si="103"/>
        <v>#REF!</v>
      </c>
      <c r="AU61" s="495" t="e">
        <f t="shared" si="104"/>
        <v>#REF!</v>
      </c>
      <c r="AV61" s="21"/>
      <c r="AW61" s="688" t="e">
        <f t="shared" ca="1" si="109"/>
        <v>#REF!</v>
      </c>
      <c r="AX61" s="554"/>
      <c r="AY61" s="554"/>
      <c r="AZ61" s="3"/>
      <c r="BA61" s="3"/>
      <c r="BB61" s="3"/>
      <c r="BC61" s="3"/>
      <c r="BD61" s="3"/>
      <c r="BE61" s="3"/>
      <c r="BF61" s="3"/>
      <c r="BG61" s="3"/>
      <c r="BH61" s="3"/>
      <c r="BI61" s="3"/>
      <c r="BJ61" s="3"/>
      <c r="BK61" s="3"/>
      <c r="BL61" s="3"/>
      <c r="BM61" s="3"/>
    </row>
    <row r="62" spans="1:65">
      <c r="A62" s="633" t="s">
        <v>163</v>
      </c>
      <c r="B62" s="665" t="s">
        <v>493</v>
      </c>
      <c r="C62" s="658">
        <v>696.29921259842524</v>
      </c>
      <c r="D62" s="18"/>
      <c r="E62" s="621">
        <v>22.63</v>
      </c>
      <c r="F62" s="621">
        <v>0</v>
      </c>
      <c r="G62" s="622">
        <v>1230</v>
      </c>
      <c r="H62" s="622">
        <v>817</v>
      </c>
      <c r="I62" s="622">
        <v>44.57</v>
      </c>
      <c r="J62" s="277">
        <v>40</v>
      </c>
      <c r="K62" s="622">
        <v>85.78</v>
      </c>
      <c r="L62" s="622">
        <v>1174.22</v>
      </c>
      <c r="M62" s="620">
        <v>0</v>
      </c>
      <c r="N62" s="620">
        <v>0</v>
      </c>
      <c r="O62" s="622">
        <v>24.29</v>
      </c>
      <c r="P62" s="622">
        <v>24.26</v>
      </c>
      <c r="Q62" s="69"/>
      <c r="R62" s="21"/>
      <c r="S62" s="489">
        <f t="shared" si="88"/>
        <v>3438.4900000000007</v>
      </c>
      <c r="T62" s="489" t="e">
        <f t="shared" si="105"/>
        <v>#REF!</v>
      </c>
      <c r="U62" s="489" t="e">
        <f>MAX(U$53:U$54)+IF($B$2="mil",1,0.0254)*DDR2Specs!$E$3</f>
        <v>#REF!</v>
      </c>
      <c r="V62" s="489" t="e">
        <f>MIN(U$53:U$54)+IF($B$2="mil",1,0.0254)*DDR2Specs!$F$3</f>
        <v>#REF!</v>
      </c>
      <c r="W62" s="21"/>
      <c r="X62" s="598" t="e">
        <f t="shared" si="89"/>
        <v>#REF!</v>
      </c>
      <c r="Y62" s="495" t="e">
        <f t="shared" si="90"/>
        <v>#REF!</v>
      </c>
      <c r="Z62" s="21"/>
      <c r="AA62" s="489">
        <f t="shared" si="91"/>
        <v>3438.4600000000009</v>
      </c>
      <c r="AB62" s="489" t="e">
        <f t="shared" si="106"/>
        <v>#REF!</v>
      </c>
      <c r="AC62" s="489" t="e">
        <f>MAX(AC$53:AC$54)+IF($B$2="mil",1,0.0254)*DDR2Specs!$E$3</f>
        <v>#REF!</v>
      </c>
      <c r="AD62" s="489" t="e">
        <f>MIN(AC$53:AC$54)+IF($B$2="mil",1,0.0254)*DDR2Specs!$F$3</f>
        <v>#REF!</v>
      </c>
      <c r="AE62" s="21"/>
      <c r="AF62" s="598" t="e">
        <f t="shared" si="107"/>
        <v>#REF!</v>
      </c>
      <c r="AG62" s="495" t="e">
        <f t="shared" si="108"/>
        <v>#REF!</v>
      </c>
      <c r="AH62" s="21"/>
      <c r="AI62" s="495" t="e">
        <f t="shared" si="92"/>
        <v>#REF!</v>
      </c>
      <c r="AJ62" s="495" t="e">
        <f t="shared" si="93"/>
        <v>#REF!</v>
      </c>
      <c r="AK62" s="495" t="e">
        <f t="shared" si="94"/>
        <v>#REF!</v>
      </c>
      <c r="AL62" s="495" t="e">
        <f t="shared" si="95"/>
        <v>#REF!</v>
      </c>
      <c r="AM62" s="495" t="e">
        <f t="shared" si="96"/>
        <v>#REF!</v>
      </c>
      <c r="AN62" s="495" t="e">
        <f t="shared" si="97"/>
        <v>#REF!</v>
      </c>
      <c r="AO62" s="495" t="e">
        <f t="shared" si="98"/>
        <v>#REF!</v>
      </c>
      <c r="AP62" s="495" t="e">
        <f t="shared" si="99"/>
        <v>#REF!</v>
      </c>
      <c r="AQ62" s="493" t="e">
        <f t="shared" si="100"/>
        <v>#REF!</v>
      </c>
      <c r="AR62" s="495" t="e">
        <f t="shared" ca="1" si="101"/>
        <v>#NAME?</v>
      </c>
      <c r="AS62" s="495" t="e">
        <f t="shared" ca="1" si="102"/>
        <v>#NAME?</v>
      </c>
      <c r="AT62" s="495" t="e">
        <f t="shared" si="103"/>
        <v>#REF!</v>
      </c>
      <c r="AU62" s="495" t="e">
        <f t="shared" si="104"/>
        <v>#REF!</v>
      </c>
      <c r="AV62" s="21"/>
      <c r="AW62" s="688" t="e">
        <f t="shared" ca="1" si="109"/>
        <v>#REF!</v>
      </c>
      <c r="AX62" s="554"/>
      <c r="AY62" s="554"/>
      <c r="AZ62" s="3"/>
      <c r="BA62" s="3"/>
      <c r="BB62" s="3"/>
      <c r="BC62" s="3"/>
      <c r="BD62" s="3"/>
      <c r="BE62" s="3"/>
      <c r="BF62" s="3"/>
      <c r="BG62" s="3"/>
      <c r="BH62" s="3"/>
      <c r="BI62" s="3"/>
      <c r="BJ62" s="3"/>
      <c r="BK62" s="3"/>
      <c r="BL62" s="3"/>
      <c r="BM62" s="3"/>
    </row>
    <row r="63" spans="1:65">
      <c r="A63" s="666" t="s">
        <v>164</v>
      </c>
      <c r="B63" s="667" t="s">
        <v>110</v>
      </c>
      <c r="C63" s="658">
        <v>755</v>
      </c>
      <c r="D63" s="18"/>
      <c r="E63" s="621">
        <v>22.63</v>
      </c>
      <c r="F63" s="621">
        <v>0</v>
      </c>
      <c r="G63" s="622">
        <v>1200</v>
      </c>
      <c r="H63" s="622">
        <v>818</v>
      </c>
      <c r="I63" s="622">
        <v>44.57</v>
      </c>
      <c r="J63" s="277">
        <v>40</v>
      </c>
      <c r="K63" s="622">
        <v>85.78</v>
      </c>
      <c r="L63" s="622">
        <v>1102.28</v>
      </c>
      <c r="M63" s="620">
        <v>0</v>
      </c>
      <c r="N63" s="620">
        <v>0</v>
      </c>
      <c r="O63" s="622">
        <v>67.39</v>
      </c>
      <c r="P63" s="622">
        <v>68.28</v>
      </c>
      <c r="Q63" s="69"/>
      <c r="R63" s="21"/>
      <c r="S63" s="489">
        <f t="shared" si="88"/>
        <v>3380.65</v>
      </c>
      <c r="T63" s="489" t="e">
        <f t="shared" si="105"/>
        <v>#REF!</v>
      </c>
      <c r="U63" s="489" t="e">
        <f>MAX(U$53:U$54)+IF($B$2="mil",1,0.0254)*DDR2Specs!$E$3</f>
        <v>#REF!</v>
      </c>
      <c r="V63" s="489" t="e">
        <f>MIN(U$53:U$54)+IF($B$2="mil",1,0.0254)*DDR2Specs!$F$3</f>
        <v>#REF!</v>
      </c>
      <c r="W63" s="21"/>
      <c r="X63" s="598" t="e">
        <f t="shared" si="89"/>
        <v>#REF!</v>
      </c>
      <c r="Y63" s="495" t="e">
        <f t="shared" si="90"/>
        <v>#REF!</v>
      </c>
      <c r="Z63" s="21"/>
      <c r="AA63" s="489">
        <f t="shared" si="91"/>
        <v>3381.5400000000004</v>
      </c>
      <c r="AB63" s="489" t="e">
        <f t="shared" si="106"/>
        <v>#REF!</v>
      </c>
      <c r="AC63" s="489" t="e">
        <f>MAX(AC$53:AC$54)+IF($B$2="mil",1,0.0254)*DDR2Specs!$E$3</f>
        <v>#REF!</v>
      </c>
      <c r="AD63" s="489" t="e">
        <f>MIN(AC$53:AC$54)+IF($B$2="mil",1,0.0254)*DDR2Specs!$F$3</f>
        <v>#REF!</v>
      </c>
      <c r="AE63" s="21"/>
      <c r="AF63" s="598" t="e">
        <f t="shared" si="107"/>
        <v>#REF!</v>
      </c>
      <c r="AG63" s="495" t="e">
        <f t="shared" si="108"/>
        <v>#REF!</v>
      </c>
      <c r="AH63" s="21"/>
      <c r="AI63" s="495" t="e">
        <f t="shared" si="92"/>
        <v>#REF!</v>
      </c>
      <c r="AJ63" s="495" t="e">
        <f t="shared" si="93"/>
        <v>#REF!</v>
      </c>
      <c r="AK63" s="495" t="e">
        <f t="shared" si="94"/>
        <v>#REF!</v>
      </c>
      <c r="AL63" s="495" t="e">
        <f t="shared" si="95"/>
        <v>#REF!</v>
      </c>
      <c r="AM63" s="495" t="e">
        <f t="shared" si="96"/>
        <v>#REF!</v>
      </c>
      <c r="AN63" s="495" t="e">
        <f t="shared" si="97"/>
        <v>#REF!</v>
      </c>
      <c r="AO63" s="495" t="e">
        <f t="shared" si="98"/>
        <v>#REF!</v>
      </c>
      <c r="AP63" s="495" t="e">
        <f t="shared" si="99"/>
        <v>#REF!</v>
      </c>
      <c r="AQ63" s="493" t="e">
        <f t="shared" si="100"/>
        <v>#REF!</v>
      </c>
      <c r="AR63" s="495" t="e">
        <f t="shared" ca="1" si="101"/>
        <v>#NAME?</v>
      </c>
      <c r="AS63" s="495" t="e">
        <f t="shared" ca="1" si="102"/>
        <v>#NAME?</v>
      </c>
      <c r="AT63" s="495" t="e">
        <f t="shared" si="103"/>
        <v>#REF!</v>
      </c>
      <c r="AU63" s="495" t="e">
        <f t="shared" si="104"/>
        <v>#REF!</v>
      </c>
      <c r="AV63" s="21"/>
      <c r="AW63" s="688" t="e">
        <f t="shared" ca="1" si="109"/>
        <v>#REF!</v>
      </c>
      <c r="AX63" s="554"/>
      <c r="AY63" s="554"/>
      <c r="AZ63" s="3"/>
      <c r="BA63" s="3"/>
      <c r="BB63" s="3"/>
      <c r="BC63" s="3"/>
      <c r="BD63" s="3"/>
      <c r="BE63" s="3"/>
      <c r="BF63" s="3"/>
      <c r="BG63" s="3"/>
      <c r="BH63" s="3"/>
      <c r="BI63" s="3"/>
      <c r="BJ63" s="3"/>
      <c r="BK63" s="3"/>
      <c r="BL63" s="3"/>
      <c r="BM63" s="3"/>
    </row>
    <row r="64" spans="1:65">
      <c r="A64" s="636" t="s">
        <v>202</v>
      </c>
      <c r="B64" s="668"/>
      <c r="C64" s="659"/>
      <c r="D64" s="62"/>
      <c r="E64" s="82"/>
      <c r="F64" s="82"/>
      <c r="G64" s="439"/>
      <c r="H64" s="295"/>
      <c r="I64" s="295"/>
      <c r="J64" s="295"/>
      <c r="K64" s="295"/>
      <c r="L64" s="295"/>
      <c r="M64" s="295"/>
      <c r="N64" s="295"/>
      <c r="O64" s="295"/>
      <c r="P64" s="295"/>
      <c r="Q64" s="10"/>
      <c r="R64" s="606"/>
      <c r="S64" s="82"/>
      <c r="T64" s="605"/>
      <c r="U64" s="605"/>
      <c r="V64" s="606"/>
      <c r="W64" s="606"/>
      <c r="X64" s="607"/>
      <c r="Y64" s="17"/>
      <c r="Z64" s="606"/>
      <c r="AA64" s="82"/>
      <c r="AB64" s="605"/>
      <c r="AC64" s="605"/>
      <c r="AD64" s="606"/>
      <c r="AE64" s="606"/>
      <c r="AF64" s="607"/>
      <c r="AG64" s="17"/>
      <c r="AH64" s="606"/>
      <c r="AI64" s="17"/>
      <c r="AJ64" s="17"/>
      <c r="AK64" s="16"/>
      <c r="AL64" s="16"/>
      <c r="AM64" s="16"/>
      <c r="AN64" s="16"/>
      <c r="AO64" s="16"/>
      <c r="AP64" s="16"/>
      <c r="AQ64" s="16"/>
      <c r="AR64" s="16"/>
      <c r="AS64" s="16"/>
      <c r="AT64" s="16"/>
      <c r="AU64" s="16"/>
      <c r="AV64" s="83"/>
      <c r="AW64" s="554"/>
      <c r="AX64" s="554"/>
      <c r="AY64" s="554"/>
      <c r="AZ64" s="3"/>
      <c r="BA64" s="3"/>
      <c r="BB64" s="3"/>
      <c r="BC64" s="3"/>
      <c r="BD64" s="3"/>
      <c r="BE64" s="3"/>
      <c r="BF64" s="3"/>
      <c r="BG64" s="3"/>
      <c r="BH64" s="3"/>
      <c r="BI64" s="3"/>
      <c r="BJ64" s="3"/>
      <c r="BK64" s="3"/>
      <c r="BL64" s="3"/>
      <c r="BM64" s="3"/>
    </row>
    <row r="65" spans="1:65">
      <c r="A65" s="650" t="str">
        <f>'DDR2 Strobes - 2x16'!$A$32</f>
        <v>SA_DQS5</v>
      </c>
      <c r="B65" s="669" t="str">
        <f>'DDR2 Strobes - 2x16'!$B$32</f>
        <v>AB16</v>
      </c>
      <c r="C65" s="660"/>
      <c r="D65" s="53"/>
      <c r="E65" s="81"/>
      <c r="F65" s="81"/>
      <c r="G65" s="440"/>
      <c r="H65" s="296"/>
      <c r="I65" s="296"/>
      <c r="J65" s="296"/>
      <c r="K65" s="296"/>
      <c r="L65" s="296"/>
      <c r="M65" s="296"/>
      <c r="N65" s="296"/>
      <c r="O65" s="296"/>
      <c r="P65" s="296"/>
      <c r="Q65" s="81"/>
      <c r="R65" s="58"/>
      <c r="S65" s="81"/>
      <c r="T65" s="58"/>
      <c r="U65" s="58" t="e">
        <f>'DDR2 Strobes - 2x16'!$U$32</f>
        <v>#REF!</v>
      </c>
      <c r="V65" s="58"/>
      <c r="W65" s="58"/>
      <c r="X65" s="58"/>
      <c r="Y65" s="608"/>
      <c r="Z65" s="58"/>
      <c r="AA65" s="81"/>
      <c r="AB65" s="58"/>
      <c r="AC65" s="58" t="e">
        <f>'DDR2 Strobes - 2x16'!$AC$32</f>
        <v>#REF!</v>
      </c>
      <c r="AD65" s="58"/>
      <c r="AE65" s="58"/>
      <c r="AF65" s="58"/>
      <c r="AG65" s="608"/>
      <c r="AH65" s="58"/>
      <c r="AI65" s="608"/>
      <c r="AJ65" s="608"/>
      <c r="AK65" s="608"/>
      <c r="AL65" s="608"/>
      <c r="AM65" s="608"/>
      <c r="AN65" s="608"/>
      <c r="AO65" s="608"/>
      <c r="AP65" s="608"/>
      <c r="AQ65" s="608"/>
      <c r="AR65" s="608"/>
      <c r="AS65" s="608"/>
      <c r="AT65" s="608"/>
      <c r="AU65" s="608"/>
      <c r="AV65" s="58"/>
      <c r="AW65" s="554"/>
      <c r="AX65" s="554"/>
      <c r="AY65" s="554"/>
      <c r="AZ65" s="3"/>
      <c r="BA65" s="3"/>
      <c r="BB65" s="3"/>
      <c r="BC65" s="3"/>
      <c r="BD65" s="3"/>
      <c r="BE65" s="3"/>
      <c r="BF65" s="3"/>
      <c r="BG65" s="3"/>
      <c r="BH65" s="3"/>
      <c r="BI65" s="3"/>
      <c r="BJ65" s="3"/>
      <c r="BK65" s="3"/>
      <c r="BL65" s="3"/>
      <c r="BM65" s="3"/>
    </row>
    <row r="66" spans="1:65">
      <c r="A66" s="650" t="str">
        <f>'DDR2 Strobes - 2x16'!$A$33</f>
        <v>SA_DQS5#</v>
      </c>
      <c r="B66" s="669" t="str">
        <f>'DDR2 Strobes - 2x16'!$B$33</f>
        <v>AB15</v>
      </c>
      <c r="C66" s="660"/>
      <c r="D66" s="53"/>
      <c r="E66" s="81"/>
      <c r="F66" s="81"/>
      <c r="G66" s="440"/>
      <c r="H66" s="296"/>
      <c r="I66" s="296"/>
      <c r="J66" s="296"/>
      <c r="K66" s="296"/>
      <c r="L66" s="296"/>
      <c r="M66" s="296"/>
      <c r="N66" s="296"/>
      <c r="O66" s="296"/>
      <c r="P66" s="296"/>
      <c r="Q66" s="81"/>
      <c r="R66" s="58"/>
      <c r="S66" s="602"/>
      <c r="T66" s="603"/>
      <c r="U66" s="58" t="e">
        <f>'DDR2 Strobes - 2x16'!$U$33</f>
        <v>#REF!</v>
      </c>
      <c r="V66" s="58"/>
      <c r="W66" s="58"/>
      <c r="X66" s="58"/>
      <c r="Y66" s="608"/>
      <c r="Z66" s="58"/>
      <c r="AA66" s="602"/>
      <c r="AB66" s="603"/>
      <c r="AC66" s="58" t="e">
        <f>'DDR2 Strobes - 2x16'!$AC$33</f>
        <v>#REF!</v>
      </c>
      <c r="AD66" s="58"/>
      <c r="AE66" s="58"/>
      <c r="AF66" s="58"/>
      <c r="AG66" s="608"/>
      <c r="AH66" s="58"/>
      <c r="AI66" s="608"/>
      <c r="AJ66" s="608"/>
      <c r="AK66" s="609"/>
      <c r="AL66" s="609"/>
      <c r="AM66" s="609"/>
      <c r="AN66" s="609"/>
      <c r="AO66" s="609"/>
      <c r="AP66" s="609"/>
      <c r="AQ66" s="609"/>
      <c r="AR66" s="609"/>
      <c r="AS66" s="609"/>
      <c r="AT66" s="609"/>
      <c r="AU66" s="609"/>
      <c r="AV66" s="58"/>
      <c r="AW66" s="554"/>
      <c r="AX66" s="554"/>
      <c r="AY66" s="554"/>
      <c r="AZ66" s="3"/>
      <c r="BA66" s="3"/>
      <c r="BB66" s="3"/>
      <c r="BC66" s="3"/>
      <c r="BD66" s="3"/>
      <c r="BE66" s="3"/>
      <c r="BF66" s="3"/>
      <c r="BG66" s="3"/>
      <c r="BH66" s="3"/>
      <c r="BI66" s="3"/>
      <c r="BJ66" s="3"/>
      <c r="BK66" s="3"/>
      <c r="BL66" s="3"/>
      <c r="BM66" s="3"/>
    </row>
    <row r="67" spans="1:65">
      <c r="A67" s="633" t="s">
        <v>165</v>
      </c>
      <c r="B67" s="665" t="s">
        <v>339</v>
      </c>
      <c r="C67" s="658">
        <v>714.1338582677165</v>
      </c>
      <c r="D67" s="18"/>
      <c r="E67" s="621">
        <v>22.63</v>
      </c>
      <c r="F67" s="621">
        <v>0</v>
      </c>
      <c r="G67" s="622">
        <v>1163</v>
      </c>
      <c r="H67" s="622">
        <v>827.1</v>
      </c>
      <c r="I67" s="622">
        <v>44.57</v>
      </c>
      <c r="J67" s="277">
        <v>40</v>
      </c>
      <c r="K67" s="622">
        <v>77.5</v>
      </c>
      <c r="L67" s="622">
        <v>1195.94</v>
      </c>
      <c r="M67" s="620">
        <v>0</v>
      </c>
      <c r="N67" s="620">
        <v>0</v>
      </c>
      <c r="O67" s="622">
        <v>65.849999999999994</v>
      </c>
      <c r="P67" s="622">
        <v>65.819999999999993</v>
      </c>
      <c r="Q67" s="69"/>
      <c r="R67" s="21"/>
      <c r="S67" s="489">
        <f t="shared" ref="S67:S75" si="110">SUM(E67:G67,H67:M67,O67)</f>
        <v>3436.59</v>
      </c>
      <c r="T67" s="489" t="e">
        <f>S67+IF($B$2="mil",1,0.0254)*$C67</f>
        <v>#REF!</v>
      </c>
      <c r="U67" s="489" t="e">
        <f>MAX(U$65:U$66)+IF($B$2="mil",1,0.0254)*DDR2Specs!$E$3</f>
        <v>#REF!</v>
      </c>
      <c r="V67" s="489" t="e">
        <f>MIN(U$65:U$66)+IF($B$2="mil",1,0.0254)*DDR2Specs!$F$3</f>
        <v>#REF!</v>
      </c>
      <c r="W67" s="21"/>
      <c r="X67" s="598" t="e">
        <f t="shared" ref="X67:X75" si="111">IF($T67&lt;$U67,$U67-$T67,"Pass")</f>
        <v>#REF!</v>
      </c>
      <c r="Y67" s="495" t="e">
        <f>IF($T67&gt;$V67,$T67-$V67,"Pass")</f>
        <v>#REF!</v>
      </c>
      <c r="Z67" s="21"/>
      <c r="AA67" s="489">
        <f t="shared" ref="AA67:AA75" si="112">SUM(E67:G67,H67:L67,N67,P67)</f>
        <v>3436.5600000000004</v>
      </c>
      <c r="AB67" s="489" t="e">
        <f>AA67+IF($B$2="mil",1,0.0254)*$C67</f>
        <v>#REF!</v>
      </c>
      <c r="AC67" s="489" t="e">
        <f>MAX(AC$65:AC$66)+IF($B$2="mil",1,0.0254)*DDR2Specs!$E$3</f>
        <v>#REF!</v>
      </c>
      <c r="AD67" s="489" t="e">
        <f>MIN(AC$65:AC$66)+IF($B$2="mil",1,0.0254)*DDR2Specs!$F$3</f>
        <v>#REF!</v>
      </c>
      <c r="AE67" s="21"/>
      <c r="AF67" s="598" t="e">
        <f>IF($AB67&lt;$AC67,$AC67-$AB67,"Pass")</f>
        <v>#REF!</v>
      </c>
      <c r="AG67" s="495" t="e">
        <f>IF($AB67&gt;$AD67,$AB67-$AD67,"Pass")</f>
        <v>#REF!</v>
      </c>
      <c r="AH67" s="21"/>
      <c r="AI67" s="495" t="e">
        <f t="shared" ref="AI67:AI75" si="113">IF($E67&lt;=IF($B$2="mil",1,0.0254)*50,"Pass",IF($B$2="mil",1,0.0254)*50-$E67)</f>
        <v>#REF!</v>
      </c>
      <c r="AJ67" s="495" t="e">
        <f t="shared" ref="AJ67:AJ75" si="114">IF($F67&lt;=IF($B$2="mil",1,0.0254)*500,"Pass",IF($B$2="mil",1,0.0254)*500-$F67)</f>
        <v>#REF!</v>
      </c>
      <c r="AK67" s="495" t="e">
        <f t="shared" ref="AK67:AK75" si="115">IF(($G67+$H67)&lt;=IF($B$2="mil",1,0.0254)*2750,"Pass",IF($B$2="mil",1,0.0254)*2750-($G67+D67))</f>
        <v>#REF!</v>
      </c>
      <c r="AL67" s="495" t="e">
        <f t="shared" ref="AL67:AL75" si="116">IF($I67&lt;=IF($B$2="mil",1,0.0254)*125,"Pass",IF($B$2="mil",1,0.0254)*125-$I67)</f>
        <v>#REF!</v>
      </c>
      <c r="AM67" s="495" t="e">
        <f t="shared" ref="AM67:AM75" si="117">IF($K67&lt;=IF($B$2="mil",1,0.0254)*125,"Pass",IF($B$2="mil",1,0.0254)*125-$K67)</f>
        <v>#REF!</v>
      </c>
      <c r="AN67" s="495" t="e">
        <f t="shared" ref="AN67:AN75" si="118">IF(($K67+$L67)&lt;=IF($B$2="mil",1,0.0254)*1350,"Pass",IF($B$2="mil",1,0.0254)*1350-($K67+L67))</f>
        <v>#REF!</v>
      </c>
      <c r="AO67" s="495" t="e">
        <f t="shared" ref="AO67:AO75" si="119">IF($M67&lt;=IF($B$2="mil",1,0.0254)*650,"Pass",IF($B$2="mil",1,0.0254)*650-$M67)</f>
        <v>#REF!</v>
      </c>
      <c r="AP67" s="495" t="e">
        <f t="shared" ref="AP67:AP75" si="120">IF($N67&lt;=IF($B$2="mil",1,0.0254)*650,"Pass",IF($B$2="mil",1,0.0254)*650-$N67)</f>
        <v>#REF!</v>
      </c>
      <c r="AQ67" s="493" t="e">
        <f t="shared" ref="AQ67:AQ75" si="121">IF(MAX(M67:N67)-MIN(M67:N67)&lt;=IF($B$2="mil",1,0.0254)*50,"Pass",MAX(M67:N67)-MIN(M67:N67)-IF($B$2="mil",1,0.0254)*50)</f>
        <v>#REF!</v>
      </c>
      <c r="AR67" s="495" t="e">
        <f t="shared" ref="AR67:AR75" ca="1" si="122">CheckLength2(IF($B$2="mil",1,0.0254)*800,$O67,M67,0)</f>
        <v>#NAME?</v>
      </c>
      <c r="AS67" s="495" t="e">
        <f t="shared" ref="AS67:AS75" ca="1" si="123">CheckLength2(IF($B$2="mil",1,0.0254)*800,$P67,N67,0)</f>
        <v>#NAME?</v>
      </c>
      <c r="AT67" s="495" t="e">
        <f t="shared" ref="AT67:AT75" si="124">IF(AND($S67&gt;=IF($B$2="mil",1,0.0254)*500, $S67&lt;=IF($B$2="mil",1,0.0254)*5500),"Pass",IF($B$2="mil",1,0.0254)*5500-$S67)</f>
        <v>#REF!</v>
      </c>
      <c r="AU67" s="495" t="e">
        <f t="shared" ref="AU67:AU75" si="125">IF(AND($T67&gt;=IF($B$2="mil",1,0.0254)*500, $T67&lt;=IF($B$2="mil",1,0.0254)*6000),"Pass",IF($B$2="mil",1,0.0254)*6000-$T67)</f>
        <v>#REF!</v>
      </c>
      <c r="AV67" s="21"/>
      <c r="AW67" s="688" t="e">
        <f ca="1">IF(AND(AF67="Pass",AG67="Pass",AI67="Pass",AJ67="Pass",AS67="Pass",AN67="Pass",AO67="Pass",AP67="Pass",AQ67="Pass",AR67="Pass",AM67="Pass",AL67="Pass",AK67="Pass",X67="Pass",Y67="Pass",AT67="Pass",AU67="Pass"),"Pass","Fail")</f>
        <v>#REF!</v>
      </c>
      <c r="AX67" s="554" t="e">
        <f ca="1">IF(AND(AW67="Pass",AW68="Pass",AW69="Pass",AW70="Pass",AW71="Pass",AW72="Pass",AW73="Pass",AW74="Pass",AW75="Pass"),"Pass","Fail")</f>
        <v>#REF!</v>
      </c>
      <c r="AY67" s="554"/>
      <c r="AZ67" s="3"/>
      <c r="BA67" s="3"/>
      <c r="BB67" s="3"/>
      <c r="BC67" s="3"/>
      <c r="BD67" s="3"/>
      <c r="BE67" s="3"/>
      <c r="BF67" s="3"/>
      <c r="BG67" s="3"/>
      <c r="BH67" s="3"/>
      <c r="BI67" s="3"/>
      <c r="BJ67" s="3"/>
      <c r="BK67" s="3"/>
      <c r="BL67" s="3"/>
      <c r="BM67" s="3"/>
    </row>
    <row r="68" spans="1:65">
      <c r="A68" s="633" t="s">
        <v>166</v>
      </c>
      <c r="B68" s="670" t="s">
        <v>341</v>
      </c>
      <c r="C68" s="658">
        <v>754.9212598425197</v>
      </c>
      <c r="D68" s="18"/>
      <c r="E68" s="621">
        <v>22.63</v>
      </c>
      <c r="F68" s="621">
        <v>0</v>
      </c>
      <c r="G68" s="622">
        <v>1140</v>
      </c>
      <c r="H68" s="622">
        <v>767</v>
      </c>
      <c r="I68" s="622">
        <v>85.78</v>
      </c>
      <c r="J68" s="277">
        <v>40</v>
      </c>
      <c r="K68" s="622">
        <v>44.57</v>
      </c>
      <c r="L68" s="622">
        <v>1199.1400000000001</v>
      </c>
      <c r="M68" s="620">
        <v>0</v>
      </c>
      <c r="N68" s="620">
        <v>0</v>
      </c>
      <c r="O68" s="622">
        <v>97.27</v>
      </c>
      <c r="P68" s="622">
        <v>97.3</v>
      </c>
      <c r="Q68" s="69"/>
      <c r="R68" s="21"/>
      <c r="S68" s="489">
        <f t="shared" si="110"/>
        <v>3396.39</v>
      </c>
      <c r="T68" s="489" t="e">
        <f t="shared" ref="T68:T75" si="126">S68+IF($B$2="mil",1,0.0254)*$C68</f>
        <v>#REF!</v>
      </c>
      <c r="U68" s="489" t="e">
        <f>MAX(U$65:U$66)+IF($B$2="mil",1,0.0254)*DDR2Specs!$E$3</f>
        <v>#REF!</v>
      </c>
      <c r="V68" s="489" t="e">
        <f>MIN(U$65:U$66)+IF($B$2="mil",1,0.0254)*DDR2Specs!$F$3</f>
        <v>#REF!</v>
      </c>
      <c r="W68" s="21"/>
      <c r="X68" s="598" t="e">
        <f t="shared" si="111"/>
        <v>#REF!</v>
      </c>
      <c r="Y68" s="495" t="e">
        <f t="shared" ref="Y68:Y75" si="127">IF($T68&gt;$V68,$T68-$V68,"Pass")</f>
        <v>#REF!</v>
      </c>
      <c r="Z68" s="21"/>
      <c r="AA68" s="489">
        <f t="shared" si="112"/>
        <v>3396.42</v>
      </c>
      <c r="AB68" s="489" t="e">
        <f t="shared" ref="AB68:AB75" si="128">AA68+IF($B$2="mil",1,0.0254)*$C68</f>
        <v>#REF!</v>
      </c>
      <c r="AC68" s="489" t="e">
        <f>MAX(AC$65:AC$66)+IF($B$2="mil",1,0.0254)*DDR2Specs!$E$3</f>
        <v>#REF!</v>
      </c>
      <c r="AD68" s="489" t="e">
        <f>MIN(AC$65:AC$66)+IF($B$2="mil",1,0.0254)*DDR2Specs!$F$3</f>
        <v>#REF!</v>
      </c>
      <c r="AE68" s="21"/>
      <c r="AF68" s="598" t="e">
        <f t="shared" ref="AF68:AF75" si="129">IF($AB68&lt;$AC68,$AC68-$AB68,"Pass")</f>
        <v>#REF!</v>
      </c>
      <c r="AG68" s="495" t="e">
        <f t="shared" ref="AG68:AG75" si="130">IF($AB68&gt;$AD68,$AB68-$AD68,"Pass")</f>
        <v>#REF!</v>
      </c>
      <c r="AH68" s="21"/>
      <c r="AI68" s="495" t="e">
        <f t="shared" si="113"/>
        <v>#REF!</v>
      </c>
      <c r="AJ68" s="495" t="e">
        <f t="shared" si="114"/>
        <v>#REF!</v>
      </c>
      <c r="AK68" s="495" t="e">
        <f t="shared" si="115"/>
        <v>#REF!</v>
      </c>
      <c r="AL68" s="495" t="e">
        <f t="shared" si="116"/>
        <v>#REF!</v>
      </c>
      <c r="AM68" s="495" t="e">
        <f t="shared" si="117"/>
        <v>#REF!</v>
      </c>
      <c r="AN68" s="495" t="e">
        <f t="shared" si="118"/>
        <v>#REF!</v>
      </c>
      <c r="AO68" s="495" t="e">
        <f t="shared" si="119"/>
        <v>#REF!</v>
      </c>
      <c r="AP68" s="495" t="e">
        <f t="shared" si="120"/>
        <v>#REF!</v>
      </c>
      <c r="AQ68" s="493" t="e">
        <f t="shared" si="121"/>
        <v>#REF!</v>
      </c>
      <c r="AR68" s="495" t="e">
        <f t="shared" ca="1" si="122"/>
        <v>#NAME?</v>
      </c>
      <c r="AS68" s="495" t="e">
        <f t="shared" ca="1" si="123"/>
        <v>#NAME?</v>
      </c>
      <c r="AT68" s="495" t="e">
        <f t="shared" si="124"/>
        <v>#REF!</v>
      </c>
      <c r="AU68" s="495" t="e">
        <f t="shared" si="125"/>
        <v>#REF!</v>
      </c>
      <c r="AV68" s="21"/>
      <c r="AW68" s="688" t="e">
        <f t="shared" ref="AW68:AW75" ca="1" si="131">IF(AND(AF68="Pass",AG68="Pass",AI68="Pass",AJ68="Pass",AS68="Pass",AN68="Pass",AO68="Pass",AP68="Pass",AQ68="Pass",AR68="Pass",AM68="Pass",AL68="Pass",AK68="Pass",X68="Pass",Y68="Pass",AT68="Pass",AU68="Pass"),"Pass","Fail")</f>
        <v>#REF!</v>
      </c>
      <c r="AX68" s="554"/>
      <c r="AY68" s="554"/>
      <c r="AZ68" s="3"/>
      <c r="BA68" s="3"/>
      <c r="BB68" s="3"/>
      <c r="BC68" s="3"/>
      <c r="BD68" s="3"/>
      <c r="BE68" s="3"/>
      <c r="BF68" s="3"/>
      <c r="BG68" s="3"/>
      <c r="BH68" s="3"/>
      <c r="BI68" s="3"/>
      <c r="BJ68" s="3"/>
      <c r="BK68" s="3"/>
      <c r="BL68" s="3"/>
      <c r="BM68" s="3"/>
    </row>
    <row r="69" spans="1:65">
      <c r="A69" s="633" t="s">
        <v>167</v>
      </c>
      <c r="B69" s="670" t="s">
        <v>494</v>
      </c>
      <c r="C69" s="658">
        <v>593.89763779527561</v>
      </c>
      <c r="D69" s="18"/>
      <c r="E69" s="621">
        <v>22.63</v>
      </c>
      <c r="F69" s="621">
        <v>0</v>
      </c>
      <c r="G69" s="622">
        <v>1324</v>
      </c>
      <c r="H69" s="622">
        <v>781</v>
      </c>
      <c r="I69" s="622">
        <v>85.78</v>
      </c>
      <c r="J69" s="277">
        <v>40</v>
      </c>
      <c r="K69" s="622">
        <v>44.57</v>
      </c>
      <c r="L69" s="622">
        <v>1227</v>
      </c>
      <c r="M69" s="620">
        <v>0</v>
      </c>
      <c r="N69" s="620">
        <v>0</v>
      </c>
      <c r="O69" s="622">
        <v>30.83</v>
      </c>
      <c r="P69" s="622">
        <v>30.86</v>
      </c>
      <c r="Q69" s="69"/>
      <c r="R69" s="21"/>
      <c r="S69" s="489">
        <f t="shared" si="110"/>
        <v>3555.8100000000004</v>
      </c>
      <c r="T69" s="489" t="e">
        <f t="shared" si="126"/>
        <v>#REF!</v>
      </c>
      <c r="U69" s="489" t="e">
        <f>MAX(U$65:U$66)+IF($B$2="mil",1,0.0254)*DDR2Specs!$E$3</f>
        <v>#REF!</v>
      </c>
      <c r="V69" s="489" t="e">
        <f>MIN(U$65:U$66)+IF($B$2="mil",1,0.0254)*DDR2Specs!$F$3</f>
        <v>#REF!</v>
      </c>
      <c r="W69" s="21"/>
      <c r="X69" s="598" t="e">
        <f t="shared" si="111"/>
        <v>#REF!</v>
      </c>
      <c r="Y69" s="495" t="e">
        <f t="shared" si="127"/>
        <v>#REF!</v>
      </c>
      <c r="Z69" s="21"/>
      <c r="AA69" s="489">
        <f t="shared" si="112"/>
        <v>3555.8400000000006</v>
      </c>
      <c r="AB69" s="489" t="e">
        <f t="shared" si="128"/>
        <v>#REF!</v>
      </c>
      <c r="AC69" s="489" t="e">
        <f>MAX(AC$65:AC$66)+IF($B$2="mil",1,0.0254)*DDR2Specs!$E$3</f>
        <v>#REF!</v>
      </c>
      <c r="AD69" s="489" t="e">
        <f>MIN(AC$65:AC$66)+IF($B$2="mil",1,0.0254)*DDR2Specs!$F$3</f>
        <v>#REF!</v>
      </c>
      <c r="AE69" s="21"/>
      <c r="AF69" s="598" t="e">
        <f t="shared" si="129"/>
        <v>#REF!</v>
      </c>
      <c r="AG69" s="495" t="e">
        <f t="shared" si="130"/>
        <v>#REF!</v>
      </c>
      <c r="AH69" s="21"/>
      <c r="AI69" s="495" t="e">
        <f t="shared" si="113"/>
        <v>#REF!</v>
      </c>
      <c r="AJ69" s="495" t="e">
        <f t="shared" si="114"/>
        <v>#REF!</v>
      </c>
      <c r="AK69" s="495" t="e">
        <f t="shared" si="115"/>
        <v>#REF!</v>
      </c>
      <c r="AL69" s="495" t="e">
        <f t="shared" si="116"/>
        <v>#REF!</v>
      </c>
      <c r="AM69" s="495" t="e">
        <f t="shared" si="117"/>
        <v>#REF!</v>
      </c>
      <c r="AN69" s="495" t="e">
        <f t="shared" si="118"/>
        <v>#REF!</v>
      </c>
      <c r="AO69" s="495" t="e">
        <f t="shared" si="119"/>
        <v>#REF!</v>
      </c>
      <c r="AP69" s="495" t="e">
        <f t="shared" si="120"/>
        <v>#REF!</v>
      </c>
      <c r="AQ69" s="493" t="e">
        <f t="shared" si="121"/>
        <v>#REF!</v>
      </c>
      <c r="AR69" s="495" t="e">
        <f t="shared" ca="1" si="122"/>
        <v>#NAME?</v>
      </c>
      <c r="AS69" s="495" t="e">
        <f t="shared" ca="1" si="123"/>
        <v>#NAME?</v>
      </c>
      <c r="AT69" s="495" t="e">
        <f t="shared" si="124"/>
        <v>#REF!</v>
      </c>
      <c r="AU69" s="495" t="e">
        <f t="shared" si="125"/>
        <v>#REF!</v>
      </c>
      <c r="AV69" s="21"/>
      <c r="AW69" s="688" t="e">
        <f t="shared" ca="1" si="131"/>
        <v>#REF!</v>
      </c>
      <c r="AX69" s="554"/>
      <c r="AY69" s="554"/>
      <c r="AZ69" s="3"/>
      <c r="BA69" s="3"/>
      <c r="BB69" s="3"/>
      <c r="BC69" s="3"/>
      <c r="BD69" s="3"/>
      <c r="BE69" s="3"/>
      <c r="BF69" s="3"/>
      <c r="BG69" s="3"/>
      <c r="BH69" s="3"/>
      <c r="BI69" s="3"/>
      <c r="BJ69" s="3"/>
      <c r="BK69" s="3"/>
      <c r="BL69" s="3"/>
      <c r="BM69" s="3"/>
    </row>
    <row r="70" spans="1:65">
      <c r="A70" s="633" t="s">
        <v>168</v>
      </c>
      <c r="B70" s="665" t="s">
        <v>371</v>
      </c>
      <c r="C70" s="658">
        <v>626.37795275590554</v>
      </c>
      <c r="D70" s="18"/>
      <c r="E70" s="621">
        <v>22.63</v>
      </c>
      <c r="F70" s="621">
        <v>0</v>
      </c>
      <c r="G70" s="622">
        <v>1291</v>
      </c>
      <c r="H70" s="622">
        <v>825</v>
      </c>
      <c r="I70" s="622">
        <v>44.57</v>
      </c>
      <c r="J70" s="277">
        <v>40</v>
      </c>
      <c r="K70" s="622">
        <v>85.78</v>
      </c>
      <c r="L70" s="622">
        <v>1183.3</v>
      </c>
      <c r="M70" s="620">
        <v>0</v>
      </c>
      <c r="N70" s="620">
        <v>0</v>
      </c>
      <c r="O70" s="622">
        <v>31.57</v>
      </c>
      <c r="P70" s="622">
        <v>31.54</v>
      </c>
      <c r="Q70" s="69"/>
      <c r="R70" s="21"/>
      <c r="S70" s="489">
        <f t="shared" si="110"/>
        <v>3523.8500000000008</v>
      </c>
      <c r="T70" s="489" t="e">
        <f t="shared" si="126"/>
        <v>#REF!</v>
      </c>
      <c r="U70" s="489" t="e">
        <f>MAX(U$65:U$66)+IF($B$2="mil",1,0.0254)*DDR2Specs!$E$3</f>
        <v>#REF!</v>
      </c>
      <c r="V70" s="489" t="e">
        <f>MIN(U$65:U$66)+IF($B$2="mil",1,0.0254)*DDR2Specs!$F$3</f>
        <v>#REF!</v>
      </c>
      <c r="W70" s="21"/>
      <c r="X70" s="598" t="e">
        <f t="shared" si="111"/>
        <v>#REF!</v>
      </c>
      <c r="Y70" s="495" t="e">
        <f t="shared" si="127"/>
        <v>#REF!</v>
      </c>
      <c r="Z70" s="21"/>
      <c r="AA70" s="489">
        <f t="shared" si="112"/>
        <v>3523.8200000000006</v>
      </c>
      <c r="AB70" s="489" t="e">
        <f t="shared" si="128"/>
        <v>#REF!</v>
      </c>
      <c r="AC70" s="489" t="e">
        <f>MAX(AC$65:AC$66)+IF($B$2="mil",1,0.0254)*DDR2Specs!$E$3</f>
        <v>#REF!</v>
      </c>
      <c r="AD70" s="489" t="e">
        <f>MIN(AC$65:AC$66)+IF($B$2="mil",1,0.0254)*DDR2Specs!$F$3</f>
        <v>#REF!</v>
      </c>
      <c r="AE70" s="21"/>
      <c r="AF70" s="598" t="e">
        <f t="shared" si="129"/>
        <v>#REF!</v>
      </c>
      <c r="AG70" s="495" t="e">
        <f t="shared" si="130"/>
        <v>#REF!</v>
      </c>
      <c r="AH70" s="21"/>
      <c r="AI70" s="495" t="e">
        <f t="shared" si="113"/>
        <v>#REF!</v>
      </c>
      <c r="AJ70" s="495" t="e">
        <f t="shared" si="114"/>
        <v>#REF!</v>
      </c>
      <c r="AK70" s="495" t="e">
        <f t="shared" si="115"/>
        <v>#REF!</v>
      </c>
      <c r="AL70" s="495" t="e">
        <f t="shared" si="116"/>
        <v>#REF!</v>
      </c>
      <c r="AM70" s="495" t="e">
        <f t="shared" si="117"/>
        <v>#REF!</v>
      </c>
      <c r="AN70" s="495" t="e">
        <f t="shared" si="118"/>
        <v>#REF!</v>
      </c>
      <c r="AO70" s="495" t="e">
        <f t="shared" si="119"/>
        <v>#REF!</v>
      </c>
      <c r="AP70" s="495" t="e">
        <f t="shared" si="120"/>
        <v>#REF!</v>
      </c>
      <c r="AQ70" s="493" t="e">
        <f t="shared" si="121"/>
        <v>#REF!</v>
      </c>
      <c r="AR70" s="495" t="e">
        <f t="shared" ca="1" si="122"/>
        <v>#NAME?</v>
      </c>
      <c r="AS70" s="495" t="e">
        <f t="shared" ca="1" si="123"/>
        <v>#NAME?</v>
      </c>
      <c r="AT70" s="495" t="e">
        <f t="shared" si="124"/>
        <v>#REF!</v>
      </c>
      <c r="AU70" s="495" t="e">
        <f t="shared" si="125"/>
        <v>#REF!</v>
      </c>
      <c r="AV70" s="21"/>
      <c r="AW70" s="688" t="e">
        <f t="shared" ca="1" si="131"/>
        <v>#REF!</v>
      </c>
      <c r="AX70" s="554"/>
      <c r="AY70" s="554"/>
      <c r="AZ70" s="3"/>
      <c r="BA70" s="3"/>
      <c r="BB70" s="3"/>
      <c r="BC70" s="3"/>
      <c r="BD70" s="3"/>
      <c r="BE70" s="3"/>
      <c r="BF70" s="3"/>
      <c r="BG70" s="3"/>
      <c r="BH70" s="3"/>
      <c r="BI70" s="3"/>
      <c r="BJ70" s="3"/>
      <c r="BK70" s="3"/>
      <c r="BL70" s="3"/>
      <c r="BM70" s="3"/>
    </row>
    <row r="71" spans="1:65">
      <c r="A71" s="633" t="s">
        <v>169</v>
      </c>
      <c r="B71" s="665" t="s">
        <v>495</v>
      </c>
      <c r="C71" s="658">
        <v>594.33070866141736</v>
      </c>
      <c r="D71" s="18"/>
      <c r="E71" s="621">
        <v>22.63</v>
      </c>
      <c r="F71" s="621">
        <v>0</v>
      </c>
      <c r="G71" s="622">
        <v>1335</v>
      </c>
      <c r="H71" s="622">
        <v>821</v>
      </c>
      <c r="I71" s="622">
        <v>44.57</v>
      </c>
      <c r="J71" s="277">
        <v>40</v>
      </c>
      <c r="K71" s="622">
        <v>92.41</v>
      </c>
      <c r="L71" s="622">
        <v>1149.32</v>
      </c>
      <c r="M71" s="620">
        <v>0</v>
      </c>
      <c r="N71" s="620">
        <v>0</v>
      </c>
      <c r="O71" s="622">
        <v>50.17</v>
      </c>
      <c r="P71" s="622">
        <v>50.2</v>
      </c>
      <c r="Q71" s="69"/>
      <c r="R71" s="21"/>
      <c r="S71" s="489">
        <f t="shared" si="110"/>
        <v>3555.1000000000004</v>
      </c>
      <c r="T71" s="489" t="e">
        <f t="shared" si="126"/>
        <v>#REF!</v>
      </c>
      <c r="U71" s="489" t="e">
        <f>MAX(U$65:U$66)+IF($B$2="mil",1,0.0254)*DDR2Specs!$E$3</f>
        <v>#REF!</v>
      </c>
      <c r="V71" s="489" t="e">
        <f>MIN(U$65:U$66)+IF($B$2="mil",1,0.0254)*DDR2Specs!$F$3</f>
        <v>#REF!</v>
      </c>
      <c r="W71" s="21"/>
      <c r="X71" s="598" t="e">
        <f t="shared" si="111"/>
        <v>#REF!</v>
      </c>
      <c r="Y71" s="495" t="e">
        <f t="shared" si="127"/>
        <v>#REF!</v>
      </c>
      <c r="Z71" s="21"/>
      <c r="AA71" s="489">
        <f t="shared" si="112"/>
        <v>3555.13</v>
      </c>
      <c r="AB71" s="489" t="e">
        <f t="shared" si="128"/>
        <v>#REF!</v>
      </c>
      <c r="AC71" s="489" t="e">
        <f>MAX(AC$65:AC$66)+IF($B$2="mil",1,0.0254)*DDR2Specs!$E$3</f>
        <v>#REF!</v>
      </c>
      <c r="AD71" s="489" t="e">
        <f>MIN(AC$65:AC$66)+IF($B$2="mil",1,0.0254)*DDR2Specs!$F$3</f>
        <v>#REF!</v>
      </c>
      <c r="AE71" s="21"/>
      <c r="AF71" s="598" t="e">
        <f t="shared" si="129"/>
        <v>#REF!</v>
      </c>
      <c r="AG71" s="495" t="e">
        <f t="shared" si="130"/>
        <v>#REF!</v>
      </c>
      <c r="AH71" s="21"/>
      <c r="AI71" s="495" t="e">
        <f t="shared" si="113"/>
        <v>#REF!</v>
      </c>
      <c r="AJ71" s="495" t="e">
        <f t="shared" si="114"/>
        <v>#REF!</v>
      </c>
      <c r="AK71" s="495" t="e">
        <f t="shared" si="115"/>
        <v>#REF!</v>
      </c>
      <c r="AL71" s="495" t="e">
        <f t="shared" si="116"/>
        <v>#REF!</v>
      </c>
      <c r="AM71" s="495" t="e">
        <f t="shared" si="117"/>
        <v>#REF!</v>
      </c>
      <c r="AN71" s="495" t="e">
        <f t="shared" si="118"/>
        <v>#REF!</v>
      </c>
      <c r="AO71" s="495" t="e">
        <f t="shared" si="119"/>
        <v>#REF!</v>
      </c>
      <c r="AP71" s="495" t="e">
        <f t="shared" si="120"/>
        <v>#REF!</v>
      </c>
      <c r="AQ71" s="493" t="e">
        <f t="shared" si="121"/>
        <v>#REF!</v>
      </c>
      <c r="AR71" s="495" t="e">
        <f t="shared" ca="1" si="122"/>
        <v>#NAME?</v>
      </c>
      <c r="AS71" s="495" t="e">
        <f t="shared" ca="1" si="123"/>
        <v>#NAME?</v>
      </c>
      <c r="AT71" s="495" t="e">
        <f t="shared" si="124"/>
        <v>#REF!</v>
      </c>
      <c r="AU71" s="495" t="e">
        <f t="shared" si="125"/>
        <v>#REF!</v>
      </c>
      <c r="AV71" s="21"/>
      <c r="AW71" s="688" t="e">
        <f t="shared" ca="1" si="131"/>
        <v>#REF!</v>
      </c>
      <c r="AX71" s="554"/>
      <c r="AY71" s="554"/>
      <c r="AZ71" s="3"/>
      <c r="BA71" s="3"/>
      <c r="BB71" s="3"/>
      <c r="BC71" s="3"/>
      <c r="BD71" s="3"/>
      <c r="BE71" s="3"/>
      <c r="BF71" s="3"/>
      <c r="BG71" s="3"/>
      <c r="BH71" s="3"/>
      <c r="BI71" s="3"/>
      <c r="BJ71" s="3"/>
      <c r="BK71" s="3"/>
      <c r="BL71" s="3"/>
      <c r="BM71" s="3"/>
    </row>
    <row r="72" spans="1:65">
      <c r="A72" s="633" t="s">
        <v>170</v>
      </c>
      <c r="B72" s="665" t="s">
        <v>367</v>
      </c>
      <c r="C72" s="658">
        <v>587.95275590551182</v>
      </c>
      <c r="D72" s="18"/>
      <c r="E72" s="621">
        <v>22.63</v>
      </c>
      <c r="F72" s="621">
        <v>0</v>
      </c>
      <c r="G72" s="622">
        <v>1330</v>
      </c>
      <c r="H72" s="622">
        <v>790</v>
      </c>
      <c r="I72" s="622">
        <v>85.78</v>
      </c>
      <c r="J72" s="277">
        <v>40</v>
      </c>
      <c r="K72" s="622">
        <v>44.57</v>
      </c>
      <c r="L72" s="622">
        <v>1226.07</v>
      </c>
      <c r="M72" s="620">
        <v>0</v>
      </c>
      <c r="N72" s="620">
        <v>0</v>
      </c>
      <c r="O72" s="622">
        <v>22.24</v>
      </c>
      <c r="P72" s="622">
        <v>22.29</v>
      </c>
      <c r="Q72" s="69"/>
      <c r="R72" s="21"/>
      <c r="S72" s="489">
        <f t="shared" si="110"/>
        <v>3561.29</v>
      </c>
      <c r="T72" s="489" t="e">
        <f t="shared" si="126"/>
        <v>#REF!</v>
      </c>
      <c r="U72" s="489" t="e">
        <f>MAX(U$65:U$66)+IF($B$2="mil",1,0.0254)*DDR2Specs!$E$3</f>
        <v>#REF!</v>
      </c>
      <c r="V72" s="489" t="e">
        <f>MIN(U$65:U$66)+IF($B$2="mil",1,0.0254)*DDR2Specs!$F$3</f>
        <v>#REF!</v>
      </c>
      <c r="W72" s="21"/>
      <c r="X72" s="598" t="e">
        <f t="shared" si="111"/>
        <v>#REF!</v>
      </c>
      <c r="Y72" s="495" t="e">
        <f t="shared" si="127"/>
        <v>#REF!</v>
      </c>
      <c r="Z72" s="21"/>
      <c r="AA72" s="489">
        <f t="shared" si="112"/>
        <v>3561.34</v>
      </c>
      <c r="AB72" s="489" t="e">
        <f t="shared" si="128"/>
        <v>#REF!</v>
      </c>
      <c r="AC72" s="489" t="e">
        <f>MAX(AC$65:AC$66)+IF($B$2="mil",1,0.0254)*DDR2Specs!$E$3</f>
        <v>#REF!</v>
      </c>
      <c r="AD72" s="489" t="e">
        <f>MIN(AC$65:AC$66)+IF($B$2="mil",1,0.0254)*DDR2Specs!$F$3</f>
        <v>#REF!</v>
      </c>
      <c r="AE72" s="21"/>
      <c r="AF72" s="598" t="e">
        <f t="shared" si="129"/>
        <v>#REF!</v>
      </c>
      <c r="AG72" s="495" t="e">
        <f t="shared" si="130"/>
        <v>#REF!</v>
      </c>
      <c r="AH72" s="21"/>
      <c r="AI72" s="495" t="e">
        <f t="shared" si="113"/>
        <v>#REF!</v>
      </c>
      <c r="AJ72" s="495" t="e">
        <f t="shared" si="114"/>
        <v>#REF!</v>
      </c>
      <c r="AK72" s="495" t="e">
        <f t="shared" si="115"/>
        <v>#REF!</v>
      </c>
      <c r="AL72" s="495" t="e">
        <f t="shared" si="116"/>
        <v>#REF!</v>
      </c>
      <c r="AM72" s="495" t="e">
        <f t="shared" si="117"/>
        <v>#REF!</v>
      </c>
      <c r="AN72" s="495" t="e">
        <f t="shared" si="118"/>
        <v>#REF!</v>
      </c>
      <c r="AO72" s="495" t="e">
        <f t="shared" si="119"/>
        <v>#REF!</v>
      </c>
      <c r="AP72" s="495" t="e">
        <f t="shared" si="120"/>
        <v>#REF!</v>
      </c>
      <c r="AQ72" s="493" t="e">
        <f t="shared" si="121"/>
        <v>#REF!</v>
      </c>
      <c r="AR72" s="495" t="e">
        <f t="shared" ca="1" si="122"/>
        <v>#NAME?</v>
      </c>
      <c r="AS72" s="495" t="e">
        <f t="shared" ca="1" si="123"/>
        <v>#NAME?</v>
      </c>
      <c r="AT72" s="495" t="e">
        <f t="shared" si="124"/>
        <v>#REF!</v>
      </c>
      <c r="AU72" s="495" t="e">
        <f t="shared" si="125"/>
        <v>#REF!</v>
      </c>
      <c r="AV72" s="21"/>
      <c r="AW72" s="688" t="e">
        <f t="shared" ca="1" si="131"/>
        <v>#REF!</v>
      </c>
      <c r="AX72" s="554"/>
      <c r="AY72" s="554"/>
      <c r="AZ72" s="3"/>
      <c r="BA72" s="3"/>
      <c r="BB72" s="3"/>
      <c r="BC72" s="3"/>
      <c r="BD72" s="3"/>
      <c r="BE72" s="3"/>
      <c r="BF72" s="3"/>
      <c r="BG72" s="3"/>
      <c r="BH72" s="3"/>
      <c r="BI72" s="3"/>
      <c r="BJ72" s="3"/>
      <c r="BK72" s="3"/>
      <c r="BL72" s="3"/>
      <c r="BM72" s="3"/>
    </row>
    <row r="73" spans="1:65">
      <c r="A73" s="633" t="s">
        <v>171</v>
      </c>
      <c r="B73" s="665" t="s">
        <v>372</v>
      </c>
      <c r="C73" s="658">
        <v>692.79527559055123</v>
      </c>
      <c r="D73" s="18"/>
      <c r="E73" s="621">
        <v>22.63</v>
      </c>
      <c r="F73" s="621">
        <v>0</v>
      </c>
      <c r="G73" s="622">
        <v>1240</v>
      </c>
      <c r="H73" s="622">
        <v>785</v>
      </c>
      <c r="I73" s="622">
        <v>94.07</v>
      </c>
      <c r="J73" s="277">
        <v>40</v>
      </c>
      <c r="K73" s="622">
        <v>90.75</v>
      </c>
      <c r="L73" s="622">
        <v>1120.94</v>
      </c>
      <c r="M73" s="620">
        <v>0</v>
      </c>
      <c r="N73" s="620">
        <v>0</v>
      </c>
      <c r="O73" s="622">
        <v>64.260000000000005</v>
      </c>
      <c r="P73" s="622">
        <v>64.3</v>
      </c>
      <c r="Q73" s="69"/>
      <c r="R73" s="21"/>
      <c r="S73" s="489">
        <f t="shared" si="110"/>
        <v>3457.6500000000005</v>
      </c>
      <c r="T73" s="489" t="e">
        <f t="shared" si="126"/>
        <v>#REF!</v>
      </c>
      <c r="U73" s="489" t="e">
        <f>MAX(U$65:U$66)+IF($B$2="mil",1,0.0254)*DDR2Specs!$E$3</f>
        <v>#REF!</v>
      </c>
      <c r="V73" s="489" t="e">
        <f>MIN(U$65:U$66)+IF($B$2="mil",1,0.0254)*DDR2Specs!$F$3</f>
        <v>#REF!</v>
      </c>
      <c r="W73" s="21"/>
      <c r="X73" s="598" t="e">
        <f t="shared" si="111"/>
        <v>#REF!</v>
      </c>
      <c r="Y73" s="495" t="e">
        <f t="shared" si="127"/>
        <v>#REF!</v>
      </c>
      <c r="Z73" s="21"/>
      <c r="AA73" s="489">
        <f t="shared" si="112"/>
        <v>3457.6900000000005</v>
      </c>
      <c r="AB73" s="489" t="e">
        <f t="shared" si="128"/>
        <v>#REF!</v>
      </c>
      <c r="AC73" s="489" t="e">
        <f>MAX(AC$65:AC$66)+IF($B$2="mil",1,0.0254)*DDR2Specs!$E$3</f>
        <v>#REF!</v>
      </c>
      <c r="AD73" s="489" t="e">
        <f>MIN(AC$65:AC$66)+IF($B$2="mil",1,0.0254)*DDR2Specs!$F$3</f>
        <v>#REF!</v>
      </c>
      <c r="AE73" s="21"/>
      <c r="AF73" s="598" t="e">
        <f t="shared" si="129"/>
        <v>#REF!</v>
      </c>
      <c r="AG73" s="495" t="e">
        <f t="shared" si="130"/>
        <v>#REF!</v>
      </c>
      <c r="AH73" s="21"/>
      <c r="AI73" s="495" t="e">
        <f t="shared" si="113"/>
        <v>#REF!</v>
      </c>
      <c r="AJ73" s="495" t="e">
        <f t="shared" si="114"/>
        <v>#REF!</v>
      </c>
      <c r="AK73" s="495" t="e">
        <f t="shared" si="115"/>
        <v>#REF!</v>
      </c>
      <c r="AL73" s="495" t="e">
        <f t="shared" si="116"/>
        <v>#REF!</v>
      </c>
      <c r="AM73" s="495" t="e">
        <f t="shared" si="117"/>
        <v>#REF!</v>
      </c>
      <c r="AN73" s="495" t="e">
        <f t="shared" si="118"/>
        <v>#REF!</v>
      </c>
      <c r="AO73" s="495" t="e">
        <f t="shared" si="119"/>
        <v>#REF!</v>
      </c>
      <c r="AP73" s="495" t="e">
        <f t="shared" si="120"/>
        <v>#REF!</v>
      </c>
      <c r="AQ73" s="493" t="e">
        <f t="shared" si="121"/>
        <v>#REF!</v>
      </c>
      <c r="AR73" s="495" t="e">
        <f t="shared" ca="1" si="122"/>
        <v>#NAME?</v>
      </c>
      <c r="AS73" s="495" t="e">
        <f t="shared" ca="1" si="123"/>
        <v>#NAME?</v>
      </c>
      <c r="AT73" s="495" t="e">
        <f t="shared" si="124"/>
        <v>#REF!</v>
      </c>
      <c r="AU73" s="495" t="e">
        <f t="shared" si="125"/>
        <v>#REF!</v>
      </c>
      <c r="AV73" s="21"/>
      <c r="AW73" s="688" t="e">
        <f t="shared" ca="1" si="131"/>
        <v>#REF!</v>
      </c>
      <c r="AX73" s="554"/>
      <c r="AY73" s="554"/>
      <c r="AZ73" s="3"/>
      <c r="BA73" s="3"/>
      <c r="BB73" s="3"/>
      <c r="BC73" s="3"/>
      <c r="BD73" s="3"/>
      <c r="BE73" s="3"/>
      <c r="BF73" s="3"/>
      <c r="BG73" s="3"/>
      <c r="BH73" s="3"/>
      <c r="BI73" s="3"/>
      <c r="BJ73" s="3"/>
      <c r="BK73" s="3"/>
      <c r="BL73" s="3"/>
      <c r="BM73" s="3"/>
    </row>
    <row r="74" spans="1:65">
      <c r="A74" s="633" t="s">
        <v>172</v>
      </c>
      <c r="B74" s="665" t="s">
        <v>496</v>
      </c>
      <c r="C74" s="658">
        <v>671.29921259842513</v>
      </c>
      <c r="D74" s="18"/>
      <c r="E74" s="621">
        <v>22.63</v>
      </c>
      <c r="F74" s="621">
        <v>0</v>
      </c>
      <c r="G74" s="622">
        <v>1240</v>
      </c>
      <c r="H74" s="622">
        <v>810.56</v>
      </c>
      <c r="I74" s="622">
        <v>32.5</v>
      </c>
      <c r="J74" s="621">
        <v>40</v>
      </c>
      <c r="K74" s="622">
        <v>85.78</v>
      </c>
      <c r="L74" s="622">
        <v>1131.05</v>
      </c>
      <c r="M74" s="620">
        <v>0</v>
      </c>
      <c r="N74" s="620">
        <v>0</v>
      </c>
      <c r="O74" s="622">
        <v>116.74</v>
      </c>
      <c r="P74" s="622">
        <v>116.71</v>
      </c>
      <c r="Q74" s="69"/>
      <c r="R74" s="21"/>
      <c r="S74" s="489">
        <f t="shared" si="110"/>
        <v>3479.26</v>
      </c>
      <c r="T74" s="489" t="e">
        <f t="shared" si="126"/>
        <v>#REF!</v>
      </c>
      <c r="U74" s="489" t="e">
        <f>MAX(U$65:U$66)+IF($B$2="mil",1,0.0254)*DDR2Specs!$E$3</f>
        <v>#REF!</v>
      </c>
      <c r="V74" s="489" t="e">
        <f>MIN(U$65:U$66)+IF($B$2="mil",1,0.0254)*DDR2Specs!$F$3</f>
        <v>#REF!</v>
      </c>
      <c r="W74" s="21"/>
      <c r="X74" s="598" t="e">
        <f t="shared" si="111"/>
        <v>#REF!</v>
      </c>
      <c r="Y74" s="495" t="e">
        <f t="shared" si="127"/>
        <v>#REF!</v>
      </c>
      <c r="Z74" s="21"/>
      <c r="AA74" s="489">
        <f t="shared" si="112"/>
        <v>3479.2300000000005</v>
      </c>
      <c r="AB74" s="489" t="e">
        <f t="shared" si="128"/>
        <v>#REF!</v>
      </c>
      <c r="AC74" s="489" t="e">
        <f>MAX(AC$65:AC$66)+IF($B$2="mil",1,0.0254)*DDR2Specs!$E$3</f>
        <v>#REF!</v>
      </c>
      <c r="AD74" s="489" t="e">
        <f>MIN(AC$65:AC$66)+IF($B$2="mil",1,0.0254)*DDR2Specs!$F$3</f>
        <v>#REF!</v>
      </c>
      <c r="AE74" s="21"/>
      <c r="AF74" s="598" t="e">
        <f t="shared" si="129"/>
        <v>#REF!</v>
      </c>
      <c r="AG74" s="495" t="e">
        <f t="shared" si="130"/>
        <v>#REF!</v>
      </c>
      <c r="AH74" s="21"/>
      <c r="AI74" s="495" t="e">
        <f t="shared" si="113"/>
        <v>#REF!</v>
      </c>
      <c r="AJ74" s="495" t="e">
        <f t="shared" si="114"/>
        <v>#REF!</v>
      </c>
      <c r="AK74" s="495" t="e">
        <f t="shared" si="115"/>
        <v>#REF!</v>
      </c>
      <c r="AL74" s="495" t="e">
        <f t="shared" si="116"/>
        <v>#REF!</v>
      </c>
      <c r="AM74" s="495" t="e">
        <f t="shared" si="117"/>
        <v>#REF!</v>
      </c>
      <c r="AN74" s="495" t="e">
        <f t="shared" si="118"/>
        <v>#REF!</v>
      </c>
      <c r="AO74" s="495" t="e">
        <f t="shared" si="119"/>
        <v>#REF!</v>
      </c>
      <c r="AP74" s="495" t="e">
        <f t="shared" si="120"/>
        <v>#REF!</v>
      </c>
      <c r="AQ74" s="493" t="e">
        <f t="shared" si="121"/>
        <v>#REF!</v>
      </c>
      <c r="AR74" s="495" t="e">
        <f t="shared" ca="1" si="122"/>
        <v>#NAME?</v>
      </c>
      <c r="AS74" s="495" t="e">
        <f t="shared" ca="1" si="123"/>
        <v>#NAME?</v>
      </c>
      <c r="AT74" s="495" t="e">
        <f t="shared" si="124"/>
        <v>#REF!</v>
      </c>
      <c r="AU74" s="495" t="e">
        <f t="shared" si="125"/>
        <v>#REF!</v>
      </c>
      <c r="AV74" s="21"/>
      <c r="AW74" s="688" t="e">
        <f t="shared" ca="1" si="131"/>
        <v>#REF!</v>
      </c>
      <c r="AX74" s="554"/>
      <c r="AY74" s="554"/>
      <c r="AZ74" s="3"/>
      <c r="BA74" s="3"/>
      <c r="BB74" s="3"/>
      <c r="BC74" s="3"/>
      <c r="BD74" s="3"/>
      <c r="BE74" s="3"/>
      <c r="BF74" s="3"/>
      <c r="BG74" s="3"/>
      <c r="BH74" s="3"/>
      <c r="BI74" s="3"/>
      <c r="BJ74" s="3"/>
      <c r="BK74" s="3"/>
      <c r="BL74" s="3"/>
      <c r="BM74" s="3"/>
    </row>
    <row r="75" spans="1:65">
      <c r="A75" s="666" t="s">
        <v>173</v>
      </c>
      <c r="B75" s="667" t="s">
        <v>345</v>
      </c>
      <c r="C75" s="658">
        <v>583.81889763779532</v>
      </c>
      <c r="D75" s="18"/>
      <c r="E75" s="621">
        <v>22.63</v>
      </c>
      <c r="F75" s="621">
        <v>0</v>
      </c>
      <c r="G75" s="622">
        <v>1327</v>
      </c>
      <c r="H75" s="622">
        <v>792</v>
      </c>
      <c r="I75" s="622">
        <v>44.57</v>
      </c>
      <c r="J75" s="621">
        <v>40</v>
      </c>
      <c r="K75" s="622">
        <v>85.78</v>
      </c>
      <c r="L75" s="622">
        <v>1180.97</v>
      </c>
      <c r="M75" s="620">
        <v>0</v>
      </c>
      <c r="N75" s="620">
        <v>0</v>
      </c>
      <c r="O75" s="622">
        <v>69.45</v>
      </c>
      <c r="P75" s="622">
        <v>72.95</v>
      </c>
      <c r="Q75" s="69"/>
      <c r="R75" s="21"/>
      <c r="S75" s="489">
        <f t="shared" si="110"/>
        <v>3562.4000000000005</v>
      </c>
      <c r="T75" s="489" t="e">
        <f t="shared" si="126"/>
        <v>#REF!</v>
      </c>
      <c r="U75" s="489" t="e">
        <f>MAX(U$65:U$66)+IF($B$2="mil",1,0.0254)*DDR2Specs!$E$3</f>
        <v>#REF!</v>
      </c>
      <c r="V75" s="489" t="e">
        <f>MIN(U$65:U$66)+IF($B$2="mil",1,0.0254)*DDR2Specs!$F$3</f>
        <v>#REF!</v>
      </c>
      <c r="W75" s="21"/>
      <c r="X75" s="598" t="e">
        <f t="shared" si="111"/>
        <v>#REF!</v>
      </c>
      <c r="Y75" s="495" t="e">
        <f t="shared" si="127"/>
        <v>#REF!</v>
      </c>
      <c r="Z75" s="21"/>
      <c r="AA75" s="489">
        <f t="shared" si="112"/>
        <v>3565.9000000000005</v>
      </c>
      <c r="AB75" s="489" t="e">
        <f t="shared" si="128"/>
        <v>#REF!</v>
      </c>
      <c r="AC75" s="489" t="e">
        <f>MAX(AC$65:AC$66)+IF($B$2="mil",1,0.0254)*DDR2Specs!$E$3</f>
        <v>#REF!</v>
      </c>
      <c r="AD75" s="489" t="e">
        <f>MIN(AC$65:AC$66)+IF($B$2="mil",1,0.0254)*DDR2Specs!$F$3</f>
        <v>#REF!</v>
      </c>
      <c r="AE75" s="21"/>
      <c r="AF75" s="598" t="e">
        <f t="shared" si="129"/>
        <v>#REF!</v>
      </c>
      <c r="AG75" s="495" t="e">
        <f t="shared" si="130"/>
        <v>#REF!</v>
      </c>
      <c r="AH75" s="21"/>
      <c r="AI75" s="495" t="e">
        <f t="shared" si="113"/>
        <v>#REF!</v>
      </c>
      <c r="AJ75" s="495" t="e">
        <f t="shared" si="114"/>
        <v>#REF!</v>
      </c>
      <c r="AK75" s="495" t="e">
        <f t="shared" si="115"/>
        <v>#REF!</v>
      </c>
      <c r="AL75" s="495" t="e">
        <f t="shared" si="116"/>
        <v>#REF!</v>
      </c>
      <c r="AM75" s="495" t="e">
        <f t="shared" si="117"/>
        <v>#REF!</v>
      </c>
      <c r="AN75" s="495" t="e">
        <f t="shared" si="118"/>
        <v>#REF!</v>
      </c>
      <c r="AO75" s="495" t="e">
        <f t="shared" si="119"/>
        <v>#REF!</v>
      </c>
      <c r="AP75" s="495" t="e">
        <f t="shared" si="120"/>
        <v>#REF!</v>
      </c>
      <c r="AQ75" s="493" t="e">
        <f t="shared" si="121"/>
        <v>#REF!</v>
      </c>
      <c r="AR75" s="495" t="e">
        <f t="shared" ca="1" si="122"/>
        <v>#NAME?</v>
      </c>
      <c r="AS75" s="495" t="e">
        <f t="shared" ca="1" si="123"/>
        <v>#NAME?</v>
      </c>
      <c r="AT75" s="495" t="e">
        <f t="shared" si="124"/>
        <v>#REF!</v>
      </c>
      <c r="AU75" s="495" t="e">
        <f t="shared" si="125"/>
        <v>#REF!</v>
      </c>
      <c r="AV75" s="21"/>
      <c r="AW75" s="688" t="e">
        <f t="shared" ca="1" si="131"/>
        <v>#REF!</v>
      </c>
      <c r="AX75" s="554"/>
      <c r="AY75" s="554"/>
      <c r="AZ75" s="3"/>
      <c r="BA75" s="3"/>
      <c r="BB75" s="3"/>
      <c r="BC75" s="3"/>
      <c r="BD75" s="3"/>
      <c r="BE75" s="3"/>
      <c r="BF75" s="3"/>
      <c r="BG75" s="3"/>
      <c r="BH75" s="3"/>
      <c r="BI75" s="3"/>
      <c r="BJ75" s="3"/>
      <c r="BK75" s="3"/>
      <c r="BL75" s="3"/>
      <c r="BM75" s="3"/>
    </row>
    <row r="76" spans="1:65">
      <c r="A76" s="636" t="s">
        <v>203</v>
      </c>
      <c r="B76" s="668"/>
      <c r="C76" s="659"/>
      <c r="D76" s="62"/>
      <c r="E76" s="82"/>
      <c r="F76" s="82"/>
      <c r="G76" s="439"/>
      <c r="H76" s="295"/>
      <c r="I76" s="295"/>
      <c r="J76" s="295"/>
      <c r="K76" s="295"/>
      <c r="L76" s="295"/>
      <c r="M76" s="295"/>
      <c r="N76" s="295"/>
      <c r="O76" s="295"/>
      <c r="P76" s="295"/>
      <c r="Q76" s="10"/>
      <c r="R76" s="606"/>
      <c r="S76" s="82"/>
      <c r="T76" s="605"/>
      <c r="U76" s="605"/>
      <c r="V76" s="606"/>
      <c r="W76" s="606"/>
      <c r="X76" s="607"/>
      <c r="Y76" s="17"/>
      <c r="Z76" s="606"/>
      <c r="AA76" s="82"/>
      <c r="AB76" s="605"/>
      <c r="AC76" s="605"/>
      <c r="AD76" s="606"/>
      <c r="AE76" s="606"/>
      <c r="AF76" s="607"/>
      <c r="AG76" s="17"/>
      <c r="AH76" s="606"/>
      <c r="AI76" s="17"/>
      <c r="AJ76" s="17"/>
      <c r="AK76" s="16"/>
      <c r="AL76" s="16"/>
      <c r="AM76" s="16"/>
      <c r="AN76" s="16"/>
      <c r="AO76" s="16"/>
      <c r="AP76" s="16"/>
      <c r="AQ76" s="16"/>
      <c r="AR76" s="16"/>
      <c r="AS76" s="16"/>
      <c r="AT76" s="16"/>
      <c r="AU76" s="16"/>
      <c r="AV76" s="83"/>
      <c r="AW76" s="554"/>
      <c r="AX76" s="554"/>
      <c r="AY76" s="554"/>
      <c r="AZ76" s="3"/>
      <c r="BA76" s="3"/>
      <c r="BB76" s="3"/>
      <c r="BC76" s="3"/>
      <c r="BD76" s="3"/>
      <c r="BE76" s="3"/>
      <c r="BF76" s="3"/>
      <c r="BG76" s="3"/>
      <c r="BH76" s="3"/>
      <c r="BI76" s="3"/>
      <c r="BJ76" s="3"/>
      <c r="BK76" s="3"/>
      <c r="BL76" s="3"/>
      <c r="BM76" s="3"/>
    </row>
    <row r="77" spans="1:65">
      <c r="A77" s="650" t="str">
        <f>'DDR2 Strobes - 2x16'!$A$37</f>
        <v>SA_DQS6</v>
      </c>
      <c r="B77" s="669" t="str">
        <f>'DDR2 Strobes - 2x16'!$B$37</f>
        <v>AB14</v>
      </c>
      <c r="C77" s="660"/>
      <c r="D77" s="53"/>
      <c r="E77" s="81"/>
      <c r="F77" s="81"/>
      <c r="G77" s="440"/>
      <c r="H77" s="296"/>
      <c r="I77" s="296"/>
      <c r="J77" s="296"/>
      <c r="K77" s="296"/>
      <c r="L77" s="296"/>
      <c r="M77" s="296"/>
      <c r="N77" s="296"/>
      <c r="O77" s="296"/>
      <c r="P77" s="296"/>
      <c r="Q77" s="81"/>
      <c r="R77" s="58"/>
      <c r="S77" s="81"/>
      <c r="T77" s="58"/>
      <c r="U77" s="58" t="e">
        <f>'DDR2 Strobes - 2x16'!$U$37</f>
        <v>#REF!</v>
      </c>
      <c r="V77" s="58"/>
      <c r="W77" s="58"/>
      <c r="X77" s="58"/>
      <c r="Y77" s="608"/>
      <c r="Z77" s="58"/>
      <c r="AA77" s="81"/>
      <c r="AB77" s="58"/>
      <c r="AC77" s="58" t="e">
        <f>'DDR2 Strobes - 2x16'!$AC$37</f>
        <v>#REF!</v>
      </c>
      <c r="AD77" s="58"/>
      <c r="AE77" s="58"/>
      <c r="AF77" s="58"/>
      <c r="AG77" s="608"/>
      <c r="AH77" s="58"/>
      <c r="AI77" s="608"/>
      <c r="AJ77" s="608"/>
      <c r="AK77" s="608"/>
      <c r="AL77" s="608"/>
      <c r="AM77" s="608"/>
      <c r="AN77" s="608"/>
      <c r="AO77" s="608"/>
      <c r="AP77" s="608"/>
      <c r="AQ77" s="608"/>
      <c r="AR77" s="608"/>
      <c r="AS77" s="608"/>
      <c r="AT77" s="608"/>
      <c r="AU77" s="608"/>
      <c r="AV77" s="58"/>
      <c r="AW77" s="554"/>
      <c r="AX77" s="554"/>
      <c r="AY77" s="554"/>
      <c r="AZ77" s="3"/>
      <c r="BA77" s="3"/>
      <c r="BB77" s="3"/>
      <c r="BC77" s="3"/>
      <c r="BD77" s="3"/>
      <c r="BE77" s="3"/>
      <c r="BF77" s="3"/>
      <c r="BG77" s="3"/>
      <c r="BH77" s="3"/>
      <c r="BI77" s="3"/>
      <c r="BJ77" s="3"/>
      <c r="BK77" s="3"/>
      <c r="BL77" s="3"/>
      <c r="BM77" s="3"/>
    </row>
    <row r="78" spans="1:65">
      <c r="A78" s="650" t="str">
        <f>'DDR2 Strobes - 2x16'!$A$38</f>
        <v>SA_DQS6#</v>
      </c>
      <c r="B78" s="669" t="str">
        <f>'DDR2 Strobes - 2x16'!$B$38</f>
        <v>AB13</v>
      </c>
      <c r="C78" s="660"/>
      <c r="D78" s="53"/>
      <c r="E78" s="81"/>
      <c r="F78" s="81"/>
      <c r="G78" s="440"/>
      <c r="H78" s="296"/>
      <c r="I78" s="296"/>
      <c r="J78" s="296"/>
      <c r="K78" s="296"/>
      <c r="L78" s="296"/>
      <c r="M78" s="296"/>
      <c r="N78" s="296"/>
      <c r="O78" s="296"/>
      <c r="P78" s="296"/>
      <c r="Q78" s="81"/>
      <c r="R78" s="58"/>
      <c r="S78" s="602"/>
      <c r="T78" s="603"/>
      <c r="U78" s="58" t="e">
        <f>'DDR2 Strobes - 2x16'!$U$38</f>
        <v>#REF!</v>
      </c>
      <c r="V78" s="58"/>
      <c r="W78" s="58"/>
      <c r="X78" s="58"/>
      <c r="Y78" s="608"/>
      <c r="Z78" s="58"/>
      <c r="AA78" s="602"/>
      <c r="AB78" s="603"/>
      <c r="AC78" s="58" t="e">
        <f>'DDR2 Strobes - 2x16'!$AC$38</f>
        <v>#REF!</v>
      </c>
      <c r="AD78" s="58"/>
      <c r="AE78" s="58"/>
      <c r="AF78" s="58"/>
      <c r="AG78" s="608"/>
      <c r="AH78" s="58"/>
      <c r="AI78" s="608"/>
      <c r="AJ78" s="608"/>
      <c r="AK78" s="609"/>
      <c r="AL78" s="609"/>
      <c r="AM78" s="609"/>
      <c r="AN78" s="609"/>
      <c r="AO78" s="609"/>
      <c r="AP78" s="609"/>
      <c r="AQ78" s="609"/>
      <c r="AR78" s="609"/>
      <c r="AS78" s="609"/>
      <c r="AT78" s="609"/>
      <c r="AU78" s="609"/>
      <c r="AV78" s="58"/>
      <c r="AW78" s="554"/>
      <c r="AX78" s="554"/>
      <c r="AY78" s="554"/>
      <c r="AZ78" s="3"/>
      <c r="BA78" s="3"/>
      <c r="BB78" s="3"/>
      <c r="BC78" s="3"/>
      <c r="BD78" s="3"/>
      <c r="BE78" s="3"/>
      <c r="BF78" s="3"/>
      <c r="BG78" s="3"/>
      <c r="BH78" s="3"/>
      <c r="BI78" s="3"/>
      <c r="BJ78" s="3"/>
      <c r="BK78" s="3"/>
      <c r="BL78" s="3"/>
      <c r="BM78" s="3"/>
    </row>
    <row r="79" spans="1:65">
      <c r="A79" s="633" t="s">
        <v>174</v>
      </c>
      <c r="B79" s="672" t="s">
        <v>497</v>
      </c>
      <c r="C79" s="658">
        <v>846.81102362204729</v>
      </c>
      <c r="D79" s="18"/>
      <c r="E79" s="621">
        <v>22.63</v>
      </c>
      <c r="F79" s="621">
        <v>0</v>
      </c>
      <c r="G79" s="622">
        <v>1285.47</v>
      </c>
      <c r="H79" s="622">
        <v>780.87</v>
      </c>
      <c r="I79" s="622">
        <v>85.78</v>
      </c>
      <c r="J79" s="277">
        <v>40</v>
      </c>
      <c r="K79" s="622">
        <v>44.57</v>
      </c>
      <c r="L79" s="622">
        <v>1229.31</v>
      </c>
      <c r="M79" s="620">
        <v>0</v>
      </c>
      <c r="N79" s="620">
        <v>0</v>
      </c>
      <c r="O79" s="622">
        <v>22.29</v>
      </c>
      <c r="P79" s="622">
        <v>22.26</v>
      </c>
      <c r="Q79" s="69"/>
      <c r="R79" s="21"/>
      <c r="S79" s="489">
        <f t="shared" ref="S79:S87" si="132">SUM(E79:G79,H79:M79,O79)</f>
        <v>3510.9200000000005</v>
      </c>
      <c r="T79" s="489" t="e">
        <f>S79+IF($B$2="mil",1,0.0254)*$C79</f>
        <v>#REF!</v>
      </c>
      <c r="U79" s="489" t="e">
        <f>MAX(U$77:U$78)+IF($B$2="mil",1,0.0254)*DDR2Specs!$E$3</f>
        <v>#REF!</v>
      </c>
      <c r="V79" s="489" t="e">
        <f>MIN(U$77:U$78)+IF($B$2="mil",1,0.0254)*DDR2Specs!$F$3</f>
        <v>#REF!</v>
      </c>
      <c r="W79" s="21"/>
      <c r="X79" s="598" t="e">
        <f t="shared" ref="X79:X87" si="133">IF($T79&lt;$U79,$U79-$T79,"Pass")</f>
        <v>#REF!</v>
      </c>
      <c r="Y79" s="495" t="e">
        <f t="shared" ref="Y79:Y87" si="134">IF($T79&gt;$V79,$T79-$V79,"Pass")</f>
        <v>#REF!</v>
      </c>
      <c r="Z79" s="21"/>
      <c r="AA79" s="489">
        <f t="shared" ref="AA79:AA87" si="135">SUM(E79:G79,H79:L79,N79,P79)</f>
        <v>3510.8900000000008</v>
      </c>
      <c r="AB79" s="489" t="e">
        <f>AA79+IF($B$2="mil",1,0.0254)*$C79</f>
        <v>#REF!</v>
      </c>
      <c r="AC79" s="489" t="e">
        <f>MAX(AC$77:AC$78)+IF($B$2="mil",1,0.0254)*DDR2Specs!$E$3</f>
        <v>#REF!</v>
      </c>
      <c r="AD79" s="489" t="e">
        <f>MIN(AC$77:AC$78)+IF($B$2="mil",1,0.0254)*DDR2Specs!$F$3</f>
        <v>#REF!</v>
      </c>
      <c r="AE79" s="21"/>
      <c r="AF79" s="598" t="e">
        <f>IF($AB79&lt;$AC79,$AC79-$AB79,"Pass")</f>
        <v>#REF!</v>
      </c>
      <c r="AG79" s="495" t="e">
        <f>IF($AB79&gt;$AD79,$AB79-$AD79,"Pass")</f>
        <v>#REF!</v>
      </c>
      <c r="AH79" s="21"/>
      <c r="AI79" s="495" t="e">
        <f t="shared" ref="AI79:AI87" si="136">IF($E79&lt;=IF($B$2="mil",1,0.0254)*50,"Pass",IF($B$2="mil",1,0.0254)*50-$E79)</f>
        <v>#REF!</v>
      </c>
      <c r="AJ79" s="495" t="e">
        <f t="shared" ref="AJ79:AJ87" si="137">IF($F79&lt;=IF($B$2="mil",1,0.0254)*500,"Pass",IF($B$2="mil",1,0.0254)*500-$F79)</f>
        <v>#REF!</v>
      </c>
      <c r="AK79" s="495" t="e">
        <f t="shared" ref="AK79:AK87" si="138">IF(($G79+$H79)&lt;=IF($B$2="mil",1,0.0254)*2750,"Pass",IF($B$2="mil",1,0.0254)*2750-($G79+D79))</f>
        <v>#REF!</v>
      </c>
      <c r="AL79" s="495" t="e">
        <f t="shared" ref="AL79:AL87" si="139">IF($I79&lt;=IF($B$2="mil",1,0.0254)*125,"Pass",IF($B$2="mil",1,0.0254)*125-$I79)</f>
        <v>#REF!</v>
      </c>
      <c r="AM79" s="495" t="e">
        <f t="shared" ref="AM79:AM87" si="140">IF($K79&lt;=IF($B$2="mil",1,0.0254)*125,"Pass",IF($B$2="mil",1,0.0254)*125-$K79)</f>
        <v>#REF!</v>
      </c>
      <c r="AN79" s="495" t="e">
        <f t="shared" ref="AN79:AN87" si="141">IF(($K79+$L79)&lt;=IF($B$2="mil",1,0.0254)*1350,"Pass",IF($B$2="mil",1,0.0254)*1350-($K79+L79))</f>
        <v>#REF!</v>
      </c>
      <c r="AO79" s="495" t="e">
        <f t="shared" ref="AO79:AO87" si="142">IF($M79&lt;=IF($B$2="mil",1,0.0254)*650,"Pass",IF($B$2="mil",1,0.0254)*650-$M79)</f>
        <v>#REF!</v>
      </c>
      <c r="AP79" s="495" t="e">
        <f t="shared" ref="AP79:AP87" si="143">IF($N79&lt;=IF($B$2="mil",1,0.0254)*650,"Pass",IF($B$2="mil",1,0.0254)*650-$N79)</f>
        <v>#REF!</v>
      </c>
      <c r="AQ79" s="493" t="e">
        <f t="shared" ref="AQ79:AQ87" si="144">IF(MAX(M79:N79)-MIN(M79:N79)&lt;=IF($B$2="mil",1,0.0254)*50,"Pass",MAX(M79:N79)-MIN(M79:N79)-IF($B$2="mil",1,0.0254)*50)</f>
        <v>#REF!</v>
      </c>
      <c r="AR79" s="495" t="e">
        <f t="shared" ref="AR79:AR87" ca="1" si="145">CheckLength2(IF($B$2="mil",1,0.0254)*800,$O79,M79,0)</f>
        <v>#NAME?</v>
      </c>
      <c r="AS79" s="495" t="e">
        <f t="shared" ref="AS79:AS87" ca="1" si="146">CheckLength2(IF($B$2="mil",1,0.0254)*800,$P79,N79,0)</f>
        <v>#NAME?</v>
      </c>
      <c r="AT79" s="495" t="e">
        <f t="shared" ref="AT79:AT87" si="147">IF(AND($S79&gt;=IF($B$2="mil",1,0.0254)*500, $S79&lt;=IF($B$2="mil",1,0.0254)*5500),"Pass",IF($B$2="mil",1,0.0254)*5500-$S79)</f>
        <v>#REF!</v>
      </c>
      <c r="AU79" s="495" t="e">
        <f t="shared" ref="AU79:AU87" si="148">IF(AND($T79&gt;=IF($B$2="mil",1,0.0254)*500, $T79&lt;=IF($B$2="mil",1,0.0254)*6000),"Pass",IF($B$2="mil",1,0.0254)*6000-$T79)</f>
        <v>#REF!</v>
      </c>
      <c r="AV79" s="21"/>
      <c r="AW79" s="688" t="e">
        <f ca="1">IF(AND(AF79="Pass",AG79="Pass",AI79="Pass",AJ79="Pass",AS79="Pass",AN79="Pass",AO79="Pass",AP79="Pass",AQ79="Pass",AR79="Pass",AM79="Pass",AL79="Pass",AK79="Pass",X79="Pass",Y79="Pass",AT79="Pass",AU79="Pass"),"Pass","Fail")</f>
        <v>#REF!</v>
      </c>
      <c r="AX79" s="554" t="e">
        <f ca="1">IF(AND(AW79="Pass",AW80="Pass",AW81="Pass",AW82="Pass",AW83="Pass",AW84="Pass",AW85="Pass",AW86="Pass",AW87="Pass"),"Pass","Fail")</f>
        <v>#REF!</v>
      </c>
      <c r="AY79" s="554"/>
      <c r="AZ79" s="3"/>
      <c r="BA79" s="3"/>
      <c r="BB79" s="3"/>
      <c r="BC79" s="3"/>
      <c r="BD79" s="3"/>
      <c r="BE79" s="3"/>
      <c r="BF79" s="3"/>
      <c r="BG79" s="3"/>
      <c r="BH79" s="3"/>
      <c r="BI79" s="3"/>
      <c r="BJ79" s="3"/>
      <c r="BK79" s="3"/>
      <c r="BL79" s="3"/>
      <c r="BM79" s="3"/>
    </row>
    <row r="80" spans="1:65">
      <c r="A80" s="633" t="s">
        <v>175</v>
      </c>
      <c r="B80" s="665" t="s">
        <v>498</v>
      </c>
      <c r="C80" s="658">
        <v>749.48818897637796</v>
      </c>
      <c r="D80" s="18"/>
      <c r="E80" s="621">
        <v>22.63</v>
      </c>
      <c r="F80" s="621">
        <v>0</v>
      </c>
      <c r="G80" s="622">
        <v>1416.4</v>
      </c>
      <c r="H80" s="622">
        <v>759</v>
      </c>
      <c r="I80" s="622">
        <v>85.78</v>
      </c>
      <c r="J80" s="277">
        <v>40</v>
      </c>
      <c r="K80" s="622">
        <v>42.23</v>
      </c>
      <c r="L80" s="622">
        <v>1216.4100000000001</v>
      </c>
      <c r="M80" s="620">
        <v>0</v>
      </c>
      <c r="N80" s="620">
        <v>0</v>
      </c>
      <c r="O80" s="622">
        <v>22.26</v>
      </c>
      <c r="P80" s="622">
        <v>22.23</v>
      </c>
      <c r="Q80" s="69"/>
      <c r="R80" s="21"/>
      <c r="S80" s="489">
        <f t="shared" si="132"/>
        <v>3604.7100000000009</v>
      </c>
      <c r="T80" s="489" t="e">
        <f t="shared" ref="T80:T87" si="149">S80+IF($B$2="mil",1,0.0254)*$C80</f>
        <v>#REF!</v>
      </c>
      <c r="U80" s="489" t="e">
        <f>MAX(U$77:U$78)+IF($B$2="mil",1,0.0254)*DDR2Specs!$E$3</f>
        <v>#REF!</v>
      </c>
      <c r="V80" s="489" t="e">
        <f>MIN(U$77:U$78)+IF($B$2="mil",1,0.0254)*DDR2Specs!$F$3</f>
        <v>#REF!</v>
      </c>
      <c r="W80" s="21"/>
      <c r="X80" s="598" t="e">
        <f t="shared" si="133"/>
        <v>#REF!</v>
      </c>
      <c r="Y80" s="495" t="e">
        <f t="shared" si="134"/>
        <v>#REF!</v>
      </c>
      <c r="Z80" s="21"/>
      <c r="AA80" s="489">
        <f t="shared" si="135"/>
        <v>3604.6800000000007</v>
      </c>
      <c r="AB80" s="489" t="e">
        <f t="shared" ref="AB80:AB87" si="150">AA80+IF($B$2="mil",1,0.0254)*$C80</f>
        <v>#REF!</v>
      </c>
      <c r="AC80" s="489" t="e">
        <f>MAX(AC$77:AC$78)+IF($B$2="mil",1,0.0254)*DDR2Specs!$E$3</f>
        <v>#REF!</v>
      </c>
      <c r="AD80" s="489" t="e">
        <f>MIN(AC$77:AC$78)+IF($B$2="mil",1,0.0254)*DDR2Specs!$F$3</f>
        <v>#REF!</v>
      </c>
      <c r="AE80" s="21"/>
      <c r="AF80" s="598" t="e">
        <f t="shared" ref="AF80:AF87" si="151">IF($AB80&lt;$AC80,$AC80-$AB80,"Pass")</f>
        <v>#REF!</v>
      </c>
      <c r="AG80" s="495" t="e">
        <f t="shared" ref="AG80:AG87" si="152">IF($AB80&gt;$AD80,$AB80-$AD80,"Pass")</f>
        <v>#REF!</v>
      </c>
      <c r="AH80" s="21"/>
      <c r="AI80" s="495" t="e">
        <f t="shared" si="136"/>
        <v>#REF!</v>
      </c>
      <c r="AJ80" s="495" t="e">
        <f t="shared" si="137"/>
        <v>#REF!</v>
      </c>
      <c r="AK80" s="495" t="e">
        <f t="shared" si="138"/>
        <v>#REF!</v>
      </c>
      <c r="AL80" s="495" t="e">
        <f t="shared" si="139"/>
        <v>#REF!</v>
      </c>
      <c r="AM80" s="495" t="e">
        <f t="shared" si="140"/>
        <v>#REF!</v>
      </c>
      <c r="AN80" s="495" t="e">
        <f t="shared" si="141"/>
        <v>#REF!</v>
      </c>
      <c r="AO80" s="495" t="e">
        <f t="shared" si="142"/>
        <v>#REF!</v>
      </c>
      <c r="AP80" s="495" t="e">
        <f t="shared" si="143"/>
        <v>#REF!</v>
      </c>
      <c r="AQ80" s="493" t="e">
        <f t="shared" si="144"/>
        <v>#REF!</v>
      </c>
      <c r="AR80" s="495" t="e">
        <f t="shared" ca="1" si="145"/>
        <v>#NAME?</v>
      </c>
      <c r="AS80" s="495" t="e">
        <f t="shared" ca="1" si="146"/>
        <v>#NAME?</v>
      </c>
      <c r="AT80" s="495" t="e">
        <f t="shared" si="147"/>
        <v>#REF!</v>
      </c>
      <c r="AU80" s="495" t="e">
        <f t="shared" si="148"/>
        <v>#REF!</v>
      </c>
      <c r="AV80" s="21"/>
      <c r="AW80" s="688" t="e">
        <f t="shared" ref="AW80:AW87" ca="1" si="153">IF(AND(AF80="Pass",AG80="Pass",AI80="Pass",AJ80="Pass",AS80="Pass",AN80="Pass",AO80="Pass",AP80="Pass",AQ80="Pass",AR80="Pass",AM80="Pass",AL80="Pass",AK80="Pass",X80="Pass",Y80="Pass",AT80="Pass",AU80="Pass"),"Pass","Fail")</f>
        <v>#REF!</v>
      </c>
      <c r="AX80" s="554"/>
      <c r="AY80" s="554"/>
      <c r="AZ80" s="3"/>
      <c r="BA80" s="3"/>
      <c r="BB80" s="3"/>
      <c r="BC80" s="3"/>
      <c r="BD80" s="3"/>
      <c r="BE80" s="3"/>
      <c r="BF80" s="3"/>
      <c r="BG80" s="3"/>
      <c r="BH80" s="3"/>
      <c r="BI80" s="3"/>
      <c r="BJ80" s="3"/>
      <c r="BK80" s="3"/>
      <c r="BL80" s="3"/>
      <c r="BM80" s="3"/>
    </row>
    <row r="81" spans="1:65">
      <c r="A81" s="633" t="s">
        <v>176</v>
      </c>
      <c r="B81" s="665" t="s">
        <v>113</v>
      </c>
      <c r="C81" s="658">
        <v>668.97637795275591</v>
      </c>
      <c r="D81" s="18"/>
      <c r="E81" s="621">
        <v>22.63</v>
      </c>
      <c r="F81" s="621">
        <v>0</v>
      </c>
      <c r="G81" s="622">
        <v>1465.88</v>
      </c>
      <c r="H81" s="622">
        <v>790.71</v>
      </c>
      <c r="I81" s="622">
        <v>81.64</v>
      </c>
      <c r="J81" s="277">
        <v>40</v>
      </c>
      <c r="K81" s="622">
        <v>85.78</v>
      </c>
      <c r="L81" s="622">
        <v>1188.9100000000001</v>
      </c>
      <c r="M81" s="620">
        <v>0</v>
      </c>
      <c r="N81" s="620">
        <v>0</v>
      </c>
      <c r="O81" s="622">
        <v>22.28</v>
      </c>
      <c r="P81" s="622">
        <v>22.25</v>
      </c>
      <c r="Q81" s="69"/>
      <c r="R81" s="21"/>
      <c r="S81" s="489">
        <f t="shared" si="132"/>
        <v>3697.8300000000004</v>
      </c>
      <c r="T81" s="489" t="e">
        <f t="shared" si="149"/>
        <v>#REF!</v>
      </c>
      <c r="U81" s="489" t="e">
        <f>MAX(U$77:U$78)+IF($B$2="mil",1,0.0254)*DDR2Specs!$E$3</f>
        <v>#REF!</v>
      </c>
      <c r="V81" s="489" t="e">
        <f>MIN(U$77:U$78)+IF($B$2="mil",1,0.0254)*DDR2Specs!$F$3</f>
        <v>#REF!</v>
      </c>
      <c r="W81" s="21"/>
      <c r="X81" s="598" t="e">
        <f t="shared" si="133"/>
        <v>#REF!</v>
      </c>
      <c r="Y81" s="495" t="e">
        <f t="shared" si="134"/>
        <v>#REF!</v>
      </c>
      <c r="Z81" s="21"/>
      <c r="AA81" s="489">
        <f t="shared" si="135"/>
        <v>3697.8</v>
      </c>
      <c r="AB81" s="489" t="e">
        <f t="shared" si="150"/>
        <v>#REF!</v>
      </c>
      <c r="AC81" s="489" t="e">
        <f>MAX(AC$77:AC$78)+IF($B$2="mil",1,0.0254)*DDR2Specs!$E$3</f>
        <v>#REF!</v>
      </c>
      <c r="AD81" s="489" t="e">
        <f>MIN(AC$77:AC$78)+IF($B$2="mil",1,0.0254)*DDR2Specs!$F$3</f>
        <v>#REF!</v>
      </c>
      <c r="AE81" s="21"/>
      <c r="AF81" s="598" t="e">
        <f t="shared" si="151"/>
        <v>#REF!</v>
      </c>
      <c r="AG81" s="495" t="e">
        <f t="shared" si="152"/>
        <v>#REF!</v>
      </c>
      <c r="AH81" s="21"/>
      <c r="AI81" s="495" t="e">
        <f t="shared" si="136"/>
        <v>#REF!</v>
      </c>
      <c r="AJ81" s="495" t="e">
        <f t="shared" si="137"/>
        <v>#REF!</v>
      </c>
      <c r="AK81" s="495" t="e">
        <f t="shared" si="138"/>
        <v>#REF!</v>
      </c>
      <c r="AL81" s="495" t="e">
        <f t="shared" si="139"/>
        <v>#REF!</v>
      </c>
      <c r="AM81" s="495" t="e">
        <f t="shared" si="140"/>
        <v>#REF!</v>
      </c>
      <c r="AN81" s="495" t="e">
        <f t="shared" si="141"/>
        <v>#REF!</v>
      </c>
      <c r="AO81" s="495" t="e">
        <f t="shared" si="142"/>
        <v>#REF!</v>
      </c>
      <c r="AP81" s="495" t="e">
        <f t="shared" si="143"/>
        <v>#REF!</v>
      </c>
      <c r="AQ81" s="493" t="e">
        <f t="shared" si="144"/>
        <v>#REF!</v>
      </c>
      <c r="AR81" s="495" t="e">
        <f t="shared" ca="1" si="145"/>
        <v>#NAME?</v>
      </c>
      <c r="AS81" s="495" t="e">
        <f t="shared" ca="1" si="146"/>
        <v>#NAME?</v>
      </c>
      <c r="AT81" s="495" t="e">
        <f t="shared" si="147"/>
        <v>#REF!</v>
      </c>
      <c r="AU81" s="495" t="e">
        <f t="shared" si="148"/>
        <v>#REF!</v>
      </c>
      <c r="AV81" s="21"/>
      <c r="AW81" s="688" t="e">
        <f t="shared" ca="1" si="153"/>
        <v>#REF!</v>
      </c>
      <c r="AX81" s="554"/>
      <c r="AY81" s="554"/>
      <c r="AZ81" s="3"/>
      <c r="BA81" s="3"/>
      <c r="BB81" s="3"/>
      <c r="BC81" s="3"/>
      <c r="BD81" s="3"/>
      <c r="BE81" s="3"/>
      <c r="BF81" s="3"/>
      <c r="BG81" s="3"/>
      <c r="BH81" s="3"/>
      <c r="BI81" s="3"/>
      <c r="BJ81" s="3"/>
      <c r="BK81" s="3"/>
      <c r="BL81" s="3"/>
      <c r="BM81" s="3"/>
    </row>
    <row r="82" spans="1:65">
      <c r="A82" s="633" t="s">
        <v>177</v>
      </c>
      <c r="B82" s="665" t="s">
        <v>499</v>
      </c>
      <c r="C82" s="658">
        <v>678.50393700787413</v>
      </c>
      <c r="D82" s="18"/>
      <c r="E82" s="621">
        <v>22.63</v>
      </c>
      <c r="F82" s="621">
        <v>0</v>
      </c>
      <c r="G82" s="622">
        <v>1461.52</v>
      </c>
      <c r="H82" s="622">
        <v>785.11</v>
      </c>
      <c r="I82" s="622">
        <v>85.78</v>
      </c>
      <c r="J82" s="277">
        <v>40</v>
      </c>
      <c r="K82" s="622">
        <v>44.57</v>
      </c>
      <c r="L82" s="622">
        <v>1219.69</v>
      </c>
      <c r="M82" s="620">
        <v>0</v>
      </c>
      <c r="N82" s="620">
        <v>0</v>
      </c>
      <c r="O82" s="622">
        <v>22.25</v>
      </c>
      <c r="P82" s="622">
        <v>22.28</v>
      </c>
      <c r="Q82" s="69"/>
      <c r="R82" s="21"/>
      <c r="S82" s="489">
        <f t="shared" si="132"/>
        <v>3681.5500000000006</v>
      </c>
      <c r="T82" s="489" t="e">
        <f t="shared" si="149"/>
        <v>#REF!</v>
      </c>
      <c r="U82" s="489" t="e">
        <f>MAX(U$77:U$78)+IF($B$2="mil",1,0.0254)*DDR2Specs!$E$3</f>
        <v>#REF!</v>
      </c>
      <c r="V82" s="489" t="e">
        <f>MIN(U$77:U$78)+IF($B$2="mil",1,0.0254)*DDR2Specs!$F$3</f>
        <v>#REF!</v>
      </c>
      <c r="W82" s="21"/>
      <c r="X82" s="598" t="e">
        <f t="shared" si="133"/>
        <v>#REF!</v>
      </c>
      <c r="Y82" s="495" t="e">
        <f t="shared" si="134"/>
        <v>#REF!</v>
      </c>
      <c r="Z82" s="21"/>
      <c r="AA82" s="489">
        <f t="shared" si="135"/>
        <v>3681.5800000000008</v>
      </c>
      <c r="AB82" s="489" t="e">
        <f t="shared" si="150"/>
        <v>#REF!</v>
      </c>
      <c r="AC82" s="489" t="e">
        <f>MAX(AC$77:AC$78)+IF($B$2="mil",1,0.0254)*DDR2Specs!$E$3</f>
        <v>#REF!</v>
      </c>
      <c r="AD82" s="489" t="e">
        <f>MIN(AC$77:AC$78)+IF($B$2="mil",1,0.0254)*DDR2Specs!$F$3</f>
        <v>#REF!</v>
      </c>
      <c r="AE82" s="21"/>
      <c r="AF82" s="598" t="e">
        <f t="shared" si="151"/>
        <v>#REF!</v>
      </c>
      <c r="AG82" s="495" t="e">
        <f t="shared" si="152"/>
        <v>#REF!</v>
      </c>
      <c r="AH82" s="21"/>
      <c r="AI82" s="495" t="e">
        <f t="shared" si="136"/>
        <v>#REF!</v>
      </c>
      <c r="AJ82" s="495" t="e">
        <f t="shared" si="137"/>
        <v>#REF!</v>
      </c>
      <c r="AK82" s="495" t="e">
        <f t="shared" si="138"/>
        <v>#REF!</v>
      </c>
      <c r="AL82" s="495" t="e">
        <f t="shared" si="139"/>
        <v>#REF!</v>
      </c>
      <c r="AM82" s="495" t="e">
        <f t="shared" si="140"/>
        <v>#REF!</v>
      </c>
      <c r="AN82" s="495" t="e">
        <f t="shared" si="141"/>
        <v>#REF!</v>
      </c>
      <c r="AO82" s="495" t="e">
        <f t="shared" si="142"/>
        <v>#REF!</v>
      </c>
      <c r="AP82" s="495" t="e">
        <f t="shared" si="143"/>
        <v>#REF!</v>
      </c>
      <c r="AQ82" s="493" t="e">
        <f t="shared" si="144"/>
        <v>#REF!</v>
      </c>
      <c r="AR82" s="495" t="e">
        <f t="shared" ca="1" si="145"/>
        <v>#NAME?</v>
      </c>
      <c r="AS82" s="495" t="e">
        <f t="shared" ca="1" si="146"/>
        <v>#NAME?</v>
      </c>
      <c r="AT82" s="495" t="e">
        <f t="shared" si="147"/>
        <v>#REF!</v>
      </c>
      <c r="AU82" s="495" t="e">
        <f t="shared" si="148"/>
        <v>#REF!</v>
      </c>
      <c r="AV82" s="21"/>
      <c r="AW82" s="688" t="e">
        <f t="shared" ca="1" si="153"/>
        <v>#REF!</v>
      </c>
      <c r="AX82" s="554"/>
      <c r="AY82" s="554"/>
      <c r="AZ82" s="3"/>
      <c r="BA82" s="3"/>
      <c r="BB82" s="3"/>
      <c r="BC82" s="3"/>
      <c r="BD82" s="3"/>
      <c r="BE82" s="3"/>
      <c r="BF82" s="3"/>
      <c r="BG82" s="3"/>
      <c r="BH82" s="3"/>
      <c r="BI82" s="3"/>
      <c r="BJ82" s="3"/>
      <c r="BK82" s="3"/>
      <c r="BL82" s="3"/>
      <c r="BM82" s="3"/>
    </row>
    <row r="83" spans="1:65">
      <c r="A83" s="633" t="s">
        <v>178</v>
      </c>
      <c r="B83" s="665" t="s">
        <v>500</v>
      </c>
      <c r="C83" s="658">
        <v>794.01574803149606</v>
      </c>
      <c r="D83" s="18"/>
      <c r="E83" s="621">
        <v>22.63</v>
      </c>
      <c r="F83" s="621">
        <v>0</v>
      </c>
      <c r="G83" s="622">
        <v>1290.31</v>
      </c>
      <c r="H83" s="622">
        <v>790.77</v>
      </c>
      <c r="I83" s="622">
        <v>81.64</v>
      </c>
      <c r="J83" s="277">
        <v>40</v>
      </c>
      <c r="K83" s="622">
        <v>29.57</v>
      </c>
      <c r="L83" s="622">
        <v>1245.1600000000001</v>
      </c>
      <c r="M83" s="620">
        <v>0</v>
      </c>
      <c r="N83" s="620">
        <v>0</v>
      </c>
      <c r="O83" s="622">
        <v>64.760000000000005</v>
      </c>
      <c r="P83" s="622">
        <v>64.790000000000006</v>
      </c>
      <c r="Q83" s="69"/>
      <c r="R83" s="21"/>
      <c r="S83" s="489">
        <f t="shared" si="132"/>
        <v>3564.84</v>
      </c>
      <c r="T83" s="489" t="e">
        <f t="shared" si="149"/>
        <v>#REF!</v>
      </c>
      <c r="U83" s="489" t="e">
        <f>MAX(U$77:U$78)+IF($B$2="mil",1,0.0254)*DDR2Specs!$E$3</f>
        <v>#REF!</v>
      </c>
      <c r="V83" s="489" t="e">
        <f>MIN(U$77:U$78)+IF($B$2="mil",1,0.0254)*DDR2Specs!$F$3</f>
        <v>#REF!</v>
      </c>
      <c r="W83" s="21"/>
      <c r="X83" s="598" t="e">
        <f t="shared" si="133"/>
        <v>#REF!</v>
      </c>
      <c r="Y83" s="495" t="e">
        <f t="shared" si="134"/>
        <v>#REF!</v>
      </c>
      <c r="Z83" s="21"/>
      <c r="AA83" s="489">
        <f t="shared" si="135"/>
        <v>3564.87</v>
      </c>
      <c r="AB83" s="489" t="e">
        <f t="shared" si="150"/>
        <v>#REF!</v>
      </c>
      <c r="AC83" s="489" t="e">
        <f>MAX(AC$77:AC$78)+IF($B$2="mil",1,0.0254)*DDR2Specs!$E$3</f>
        <v>#REF!</v>
      </c>
      <c r="AD83" s="489" t="e">
        <f>MIN(AC$77:AC$78)+IF($B$2="mil",1,0.0254)*DDR2Specs!$F$3</f>
        <v>#REF!</v>
      </c>
      <c r="AE83" s="21"/>
      <c r="AF83" s="598" t="e">
        <f t="shared" si="151"/>
        <v>#REF!</v>
      </c>
      <c r="AG83" s="495" t="e">
        <f t="shared" si="152"/>
        <v>#REF!</v>
      </c>
      <c r="AH83" s="21"/>
      <c r="AI83" s="495" t="e">
        <f t="shared" si="136"/>
        <v>#REF!</v>
      </c>
      <c r="AJ83" s="495" t="e">
        <f t="shared" si="137"/>
        <v>#REF!</v>
      </c>
      <c r="AK83" s="495" t="e">
        <f t="shared" si="138"/>
        <v>#REF!</v>
      </c>
      <c r="AL83" s="495" t="e">
        <f t="shared" si="139"/>
        <v>#REF!</v>
      </c>
      <c r="AM83" s="495" t="e">
        <f t="shared" si="140"/>
        <v>#REF!</v>
      </c>
      <c r="AN83" s="495" t="e">
        <f t="shared" si="141"/>
        <v>#REF!</v>
      </c>
      <c r="AO83" s="495" t="e">
        <f t="shared" si="142"/>
        <v>#REF!</v>
      </c>
      <c r="AP83" s="495" t="e">
        <f t="shared" si="143"/>
        <v>#REF!</v>
      </c>
      <c r="AQ83" s="493" t="e">
        <f t="shared" si="144"/>
        <v>#REF!</v>
      </c>
      <c r="AR83" s="495" t="e">
        <f t="shared" ca="1" si="145"/>
        <v>#NAME?</v>
      </c>
      <c r="AS83" s="495" t="e">
        <f t="shared" ca="1" si="146"/>
        <v>#NAME?</v>
      </c>
      <c r="AT83" s="495" t="e">
        <f t="shared" si="147"/>
        <v>#REF!</v>
      </c>
      <c r="AU83" s="495" t="e">
        <f t="shared" si="148"/>
        <v>#REF!</v>
      </c>
      <c r="AV83" s="21"/>
      <c r="AW83" s="688" t="e">
        <f t="shared" ca="1" si="153"/>
        <v>#REF!</v>
      </c>
      <c r="AX83" s="554"/>
      <c r="AY83" s="554"/>
      <c r="AZ83" s="3"/>
      <c r="BA83" s="3"/>
      <c r="BB83" s="3"/>
      <c r="BC83" s="3"/>
      <c r="BD83" s="3"/>
      <c r="BE83" s="3"/>
      <c r="BF83" s="3"/>
      <c r="BG83" s="3"/>
      <c r="BH83" s="3"/>
      <c r="BI83" s="3"/>
      <c r="BJ83" s="3"/>
      <c r="BK83" s="3"/>
      <c r="BL83" s="3"/>
      <c r="BM83" s="3"/>
    </row>
    <row r="84" spans="1:65">
      <c r="A84" s="633" t="s">
        <v>179</v>
      </c>
      <c r="B84" s="665" t="s">
        <v>346</v>
      </c>
      <c r="C84" s="658">
        <v>766.88976377952758</v>
      </c>
      <c r="D84" s="18"/>
      <c r="E84" s="621">
        <v>22.63</v>
      </c>
      <c r="F84" s="621">
        <v>0</v>
      </c>
      <c r="G84" s="622">
        <v>1361.45</v>
      </c>
      <c r="H84" s="622">
        <v>800.11</v>
      </c>
      <c r="I84" s="622">
        <v>44.57</v>
      </c>
      <c r="J84" s="277">
        <v>40</v>
      </c>
      <c r="K84" s="622">
        <v>85.78</v>
      </c>
      <c r="L84" s="622">
        <v>1160.23</v>
      </c>
      <c r="M84" s="620">
        <v>0</v>
      </c>
      <c r="N84" s="620">
        <v>0</v>
      </c>
      <c r="O84" s="622">
        <v>76.06</v>
      </c>
      <c r="P84" s="622">
        <v>76.03</v>
      </c>
      <c r="Q84" s="69"/>
      <c r="R84" s="21"/>
      <c r="S84" s="489">
        <f t="shared" si="132"/>
        <v>3590.8300000000004</v>
      </c>
      <c r="T84" s="489" t="e">
        <f t="shared" si="149"/>
        <v>#REF!</v>
      </c>
      <c r="U84" s="489" t="e">
        <f>MAX(U$77:U$78)+IF($B$2="mil",1,0.0254)*DDR2Specs!$E$3</f>
        <v>#REF!</v>
      </c>
      <c r="V84" s="489" t="e">
        <f>MIN(U$77:U$78)+IF($B$2="mil",1,0.0254)*DDR2Specs!$F$3</f>
        <v>#REF!</v>
      </c>
      <c r="W84" s="21"/>
      <c r="X84" s="598" t="e">
        <f t="shared" si="133"/>
        <v>#REF!</v>
      </c>
      <c r="Y84" s="495" t="e">
        <f t="shared" si="134"/>
        <v>#REF!</v>
      </c>
      <c r="Z84" s="21"/>
      <c r="AA84" s="489">
        <f t="shared" si="135"/>
        <v>3590.8000000000006</v>
      </c>
      <c r="AB84" s="489" t="e">
        <f t="shared" si="150"/>
        <v>#REF!</v>
      </c>
      <c r="AC84" s="489" t="e">
        <f>MAX(AC$77:AC$78)+IF($B$2="mil",1,0.0254)*DDR2Specs!$E$3</f>
        <v>#REF!</v>
      </c>
      <c r="AD84" s="489" t="e">
        <f>MIN(AC$77:AC$78)+IF($B$2="mil",1,0.0254)*DDR2Specs!$F$3</f>
        <v>#REF!</v>
      </c>
      <c r="AE84" s="21"/>
      <c r="AF84" s="598" t="e">
        <f t="shared" si="151"/>
        <v>#REF!</v>
      </c>
      <c r="AG84" s="495" t="e">
        <f t="shared" si="152"/>
        <v>#REF!</v>
      </c>
      <c r="AH84" s="21"/>
      <c r="AI84" s="495" t="e">
        <f t="shared" si="136"/>
        <v>#REF!</v>
      </c>
      <c r="AJ84" s="495" t="e">
        <f t="shared" si="137"/>
        <v>#REF!</v>
      </c>
      <c r="AK84" s="495" t="e">
        <f t="shared" si="138"/>
        <v>#REF!</v>
      </c>
      <c r="AL84" s="495" t="e">
        <f t="shared" si="139"/>
        <v>#REF!</v>
      </c>
      <c r="AM84" s="495" t="e">
        <f t="shared" si="140"/>
        <v>#REF!</v>
      </c>
      <c r="AN84" s="495" t="e">
        <f t="shared" si="141"/>
        <v>#REF!</v>
      </c>
      <c r="AO84" s="495" t="e">
        <f t="shared" si="142"/>
        <v>#REF!</v>
      </c>
      <c r="AP84" s="495" t="e">
        <f t="shared" si="143"/>
        <v>#REF!</v>
      </c>
      <c r="AQ84" s="493" t="e">
        <f t="shared" si="144"/>
        <v>#REF!</v>
      </c>
      <c r="AR84" s="495" t="e">
        <f t="shared" ca="1" si="145"/>
        <v>#NAME?</v>
      </c>
      <c r="AS84" s="495" t="e">
        <f t="shared" ca="1" si="146"/>
        <v>#NAME?</v>
      </c>
      <c r="AT84" s="495" t="e">
        <f t="shared" si="147"/>
        <v>#REF!</v>
      </c>
      <c r="AU84" s="495" t="e">
        <f t="shared" si="148"/>
        <v>#REF!</v>
      </c>
      <c r="AV84" s="21"/>
      <c r="AW84" s="688" t="e">
        <f t="shared" ca="1" si="153"/>
        <v>#REF!</v>
      </c>
      <c r="AX84" s="554"/>
      <c r="AY84" s="554"/>
      <c r="AZ84" s="3"/>
      <c r="BA84" s="3"/>
      <c r="BB84" s="3"/>
      <c r="BC84" s="3"/>
      <c r="BD84" s="3"/>
      <c r="BE84" s="3"/>
      <c r="BF84" s="3"/>
      <c r="BG84" s="3"/>
      <c r="BH84" s="3"/>
      <c r="BI84" s="3"/>
      <c r="BJ84" s="3"/>
      <c r="BK84" s="3"/>
      <c r="BL84" s="3"/>
      <c r="BM84" s="3"/>
    </row>
    <row r="85" spans="1:65">
      <c r="A85" s="633" t="s">
        <v>180</v>
      </c>
      <c r="B85" s="665" t="s">
        <v>501</v>
      </c>
      <c r="C85" s="658">
        <v>662.00787401574814</v>
      </c>
      <c r="D85" s="18"/>
      <c r="E85" s="621">
        <v>22.63</v>
      </c>
      <c r="F85" s="621">
        <v>0</v>
      </c>
      <c r="G85" s="622">
        <v>1495.31</v>
      </c>
      <c r="H85" s="622">
        <v>771.34</v>
      </c>
      <c r="I85" s="622">
        <v>85.78</v>
      </c>
      <c r="J85" s="277">
        <v>40</v>
      </c>
      <c r="K85" s="622">
        <v>85.78</v>
      </c>
      <c r="L85" s="622">
        <v>1169.1199999999999</v>
      </c>
      <c r="M85" s="620">
        <v>0</v>
      </c>
      <c r="N85" s="620">
        <v>0</v>
      </c>
      <c r="O85" s="622">
        <v>25.06</v>
      </c>
      <c r="P85" s="622">
        <v>25.09</v>
      </c>
      <c r="Q85" s="69"/>
      <c r="R85" s="21"/>
      <c r="S85" s="489">
        <f t="shared" si="132"/>
        <v>3695.0200000000004</v>
      </c>
      <c r="T85" s="489" t="e">
        <f t="shared" si="149"/>
        <v>#REF!</v>
      </c>
      <c r="U85" s="489" t="e">
        <f>MAX(U$77:U$78)+IF($B$2="mil",1,0.0254)*DDR2Specs!$E$3</f>
        <v>#REF!</v>
      </c>
      <c r="V85" s="489" t="e">
        <f>MIN(U$77:U$78)+IF($B$2="mil",1,0.0254)*DDR2Specs!$F$3</f>
        <v>#REF!</v>
      </c>
      <c r="W85" s="21"/>
      <c r="X85" s="598" t="e">
        <f t="shared" si="133"/>
        <v>#REF!</v>
      </c>
      <c r="Y85" s="495" t="e">
        <f t="shared" si="134"/>
        <v>#REF!</v>
      </c>
      <c r="Z85" s="21"/>
      <c r="AA85" s="489">
        <f t="shared" si="135"/>
        <v>3695.0500000000006</v>
      </c>
      <c r="AB85" s="489" t="e">
        <f t="shared" si="150"/>
        <v>#REF!</v>
      </c>
      <c r="AC85" s="489" t="e">
        <f>MAX(AC$77:AC$78)+IF($B$2="mil",1,0.0254)*DDR2Specs!$E$3</f>
        <v>#REF!</v>
      </c>
      <c r="AD85" s="489" t="e">
        <f>MIN(AC$77:AC$78)+IF($B$2="mil",1,0.0254)*DDR2Specs!$F$3</f>
        <v>#REF!</v>
      </c>
      <c r="AE85" s="21"/>
      <c r="AF85" s="598" t="e">
        <f t="shared" si="151"/>
        <v>#REF!</v>
      </c>
      <c r="AG85" s="495" t="e">
        <f t="shared" si="152"/>
        <v>#REF!</v>
      </c>
      <c r="AH85" s="21"/>
      <c r="AI85" s="495" t="e">
        <f t="shared" si="136"/>
        <v>#REF!</v>
      </c>
      <c r="AJ85" s="495" t="e">
        <f t="shared" si="137"/>
        <v>#REF!</v>
      </c>
      <c r="AK85" s="495" t="e">
        <f t="shared" si="138"/>
        <v>#REF!</v>
      </c>
      <c r="AL85" s="495" t="e">
        <f t="shared" si="139"/>
        <v>#REF!</v>
      </c>
      <c r="AM85" s="495" t="e">
        <f t="shared" si="140"/>
        <v>#REF!</v>
      </c>
      <c r="AN85" s="495" t="e">
        <f t="shared" si="141"/>
        <v>#REF!</v>
      </c>
      <c r="AO85" s="495" t="e">
        <f t="shared" si="142"/>
        <v>#REF!</v>
      </c>
      <c r="AP85" s="495" t="e">
        <f t="shared" si="143"/>
        <v>#REF!</v>
      </c>
      <c r="AQ85" s="493" t="e">
        <f t="shared" si="144"/>
        <v>#REF!</v>
      </c>
      <c r="AR85" s="495" t="e">
        <f t="shared" ca="1" si="145"/>
        <v>#NAME?</v>
      </c>
      <c r="AS85" s="495" t="e">
        <f t="shared" ca="1" si="146"/>
        <v>#NAME?</v>
      </c>
      <c r="AT85" s="495" t="e">
        <f t="shared" si="147"/>
        <v>#REF!</v>
      </c>
      <c r="AU85" s="495" t="e">
        <f t="shared" si="148"/>
        <v>#REF!</v>
      </c>
      <c r="AV85" s="21"/>
      <c r="AW85" s="688" t="e">
        <f t="shared" ca="1" si="153"/>
        <v>#REF!</v>
      </c>
      <c r="AX85" s="554"/>
      <c r="AY85" s="554"/>
      <c r="AZ85" s="3"/>
      <c r="BA85" s="3"/>
      <c r="BB85" s="3"/>
      <c r="BC85" s="3"/>
      <c r="BD85" s="3"/>
      <c r="BE85" s="3"/>
      <c r="BF85" s="3"/>
      <c r="BG85" s="3"/>
      <c r="BH85" s="3"/>
      <c r="BI85" s="3"/>
      <c r="BJ85" s="3"/>
      <c r="BK85" s="3"/>
      <c r="BL85" s="3"/>
      <c r="BM85" s="3"/>
    </row>
    <row r="86" spans="1:65">
      <c r="A86" s="633" t="s">
        <v>181</v>
      </c>
      <c r="B86" s="665" t="s">
        <v>116</v>
      </c>
      <c r="C86" s="658">
        <v>655.43307086614175</v>
      </c>
      <c r="D86" s="18"/>
      <c r="E86" s="621">
        <v>22.63</v>
      </c>
      <c r="F86" s="621">
        <v>0</v>
      </c>
      <c r="G86" s="622">
        <v>1480.95</v>
      </c>
      <c r="H86" s="622">
        <v>825.88</v>
      </c>
      <c r="I86" s="622">
        <v>44.57</v>
      </c>
      <c r="J86" s="277">
        <v>40</v>
      </c>
      <c r="K86" s="622">
        <v>44.57</v>
      </c>
      <c r="L86" s="622">
        <v>1219.02</v>
      </c>
      <c r="M86" s="620">
        <v>0</v>
      </c>
      <c r="N86" s="620">
        <v>0</v>
      </c>
      <c r="O86" s="622">
        <v>23.59</v>
      </c>
      <c r="P86" s="622">
        <v>23.56</v>
      </c>
      <c r="Q86" s="69"/>
      <c r="R86" s="21"/>
      <c r="S86" s="489">
        <f t="shared" si="132"/>
        <v>3701.2100000000005</v>
      </c>
      <c r="T86" s="489" t="e">
        <f t="shared" si="149"/>
        <v>#REF!</v>
      </c>
      <c r="U86" s="489" t="e">
        <f>MAX(U$77:U$78)+IF($B$2="mil",1,0.0254)*DDR2Specs!$E$3</f>
        <v>#REF!</v>
      </c>
      <c r="V86" s="489" t="e">
        <f>MIN(U$77:U$78)+IF($B$2="mil",1,0.0254)*DDR2Specs!$F$3</f>
        <v>#REF!</v>
      </c>
      <c r="W86" s="21"/>
      <c r="X86" s="598" t="e">
        <f t="shared" si="133"/>
        <v>#REF!</v>
      </c>
      <c r="Y86" s="495" t="e">
        <f t="shared" si="134"/>
        <v>#REF!</v>
      </c>
      <c r="Z86" s="21"/>
      <c r="AA86" s="489">
        <f t="shared" si="135"/>
        <v>3701.1800000000003</v>
      </c>
      <c r="AB86" s="489" t="e">
        <f t="shared" si="150"/>
        <v>#REF!</v>
      </c>
      <c r="AC86" s="489" t="e">
        <f>MAX(AC$77:AC$78)+IF($B$2="mil",1,0.0254)*DDR2Specs!$E$3</f>
        <v>#REF!</v>
      </c>
      <c r="AD86" s="489" t="e">
        <f>MIN(AC$77:AC$78)+IF($B$2="mil",1,0.0254)*DDR2Specs!$F$3</f>
        <v>#REF!</v>
      </c>
      <c r="AE86" s="21"/>
      <c r="AF86" s="598" t="e">
        <f t="shared" si="151"/>
        <v>#REF!</v>
      </c>
      <c r="AG86" s="495" t="e">
        <f t="shared" si="152"/>
        <v>#REF!</v>
      </c>
      <c r="AH86" s="21"/>
      <c r="AI86" s="495" t="e">
        <f t="shared" si="136"/>
        <v>#REF!</v>
      </c>
      <c r="AJ86" s="495" t="e">
        <f t="shared" si="137"/>
        <v>#REF!</v>
      </c>
      <c r="AK86" s="495" t="e">
        <f t="shared" si="138"/>
        <v>#REF!</v>
      </c>
      <c r="AL86" s="495" t="e">
        <f t="shared" si="139"/>
        <v>#REF!</v>
      </c>
      <c r="AM86" s="495" t="e">
        <f t="shared" si="140"/>
        <v>#REF!</v>
      </c>
      <c r="AN86" s="495" t="e">
        <f t="shared" si="141"/>
        <v>#REF!</v>
      </c>
      <c r="AO86" s="495" t="e">
        <f t="shared" si="142"/>
        <v>#REF!</v>
      </c>
      <c r="AP86" s="495" t="e">
        <f t="shared" si="143"/>
        <v>#REF!</v>
      </c>
      <c r="AQ86" s="493" t="e">
        <f t="shared" si="144"/>
        <v>#REF!</v>
      </c>
      <c r="AR86" s="495" t="e">
        <f t="shared" ca="1" si="145"/>
        <v>#NAME?</v>
      </c>
      <c r="AS86" s="495" t="e">
        <f t="shared" ca="1" si="146"/>
        <v>#NAME?</v>
      </c>
      <c r="AT86" s="495" t="e">
        <f t="shared" si="147"/>
        <v>#REF!</v>
      </c>
      <c r="AU86" s="495" t="e">
        <f t="shared" si="148"/>
        <v>#REF!</v>
      </c>
      <c r="AV86" s="21"/>
      <c r="AW86" s="688" t="e">
        <f t="shared" ca="1" si="153"/>
        <v>#REF!</v>
      </c>
      <c r="AX86" s="554"/>
      <c r="AY86" s="554"/>
      <c r="AZ86" s="3"/>
      <c r="BA86" s="3"/>
      <c r="BB86" s="3"/>
      <c r="BC86" s="3"/>
      <c r="BD86" s="3"/>
      <c r="BE86" s="3"/>
      <c r="BF86" s="3"/>
      <c r="BG86" s="3"/>
      <c r="BH86" s="3"/>
      <c r="BI86" s="3"/>
      <c r="BJ86" s="3"/>
      <c r="BK86" s="3"/>
      <c r="BL86" s="3"/>
      <c r="BM86" s="3"/>
    </row>
    <row r="87" spans="1:65">
      <c r="A87" s="666" t="s">
        <v>182</v>
      </c>
      <c r="B87" s="667" t="s">
        <v>520</v>
      </c>
      <c r="C87" s="658">
        <v>709.09448818897636</v>
      </c>
      <c r="D87" s="18"/>
      <c r="E87" s="621">
        <v>22.63</v>
      </c>
      <c r="F87" s="621">
        <v>0</v>
      </c>
      <c r="G87" s="622">
        <v>1389.07</v>
      </c>
      <c r="H87" s="622">
        <v>780.83</v>
      </c>
      <c r="I87" s="622">
        <v>85.78</v>
      </c>
      <c r="J87" s="277">
        <v>40</v>
      </c>
      <c r="K87" s="622">
        <v>44.57</v>
      </c>
      <c r="L87" s="622">
        <v>1214.5899999999999</v>
      </c>
      <c r="M87" s="620">
        <v>0</v>
      </c>
      <c r="N87" s="620">
        <v>0</v>
      </c>
      <c r="O87" s="622">
        <v>72.97</v>
      </c>
      <c r="P87" s="622">
        <v>70.47</v>
      </c>
      <c r="Q87" s="69"/>
      <c r="R87" s="21"/>
      <c r="S87" s="489">
        <f t="shared" si="132"/>
        <v>3650.44</v>
      </c>
      <c r="T87" s="489" t="e">
        <f t="shared" si="149"/>
        <v>#REF!</v>
      </c>
      <c r="U87" s="489" t="e">
        <f>MAX(U$77:U$78)+IF($B$2="mil",1,0.0254)*DDR2Specs!$E$3</f>
        <v>#REF!</v>
      </c>
      <c r="V87" s="489" t="e">
        <f>MIN(U$77:U$78)+IF($B$2="mil",1,0.0254)*DDR2Specs!$F$3</f>
        <v>#REF!</v>
      </c>
      <c r="W87" s="21"/>
      <c r="X87" s="598" t="e">
        <f t="shared" si="133"/>
        <v>#REF!</v>
      </c>
      <c r="Y87" s="495" t="e">
        <f t="shared" si="134"/>
        <v>#REF!</v>
      </c>
      <c r="Z87" s="21"/>
      <c r="AA87" s="489">
        <f t="shared" si="135"/>
        <v>3647.94</v>
      </c>
      <c r="AB87" s="489" t="e">
        <f t="shared" si="150"/>
        <v>#REF!</v>
      </c>
      <c r="AC87" s="489" t="e">
        <f>MAX(AC$77:AC$78)+IF($B$2="mil",1,0.0254)*DDR2Specs!$E$3</f>
        <v>#REF!</v>
      </c>
      <c r="AD87" s="489" t="e">
        <f>MIN(AC$77:AC$78)+IF($B$2="mil",1,0.0254)*DDR2Specs!$F$3</f>
        <v>#REF!</v>
      </c>
      <c r="AE87" s="21"/>
      <c r="AF87" s="598" t="e">
        <f t="shared" si="151"/>
        <v>#REF!</v>
      </c>
      <c r="AG87" s="495" t="e">
        <f t="shared" si="152"/>
        <v>#REF!</v>
      </c>
      <c r="AH87" s="21"/>
      <c r="AI87" s="495" t="e">
        <f t="shared" si="136"/>
        <v>#REF!</v>
      </c>
      <c r="AJ87" s="495" t="e">
        <f t="shared" si="137"/>
        <v>#REF!</v>
      </c>
      <c r="AK87" s="495" t="e">
        <f t="shared" si="138"/>
        <v>#REF!</v>
      </c>
      <c r="AL87" s="495" t="e">
        <f t="shared" si="139"/>
        <v>#REF!</v>
      </c>
      <c r="AM87" s="495" t="e">
        <f t="shared" si="140"/>
        <v>#REF!</v>
      </c>
      <c r="AN87" s="495" t="e">
        <f t="shared" si="141"/>
        <v>#REF!</v>
      </c>
      <c r="AO87" s="495" t="e">
        <f t="shared" si="142"/>
        <v>#REF!</v>
      </c>
      <c r="AP87" s="495" t="e">
        <f t="shared" si="143"/>
        <v>#REF!</v>
      </c>
      <c r="AQ87" s="493" t="e">
        <f t="shared" si="144"/>
        <v>#REF!</v>
      </c>
      <c r="AR87" s="495" t="e">
        <f t="shared" ca="1" si="145"/>
        <v>#NAME?</v>
      </c>
      <c r="AS87" s="495" t="e">
        <f t="shared" ca="1" si="146"/>
        <v>#NAME?</v>
      </c>
      <c r="AT87" s="495" t="e">
        <f t="shared" si="147"/>
        <v>#REF!</v>
      </c>
      <c r="AU87" s="495" t="e">
        <f t="shared" si="148"/>
        <v>#REF!</v>
      </c>
      <c r="AV87" s="21"/>
      <c r="AW87" s="688" t="e">
        <f t="shared" ca="1" si="153"/>
        <v>#REF!</v>
      </c>
      <c r="AX87" s="554"/>
      <c r="AY87" s="554"/>
      <c r="AZ87" s="3"/>
      <c r="BA87" s="3"/>
      <c r="BB87" s="3"/>
      <c r="BC87" s="3"/>
      <c r="BD87" s="3"/>
      <c r="BE87" s="3"/>
      <c r="BF87" s="3"/>
      <c r="BG87" s="3"/>
      <c r="BH87" s="3"/>
      <c r="BI87" s="3"/>
      <c r="BJ87" s="3"/>
      <c r="BK87" s="3"/>
      <c r="BL87" s="3"/>
      <c r="BM87" s="3"/>
    </row>
    <row r="88" spans="1:65">
      <c r="A88" s="636" t="s">
        <v>204</v>
      </c>
      <c r="B88" s="668"/>
      <c r="C88" s="659"/>
      <c r="D88" s="62"/>
      <c r="E88" s="82"/>
      <c r="F88" s="82"/>
      <c r="G88" s="439"/>
      <c r="H88" s="295"/>
      <c r="I88" s="295"/>
      <c r="J88" s="295"/>
      <c r="K88" s="295"/>
      <c r="L88" s="295"/>
      <c r="M88" s="295"/>
      <c r="N88" s="295"/>
      <c r="O88" s="295"/>
      <c r="P88" s="295"/>
      <c r="Q88" s="10"/>
      <c r="R88" s="606"/>
      <c r="S88" s="82"/>
      <c r="T88" s="605"/>
      <c r="U88" s="605"/>
      <c r="V88" s="606"/>
      <c r="W88" s="606"/>
      <c r="X88" s="607"/>
      <c r="Y88" s="17"/>
      <c r="Z88" s="606"/>
      <c r="AA88" s="82"/>
      <c r="AB88" s="605"/>
      <c r="AC88" s="605"/>
      <c r="AD88" s="606"/>
      <c r="AE88" s="606"/>
      <c r="AF88" s="607"/>
      <c r="AG88" s="17"/>
      <c r="AH88" s="606"/>
      <c r="AI88" s="17"/>
      <c r="AJ88" s="17"/>
      <c r="AK88" s="16"/>
      <c r="AL88" s="16"/>
      <c r="AM88" s="16"/>
      <c r="AN88" s="16"/>
      <c r="AO88" s="16"/>
      <c r="AP88" s="16"/>
      <c r="AQ88" s="16"/>
      <c r="AR88" s="16"/>
      <c r="AS88" s="16"/>
      <c r="AT88" s="16"/>
      <c r="AU88" s="16"/>
      <c r="AV88" s="83"/>
      <c r="AW88" s="554"/>
      <c r="AX88" s="554"/>
      <c r="AY88" s="554"/>
      <c r="AZ88" s="3"/>
      <c r="BA88" s="3"/>
      <c r="BB88" s="3"/>
      <c r="BC88" s="3"/>
      <c r="BD88" s="3"/>
      <c r="BE88" s="3"/>
      <c r="BF88" s="3"/>
      <c r="BG88" s="3"/>
      <c r="BH88" s="3"/>
      <c r="BI88" s="3"/>
      <c r="BJ88" s="3"/>
      <c r="BK88" s="3"/>
      <c r="BL88" s="3"/>
      <c r="BM88" s="3"/>
    </row>
    <row r="89" spans="1:65">
      <c r="A89" s="650" t="str">
        <f>'DDR2 Strobes - 2x16'!$A$42</f>
        <v>SA_DQS7</v>
      </c>
      <c r="B89" s="669" t="str">
        <f>'DDR2 Strobes - 2x16'!$B$42</f>
        <v>AA12</v>
      </c>
      <c r="C89" s="660"/>
      <c r="D89" s="53"/>
      <c r="E89" s="81"/>
      <c r="F89" s="81"/>
      <c r="G89" s="440"/>
      <c r="H89" s="296"/>
      <c r="I89" s="296"/>
      <c r="J89" s="296"/>
      <c r="K89" s="296"/>
      <c r="L89" s="296"/>
      <c r="M89" s="296"/>
      <c r="N89" s="296"/>
      <c r="O89" s="296"/>
      <c r="P89" s="296"/>
      <c r="Q89" s="81"/>
      <c r="R89" s="58"/>
      <c r="S89" s="81"/>
      <c r="T89" s="58"/>
      <c r="U89" s="58" t="e">
        <f>'DDR2 Strobes - 2x16'!$U$42</f>
        <v>#REF!</v>
      </c>
      <c r="V89" s="58"/>
      <c r="W89" s="58"/>
      <c r="X89" s="58"/>
      <c r="Y89" s="608"/>
      <c r="Z89" s="58"/>
      <c r="AA89" s="81"/>
      <c r="AB89" s="58"/>
      <c r="AC89" s="58" t="e">
        <f>'DDR2 Strobes - 2x16'!$AC$42</f>
        <v>#REF!</v>
      </c>
      <c r="AD89" s="58"/>
      <c r="AE89" s="58"/>
      <c r="AF89" s="58"/>
      <c r="AG89" s="608"/>
      <c r="AH89" s="58"/>
      <c r="AI89" s="608"/>
      <c r="AJ89" s="608"/>
      <c r="AK89" s="608"/>
      <c r="AL89" s="608"/>
      <c r="AM89" s="608"/>
      <c r="AN89" s="608"/>
      <c r="AO89" s="608"/>
      <c r="AP89" s="608"/>
      <c r="AQ89" s="608"/>
      <c r="AR89" s="608"/>
      <c r="AS89" s="608"/>
      <c r="AT89" s="608"/>
      <c r="AU89" s="608"/>
      <c r="AV89" s="58"/>
      <c r="AW89" s="554"/>
      <c r="AX89" s="554"/>
      <c r="AY89" s="554"/>
      <c r="AZ89" s="3"/>
      <c r="BA89" s="3"/>
      <c r="BB89" s="3"/>
      <c r="BC89" s="3"/>
      <c r="BD89" s="3"/>
      <c r="BE89" s="3"/>
      <c r="BF89" s="3"/>
      <c r="BG89" s="3"/>
      <c r="BH89" s="3"/>
      <c r="BI89" s="3"/>
      <c r="BJ89" s="3"/>
      <c r="BK89" s="3"/>
      <c r="BL89" s="3"/>
      <c r="BM89" s="3"/>
    </row>
    <row r="90" spans="1:65">
      <c r="A90" s="650" t="str">
        <f>'DDR2 Strobes - 2x16'!$A$43</f>
        <v>SA_DQS7#</v>
      </c>
      <c r="B90" s="669" t="str">
        <f>'DDR2 Strobes - 2x16'!$B$43</f>
        <v>AB12</v>
      </c>
      <c r="C90" s="660"/>
      <c r="D90" s="53"/>
      <c r="E90" s="81"/>
      <c r="F90" s="81"/>
      <c r="G90" s="440"/>
      <c r="H90" s="296"/>
      <c r="I90" s="296"/>
      <c r="J90" s="296"/>
      <c r="K90" s="296"/>
      <c r="L90" s="296"/>
      <c r="M90" s="296"/>
      <c r="N90" s="296"/>
      <c r="O90" s="296"/>
      <c r="P90" s="296"/>
      <c r="Q90" s="81"/>
      <c r="R90" s="58"/>
      <c r="S90" s="602"/>
      <c r="T90" s="603"/>
      <c r="U90" s="58" t="e">
        <f>'DDR2 Strobes - 2x16'!$U$43</f>
        <v>#REF!</v>
      </c>
      <c r="V90" s="58"/>
      <c r="W90" s="58"/>
      <c r="X90" s="58"/>
      <c r="Y90" s="608"/>
      <c r="Z90" s="58"/>
      <c r="AA90" s="602"/>
      <c r="AB90" s="603"/>
      <c r="AC90" s="58" t="e">
        <f>'DDR2 Strobes - 2x16'!$AC$43</f>
        <v>#REF!</v>
      </c>
      <c r="AD90" s="58"/>
      <c r="AE90" s="58"/>
      <c r="AF90" s="58"/>
      <c r="AG90" s="608"/>
      <c r="AH90" s="58"/>
      <c r="AI90" s="608"/>
      <c r="AJ90" s="608"/>
      <c r="AK90" s="609"/>
      <c r="AL90" s="609"/>
      <c r="AM90" s="609"/>
      <c r="AN90" s="609"/>
      <c r="AO90" s="609"/>
      <c r="AP90" s="609"/>
      <c r="AQ90" s="609"/>
      <c r="AR90" s="609"/>
      <c r="AS90" s="609"/>
      <c r="AT90" s="609"/>
      <c r="AU90" s="609"/>
      <c r="AV90" s="58"/>
      <c r="AW90" s="554"/>
      <c r="AX90" s="554"/>
      <c r="AY90" s="554"/>
      <c r="AZ90" s="3"/>
      <c r="BA90" s="3"/>
      <c r="BB90" s="3"/>
      <c r="BC90" s="3"/>
      <c r="BD90" s="3"/>
      <c r="BE90" s="3"/>
      <c r="BF90" s="3"/>
      <c r="BG90" s="3"/>
      <c r="BH90" s="3"/>
      <c r="BI90" s="3"/>
      <c r="BJ90" s="3"/>
      <c r="BK90" s="3"/>
      <c r="BL90" s="3"/>
      <c r="BM90" s="3"/>
    </row>
    <row r="91" spans="1:65">
      <c r="A91" s="633" t="s">
        <v>183</v>
      </c>
      <c r="B91" s="665" t="s">
        <v>502</v>
      </c>
      <c r="C91" s="658">
        <v>818.89763779527561</v>
      </c>
      <c r="D91" s="18"/>
      <c r="E91" s="621">
        <v>22.63</v>
      </c>
      <c r="F91" s="621">
        <v>0</v>
      </c>
      <c r="G91" s="622">
        <v>1090</v>
      </c>
      <c r="H91" s="622">
        <v>780.87</v>
      </c>
      <c r="I91" s="622">
        <v>85.78</v>
      </c>
      <c r="J91" s="277">
        <v>40</v>
      </c>
      <c r="K91" s="622">
        <v>44.57</v>
      </c>
      <c r="L91" s="622">
        <v>1229.31</v>
      </c>
      <c r="M91" s="620">
        <v>0</v>
      </c>
      <c r="N91" s="620">
        <v>0</v>
      </c>
      <c r="O91" s="622">
        <v>22.29</v>
      </c>
      <c r="P91" s="622">
        <v>22.26</v>
      </c>
      <c r="Q91" s="69"/>
      <c r="R91" s="21"/>
      <c r="S91" s="489">
        <f t="shared" ref="S91:S99" si="154">SUM(E91:G91,H91:M91,O91)</f>
        <v>3315.45</v>
      </c>
      <c r="T91" s="489" t="e">
        <f>S91+IF($B$2="mil",1,0.0254)*$C91</f>
        <v>#REF!</v>
      </c>
      <c r="U91" s="489" t="e">
        <f>MAX(U$89:U$90)+IF($B$2="mil",1,0.0254)*DDR2Specs!$E$3</f>
        <v>#REF!</v>
      </c>
      <c r="V91" s="489" t="e">
        <f>MIN(U$89:U$90)+IF($B$2="mil",1,0.0254)*DDR2Specs!$F$3</f>
        <v>#REF!</v>
      </c>
      <c r="W91" s="21"/>
      <c r="X91" s="598" t="e">
        <f t="shared" ref="X91:X99" si="155">IF($T91&lt;$U91,$U91-$T91,"Pass")</f>
        <v>#REF!</v>
      </c>
      <c r="Y91" s="495" t="e">
        <f t="shared" ref="Y91:Y99" si="156">IF($T91&gt;$V91,$T91-$V91,"Pass")</f>
        <v>#REF!</v>
      </c>
      <c r="Z91" s="21"/>
      <c r="AA91" s="489">
        <f t="shared" ref="AA91:AA99" si="157">SUM(E91:G91,H91:L91,N91,P91)</f>
        <v>3315.42</v>
      </c>
      <c r="AB91" s="489" t="e">
        <f>AA91+IF($B$2="mil",1,0.0254)*$C91</f>
        <v>#REF!</v>
      </c>
      <c r="AC91" s="489" t="e">
        <f>MAX(AC$89:AC$90)+IF($B$2="mil",1,0.0254)*DDR2Specs!$E$3</f>
        <v>#REF!</v>
      </c>
      <c r="AD91" s="489" t="e">
        <f>MIN(AC$89:AC$90)+IF($B$2="mil",1,0.0254)*DDR2Specs!$F$3</f>
        <v>#REF!</v>
      </c>
      <c r="AE91" s="21"/>
      <c r="AF91" s="598" t="e">
        <f>IF($AB91&lt;$AC91,$AC91-$AB91,"Pass")</f>
        <v>#REF!</v>
      </c>
      <c r="AG91" s="495" t="e">
        <f>IF($AB91&gt;$AD91,$AB91-$AD91,"Pass")</f>
        <v>#REF!</v>
      </c>
      <c r="AH91" s="21"/>
      <c r="AI91" s="495" t="e">
        <f t="shared" ref="AI91:AI99" si="158">IF($E91&lt;=IF($B$2="mil",1,0.0254)*50,"Pass",IF($B$2="mil",1,0.0254)*50-$E91)</f>
        <v>#REF!</v>
      </c>
      <c r="AJ91" s="495" t="e">
        <f t="shared" ref="AJ91:AJ99" si="159">IF($F91&lt;=IF($B$2="mil",1,0.0254)*500,"Pass",IF($B$2="mil",1,0.0254)*500-$F91)</f>
        <v>#REF!</v>
      </c>
      <c r="AK91" s="495" t="e">
        <f t="shared" ref="AK91:AK99" si="160">IF(($G91+$H91)&lt;=IF($B$2="mil",1,0.0254)*2750,"Pass",IF($B$2="mil",1,0.0254)*2750-($G91+D91))</f>
        <v>#REF!</v>
      </c>
      <c r="AL91" s="495" t="e">
        <f t="shared" ref="AL91:AL99" si="161">IF($I91&lt;=IF($B$2="mil",1,0.0254)*125,"Pass",IF($B$2="mil",1,0.0254)*125-$I91)</f>
        <v>#REF!</v>
      </c>
      <c r="AM91" s="495" t="e">
        <f t="shared" ref="AM91:AM99" si="162">IF($K91&lt;=IF($B$2="mil",1,0.0254)*125,"Pass",IF($B$2="mil",1,0.0254)*125-$K91)</f>
        <v>#REF!</v>
      </c>
      <c r="AN91" s="495" t="e">
        <f t="shared" ref="AN91:AN99" si="163">IF(($K91+$L91)&lt;=IF($B$2="mil",1,0.0254)*1350,"Pass",IF($B$2="mil",1,0.0254)*1350-($K91+L91))</f>
        <v>#REF!</v>
      </c>
      <c r="AO91" s="495" t="e">
        <f t="shared" ref="AO91:AO99" si="164">IF($M91&lt;=IF($B$2="mil",1,0.0254)*650,"Pass",IF($B$2="mil",1,0.0254)*650-$M91)</f>
        <v>#REF!</v>
      </c>
      <c r="AP91" s="495" t="e">
        <f t="shared" ref="AP91:AP99" si="165">IF($N91&lt;=IF($B$2="mil",1,0.0254)*650,"Pass",IF($B$2="mil",1,0.0254)*650-$N91)</f>
        <v>#REF!</v>
      </c>
      <c r="AQ91" s="493" t="e">
        <f t="shared" ref="AQ91:AQ99" si="166">IF(MAX(M91:N91)-MIN(M91:N91)&lt;=IF($B$2="mil",1,0.0254)*50,"Pass",MAX(M91:N91)-MIN(M91:N91)-IF($B$2="mil",1,0.0254)*50)</f>
        <v>#REF!</v>
      </c>
      <c r="AR91" s="495" t="e">
        <f t="shared" ref="AR91:AR99" ca="1" si="167">CheckLength2(IF($B$2="mil",1,0.0254)*800,$O91,M91,0)</f>
        <v>#NAME?</v>
      </c>
      <c r="AS91" s="495" t="e">
        <f t="shared" ref="AS91:AS99" ca="1" si="168">CheckLength2(IF($B$2="mil",1,0.0254)*800,$P91,N91,0)</f>
        <v>#NAME?</v>
      </c>
      <c r="AT91" s="495" t="e">
        <f t="shared" ref="AT91:AT99" si="169">IF(AND($S91&gt;=IF($B$2="mil",1,0.0254)*500, $S91&lt;=IF($B$2="mil",1,0.0254)*5500),"Pass",IF($B$2="mil",1,0.0254)*5500-$S91)</f>
        <v>#REF!</v>
      </c>
      <c r="AU91" s="495" t="e">
        <f t="shared" ref="AU91:AU99" si="170">IF(AND($T91&gt;=IF($B$2="mil",1,0.0254)*500, $T91&lt;=IF($B$2="mil",1,0.0254)*6000),"Pass",IF($B$2="mil",1,0.0254)*6000-$T91)</f>
        <v>#REF!</v>
      </c>
      <c r="AV91" s="21"/>
      <c r="AW91" s="688" t="e">
        <f ca="1">IF(AND(AF91="Pass",AG91="Pass",AI91="Pass",AJ91="Pass",AS91="Pass",AN91="Pass",AO91="Pass",AP91="Pass",AQ91="Pass",AR91="Pass",AM91="Pass",AL91="Pass",AK91="Pass",X91="Pass",Y91="Pass",AT91="Pass",AU91="Pass"),"Pass","Fail")</f>
        <v>#REF!</v>
      </c>
      <c r="AX91" s="554" t="e">
        <f ca="1">IF(AND(AW91="Pass",AW92="Pass",AW93="Pass",AW94="Pass",AW95="Pass",AW96="Pass",AW97="Pass",AW98="Pass",AW99="Pass"),"Pass","Fail")</f>
        <v>#REF!</v>
      </c>
      <c r="AY91" s="554"/>
      <c r="AZ91" s="3"/>
      <c r="BA91" s="3"/>
      <c r="BB91" s="3"/>
      <c r="BC91" s="3"/>
      <c r="BD91" s="3"/>
      <c r="BE91" s="3"/>
      <c r="BF91" s="3"/>
      <c r="BG91" s="3"/>
      <c r="BH91" s="3"/>
      <c r="BI91" s="3"/>
      <c r="BJ91" s="3"/>
      <c r="BK91" s="3"/>
      <c r="BL91" s="3"/>
      <c r="BM91" s="3"/>
    </row>
    <row r="92" spans="1:65">
      <c r="A92" s="633" t="s">
        <v>184</v>
      </c>
      <c r="B92" s="665" t="s">
        <v>117</v>
      </c>
      <c r="C92" s="658">
        <v>680.03937007874015</v>
      </c>
      <c r="D92" s="18"/>
      <c r="E92" s="621">
        <v>22.63</v>
      </c>
      <c r="F92" s="621">
        <v>0</v>
      </c>
      <c r="G92" s="622">
        <v>1260</v>
      </c>
      <c r="H92" s="622">
        <v>765</v>
      </c>
      <c r="I92" s="622">
        <v>85.78</v>
      </c>
      <c r="J92" s="277">
        <v>40</v>
      </c>
      <c r="K92" s="622">
        <v>42.23</v>
      </c>
      <c r="L92" s="622">
        <v>1216.4100000000001</v>
      </c>
      <c r="M92" s="620">
        <v>0</v>
      </c>
      <c r="N92" s="620">
        <v>0</v>
      </c>
      <c r="O92" s="622">
        <v>22.26</v>
      </c>
      <c r="P92" s="622">
        <v>22.23</v>
      </c>
      <c r="Q92" s="69"/>
      <c r="R92" s="21"/>
      <c r="S92" s="489">
        <f t="shared" si="154"/>
        <v>3454.3100000000004</v>
      </c>
      <c r="T92" s="489" t="e">
        <f t="shared" ref="T92:T99" si="171">S92+IF($B$2="mil",1,0.0254)*$C92</f>
        <v>#REF!</v>
      </c>
      <c r="U92" s="489" t="e">
        <f>MAX(U$89:U$90)+IF($B$2="mil",1,0.0254)*DDR2Specs!$E$3</f>
        <v>#REF!</v>
      </c>
      <c r="V92" s="489" t="e">
        <f>MIN(U$89:U$90)+IF($B$2="mil",1,0.0254)*DDR2Specs!$F$3</f>
        <v>#REF!</v>
      </c>
      <c r="W92" s="21"/>
      <c r="X92" s="598" t="e">
        <f t="shared" si="155"/>
        <v>#REF!</v>
      </c>
      <c r="Y92" s="495" t="e">
        <f t="shared" si="156"/>
        <v>#REF!</v>
      </c>
      <c r="Z92" s="21"/>
      <c r="AA92" s="489">
        <f t="shared" si="157"/>
        <v>3454.28</v>
      </c>
      <c r="AB92" s="489" t="e">
        <f t="shared" ref="AB92:AB99" si="172">AA92+IF($B$2="mil",1,0.0254)*$C92</f>
        <v>#REF!</v>
      </c>
      <c r="AC92" s="489" t="e">
        <f>MAX(AC$89:AC$90)+IF($B$2="mil",1,0.0254)*DDR2Specs!$E$3</f>
        <v>#REF!</v>
      </c>
      <c r="AD92" s="489" t="e">
        <f>MIN(AC$89:AC$90)+IF($B$2="mil",1,0.0254)*DDR2Specs!$F$3</f>
        <v>#REF!</v>
      </c>
      <c r="AE92" s="21"/>
      <c r="AF92" s="598" t="e">
        <f t="shared" ref="AF92:AF99" si="173">IF($AB92&lt;$AC92,$AC92-$AB92,"Pass")</f>
        <v>#REF!</v>
      </c>
      <c r="AG92" s="495" t="e">
        <f t="shared" ref="AG92:AG99" si="174">IF($AB92&gt;$AD92,$AB92-$AD92,"Pass")</f>
        <v>#REF!</v>
      </c>
      <c r="AH92" s="21"/>
      <c r="AI92" s="495" t="e">
        <f t="shared" si="158"/>
        <v>#REF!</v>
      </c>
      <c r="AJ92" s="495" t="e">
        <f t="shared" si="159"/>
        <v>#REF!</v>
      </c>
      <c r="AK92" s="495" t="e">
        <f t="shared" si="160"/>
        <v>#REF!</v>
      </c>
      <c r="AL92" s="495" t="e">
        <f t="shared" si="161"/>
        <v>#REF!</v>
      </c>
      <c r="AM92" s="495" t="e">
        <f t="shared" si="162"/>
        <v>#REF!</v>
      </c>
      <c r="AN92" s="495" t="e">
        <f t="shared" si="163"/>
        <v>#REF!</v>
      </c>
      <c r="AO92" s="495" t="e">
        <f t="shared" si="164"/>
        <v>#REF!</v>
      </c>
      <c r="AP92" s="495" t="e">
        <f t="shared" si="165"/>
        <v>#REF!</v>
      </c>
      <c r="AQ92" s="493" t="e">
        <f>IF(MAX(M92:N92)-MIN(M92:N92)&lt;=IF($B$2="mil",1,0.0254)*50,"Pass",MAX(M92:N92)-MIN(M92:N92)-IF($B$2="mil",1,0.0254)*50)</f>
        <v>#REF!</v>
      </c>
      <c r="AR92" s="495" t="e">
        <f t="shared" ca="1" si="167"/>
        <v>#NAME?</v>
      </c>
      <c r="AS92" s="495" t="e">
        <f t="shared" ca="1" si="168"/>
        <v>#NAME?</v>
      </c>
      <c r="AT92" s="495" t="e">
        <f t="shared" si="169"/>
        <v>#REF!</v>
      </c>
      <c r="AU92" s="495" t="e">
        <f t="shared" si="170"/>
        <v>#REF!</v>
      </c>
      <c r="AV92" s="21"/>
      <c r="AW92" s="688" t="e">
        <f t="shared" ref="AW92:AW99" ca="1" si="175">IF(AND(AF92="Pass",AG92="Pass",AI92="Pass",AJ92="Pass",AS92="Pass",AN92="Pass",AO92="Pass",AP92="Pass",AQ92="Pass",AR92="Pass",AM92="Pass",AL92="Pass",AK92="Pass",X92="Pass",Y92="Pass",AT92="Pass",AU92="Pass"),"Pass","Fail")</f>
        <v>#REF!</v>
      </c>
      <c r="AX92" s="554"/>
      <c r="AY92" s="554"/>
      <c r="AZ92" s="3"/>
      <c r="BA92" s="3"/>
      <c r="BB92" s="3"/>
      <c r="BC92" s="3"/>
      <c r="BD92" s="3"/>
      <c r="BE92" s="3"/>
      <c r="BF92" s="3"/>
      <c r="BG92" s="3"/>
      <c r="BH92" s="3"/>
      <c r="BI92" s="3"/>
      <c r="BJ92" s="3"/>
      <c r="BK92" s="3"/>
      <c r="BL92" s="3"/>
      <c r="BM92" s="3"/>
    </row>
    <row r="93" spans="1:65">
      <c r="A93" s="633" t="s">
        <v>185</v>
      </c>
      <c r="B93" s="665" t="s">
        <v>503</v>
      </c>
      <c r="C93" s="658">
        <v>657.40157480314963</v>
      </c>
      <c r="D93" s="18"/>
      <c r="E93" s="621">
        <v>22.63</v>
      </c>
      <c r="F93" s="621">
        <v>0</v>
      </c>
      <c r="G93" s="622">
        <v>1240</v>
      </c>
      <c r="H93" s="622">
        <v>795</v>
      </c>
      <c r="I93" s="622">
        <v>81.64</v>
      </c>
      <c r="J93" s="277">
        <v>40</v>
      </c>
      <c r="K93" s="622">
        <v>85.78</v>
      </c>
      <c r="L93" s="622">
        <v>1188.9100000000001</v>
      </c>
      <c r="M93" s="620">
        <v>0</v>
      </c>
      <c r="N93" s="620">
        <v>0</v>
      </c>
      <c r="O93" s="622">
        <v>22.28</v>
      </c>
      <c r="P93" s="622">
        <v>22.25</v>
      </c>
      <c r="Q93" s="69"/>
      <c r="R93" s="21"/>
      <c r="S93" s="489">
        <f t="shared" si="154"/>
        <v>3476.2400000000002</v>
      </c>
      <c r="T93" s="489" t="e">
        <f t="shared" si="171"/>
        <v>#REF!</v>
      </c>
      <c r="U93" s="489" t="e">
        <f>MAX(U$89:U$90)+IF($B$2="mil",1,0.0254)*DDR2Specs!$E$3</f>
        <v>#REF!</v>
      </c>
      <c r="V93" s="489" t="e">
        <f>MIN(U$89:U$90)+IF($B$2="mil",1,0.0254)*DDR2Specs!$F$3</f>
        <v>#REF!</v>
      </c>
      <c r="W93" s="21"/>
      <c r="X93" s="598" t="e">
        <f t="shared" si="155"/>
        <v>#REF!</v>
      </c>
      <c r="Y93" s="495" t="e">
        <f t="shared" si="156"/>
        <v>#REF!</v>
      </c>
      <c r="Z93" s="21"/>
      <c r="AA93" s="489">
        <f t="shared" si="157"/>
        <v>3476.21</v>
      </c>
      <c r="AB93" s="489" t="e">
        <f t="shared" si="172"/>
        <v>#REF!</v>
      </c>
      <c r="AC93" s="489" t="e">
        <f>MAX(AC$89:AC$90)+IF($B$2="mil",1,0.0254)*DDR2Specs!$E$3</f>
        <v>#REF!</v>
      </c>
      <c r="AD93" s="489" t="e">
        <f>MIN(AC$89:AC$90)+IF($B$2="mil",1,0.0254)*DDR2Specs!$F$3</f>
        <v>#REF!</v>
      </c>
      <c r="AE93" s="21"/>
      <c r="AF93" s="598" t="e">
        <f t="shared" si="173"/>
        <v>#REF!</v>
      </c>
      <c r="AG93" s="495" t="e">
        <f t="shared" si="174"/>
        <v>#REF!</v>
      </c>
      <c r="AH93" s="21"/>
      <c r="AI93" s="495" t="e">
        <f t="shared" si="158"/>
        <v>#REF!</v>
      </c>
      <c r="AJ93" s="495" t="e">
        <f t="shared" si="159"/>
        <v>#REF!</v>
      </c>
      <c r="AK93" s="495" t="e">
        <f t="shared" si="160"/>
        <v>#REF!</v>
      </c>
      <c r="AL93" s="495" t="e">
        <f t="shared" si="161"/>
        <v>#REF!</v>
      </c>
      <c r="AM93" s="495" t="e">
        <f t="shared" si="162"/>
        <v>#REF!</v>
      </c>
      <c r="AN93" s="495" t="e">
        <f t="shared" si="163"/>
        <v>#REF!</v>
      </c>
      <c r="AO93" s="495" t="e">
        <f t="shared" si="164"/>
        <v>#REF!</v>
      </c>
      <c r="AP93" s="495" t="e">
        <f t="shared" si="165"/>
        <v>#REF!</v>
      </c>
      <c r="AQ93" s="493" t="e">
        <f t="shared" si="166"/>
        <v>#REF!</v>
      </c>
      <c r="AR93" s="495" t="e">
        <f t="shared" ca="1" si="167"/>
        <v>#NAME?</v>
      </c>
      <c r="AS93" s="495" t="e">
        <f t="shared" ca="1" si="168"/>
        <v>#NAME?</v>
      </c>
      <c r="AT93" s="495" t="e">
        <f t="shared" si="169"/>
        <v>#REF!</v>
      </c>
      <c r="AU93" s="495" t="e">
        <f t="shared" si="170"/>
        <v>#REF!</v>
      </c>
      <c r="AV93" s="21"/>
      <c r="AW93" s="688" t="e">
        <f t="shared" ca="1" si="175"/>
        <v>#REF!</v>
      </c>
      <c r="AX93" s="554"/>
      <c r="AY93" s="554"/>
      <c r="AZ93" s="3"/>
      <c r="BA93" s="3"/>
      <c r="BB93" s="3"/>
      <c r="BC93" s="3"/>
      <c r="BD93" s="3"/>
      <c r="BE93" s="3"/>
      <c r="BF93" s="3"/>
      <c r="BG93" s="3"/>
      <c r="BH93" s="3"/>
      <c r="BI93" s="3"/>
      <c r="BJ93" s="3"/>
      <c r="BK93" s="3"/>
      <c r="BL93" s="3"/>
      <c r="BM93" s="3"/>
    </row>
    <row r="94" spans="1:65">
      <c r="A94" s="633" t="s">
        <v>186</v>
      </c>
      <c r="B94" s="665" t="s">
        <v>17</v>
      </c>
      <c r="C94" s="658">
        <v>678.70078740157487</v>
      </c>
      <c r="D94" s="18"/>
      <c r="E94" s="621">
        <v>22.63</v>
      </c>
      <c r="F94" s="621">
        <v>0</v>
      </c>
      <c r="G94" s="622">
        <v>1222</v>
      </c>
      <c r="H94" s="622">
        <v>800</v>
      </c>
      <c r="I94" s="622">
        <v>85.78</v>
      </c>
      <c r="J94" s="277">
        <v>40</v>
      </c>
      <c r="K94" s="622">
        <v>44.57</v>
      </c>
      <c r="L94" s="622">
        <v>1219.69</v>
      </c>
      <c r="M94" s="620">
        <v>0</v>
      </c>
      <c r="N94" s="620">
        <v>0</v>
      </c>
      <c r="O94" s="622">
        <v>22.25</v>
      </c>
      <c r="P94" s="622">
        <v>22.28</v>
      </c>
      <c r="Q94" s="69"/>
      <c r="R94" s="21"/>
      <c r="S94" s="489">
        <f t="shared" si="154"/>
        <v>3456.9200000000005</v>
      </c>
      <c r="T94" s="489" t="e">
        <f t="shared" si="171"/>
        <v>#REF!</v>
      </c>
      <c r="U94" s="489" t="e">
        <f>MAX(U$89:U$90)+IF($B$2="mil",1,0.0254)*DDR2Specs!$E$3</f>
        <v>#REF!</v>
      </c>
      <c r="V94" s="489" t="e">
        <f>MIN(U$89:U$90)+IF($B$2="mil",1,0.0254)*DDR2Specs!$F$3</f>
        <v>#REF!</v>
      </c>
      <c r="W94" s="21"/>
      <c r="X94" s="598" t="e">
        <f t="shared" si="155"/>
        <v>#REF!</v>
      </c>
      <c r="Y94" s="495" t="e">
        <f t="shared" si="156"/>
        <v>#REF!</v>
      </c>
      <c r="Z94" s="21"/>
      <c r="AA94" s="489">
        <f t="shared" si="157"/>
        <v>3456.9500000000007</v>
      </c>
      <c r="AB94" s="489" t="e">
        <f t="shared" si="172"/>
        <v>#REF!</v>
      </c>
      <c r="AC94" s="489" t="e">
        <f>MAX(AC$89:AC$90)+IF($B$2="mil",1,0.0254)*DDR2Specs!$E$3</f>
        <v>#REF!</v>
      </c>
      <c r="AD94" s="489" t="e">
        <f>MIN(AC$89:AC$90)+IF($B$2="mil",1,0.0254)*DDR2Specs!$F$3</f>
        <v>#REF!</v>
      </c>
      <c r="AE94" s="21"/>
      <c r="AF94" s="598" t="e">
        <f t="shared" si="173"/>
        <v>#REF!</v>
      </c>
      <c r="AG94" s="495" t="e">
        <f t="shared" si="174"/>
        <v>#REF!</v>
      </c>
      <c r="AH94" s="21"/>
      <c r="AI94" s="495" t="e">
        <f t="shared" si="158"/>
        <v>#REF!</v>
      </c>
      <c r="AJ94" s="495" t="e">
        <f t="shared" si="159"/>
        <v>#REF!</v>
      </c>
      <c r="AK94" s="495" t="e">
        <f t="shared" si="160"/>
        <v>#REF!</v>
      </c>
      <c r="AL94" s="495" t="e">
        <f t="shared" si="161"/>
        <v>#REF!</v>
      </c>
      <c r="AM94" s="495" t="e">
        <f t="shared" si="162"/>
        <v>#REF!</v>
      </c>
      <c r="AN94" s="495" t="e">
        <f t="shared" si="163"/>
        <v>#REF!</v>
      </c>
      <c r="AO94" s="495" t="e">
        <f t="shared" si="164"/>
        <v>#REF!</v>
      </c>
      <c r="AP94" s="495" t="e">
        <f t="shared" si="165"/>
        <v>#REF!</v>
      </c>
      <c r="AQ94" s="493" t="e">
        <f t="shared" si="166"/>
        <v>#REF!</v>
      </c>
      <c r="AR94" s="495" t="e">
        <f t="shared" ca="1" si="167"/>
        <v>#NAME?</v>
      </c>
      <c r="AS94" s="495" t="e">
        <f t="shared" ca="1" si="168"/>
        <v>#NAME?</v>
      </c>
      <c r="AT94" s="495" t="e">
        <f t="shared" si="169"/>
        <v>#REF!</v>
      </c>
      <c r="AU94" s="495" t="e">
        <f t="shared" si="170"/>
        <v>#REF!</v>
      </c>
      <c r="AV94" s="21"/>
      <c r="AW94" s="688" t="e">
        <f t="shared" ca="1" si="175"/>
        <v>#REF!</v>
      </c>
      <c r="AX94" s="554"/>
      <c r="AY94" s="554"/>
      <c r="AZ94" s="3"/>
      <c r="BA94" s="3"/>
      <c r="BB94" s="3"/>
      <c r="BC94" s="3"/>
      <c r="BD94" s="3"/>
      <c r="BE94" s="3"/>
      <c r="BF94" s="3"/>
      <c r="BG94" s="3"/>
      <c r="BH94" s="3"/>
      <c r="BI94" s="3"/>
      <c r="BJ94" s="3"/>
      <c r="BK94" s="3"/>
      <c r="BL94" s="3"/>
      <c r="BM94" s="3"/>
    </row>
    <row r="95" spans="1:65">
      <c r="A95" s="633" t="s">
        <v>187</v>
      </c>
      <c r="B95" s="665" t="s">
        <v>504</v>
      </c>
      <c r="C95" s="658">
        <v>732.83464566929138</v>
      </c>
      <c r="D95" s="18"/>
      <c r="E95" s="621">
        <v>22.63</v>
      </c>
      <c r="F95" s="621">
        <v>0</v>
      </c>
      <c r="G95" s="622">
        <v>1130</v>
      </c>
      <c r="H95" s="622">
        <v>790.77</v>
      </c>
      <c r="I95" s="622">
        <v>81.64</v>
      </c>
      <c r="J95" s="277">
        <v>40</v>
      </c>
      <c r="K95" s="622">
        <v>29.57</v>
      </c>
      <c r="L95" s="622">
        <v>1245.1600000000001</v>
      </c>
      <c r="M95" s="620">
        <v>0</v>
      </c>
      <c r="N95" s="620">
        <v>0</v>
      </c>
      <c r="O95" s="622">
        <v>64.760000000000005</v>
      </c>
      <c r="P95" s="622">
        <v>64.790000000000006</v>
      </c>
      <c r="Q95" s="69"/>
      <c r="R95" s="21"/>
      <c r="S95" s="489">
        <f t="shared" si="154"/>
        <v>3404.5300000000007</v>
      </c>
      <c r="T95" s="489" t="e">
        <f t="shared" si="171"/>
        <v>#REF!</v>
      </c>
      <c r="U95" s="489" t="e">
        <f>MAX(U$89:U$90)+IF($B$2="mil",1,0.0254)*DDR2Specs!$E$3</f>
        <v>#REF!</v>
      </c>
      <c r="V95" s="489" t="e">
        <f>MIN(U$89:U$90)+IF($B$2="mil",1,0.0254)*DDR2Specs!$F$3</f>
        <v>#REF!</v>
      </c>
      <c r="W95" s="21"/>
      <c r="X95" s="598" t="e">
        <f t="shared" si="155"/>
        <v>#REF!</v>
      </c>
      <c r="Y95" s="495" t="e">
        <f t="shared" si="156"/>
        <v>#REF!</v>
      </c>
      <c r="Z95" s="21"/>
      <c r="AA95" s="489">
        <f t="shared" si="157"/>
        <v>3404.5600000000004</v>
      </c>
      <c r="AB95" s="489" t="e">
        <f t="shared" si="172"/>
        <v>#REF!</v>
      </c>
      <c r="AC95" s="489" t="e">
        <f>MAX(AC$89:AC$90)+IF($B$2="mil",1,0.0254)*DDR2Specs!$E$3</f>
        <v>#REF!</v>
      </c>
      <c r="AD95" s="489" t="e">
        <f>MIN(AC$89:AC$90)+IF($B$2="mil",1,0.0254)*DDR2Specs!$F$3</f>
        <v>#REF!</v>
      </c>
      <c r="AE95" s="21"/>
      <c r="AF95" s="598" t="e">
        <f t="shared" si="173"/>
        <v>#REF!</v>
      </c>
      <c r="AG95" s="495" t="e">
        <f t="shared" si="174"/>
        <v>#REF!</v>
      </c>
      <c r="AH95" s="21"/>
      <c r="AI95" s="495" t="e">
        <f t="shared" si="158"/>
        <v>#REF!</v>
      </c>
      <c r="AJ95" s="495" t="e">
        <f t="shared" si="159"/>
        <v>#REF!</v>
      </c>
      <c r="AK95" s="495" t="e">
        <f t="shared" si="160"/>
        <v>#REF!</v>
      </c>
      <c r="AL95" s="495" t="e">
        <f t="shared" si="161"/>
        <v>#REF!</v>
      </c>
      <c r="AM95" s="495" t="e">
        <f t="shared" si="162"/>
        <v>#REF!</v>
      </c>
      <c r="AN95" s="495" t="e">
        <f t="shared" si="163"/>
        <v>#REF!</v>
      </c>
      <c r="AO95" s="495" t="e">
        <f t="shared" si="164"/>
        <v>#REF!</v>
      </c>
      <c r="AP95" s="495" t="e">
        <f t="shared" si="165"/>
        <v>#REF!</v>
      </c>
      <c r="AQ95" s="493" t="e">
        <f t="shared" si="166"/>
        <v>#REF!</v>
      </c>
      <c r="AR95" s="495" t="e">
        <f t="shared" ca="1" si="167"/>
        <v>#NAME?</v>
      </c>
      <c r="AS95" s="495" t="e">
        <f t="shared" ca="1" si="168"/>
        <v>#NAME?</v>
      </c>
      <c r="AT95" s="495" t="e">
        <f t="shared" si="169"/>
        <v>#REF!</v>
      </c>
      <c r="AU95" s="495" t="e">
        <f t="shared" si="170"/>
        <v>#REF!</v>
      </c>
      <c r="AV95" s="21"/>
      <c r="AW95" s="688" t="e">
        <f t="shared" ca="1" si="175"/>
        <v>#REF!</v>
      </c>
      <c r="AX95" s="554"/>
      <c r="AY95" s="554"/>
      <c r="AZ95" s="3"/>
      <c r="BA95" s="3"/>
      <c r="BB95" s="3"/>
      <c r="BC95" s="3"/>
      <c r="BD95" s="3"/>
      <c r="BE95" s="3"/>
      <c r="BF95" s="3"/>
      <c r="BG95" s="3"/>
      <c r="BH95" s="3"/>
      <c r="BI95" s="3"/>
      <c r="BJ95" s="3"/>
      <c r="BK95" s="3"/>
      <c r="BL95" s="3"/>
      <c r="BM95" s="3"/>
    </row>
    <row r="96" spans="1:65">
      <c r="A96" s="633" t="s">
        <v>188</v>
      </c>
      <c r="B96" s="665" t="s">
        <v>505</v>
      </c>
      <c r="C96" s="658">
        <v>573.50393700787401</v>
      </c>
      <c r="D96" s="18"/>
      <c r="E96" s="621">
        <v>22.63</v>
      </c>
      <c r="F96" s="621">
        <v>0</v>
      </c>
      <c r="G96" s="622">
        <v>1320</v>
      </c>
      <c r="H96" s="622">
        <v>811</v>
      </c>
      <c r="I96" s="622">
        <v>44.57</v>
      </c>
      <c r="J96" s="277">
        <v>40</v>
      </c>
      <c r="K96" s="622">
        <v>85.78</v>
      </c>
      <c r="L96" s="622">
        <v>1160.23</v>
      </c>
      <c r="M96" s="620">
        <v>0</v>
      </c>
      <c r="N96" s="620">
        <v>0</v>
      </c>
      <c r="O96" s="622">
        <v>76.06</v>
      </c>
      <c r="P96" s="622">
        <v>76.03</v>
      </c>
      <c r="Q96" s="69"/>
      <c r="R96" s="21"/>
      <c r="S96" s="489">
        <f t="shared" si="154"/>
        <v>3560.2700000000004</v>
      </c>
      <c r="T96" s="489" t="e">
        <f t="shared" si="171"/>
        <v>#REF!</v>
      </c>
      <c r="U96" s="489" t="e">
        <f>MAX(U$89:U$90)+IF($B$2="mil",1,0.0254)*DDR2Specs!$E$3</f>
        <v>#REF!</v>
      </c>
      <c r="V96" s="489" t="e">
        <f>MIN(U$89:U$90)+IF($B$2="mil",1,0.0254)*DDR2Specs!$F$3</f>
        <v>#REF!</v>
      </c>
      <c r="W96" s="21"/>
      <c r="X96" s="598" t="e">
        <f t="shared" si="155"/>
        <v>#REF!</v>
      </c>
      <c r="Y96" s="495" t="e">
        <f t="shared" si="156"/>
        <v>#REF!</v>
      </c>
      <c r="Z96" s="21"/>
      <c r="AA96" s="489">
        <f t="shared" si="157"/>
        <v>3560.2400000000007</v>
      </c>
      <c r="AB96" s="489" t="e">
        <f t="shared" si="172"/>
        <v>#REF!</v>
      </c>
      <c r="AC96" s="489" t="e">
        <f>MAX(AC$89:AC$90)+IF($B$2="mil",1,0.0254)*DDR2Specs!$E$3</f>
        <v>#REF!</v>
      </c>
      <c r="AD96" s="489" t="e">
        <f>MIN(AC$89:AC$90)+IF($B$2="mil",1,0.0254)*DDR2Specs!$F$3</f>
        <v>#REF!</v>
      </c>
      <c r="AE96" s="21"/>
      <c r="AF96" s="598" t="e">
        <f t="shared" si="173"/>
        <v>#REF!</v>
      </c>
      <c r="AG96" s="495" t="e">
        <f t="shared" si="174"/>
        <v>#REF!</v>
      </c>
      <c r="AH96" s="21"/>
      <c r="AI96" s="495" t="e">
        <f t="shared" si="158"/>
        <v>#REF!</v>
      </c>
      <c r="AJ96" s="495" t="e">
        <f t="shared" si="159"/>
        <v>#REF!</v>
      </c>
      <c r="AK96" s="495" t="e">
        <f t="shared" si="160"/>
        <v>#REF!</v>
      </c>
      <c r="AL96" s="495" t="e">
        <f t="shared" si="161"/>
        <v>#REF!</v>
      </c>
      <c r="AM96" s="495" t="e">
        <f t="shared" si="162"/>
        <v>#REF!</v>
      </c>
      <c r="AN96" s="495" t="e">
        <f t="shared" si="163"/>
        <v>#REF!</v>
      </c>
      <c r="AO96" s="495" t="e">
        <f t="shared" si="164"/>
        <v>#REF!</v>
      </c>
      <c r="AP96" s="495" t="e">
        <f t="shared" si="165"/>
        <v>#REF!</v>
      </c>
      <c r="AQ96" s="493" t="e">
        <f t="shared" si="166"/>
        <v>#REF!</v>
      </c>
      <c r="AR96" s="495" t="e">
        <f t="shared" ca="1" si="167"/>
        <v>#NAME?</v>
      </c>
      <c r="AS96" s="495" t="e">
        <f t="shared" ca="1" si="168"/>
        <v>#NAME?</v>
      </c>
      <c r="AT96" s="495" t="e">
        <f t="shared" si="169"/>
        <v>#REF!</v>
      </c>
      <c r="AU96" s="495" t="e">
        <f t="shared" si="170"/>
        <v>#REF!</v>
      </c>
      <c r="AV96" s="21"/>
      <c r="AW96" s="688" t="e">
        <f t="shared" ca="1" si="175"/>
        <v>#REF!</v>
      </c>
      <c r="AX96" s="554"/>
      <c r="AY96" s="554"/>
      <c r="AZ96" s="3"/>
      <c r="BA96" s="3"/>
      <c r="BB96" s="3"/>
      <c r="BC96" s="3"/>
      <c r="BD96" s="3"/>
      <c r="BE96" s="3"/>
      <c r="BF96" s="3"/>
      <c r="BG96" s="3"/>
      <c r="BH96" s="3"/>
      <c r="BI96" s="3"/>
      <c r="BJ96" s="3"/>
      <c r="BK96" s="3"/>
      <c r="BL96" s="3"/>
      <c r="BM96" s="3"/>
    </row>
    <row r="97" spans="1:65">
      <c r="A97" s="633" t="s">
        <v>189</v>
      </c>
      <c r="B97" s="665" t="s">
        <v>342</v>
      </c>
      <c r="C97" s="658">
        <v>629.48818897637796</v>
      </c>
      <c r="D97" s="18"/>
      <c r="E97" s="621">
        <v>22.63</v>
      </c>
      <c r="F97" s="621">
        <v>0</v>
      </c>
      <c r="G97" s="622">
        <v>1300</v>
      </c>
      <c r="H97" s="622">
        <v>776</v>
      </c>
      <c r="I97" s="622">
        <v>85.78</v>
      </c>
      <c r="J97" s="277">
        <v>40</v>
      </c>
      <c r="K97" s="622">
        <v>85.78</v>
      </c>
      <c r="L97" s="622">
        <v>1169.1199999999999</v>
      </c>
      <c r="M97" s="620">
        <v>0</v>
      </c>
      <c r="N97" s="620">
        <v>0</v>
      </c>
      <c r="O97" s="622">
        <v>25.06</v>
      </c>
      <c r="P97" s="622">
        <v>25.09</v>
      </c>
      <c r="Q97" s="69"/>
      <c r="R97" s="21"/>
      <c r="S97" s="489">
        <f t="shared" si="154"/>
        <v>3504.3700000000003</v>
      </c>
      <c r="T97" s="489" t="e">
        <f t="shared" si="171"/>
        <v>#REF!</v>
      </c>
      <c r="U97" s="489" t="e">
        <f>MAX(U$89:U$90)+IF($B$2="mil",1,0.0254)*DDR2Specs!$E$3</f>
        <v>#REF!</v>
      </c>
      <c r="V97" s="489" t="e">
        <f>MIN(U$89:U$90)+IF($B$2="mil",1,0.0254)*DDR2Specs!$F$3</f>
        <v>#REF!</v>
      </c>
      <c r="W97" s="21"/>
      <c r="X97" s="598" t="e">
        <f t="shared" si="155"/>
        <v>#REF!</v>
      </c>
      <c r="Y97" s="495" t="e">
        <f t="shared" si="156"/>
        <v>#REF!</v>
      </c>
      <c r="Z97" s="21"/>
      <c r="AA97" s="489">
        <f t="shared" si="157"/>
        <v>3504.4000000000005</v>
      </c>
      <c r="AB97" s="489" t="e">
        <f t="shared" si="172"/>
        <v>#REF!</v>
      </c>
      <c r="AC97" s="489" t="e">
        <f>MAX(AC$89:AC$90)+IF($B$2="mil",1,0.0254)*DDR2Specs!$E$3</f>
        <v>#REF!</v>
      </c>
      <c r="AD97" s="489" t="e">
        <f>MIN(AC$89:AC$90)+IF($B$2="mil",1,0.0254)*DDR2Specs!$F$3</f>
        <v>#REF!</v>
      </c>
      <c r="AE97" s="21"/>
      <c r="AF97" s="598" t="e">
        <f t="shared" si="173"/>
        <v>#REF!</v>
      </c>
      <c r="AG97" s="495" t="e">
        <f t="shared" si="174"/>
        <v>#REF!</v>
      </c>
      <c r="AH97" s="21"/>
      <c r="AI97" s="495" t="e">
        <f t="shared" si="158"/>
        <v>#REF!</v>
      </c>
      <c r="AJ97" s="495" t="e">
        <f t="shared" si="159"/>
        <v>#REF!</v>
      </c>
      <c r="AK97" s="495" t="e">
        <f t="shared" si="160"/>
        <v>#REF!</v>
      </c>
      <c r="AL97" s="495" t="e">
        <f t="shared" si="161"/>
        <v>#REF!</v>
      </c>
      <c r="AM97" s="495" t="e">
        <f t="shared" si="162"/>
        <v>#REF!</v>
      </c>
      <c r="AN97" s="495" t="e">
        <f t="shared" si="163"/>
        <v>#REF!</v>
      </c>
      <c r="AO97" s="495" t="e">
        <f t="shared" si="164"/>
        <v>#REF!</v>
      </c>
      <c r="AP97" s="495" t="e">
        <f t="shared" si="165"/>
        <v>#REF!</v>
      </c>
      <c r="AQ97" s="493" t="e">
        <f t="shared" si="166"/>
        <v>#REF!</v>
      </c>
      <c r="AR97" s="495" t="e">
        <f t="shared" ca="1" si="167"/>
        <v>#NAME?</v>
      </c>
      <c r="AS97" s="495" t="e">
        <f t="shared" ca="1" si="168"/>
        <v>#NAME?</v>
      </c>
      <c r="AT97" s="495" t="e">
        <f t="shared" si="169"/>
        <v>#REF!</v>
      </c>
      <c r="AU97" s="495" t="e">
        <f t="shared" si="170"/>
        <v>#REF!</v>
      </c>
      <c r="AV97" s="21"/>
      <c r="AW97" s="688" t="e">
        <f t="shared" ca="1" si="175"/>
        <v>#REF!</v>
      </c>
      <c r="AX97" s="554"/>
      <c r="AY97" s="554"/>
      <c r="AZ97" s="3"/>
      <c r="BA97" s="3"/>
      <c r="BB97" s="3"/>
      <c r="BC97" s="3"/>
      <c r="BD97" s="3"/>
      <c r="BE97" s="3"/>
      <c r="BF97" s="3"/>
      <c r="BG97" s="3"/>
      <c r="BH97" s="3"/>
      <c r="BI97" s="3"/>
      <c r="BJ97" s="3"/>
      <c r="BK97" s="3"/>
      <c r="BL97" s="3"/>
      <c r="BM97" s="3"/>
    </row>
    <row r="98" spans="1:65">
      <c r="A98" s="633" t="s">
        <v>190</v>
      </c>
      <c r="B98" s="665" t="s">
        <v>506</v>
      </c>
      <c r="C98" s="658">
        <v>637.44094488188978</v>
      </c>
      <c r="D98" s="18"/>
      <c r="E98" s="621">
        <v>22.63</v>
      </c>
      <c r="F98" s="621">
        <v>0</v>
      </c>
      <c r="G98" s="622">
        <v>1280</v>
      </c>
      <c r="H98" s="622">
        <v>822</v>
      </c>
      <c r="I98" s="622">
        <v>44.57</v>
      </c>
      <c r="J98" s="277">
        <v>40</v>
      </c>
      <c r="K98" s="622">
        <v>44.57</v>
      </c>
      <c r="L98" s="622">
        <v>1219.02</v>
      </c>
      <c r="M98" s="620">
        <v>0</v>
      </c>
      <c r="N98" s="620">
        <v>0</v>
      </c>
      <c r="O98" s="622">
        <v>23.59</v>
      </c>
      <c r="P98" s="622">
        <v>23.56</v>
      </c>
      <c r="Q98" s="69"/>
      <c r="R98" s="21"/>
      <c r="S98" s="489">
        <f t="shared" si="154"/>
        <v>3496.3800000000006</v>
      </c>
      <c r="T98" s="489" t="e">
        <f t="shared" si="171"/>
        <v>#REF!</v>
      </c>
      <c r="U98" s="489" t="e">
        <f>MAX(U$89:U$90)+IF($B$2="mil",1,0.0254)*DDR2Specs!$E$3</f>
        <v>#REF!</v>
      </c>
      <c r="V98" s="489" t="e">
        <f>MIN(U$89:U$90)+IF($B$2="mil",1,0.0254)*DDR2Specs!$F$3</f>
        <v>#REF!</v>
      </c>
      <c r="W98" s="21"/>
      <c r="X98" s="598" t="e">
        <f t="shared" si="155"/>
        <v>#REF!</v>
      </c>
      <c r="Y98" s="495" t="e">
        <f t="shared" si="156"/>
        <v>#REF!</v>
      </c>
      <c r="Z98" s="21"/>
      <c r="AA98" s="489">
        <f t="shared" si="157"/>
        <v>3496.3500000000004</v>
      </c>
      <c r="AB98" s="489" t="e">
        <f t="shared" si="172"/>
        <v>#REF!</v>
      </c>
      <c r="AC98" s="489" t="e">
        <f>MAX(AC$89:AC$90)+IF($B$2="mil",1,0.0254)*DDR2Specs!$E$3</f>
        <v>#REF!</v>
      </c>
      <c r="AD98" s="489" t="e">
        <f>MIN(AC$89:AC$90)+IF($B$2="mil",1,0.0254)*DDR2Specs!$F$3</f>
        <v>#REF!</v>
      </c>
      <c r="AE98" s="21"/>
      <c r="AF98" s="598" t="e">
        <f t="shared" si="173"/>
        <v>#REF!</v>
      </c>
      <c r="AG98" s="495" t="e">
        <f t="shared" si="174"/>
        <v>#REF!</v>
      </c>
      <c r="AH98" s="21"/>
      <c r="AI98" s="495" t="e">
        <f t="shared" si="158"/>
        <v>#REF!</v>
      </c>
      <c r="AJ98" s="495" t="e">
        <f t="shared" si="159"/>
        <v>#REF!</v>
      </c>
      <c r="AK98" s="495" t="e">
        <f t="shared" si="160"/>
        <v>#REF!</v>
      </c>
      <c r="AL98" s="495" t="e">
        <f t="shared" si="161"/>
        <v>#REF!</v>
      </c>
      <c r="AM98" s="495" t="e">
        <f t="shared" si="162"/>
        <v>#REF!</v>
      </c>
      <c r="AN98" s="495" t="e">
        <f t="shared" si="163"/>
        <v>#REF!</v>
      </c>
      <c r="AO98" s="495" t="e">
        <f t="shared" si="164"/>
        <v>#REF!</v>
      </c>
      <c r="AP98" s="495" t="e">
        <f t="shared" si="165"/>
        <v>#REF!</v>
      </c>
      <c r="AQ98" s="493" t="e">
        <f t="shared" si="166"/>
        <v>#REF!</v>
      </c>
      <c r="AR98" s="495" t="e">
        <f t="shared" ca="1" si="167"/>
        <v>#NAME?</v>
      </c>
      <c r="AS98" s="495" t="e">
        <f t="shared" ca="1" si="168"/>
        <v>#NAME?</v>
      </c>
      <c r="AT98" s="495" t="e">
        <f t="shared" si="169"/>
        <v>#REF!</v>
      </c>
      <c r="AU98" s="495" t="e">
        <f t="shared" si="170"/>
        <v>#REF!</v>
      </c>
      <c r="AV98" s="21"/>
      <c r="AW98" s="688" t="e">
        <f t="shared" ca="1" si="175"/>
        <v>#REF!</v>
      </c>
      <c r="AX98" s="554"/>
      <c r="AY98" s="554"/>
      <c r="AZ98" s="3"/>
      <c r="BA98" s="3"/>
      <c r="BB98" s="3"/>
      <c r="BC98" s="3"/>
      <c r="BD98" s="3"/>
      <c r="BE98" s="3"/>
      <c r="BF98" s="3"/>
      <c r="BG98" s="3"/>
      <c r="BH98" s="3"/>
      <c r="BI98" s="3"/>
      <c r="BJ98" s="3"/>
      <c r="BK98" s="3"/>
      <c r="BL98" s="3"/>
      <c r="BM98" s="3"/>
    </row>
    <row r="99" spans="1:65">
      <c r="A99" s="666" t="s">
        <v>191</v>
      </c>
      <c r="B99" s="667" t="s">
        <v>115</v>
      </c>
      <c r="C99" s="658">
        <v>711.69291338582684</v>
      </c>
      <c r="D99" s="18"/>
      <c r="E99" s="621">
        <v>22.63</v>
      </c>
      <c r="F99" s="621">
        <v>0</v>
      </c>
      <c r="G99" s="622">
        <v>1160</v>
      </c>
      <c r="H99" s="622">
        <v>785</v>
      </c>
      <c r="I99" s="622">
        <v>85.78</v>
      </c>
      <c r="J99" s="277">
        <v>40</v>
      </c>
      <c r="K99" s="622">
        <v>44.57</v>
      </c>
      <c r="L99" s="622">
        <v>1214.5899999999999</v>
      </c>
      <c r="M99" s="620">
        <v>0</v>
      </c>
      <c r="N99" s="620">
        <v>0</v>
      </c>
      <c r="O99" s="622">
        <v>72.97</v>
      </c>
      <c r="P99" s="622">
        <v>70.47</v>
      </c>
      <c r="Q99" s="69"/>
      <c r="R99" s="21"/>
      <c r="S99" s="489">
        <f t="shared" si="154"/>
        <v>3425.5400000000004</v>
      </c>
      <c r="T99" s="489" t="e">
        <f t="shared" si="171"/>
        <v>#REF!</v>
      </c>
      <c r="U99" s="489" t="e">
        <f>MAX(U$89:U$90)+IF($B$2="mil",1,0.0254)*DDR2Specs!$E$3</f>
        <v>#REF!</v>
      </c>
      <c r="V99" s="489" t="e">
        <f>MIN(U$89:U$90)+IF($B$2="mil",1,0.0254)*DDR2Specs!$F$3</f>
        <v>#REF!</v>
      </c>
      <c r="W99" s="21"/>
      <c r="X99" s="598" t="e">
        <f t="shared" si="155"/>
        <v>#REF!</v>
      </c>
      <c r="Y99" s="495" t="e">
        <f t="shared" si="156"/>
        <v>#REF!</v>
      </c>
      <c r="Z99" s="21"/>
      <c r="AA99" s="489">
        <f t="shared" si="157"/>
        <v>3423.0400000000004</v>
      </c>
      <c r="AB99" s="489" t="e">
        <f t="shared" si="172"/>
        <v>#REF!</v>
      </c>
      <c r="AC99" s="489" t="e">
        <f>MAX(AC$89:AC$90)+IF($B$2="mil",1,0.0254)*DDR2Specs!$E$3</f>
        <v>#REF!</v>
      </c>
      <c r="AD99" s="489" t="e">
        <f>MIN(AC$89:AC$90)+IF($B$2="mil",1,0.0254)*DDR2Specs!$F$3</f>
        <v>#REF!</v>
      </c>
      <c r="AE99" s="21"/>
      <c r="AF99" s="598" t="e">
        <f t="shared" si="173"/>
        <v>#REF!</v>
      </c>
      <c r="AG99" s="495" t="e">
        <f t="shared" si="174"/>
        <v>#REF!</v>
      </c>
      <c r="AH99" s="21"/>
      <c r="AI99" s="495" t="e">
        <f t="shared" si="158"/>
        <v>#REF!</v>
      </c>
      <c r="AJ99" s="495" t="e">
        <f t="shared" si="159"/>
        <v>#REF!</v>
      </c>
      <c r="AK99" s="495" t="e">
        <f t="shared" si="160"/>
        <v>#REF!</v>
      </c>
      <c r="AL99" s="495" t="e">
        <f t="shared" si="161"/>
        <v>#REF!</v>
      </c>
      <c r="AM99" s="495" t="e">
        <f t="shared" si="162"/>
        <v>#REF!</v>
      </c>
      <c r="AN99" s="495" t="e">
        <f t="shared" si="163"/>
        <v>#REF!</v>
      </c>
      <c r="AO99" s="495" t="e">
        <f t="shared" si="164"/>
        <v>#REF!</v>
      </c>
      <c r="AP99" s="495" t="e">
        <f t="shared" si="165"/>
        <v>#REF!</v>
      </c>
      <c r="AQ99" s="493" t="e">
        <f t="shared" si="166"/>
        <v>#REF!</v>
      </c>
      <c r="AR99" s="495" t="e">
        <f t="shared" ca="1" si="167"/>
        <v>#NAME?</v>
      </c>
      <c r="AS99" s="495" t="e">
        <f t="shared" ca="1" si="168"/>
        <v>#NAME?</v>
      </c>
      <c r="AT99" s="495" t="e">
        <f t="shared" si="169"/>
        <v>#REF!</v>
      </c>
      <c r="AU99" s="495" t="e">
        <f t="shared" si="170"/>
        <v>#REF!</v>
      </c>
      <c r="AV99" s="21"/>
      <c r="AW99" s="688" t="e">
        <f t="shared" ca="1" si="175"/>
        <v>#REF!</v>
      </c>
      <c r="AX99" s="554"/>
      <c r="AY99" s="554"/>
      <c r="AZ99" s="3"/>
      <c r="BA99" s="3"/>
      <c r="BB99" s="3"/>
      <c r="BC99" s="3"/>
      <c r="BD99" s="3"/>
      <c r="BE99" s="3"/>
      <c r="BF99" s="3"/>
      <c r="BG99" s="3"/>
      <c r="BH99" s="3"/>
      <c r="BI99" s="3"/>
      <c r="BJ99" s="3"/>
      <c r="BK99" s="3"/>
      <c r="BL99" s="3"/>
      <c r="BM99" s="3"/>
    </row>
    <row r="100" spans="1:65" ht="12.75" customHeight="1">
      <c r="A100" s="114"/>
      <c r="B100" s="487"/>
      <c r="C100" s="487"/>
      <c r="D100" s="84"/>
      <c r="E100" s="85"/>
      <c r="F100" s="85"/>
      <c r="G100" s="85"/>
      <c r="H100" s="85"/>
      <c r="I100" s="85"/>
      <c r="J100" s="85"/>
      <c r="K100" s="85"/>
      <c r="L100" s="85"/>
      <c r="M100" s="85"/>
      <c r="N100" s="85"/>
      <c r="O100" s="85"/>
      <c r="P100" s="85"/>
      <c r="Q100" s="85"/>
      <c r="R100" s="611"/>
      <c r="S100" s="611"/>
      <c r="T100" s="611"/>
      <c r="U100" s="611"/>
      <c r="V100" s="611"/>
      <c r="W100" s="611"/>
      <c r="X100" s="613"/>
      <c r="Y100" s="614"/>
      <c r="Z100" s="611"/>
      <c r="AA100" s="611"/>
      <c r="AB100" s="611"/>
      <c r="AC100" s="611"/>
      <c r="AD100" s="611"/>
      <c r="AE100" s="611"/>
      <c r="AF100" s="613"/>
      <c r="AG100" s="614"/>
      <c r="AH100" s="611"/>
      <c r="AI100" s="614"/>
      <c r="AJ100" s="615"/>
      <c r="AK100" s="616"/>
      <c r="AL100" s="616"/>
      <c r="AM100" s="616"/>
      <c r="AN100" s="616"/>
      <c r="AO100" s="616"/>
      <c r="AP100" s="616"/>
      <c r="AQ100" s="616"/>
      <c r="AR100" s="616"/>
      <c r="AS100" s="616"/>
      <c r="AT100" s="616"/>
      <c r="AU100" s="616"/>
      <c r="AV100" s="21"/>
      <c r="AW100" s="554"/>
      <c r="AX100" s="554"/>
      <c r="AY100" s="554"/>
      <c r="AZ100" s="3"/>
      <c r="BA100" s="3"/>
      <c r="BB100" s="3"/>
      <c r="BC100" s="3"/>
      <c r="BD100" s="3"/>
      <c r="BE100" s="3"/>
      <c r="BF100" s="3"/>
      <c r="BG100" s="3"/>
      <c r="BH100" s="3"/>
      <c r="BI100" s="3"/>
      <c r="BJ100" s="3"/>
      <c r="BK100" s="3"/>
      <c r="BL100" s="3"/>
      <c r="BM100" s="3"/>
    </row>
    <row r="101" spans="1:65" ht="25.5">
      <c r="A101" s="48" t="s">
        <v>9</v>
      </c>
      <c r="B101" s="28"/>
      <c r="C101" s="24"/>
      <c r="D101" s="26"/>
      <c r="E101" s="24"/>
      <c r="F101" s="24"/>
      <c r="G101" s="26"/>
      <c r="H101" s="26"/>
      <c r="I101" s="26"/>
      <c r="J101" s="26"/>
      <c r="K101" s="26"/>
      <c r="L101" s="26"/>
      <c r="M101" s="26"/>
      <c r="N101" s="26"/>
      <c r="O101" s="26"/>
      <c r="P101" s="26"/>
      <c r="R101" s="24"/>
      <c r="S101" s="26"/>
      <c r="T101" s="25"/>
      <c r="U101" s="24"/>
      <c r="V101" s="24"/>
      <c r="W101" s="24"/>
      <c r="X101" s="26"/>
      <c r="Y101" s="26"/>
      <c r="Z101" s="24"/>
      <c r="AA101" s="26"/>
      <c r="AB101" s="25"/>
      <c r="AC101" s="24"/>
      <c r="AD101" s="24"/>
      <c r="AE101" s="24"/>
      <c r="AF101" s="26"/>
      <c r="AG101" s="26"/>
      <c r="AH101" s="24"/>
      <c r="AI101" s="24"/>
      <c r="AJ101" s="24"/>
      <c r="AK101" s="28"/>
      <c r="AL101" s="28"/>
      <c r="AM101" s="28"/>
      <c r="AN101" s="28"/>
      <c r="AO101" s="28"/>
      <c r="AP101" s="28"/>
      <c r="AQ101" s="28"/>
      <c r="AR101" s="28"/>
      <c r="AS101" s="28"/>
      <c r="AT101" s="28"/>
      <c r="AU101" s="28"/>
      <c r="AV101" s="28"/>
      <c r="AW101" s="28"/>
      <c r="AX101" s="28"/>
      <c r="AY101" s="24"/>
      <c r="AZ101" s="28"/>
      <c r="BA101" s="28"/>
      <c r="BB101" s="28"/>
      <c r="BC101" s="28"/>
      <c r="BD101" s="28"/>
      <c r="BE101" s="28"/>
      <c r="BF101" s="24"/>
      <c r="BG101" s="28"/>
      <c r="BH101" s="28"/>
      <c r="BI101" s="28"/>
      <c r="BJ101" s="24"/>
      <c r="BK101" s="28"/>
      <c r="BL101" s="28"/>
      <c r="BM101" s="28"/>
    </row>
    <row r="102" spans="1:65">
      <c r="A102" s="24"/>
      <c r="B102" s="28"/>
      <c r="C102" s="25"/>
      <c r="D102" s="26"/>
      <c r="E102" s="24"/>
      <c r="F102" s="24"/>
      <c r="G102" s="26"/>
      <c r="H102" s="26"/>
      <c r="I102" s="26"/>
      <c r="J102" s="26"/>
      <c r="K102" s="26"/>
      <c r="L102" s="26"/>
      <c r="M102" s="26"/>
      <c r="N102" s="26"/>
      <c r="O102" s="26"/>
      <c r="P102" s="26"/>
      <c r="R102" s="24"/>
      <c r="S102" s="26"/>
      <c r="T102" s="25"/>
      <c r="U102" s="24"/>
      <c r="V102" s="24"/>
      <c r="W102" s="24"/>
      <c r="X102" s="26"/>
      <c r="Y102" s="26"/>
      <c r="Z102" s="24"/>
      <c r="AA102" s="577"/>
      <c r="AB102" s="577"/>
      <c r="AC102" s="24"/>
      <c r="AD102" s="24"/>
      <c r="AE102" s="24"/>
      <c r="AF102" s="26"/>
      <c r="AG102" s="26"/>
      <c r="AH102" s="24"/>
      <c r="AI102" s="24"/>
      <c r="AJ102" s="24"/>
      <c r="AK102" s="28"/>
      <c r="AL102" s="28"/>
      <c r="AM102" s="28"/>
      <c r="AN102" s="28"/>
      <c r="AO102" s="28"/>
      <c r="AP102" s="28"/>
      <c r="AQ102" s="28"/>
      <c r="AR102" s="28"/>
      <c r="AS102" s="28"/>
      <c r="AT102" s="28"/>
      <c r="AU102" s="28"/>
      <c r="AV102" s="28"/>
      <c r="AW102" s="28"/>
      <c r="AX102" s="28"/>
      <c r="AY102" s="24"/>
      <c r="AZ102" s="28"/>
      <c r="BA102" s="28"/>
      <c r="BB102" s="28"/>
      <c r="BC102" s="28"/>
      <c r="BD102" s="28"/>
      <c r="BE102" s="28"/>
      <c r="BF102" s="24"/>
      <c r="BG102" s="28"/>
      <c r="BH102" s="28"/>
      <c r="BI102" s="28"/>
      <c r="BJ102" s="24"/>
      <c r="BK102" s="28"/>
      <c r="BL102" s="28"/>
      <c r="BM102" s="28"/>
    </row>
    <row r="103" spans="1:65">
      <c r="A103" s="24"/>
      <c r="B103" s="28"/>
      <c r="C103" s="25"/>
      <c r="D103" s="26"/>
      <c r="E103" s="24"/>
      <c r="F103" s="24"/>
      <c r="G103" s="26"/>
      <c r="H103" s="26"/>
      <c r="I103" s="26"/>
      <c r="J103" s="26"/>
      <c r="K103" s="26"/>
      <c r="L103" s="26"/>
      <c r="M103" s="26"/>
      <c r="N103" s="26"/>
      <c r="O103" s="26"/>
      <c r="P103" s="26"/>
      <c r="R103" s="24"/>
      <c r="S103" s="577"/>
      <c r="T103" s="577"/>
      <c r="U103" s="24"/>
      <c r="V103" s="24"/>
      <c r="W103" s="24"/>
      <c r="X103" s="26"/>
      <c r="Y103" s="26"/>
      <c r="Z103" s="24"/>
      <c r="AA103" s="577"/>
      <c r="AB103" s="577"/>
      <c r="AC103" s="24"/>
      <c r="AD103" s="24"/>
      <c r="AE103" s="24"/>
      <c r="AF103" s="26"/>
      <c r="AG103" s="26"/>
      <c r="AH103" s="24"/>
      <c r="AI103" s="24"/>
      <c r="AJ103" s="24"/>
      <c r="AK103" s="28"/>
      <c r="AL103" s="28"/>
      <c r="AM103" s="28"/>
      <c r="AN103" s="28"/>
      <c r="AO103" s="28"/>
      <c r="AP103" s="28"/>
      <c r="AQ103" s="28"/>
      <c r="AR103" s="28"/>
      <c r="AS103" s="28"/>
      <c r="AT103" s="28"/>
      <c r="AU103" s="28"/>
      <c r="AV103" s="28"/>
      <c r="AW103" s="28"/>
      <c r="AX103" s="28"/>
      <c r="AY103" s="24"/>
      <c r="AZ103" s="28"/>
      <c r="BA103" s="28"/>
      <c r="BB103" s="28"/>
      <c r="BC103" s="28"/>
      <c r="BD103" s="28"/>
      <c r="BE103" s="28"/>
      <c r="BF103" s="24"/>
      <c r="BG103" s="28"/>
      <c r="BH103" s="28"/>
      <c r="BI103" s="28"/>
      <c r="BJ103" s="24"/>
      <c r="BK103" s="28"/>
      <c r="BL103" s="28"/>
      <c r="BM103" s="28"/>
    </row>
    <row r="104" spans="1:65">
      <c r="A104" s="24"/>
      <c r="B104" s="28"/>
      <c r="C104" s="25"/>
      <c r="D104" s="26"/>
      <c r="E104" s="24"/>
      <c r="F104" s="24"/>
      <c r="G104" s="26"/>
      <c r="H104" s="26"/>
      <c r="I104" s="26"/>
      <c r="J104" s="26"/>
      <c r="K104" s="26"/>
      <c r="L104" s="26"/>
      <c r="M104" s="26"/>
      <c r="N104" s="26"/>
      <c r="O104" s="26"/>
      <c r="P104" s="26"/>
      <c r="R104" s="24"/>
      <c r="S104" s="577"/>
      <c r="T104" s="577"/>
      <c r="U104" s="24"/>
      <c r="V104" s="24"/>
      <c r="W104" s="24"/>
      <c r="X104" s="26"/>
      <c r="Y104" s="26"/>
      <c r="Z104" s="24"/>
      <c r="AA104" s="577"/>
      <c r="AB104" s="577"/>
      <c r="AC104" s="24"/>
      <c r="AD104" s="24"/>
      <c r="AE104" s="24"/>
      <c r="AF104" s="26"/>
      <c r="AG104" s="26"/>
      <c r="AH104" s="24"/>
      <c r="AI104" s="24"/>
      <c r="AJ104" s="24"/>
      <c r="AK104" s="28"/>
      <c r="AL104" s="28"/>
      <c r="AM104" s="28"/>
      <c r="AN104" s="28"/>
      <c r="AO104" s="28"/>
      <c r="AP104" s="28"/>
      <c r="AQ104" s="28"/>
      <c r="AR104" s="28"/>
      <c r="AS104" s="28"/>
      <c r="AT104" s="28"/>
      <c r="AU104" s="28"/>
      <c r="AV104" s="28"/>
      <c r="AW104" s="28"/>
      <c r="AX104" s="28"/>
      <c r="AY104" s="24"/>
      <c r="AZ104" s="28"/>
      <c r="BA104" s="28"/>
      <c r="BB104" s="28"/>
      <c r="BC104" s="28"/>
      <c r="BD104" s="28"/>
      <c r="BE104" s="28"/>
      <c r="BF104" s="24"/>
      <c r="BG104" s="28"/>
      <c r="BH104" s="28"/>
      <c r="BI104" s="28"/>
      <c r="BJ104" s="24"/>
      <c r="BK104" s="28"/>
      <c r="BL104" s="28"/>
      <c r="BM104" s="28"/>
    </row>
    <row r="105" spans="1:65">
      <c r="A105" s="24"/>
      <c r="B105" s="28"/>
      <c r="C105" s="25"/>
      <c r="D105" s="26"/>
      <c r="E105" s="24"/>
      <c r="F105" s="24"/>
      <c r="G105" s="26"/>
      <c r="H105" s="26"/>
      <c r="I105" s="26"/>
      <c r="J105" s="26"/>
      <c r="K105" s="26"/>
      <c r="L105" s="26"/>
      <c r="M105" s="26"/>
      <c r="N105" s="26"/>
      <c r="O105" s="26"/>
      <c r="P105" s="26"/>
      <c r="R105" s="24"/>
      <c r="S105" s="577"/>
      <c r="T105" s="577"/>
      <c r="U105" s="24"/>
      <c r="V105" s="24"/>
      <c r="W105" s="24"/>
      <c r="X105" s="26"/>
      <c r="Y105" s="26"/>
      <c r="Z105" s="24"/>
      <c r="AA105" s="577"/>
      <c r="AB105" s="577"/>
      <c r="AC105" s="24"/>
      <c r="AD105" s="24"/>
      <c r="AE105" s="24"/>
      <c r="AF105" s="26"/>
      <c r="AG105" s="26"/>
      <c r="AH105" s="24"/>
      <c r="AI105" s="24"/>
      <c r="AJ105" s="24"/>
      <c r="AK105" s="28"/>
      <c r="AL105" s="28"/>
      <c r="AM105" s="28"/>
      <c r="AN105" s="28"/>
      <c r="AO105" s="28"/>
      <c r="AP105" s="28"/>
      <c r="AQ105" s="28"/>
      <c r="AR105" s="28"/>
      <c r="AS105" s="28"/>
      <c r="AT105" s="28"/>
      <c r="AU105" s="28"/>
      <c r="AV105" s="28"/>
      <c r="AW105" s="28"/>
      <c r="AX105" s="28"/>
      <c r="AY105" s="24"/>
      <c r="AZ105" s="28"/>
      <c r="BA105" s="28"/>
      <c r="BB105" s="28"/>
      <c r="BC105" s="28"/>
      <c r="BD105" s="28"/>
      <c r="BE105" s="28"/>
      <c r="BF105" s="24"/>
      <c r="BG105" s="28"/>
      <c r="BH105" s="28"/>
      <c r="BI105" s="28"/>
      <c r="BJ105" s="24"/>
      <c r="BK105" s="28"/>
      <c r="BL105" s="28"/>
      <c r="BM105" s="28"/>
    </row>
    <row r="106" spans="1:65">
      <c r="A106" s="24"/>
      <c r="B106" s="28"/>
      <c r="C106" s="25"/>
      <c r="D106" s="26"/>
      <c r="E106" s="24"/>
      <c r="F106" s="24"/>
      <c r="G106" s="26"/>
      <c r="H106" s="3"/>
      <c r="I106" s="3"/>
      <c r="J106" s="3"/>
      <c r="K106" s="3"/>
      <c r="L106" s="3"/>
      <c r="M106" s="3"/>
      <c r="N106" s="3"/>
      <c r="O106" s="3"/>
      <c r="P106" s="3"/>
      <c r="R106" s="24"/>
      <c r="S106" s="577"/>
      <c r="T106" s="577"/>
      <c r="U106" s="24"/>
      <c r="V106" s="24"/>
      <c r="W106" s="24"/>
      <c r="X106" s="26"/>
      <c r="Y106" s="26"/>
      <c r="Z106" s="24"/>
      <c r="AA106" s="577"/>
      <c r="AB106" s="577"/>
      <c r="AC106" s="24"/>
      <c r="AD106" s="24"/>
      <c r="AE106" s="24"/>
      <c r="AF106" s="26"/>
      <c r="AG106" s="26"/>
      <c r="AH106" s="24"/>
      <c r="AI106" s="24"/>
      <c r="AJ106" s="24"/>
      <c r="AK106" s="28"/>
      <c r="AL106" s="28"/>
      <c r="AM106" s="28"/>
      <c r="AN106" s="28"/>
      <c r="AO106" s="28"/>
      <c r="AP106" s="28"/>
      <c r="AQ106" s="28"/>
      <c r="AR106" s="28"/>
      <c r="AS106" s="28"/>
      <c r="AT106" s="28"/>
      <c r="AU106" s="28"/>
      <c r="AV106" s="28"/>
      <c r="AW106" s="28"/>
      <c r="AX106" s="28"/>
      <c r="AY106" s="24"/>
      <c r="AZ106" s="28"/>
      <c r="BA106" s="28"/>
      <c r="BB106" s="28"/>
      <c r="BC106" s="28"/>
      <c r="BD106" s="28"/>
      <c r="BE106" s="28"/>
      <c r="BF106" s="24"/>
      <c r="BG106" s="28"/>
      <c r="BH106" s="28"/>
      <c r="BI106" s="28"/>
      <c r="BJ106" s="24"/>
      <c r="BK106" s="28"/>
      <c r="BL106" s="28"/>
      <c r="BM106" s="28"/>
    </row>
    <row r="107" spans="1:65">
      <c r="A107" s="24"/>
      <c r="B107" s="28"/>
      <c r="C107" s="25"/>
      <c r="D107" s="26"/>
      <c r="E107" s="24"/>
      <c r="F107" s="24"/>
      <c r="G107" s="26"/>
      <c r="H107" s="26"/>
      <c r="I107" s="26"/>
      <c r="J107" s="26"/>
      <c r="K107" s="26"/>
      <c r="L107" s="26"/>
      <c r="M107" s="26"/>
      <c r="N107" s="26"/>
      <c r="O107" s="26"/>
      <c r="P107" s="26"/>
      <c r="R107" s="24"/>
      <c r="S107" s="577"/>
      <c r="T107" s="577"/>
      <c r="U107" s="24"/>
      <c r="V107" s="24"/>
      <c r="W107" s="24"/>
      <c r="X107" s="26"/>
      <c r="Y107" s="26"/>
      <c r="Z107" s="24"/>
      <c r="AA107" s="577"/>
      <c r="AB107" s="577"/>
      <c r="AC107" s="24"/>
      <c r="AD107" s="24"/>
      <c r="AE107" s="24"/>
      <c r="AF107" s="26"/>
      <c r="AG107" s="26"/>
      <c r="AH107" s="24"/>
      <c r="AI107" s="24"/>
      <c r="AJ107" s="24"/>
      <c r="AK107" s="28"/>
      <c r="AL107" s="28"/>
      <c r="AM107" s="28"/>
      <c r="AN107" s="28"/>
      <c r="AO107" s="28"/>
      <c r="AP107" s="28"/>
      <c r="AQ107" s="28"/>
      <c r="AR107" s="28"/>
      <c r="AS107" s="28"/>
      <c r="AT107" s="28"/>
      <c r="AU107" s="28"/>
      <c r="AV107" s="28"/>
      <c r="AW107" s="28"/>
      <c r="AX107" s="28"/>
      <c r="AY107" s="24"/>
      <c r="AZ107" s="28"/>
      <c r="BA107" s="28"/>
      <c r="BB107" s="28"/>
      <c r="BC107" s="28"/>
      <c r="BD107" s="28"/>
      <c r="BE107" s="28"/>
      <c r="BF107" s="24"/>
      <c r="BG107" s="28"/>
      <c r="BH107" s="28"/>
      <c r="BI107" s="28"/>
      <c r="BJ107" s="24"/>
      <c r="BK107" s="28"/>
      <c r="BL107" s="28"/>
      <c r="BM107" s="28"/>
    </row>
    <row r="108" spans="1:65">
      <c r="A108" s="24"/>
      <c r="B108" s="28"/>
      <c r="C108" s="25"/>
      <c r="D108" s="26"/>
      <c r="E108" s="24"/>
      <c r="F108" s="24"/>
      <c r="G108" s="26"/>
      <c r="H108" s="26"/>
      <c r="I108" s="26"/>
      <c r="J108" s="26"/>
      <c r="K108" s="26"/>
      <c r="L108" s="26"/>
      <c r="M108" s="26"/>
      <c r="N108" s="26"/>
      <c r="O108" s="26"/>
      <c r="P108" s="26"/>
      <c r="R108" s="24"/>
      <c r="S108" s="577"/>
      <c r="T108" s="577"/>
      <c r="U108" s="24"/>
      <c r="V108" s="24"/>
      <c r="W108" s="24"/>
      <c r="X108" s="26"/>
      <c r="Y108" s="26"/>
      <c r="Z108" s="24"/>
      <c r="AA108" s="577"/>
      <c r="AB108" s="577"/>
      <c r="AC108" s="24"/>
      <c r="AD108" s="24"/>
      <c r="AE108" s="24"/>
      <c r="AF108" s="26"/>
      <c r="AG108" s="26"/>
      <c r="AH108" s="24"/>
      <c r="AI108" s="24"/>
      <c r="AJ108" s="24"/>
      <c r="AK108" s="28"/>
      <c r="AL108" s="28"/>
      <c r="AM108" s="28"/>
      <c r="AN108" s="28"/>
      <c r="AO108" s="28"/>
      <c r="AP108" s="28"/>
      <c r="AQ108" s="28"/>
      <c r="AR108" s="28"/>
      <c r="AS108" s="28"/>
      <c r="AT108" s="28"/>
      <c r="AU108" s="28"/>
      <c r="AV108" s="28"/>
      <c r="AW108" s="28"/>
      <c r="AX108" s="28"/>
      <c r="AY108" s="24"/>
      <c r="AZ108" s="28"/>
      <c r="BA108" s="28"/>
      <c r="BB108" s="28"/>
      <c r="BC108" s="28"/>
      <c r="BD108" s="28"/>
      <c r="BE108" s="28"/>
      <c r="BF108" s="24"/>
      <c r="BG108" s="28"/>
      <c r="BH108" s="28"/>
      <c r="BI108" s="28"/>
      <c r="BJ108" s="24"/>
      <c r="BK108" s="28"/>
      <c r="BL108" s="28"/>
      <c r="BM108" s="28"/>
    </row>
    <row r="109" spans="1:65">
      <c r="A109" s="24"/>
      <c r="B109" s="28"/>
      <c r="C109" s="25"/>
      <c r="D109" s="26"/>
      <c r="E109" s="24"/>
      <c r="F109" s="24"/>
      <c r="G109" s="26"/>
      <c r="H109" s="26"/>
      <c r="I109" s="26"/>
      <c r="J109" s="26"/>
      <c r="K109" s="26"/>
      <c r="L109" s="26"/>
      <c r="M109" s="26"/>
      <c r="N109" s="26"/>
      <c r="O109" s="26"/>
      <c r="P109" s="26"/>
      <c r="R109" s="24"/>
      <c r="S109" s="577"/>
      <c r="T109" s="577"/>
      <c r="U109" s="24"/>
      <c r="V109" s="24"/>
      <c r="W109" s="24"/>
      <c r="X109" s="26"/>
      <c r="Y109" s="26"/>
      <c r="Z109" s="24"/>
      <c r="AA109" s="26"/>
      <c r="AB109" s="25"/>
      <c r="AC109" s="24"/>
      <c r="AD109" s="24"/>
      <c r="AE109" s="24"/>
      <c r="AF109" s="26"/>
      <c r="AG109" s="26"/>
      <c r="AH109" s="24"/>
      <c r="AI109" s="24"/>
      <c r="AJ109" s="24"/>
      <c r="AK109" s="28"/>
      <c r="AL109" s="28"/>
      <c r="AM109" s="28"/>
      <c r="AN109" s="28"/>
      <c r="AO109" s="28"/>
      <c r="AP109" s="28"/>
      <c r="AQ109" s="28"/>
      <c r="AR109" s="28"/>
      <c r="AS109" s="28"/>
      <c r="AT109" s="28"/>
      <c r="AU109" s="28"/>
      <c r="AV109" s="28"/>
      <c r="AW109" s="28"/>
      <c r="AX109" s="28"/>
      <c r="AY109" s="24"/>
      <c r="AZ109" s="28"/>
      <c r="BA109" s="28"/>
      <c r="BB109" s="28"/>
      <c r="BC109" s="28"/>
      <c r="BD109" s="28"/>
      <c r="BE109" s="28"/>
      <c r="BF109" s="24"/>
      <c r="BG109" s="28"/>
      <c r="BH109" s="28"/>
      <c r="BI109" s="28"/>
      <c r="BJ109" s="24"/>
      <c r="BK109" s="28"/>
      <c r="BL109" s="28"/>
      <c r="BM109" s="28"/>
    </row>
    <row r="110" spans="1:65">
      <c r="A110" s="24"/>
      <c r="B110" s="28"/>
      <c r="C110" s="25"/>
      <c r="D110" s="26"/>
      <c r="E110" s="24"/>
      <c r="F110" s="24"/>
      <c r="G110" s="26"/>
      <c r="H110" s="26"/>
      <c r="I110" s="26"/>
      <c r="J110" s="26"/>
      <c r="K110" s="26"/>
      <c r="L110" s="26"/>
      <c r="M110" s="26"/>
      <c r="N110" s="26"/>
      <c r="O110" s="26"/>
      <c r="P110" s="26"/>
      <c r="R110" s="24"/>
      <c r="S110" s="577"/>
      <c r="T110" s="577"/>
      <c r="U110" s="24"/>
      <c r="V110" s="24"/>
      <c r="W110" s="24"/>
      <c r="X110" s="26"/>
      <c r="Y110" s="26"/>
      <c r="Z110" s="24"/>
      <c r="AA110" s="26"/>
      <c r="AB110" s="25"/>
      <c r="AC110" s="24"/>
      <c r="AD110" s="24"/>
      <c r="AE110" s="24"/>
      <c r="AF110" s="26"/>
      <c r="AG110" s="26"/>
      <c r="AH110" s="24"/>
      <c r="AI110" s="24"/>
      <c r="AJ110" s="24"/>
      <c r="AK110" s="28"/>
      <c r="AL110" s="28"/>
      <c r="AM110" s="28"/>
      <c r="AN110" s="28"/>
      <c r="AO110" s="28"/>
      <c r="AP110" s="28"/>
      <c r="AQ110" s="28"/>
      <c r="AR110" s="28"/>
      <c r="AS110" s="28"/>
      <c r="AT110" s="28"/>
      <c r="AU110" s="28"/>
      <c r="AV110" s="28"/>
      <c r="AW110" s="28"/>
      <c r="AX110" s="28"/>
      <c r="AY110" s="24"/>
      <c r="AZ110" s="28"/>
      <c r="BA110" s="28"/>
      <c r="BB110" s="28"/>
      <c r="BC110" s="28"/>
      <c r="BD110" s="28"/>
      <c r="BE110" s="28"/>
      <c r="BF110" s="24"/>
      <c r="BG110" s="28"/>
      <c r="BH110" s="28"/>
      <c r="BI110" s="28"/>
      <c r="BJ110" s="24"/>
      <c r="BK110" s="28"/>
      <c r="BL110" s="28"/>
      <c r="BM110" s="28"/>
    </row>
    <row r="111" spans="1:65">
      <c r="A111" s="24"/>
      <c r="B111" s="28"/>
      <c r="C111" s="25"/>
      <c r="D111" s="26"/>
      <c r="E111" s="24"/>
      <c r="F111" s="24"/>
      <c r="G111" s="26"/>
      <c r="H111" s="26"/>
      <c r="I111" s="26"/>
      <c r="J111" s="26"/>
      <c r="K111" s="26"/>
      <c r="L111" s="26"/>
      <c r="M111" s="26"/>
      <c r="N111" s="26"/>
      <c r="O111" s="26"/>
      <c r="P111" s="26"/>
      <c r="R111" s="24"/>
      <c r="S111" s="26"/>
      <c r="T111" s="25"/>
      <c r="U111" s="24"/>
      <c r="V111" s="24"/>
      <c r="W111" s="24"/>
      <c r="X111" s="26"/>
      <c r="Y111" s="26"/>
      <c r="Z111" s="24"/>
      <c r="AA111" s="26"/>
      <c r="AB111" s="25"/>
      <c r="AC111" s="24"/>
      <c r="AD111" s="24"/>
      <c r="AE111" s="24"/>
      <c r="AF111" s="26"/>
      <c r="AG111" s="26"/>
      <c r="AH111" s="24"/>
      <c r="AI111" s="24"/>
      <c r="AJ111" s="24"/>
      <c r="AK111" s="28"/>
      <c r="AL111" s="28"/>
      <c r="AM111" s="28"/>
      <c r="AN111" s="28"/>
      <c r="AO111" s="28"/>
      <c r="AP111" s="28"/>
      <c r="AQ111" s="28"/>
      <c r="AR111" s="28"/>
      <c r="AS111" s="28"/>
      <c r="AT111" s="28"/>
      <c r="AU111" s="28"/>
      <c r="AV111" s="28"/>
      <c r="AW111" s="28"/>
      <c r="AX111" s="28"/>
      <c r="AY111" s="24"/>
      <c r="AZ111" s="28"/>
      <c r="BA111" s="28"/>
      <c r="BB111" s="28"/>
      <c r="BC111" s="28"/>
      <c r="BD111" s="28"/>
      <c r="BE111" s="28"/>
      <c r="BF111" s="24"/>
      <c r="BG111" s="28"/>
      <c r="BH111" s="28"/>
      <c r="BI111" s="28"/>
      <c r="BJ111" s="24"/>
      <c r="BK111" s="28"/>
      <c r="BL111" s="28"/>
      <c r="BM111" s="28"/>
    </row>
    <row r="112" spans="1:65">
      <c r="A112" s="24"/>
      <c r="B112" s="28"/>
      <c r="C112" s="25"/>
      <c r="D112" s="26"/>
      <c r="E112" s="24"/>
      <c r="F112" s="24"/>
      <c r="G112" s="26"/>
      <c r="H112" s="26"/>
      <c r="I112" s="26"/>
      <c r="J112" s="26"/>
      <c r="K112" s="26"/>
      <c r="L112" s="26"/>
      <c r="M112" s="26"/>
      <c r="N112" s="26"/>
      <c r="O112" s="26"/>
      <c r="P112" s="26"/>
      <c r="R112" s="24"/>
      <c r="S112" s="26"/>
      <c r="T112" s="25"/>
      <c r="U112" s="24"/>
      <c r="V112" s="24"/>
      <c r="W112" s="24"/>
      <c r="X112" s="26"/>
      <c r="Y112" s="26"/>
      <c r="Z112" s="24"/>
      <c r="AA112" s="26"/>
      <c r="AB112" s="25"/>
      <c r="AC112" s="24"/>
      <c r="AD112" s="24"/>
      <c r="AE112" s="24"/>
      <c r="AF112" s="26"/>
      <c r="AG112" s="26"/>
      <c r="AH112" s="24"/>
      <c r="AI112" s="24"/>
      <c r="AJ112" s="24"/>
      <c r="AK112" s="28"/>
      <c r="AL112" s="28"/>
      <c r="AM112" s="28"/>
      <c r="AN112" s="28"/>
      <c r="AO112" s="28"/>
      <c r="AP112" s="28"/>
      <c r="AQ112" s="28"/>
      <c r="AR112" s="28"/>
      <c r="AS112" s="28"/>
      <c r="AT112" s="28"/>
      <c r="AU112" s="28"/>
      <c r="AV112" s="28"/>
      <c r="AW112" s="28"/>
      <c r="AX112" s="28"/>
      <c r="AY112" s="24"/>
      <c r="AZ112" s="28"/>
      <c r="BA112" s="28"/>
      <c r="BB112" s="28"/>
      <c r="BC112" s="28"/>
      <c r="BD112" s="28"/>
      <c r="BE112" s="28"/>
      <c r="BF112" s="24"/>
      <c r="BG112" s="28"/>
      <c r="BH112" s="28"/>
      <c r="BI112" s="28"/>
      <c r="BJ112" s="24"/>
      <c r="BK112" s="28"/>
      <c r="BL112" s="28"/>
      <c r="BM112" s="28"/>
    </row>
    <row r="113" spans="1:65">
      <c r="A113" s="24"/>
      <c r="B113" s="28"/>
      <c r="C113" s="25"/>
      <c r="D113" s="26"/>
      <c r="E113" s="24"/>
      <c r="F113" s="24"/>
      <c r="G113" s="26"/>
      <c r="H113" s="26"/>
      <c r="I113" s="26"/>
      <c r="J113" s="26"/>
      <c r="K113" s="26"/>
      <c r="L113" s="26"/>
      <c r="M113" s="26"/>
      <c r="N113" s="26"/>
      <c r="O113" s="26"/>
      <c r="P113" s="26"/>
      <c r="R113" s="24"/>
      <c r="S113" s="26"/>
      <c r="T113" s="25"/>
      <c r="U113" s="24"/>
      <c r="V113" s="24"/>
      <c r="W113" s="24"/>
      <c r="X113" s="26"/>
      <c r="Y113" s="26"/>
      <c r="Z113" s="24"/>
      <c r="AA113" s="26"/>
      <c r="AB113" s="25"/>
      <c r="AC113" s="24"/>
      <c r="AD113" s="24"/>
      <c r="AE113" s="24"/>
      <c r="AF113" s="26"/>
      <c r="AG113" s="26"/>
      <c r="AH113" s="24"/>
      <c r="AI113" s="24"/>
      <c r="AJ113" s="24"/>
      <c r="AK113" s="28"/>
      <c r="AL113" s="28"/>
      <c r="AM113" s="28"/>
      <c r="AN113" s="28"/>
      <c r="AO113" s="28"/>
      <c r="AP113" s="28"/>
      <c r="AQ113" s="28"/>
      <c r="AR113" s="28"/>
      <c r="AS113" s="28"/>
      <c r="AT113" s="28"/>
      <c r="AU113" s="28"/>
      <c r="AV113" s="28"/>
      <c r="AW113" s="28"/>
      <c r="AX113" s="28"/>
      <c r="AY113" s="24"/>
      <c r="AZ113" s="28"/>
      <c r="BA113" s="28"/>
      <c r="BB113" s="28"/>
      <c r="BC113" s="28"/>
      <c r="BD113" s="28"/>
      <c r="BE113" s="28"/>
      <c r="BF113" s="24"/>
      <c r="BG113" s="28"/>
      <c r="BH113" s="28"/>
      <c r="BI113" s="28"/>
      <c r="BJ113" s="24"/>
      <c r="BK113" s="28"/>
      <c r="BL113" s="28"/>
      <c r="BM113" s="28"/>
    </row>
    <row r="114" spans="1:65">
      <c r="A114" s="24"/>
      <c r="B114" s="28"/>
      <c r="C114" s="25"/>
      <c r="D114" s="26"/>
      <c r="E114" s="24"/>
      <c r="F114" s="24"/>
      <c r="G114" s="26"/>
      <c r="H114" s="26"/>
      <c r="I114" s="26"/>
      <c r="J114" s="26"/>
      <c r="K114" s="26"/>
      <c r="L114" s="26"/>
      <c r="M114" s="26"/>
      <c r="N114" s="26"/>
      <c r="O114" s="26"/>
      <c r="P114" s="26"/>
      <c r="R114" s="24"/>
      <c r="S114" s="26"/>
      <c r="T114" s="25"/>
      <c r="U114" s="24"/>
      <c r="V114" s="24"/>
      <c r="W114" s="24"/>
      <c r="X114" s="26"/>
      <c r="Y114" s="26"/>
      <c r="Z114" s="24"/>
      <c r="AA114" s="26"/>
      <c r="AB114" s="25"/>
      <c r="AC114" s="24"/>
      <c r="AD114" s="24"/>
      <c r="AE114" s="24"/>
      <c r="AF114" s="26"/>
      <c r="AG114" s="26"/>
      <c r="AH114" s="24"/>
      <c r="AI114" s="24"/>
      <c r="AJ114" s="24"/>
      <c r="AK114" s="28"/>
      <c r="AL114" s="28"/>
      <c r="AM114" s="28"/>
      <c r="AN114" s="28"/>
      <c r="AO114" s="28"/>
      <c r="AP114" s="28"/>
      <c r="AQ114" s="28"/>
      <c r="AR114" s="28"/>
      <c r="AS114" s="28"/>
      <c r="AT114" s="28"/>
      <c r="AU114" s="28"/>
      <c r="AV114" s="28"/>
      <c r="AW114" s="28"/>
      <c r="AX114" s="28"/>
      <c r="AY114" s="24"/>
      <c r="AZ114" s="28"/>
      <c r="BA114" s="28"/>
      <c r="BB114" s="28"/>
      <c r="BC114" s="28"/>
      <c r="BD114" s="28"/>
      <c r="BE114" s="28"/>
      <c r="BF114" s="24"/>
      <c r="BG114" s="28"/>
      <c r="BH114" s="28"/>
      <c r="BI114" s="28"/>
      <c r="BJ114" s="24"/>
      <c r="BK114" s="28"/>
      <c r="BL114" s="28"/>
      <c r="BM114" s="28"/>
    </row>
    <row r="115" spans="1:65">
      <c r="A115" s="24"/>
      <c r="B115" s="28"/>
      <c r="C115" s="25"/>
      <c r="D115" s="26"/>
      <c r="E115" s="24"/>
      <c r="F115" s="24"/>
      <c r="G115" s="26"/>
      <c r="H115" s="26"/>
      <c r="I115" s="26"/>
      <c r="J115" s="26"/>
      <c r="K115" s="26"/>
      <c r="L115" s="26"/>
      <c r="M115" s="26"/>
      <c r="N115" s="26"/>
      <c r="O115" s="26"/>
      <c r="P115" s="26"/>
      <c r="R115" s="24"/>
      <c r="S115" s="26"/>
      <c r="T115" s="25"/>
      <c r="U115" s="24"/>
      <c r="V115" s="24"/>
      <c r="W115" s="24"/>
      <c r="X115" s="26"/>
      <c r="Y115" s="26"/>
      <c r="Z115" s="24"/>
      <c r="AA115" s="26"/>
      <c r="AB115" s="25"/>
      <c r="AC115" s="24"/>
      <c r="AD115" s="24"/>
      <c r="AE115" s="24"/>
      <c r="AF115" s="26"/>
      <c r="AG115" s="26"/>
      <c r="AH115" s="24"/>
      <c r="AI115" s="24"/>
      <c r="AJ115" s="24"/>
      <c r="AK115" s="28"/>
      <c r="AL115" s="28"/>
      <c r="AM115" s="28"/>
      <c r="AN115" s="28"/>
      <c r="AO115" s="28"/>
      <c r="AP115" s="28"/>
      <c r="AQ115" s="28"/>
      <c r="AR115" s="28"/>
      <c r="AS115" s="28"/>
      <c r="AT115" s="28"/>
      <c r="AU115" s="28"/>
      <c r="AV115" s="28"/>
      <c r="AW115" s="28"/>
      <c r="AX115" s="28"/>
      <c r="AY115" s="24"/>
      <c r="AZ115" s="28"/>
      <c r="BA115" s="28"/>
      <c r="BB115" s="28"/>
      <c r="BC115" s="28"/>
      <c r="BD115" s="28"/>
      <c r="BE115" s="28"/>
      <c r="BF115" s="24"/>
      <c r="BG115" s="28"/>
      <c r="BH115" s="28"/>
      <c r="BI115" s="28"/>
      <c r="BJ115" s="24"/>
      <c r="BK115" s="28"/>
      <c r="BL115" s="28"/>
      <c r="BM115" s="28"/>
    </row>
    <row r="116" spans="1:65">
      <c r="A116" s="24"/>
      <c r="B116" s="28"/>
      <c r="C116" s="25"/>
      <c r="D116" s="26"/>
      <c r="E116" s="24"/>
      <c r="F116" s="24"/>
      <c r="G116" s="26"/>
      <c r="H116" s="26"/>
      <c r="I116" s="26"/>
      <c r="J116" s="26"/>
      <c r="K116" s="26"/>
      <c r="L116" s="26"/>
      <c r="M116" s="26"/>
      <c r="N116" s="26"/>
      <c r="O116" s="26"/>
      <c r="P116" s="26"/>
      <c r="R116" s="24"/>
      <c r="S116" s="26"/>
      <c r="T116" s="25"/>
      <c r="U116" s="24"/>
      <c r="V116" s="24"/>
      <c r="W116" s="24"/>
      <c r="X116" s="26"/>
      <c r="Y116" s="26"/>
      <c r="Z116" s="24"/>
      <c r="AA116" s="26"/>
      <c r="AB116" s="25"/>
      <c r="AC116" s="24"/>
      <c r="AD116" s="24"/>
      <c r="AE116" s="24"/>
      <c r="AF116" s="26"/>
      <c r="AG116" s="26"/>
      <c r="AH116" s="24"/>
      <c r="AI116" s="24"/>
      <c r="AJ116" s="24"/>
      <c r="AK116" s="28"/>
      <c r="AL116" s="28"/>
      <c r="AM116" s="28"/>
      <c r="AN116" s="28"/>
      <c r="AO116" s="28"/>
      <c r="AP116" s="28"/>
      <c r="AQ116" s="28"/>
      <c r="AR116" s="28"/>
      <c r="AS116" s="28"/>
      <c r="AT116" s="28"/>
      <c r="AU116" s="28"/>
      <c r="AV116" s="28"/>
      <c r="AW116" s="28"/>
      <c r="AX116" s="28"/>
      <c r="AY116" s="24"/>
      <c r="AZ116" s="28"/>
      <c r="BA116" s="28"/>
      <c r="BB116" s="28"/>
      <c r="BC116" s="28"/>
      <c r="BD116" s="28"/>
      <c r="BE116" s="28"/>
      <c r="BF116" s="24"/>
      <c r="BG116" s="28"/>
      <c r="BH116" s="28"/>
      <c r="BI116" s="28"/>
      <c r="BJ116" s="24"/>
      <c r="BK116" s="28"/>
      <c r="BL116" s="28"/>
      <c r="BM116" s="28"/>
    </row>
    <row r="117" spans="1:65">
      <c r="A117" s="24"/>
      <c r="B117" s="28"/>
      <c r="C117" s="25"/>
      <c r="D117" s="26"/>
      <c r="E117" s="24"/>
      <c r="F117" s="24"/>
      <c r="G117" s="26"/>
      <c r="H117" s="26"/>
      <c r="I117" s="26"/>
      <c r="J117" s="26"/>
      <c r="K117" s="26"/>
      <c r="L117" s="26"/>
      <c r="M117" s="26"/>
      <c r="N117" s="26"/>
      <c r="O117" s="26"/>
      <c r="P117" s="26"/>
      <c r="R117" s="24"/>
      <c r="S117" s="26"/>
      <c r="T117" s="25"/>
      <c r="U117" s="24"/>
      <c r="V117" s="24"/>
      <c r="W117" s="24"/>
      <c r="X117" s="26"/>
      <c r="Y117" s="26"/>
      <c r="Z117" s="24"/>
      <c r="AA117" s="26"/>
      <c r="AB117" s="25"/>
      <c r="AC117" s="24"/>
      <c r="AD117" s="24"/>
      <c r="AE117" s="24"/>
      <c r="AF117" s="26"/>
      <c r="AG117" s="26"/>
      <c r="AH117" s="24"/>
      <c r="AI117" s="24"/>
      <c r="AJ117" s="24"/>
      <c r="AK117" s="28"/>
      <c r="AL117" s="28"/>
      <c r="AM117" s="28"/>
      <c r="AN117" s="28"/>
      <c r="AO117" s="28"/>
      <c r="AP117" s="28"/>
      <c r="AQ117" s="28"/>
      <c r="AR117" s="28"/>
      <c r="AS117" s="28"/>
      <c r="AT117" s="28"/>
      <c r="AU117" s="28"/>
      <c r="AV117" s="28"/>
      <c r="AW117" s="28"/>
      <c r="AX117" s="28"/>
      <c r="AY117" s="24"/>
      <c r="AZ117" s="28"/>
      <c r="BA117" s="28"/>
      <c r="BB117" s="28"/>
      <c r="BC117" s="28"/>
      <c r="BD117" s="28"/>
      <c r="BE117" s="28"/>
      <c r="BF117" s="24"/>
      <c r="BG117" s="28"/>
      <c r="BH117" s="28"/>
      <c r="BI117" s="28"/>
      <c r="BJ117" s="24"/>
      <c r="BK117" s="28"/>
      <c r="BL117" s="28"/>
      <c r="BM117" s="28"/>
    </row>
    <row r="118" spans="1:65">
      <c r="A118" s="24"/>
      <c r="B118" s="28"/>
      <c r="C118" s="25"/>
      <c r="D118" s="26"/>
      <c r="E118" s="24"/>
      <c r="F118" s="24"/>
      <c r="G118" s="26"/>
      <c r="H118" s="26"/>
      <c r="I118" s="26"/>
      <c r="J118" s="26"/>
      <c r="K118" s="26"/>
      <c r="L118" s="26"/>
      <c r="M118" s="26"/>
      <c r="N118" s="26"/>
      <c r="O118" s="26"/>
      <c r="P118" s="26"/>
      <c r="R118" s="24"/>
      <c r="S118" s="26"/>
      <c r="T118" s="25"/>
      <c r="U118" s="24"/>
      <c r="V118" s="24"/>
      <c r="W118" s="24"/>
      <c r="X118" s="26"/>
      <c r="Y118" s="26"/>
      <c r="Z118" s="24"/>
      <c r="AA118" s="26"/>
      <c r="AB118" s="25"/>
      <c r="AC118" s="24"/>
      <c r="AD118" s="24"/>
      <c r="AE118" s="24"/>
      <c r="AF118" s="26"/>
      <c r="AG118" s="26"/>
      <c r="AH118" s="24"/>
      <c r="AI118" s="24"/>
      <c r="AJ118" s="24"/>
      <c r="AK118" s="28"/>
      <c r="AL118" s="28"/>
      <c r="AM118" s="28"/>
      <c r="AN118" s="28"/>
      <c r="AO118" s="28"/>
      <c r="AP118" s="28"/>
      <c r="AQ118" s="28"/>
      <c r="AR118" s="28"/>
      <c r="AS118" s="28"/>
      <c r="AT118" s="28"/>
      <c r="AU118" s="28"/>
      <c r="AV118" s="28"/>
      <c r="AW118" s="28"/>
      <c r="AX118" s="28"/>
      <c r="AY118" s="24"/>
      <c r="AZ118" s="28"/>
      <c r="BA118" s="28"/>
      <c r="BB118" s="28"/>
      <c r="BC118" s="28"/>
      <c r="BD118" s="28"/>
      <c r="BE118" s="28"/>
      <c r="BF118" s="24"/>
      <c r="BG118" s="28"/>
      <c r="BH118" s="28"/>
      <c r="BI118" s="28"/>
      <c r="BJ118" s="24"/>
      <c r="BK118" s="28"/>
      <c r="BL118" s="28"/>
      <c r="BM118" s="28"/>
    </row>
    <row r="119" spans="1:65">
      <c r="A119" s="24"/>
      <c r="B119" s="28"/>
      <c r="C119" s="25"/>
      <c r="D119" s="26"/>
      <c r="E119" s="24"/>
      <c r="F119" s="24"/>
      <c r="G119" s="26"/>
      <c r="H119" s="26"/>
      <c r="I119" s="26"/>
      <c r="J119" s="26"/>
      <c r="K119" s="26"/>
      <c r="L119" s="26"/>
      <c r="M119" s="26"/>
      <c r="N119" s="26"/>
      <c r="O119" s="26"/>
      <c r="P119" s="26"/>
      <c r="R119" s="24"/>
      <c r="S119" s="26"/>
      <c r="T119" s="25"/>
      <c r="U119" s="24"/>
      <c r="V119" s="24"/>
      <c r="W119" s="24"/>
      <c r="X119" s="26"/>
      <c r="Y119" s="26"/>
      <c r="Z119" s="24"/>
      <c r="AA119" s="26"/>
      <c r="AB119" s="25"/>
      <c r="AC119" s="24"/>
      <c r="AD119" s="24"/>
      <c r="AE119" s="24"/>
      <c r="AF119" s="26"/>
      <c r="AG119" s="26"/>
      <c r="AH119" s="24"/>
      <c r="AI119" s="24"/>
      <c r="AJ119" s="24"/>
      <c r="AK119" s="28"/>
      <c r="AL119" s="28"/>
      <c r="AM119" s="28"/>
      <c r="AN119" s="28"/>
      <c r="AO119" s="28"/>
      <c r="AP119" s="28"/>
      <c r="AQ119" s="28"/>
      <c r="AR119" s="28"/>
      <c r="AS119" s="28"/>
      <c r="AT119" s="28"/>
      <c r="AU119" s="28"/>
      <c r="AV119" s="28"/>
      <c r="AW119" s="28"/>
      <c r="AX119" s="28"/>
      <c r="AY119" s="24"/>
      <c r="AZ119" s="28"/>
      <c r="BA119" s="28"/>
      <c r="BB119" s="28"/>
      <c r="BC119" s="28"/>
      <c r="BD119" s="28"/>
      <c r="BE119" s="28"/>
      <c r="BF119" s="24"/>
      <c r="BG119" s="28"/>
      <c r="BH119" s="28"/>
      <c r="BI119" s="28"/>
      <c r="BJ119" s="24"/>
      <c r="BK119" s="28"/>
      <c r="BL119" s="28"/>
      <c r="BM119" s="28"/>
    </row>
    <row r="120" spans="1:65">
      <c r="A120" s="24"/>
      <c r="B120" s="28"/>
      <c r="C120" s="25"/>
      <c r="D120" s="26"/>
      <c r="E120" s="24"/>
      <c r="F120" s="24"/>
      <c r="G120" s="26"/>
      <c r="H120" s="26"/>
      <c r="I120" s="26"/>
      <c r="J120" s="26"/>
      <c r="K120" s="26"/>
      <c r="L120" s="26"/>
      <c r="M120" s="26"/>
      <c r="N120" s="26"/>
      <c r="O120" s="26"/>
      <c r="P120" s="26"/>
      <c r="R120" s="24"/>
      <c r="S120" s="26"/>
      <c r="T120" s="25"/>
      <c r="U120" s="24"/>
      <c r="V120" s="24"/>
      <c r="W120" s="24"/>
      <c r="X120" s="26"/>
      <c r="Y120" s="26"/>
      <c r="Z120" s="24"/>
      <c r="AA120" s="26"/>
      <c r="AB120" s="25"/>
      <c r="AC120" s="24"/>
      <c r="AD120" s="24"/>
      <c r="AE120" s="24"/>
      <c r="AF120" s="26"/>
      <c r="AG120" s="26"/>
      <c r="AH120" s="24"/>
      <c r="AI120" s="24"/>
      <c r="AJ120" s="24"/>
      <c r="AK120" s="28"/>
      <c r="AL120" s="28"/>
      <c r="AM120" s="28"/>
      <c r="AN120" s="28"/>
      <c r="AO120" s="28"/>
      <c r="AP120" s="28"/>
      <c r="AQ120" s="28"/>
      <c r="AR120" s="28"/>
      <c r="AS120" s="28"/>
      <c r="AT120" s="28"/>
      <c r="AU120" s="28"/>
      <c r="AV120" s="28"/>
      <c r="AW120" s="28"/>
      <c r="AX120" s="28"/>
      <c r="AY120" s="24"/>
      <c r="AZ120" s="28"/>
      <c r="BA120" s="28"/>
      <c r="BB120" s="28"/>
      <c r="BC120" s="28"/>
      <c r="BD120" s="28"/>
      <c r="BE120" s="28"/>
      <c r="BF120" s="24"/>
      <c r="BG120" s="28"/>
      <c r="BH120" s="28"/>
      <c r="BI120" s="28"/>
      <c r="BJ120" s="24"/>
      <c r="BK120" s="28"/>
      <c r="BL120" s="28"/>
      <c r="BM120" s="28"/>
    </row>
    <row r="121" spans="1:65">
      <c r="A121" s="24"/>
      <c r="B121" s="28"/>
      <c r="C121" s="25"/>
      <c r="D121" s="26"/>
      <c r="E121" s="24"/>
      <c r="F121" s="24"/>
      <c r="G121" s="26"/>
      <c r="H121" s="26"/>
      <c r="I121" s="26"/>
      <c r="J121" s="26"/>
      <c r="K121" s="26"/>
      <c r="L121" s="26"/>
      <c r="M121" s="26"/>
      <c r="N121" s="26"/>
      <c r="O121" s="26"/>
      <c r="P121" s="26"/>
      <c r="R121" s="24"/>
      <c r="S121" s="26"/>
      <c r="T121" s="25"/>
      <c r="U121" s="24"/>
      <c r="V121" s="24"/>
      <c r="W121" s="24"/>
      <c r="X121" s="26"/>
      <c r="Y121" s="26"/>
      <c r="Z121" s="24"/>
      <c r="AA121" s="26"/>
      <c r="AB121" s="25"/>
      <c r="AC121" s="24"/>
      <c r="AD121" s="24"/>
      <c r="AE121" s="24"/>
      <c r="AF121" s="26"/>
      <c r="AG121" s="26"/>
      <c r="AH121" s="24"/>
      <c r="AI121" s="24"/>
      <c r="AJ121" s="24"/>
      <c r="AK121" s="28"/>
      <c r="AL121" s="28"/>
      <c r="AM121" s="28"/>
      <c r="AN121" s="28"/>
      <c r="AO121" s="28"/>
      <c r="AP121" s="28"/>
      <c r="AQ121" s="28"/>
      <c r="AR121" s="28"/>
      <c r="AS121" s="28"/>
      <c r="AT121" s="28"/>
      <c r="AU121" s="28"/>
      <c r="AV121" s="28"/>
      <c r="AW121" s="28"/>
      <c r="AX121" s="28"/>
      <c r="AY121" s="24"/>
      <c r="AZ121" s="28"/>
      <c r="BA121" s="28"/>
      <c r="BB121" s="28"/>
      <c r="BC121" s="28"/>
      <c r="BD121" s="28"/>
      <c r="BE121" s="28"/>
      <c r="BF121" s="24"/>
      <c r="BG121" s="28"/>
      <c r="BH121" s="28"/>
      <c r="BI121" s="28"/>
      <c r="BJ121" s="24"/>
      <c r="BK121" s="28"/>
      <c r="BL121" s="28"/>
      <c r="BM121" s="28"/>
    </row>
    <row r="122" spans="1:65">
      <c r="A122" s="24"/>
      <c r="B122" s="28"/>
      <c r="C122" s="25"/>
      <c r="D122" s="26"/>
      <c r="E122" s="24"/>
      <c r="F122" s="24"/>
      <c r="G122" s="26"/>
      <c r="H122" s="26"/>
      <c r="I122" s="26"/>
      <c r="J122" s="26"/>
      <c r="K122" s="26"/>
      <c r="L122" s="26"/>
      <c r="M122" s="26"/>
      <c r="N122" s="26"/>
      <c r="O122" s="26"/>
      <c r="P122" s="26"/>
      <c r="R122" s="24"/>
      <c r="S122" s="26"/>
      <c r="T122" s="25"/>
      <c r="U122" s="24"/>
      <c r="V122" s="24"/>
      <c r="W122" s="24"/>
      <c r="X122" s="26"/>
      <c r="Y122" s="26"/>
      <c r="Z122" s="24"/>
      <c r="AA122" s="26"/>
      <c r="AB122" s="25"/>
      <c r="AC122" s="24"/>
      <c r="AD122" s="24"/>
      <c r="AE122" s="24"/>
      <c r="AF122" s="26"/>
      <c r="AG122" s="26"/>
      <c r="AH122" s="24"/>
      <c r="AI122" s="24"/>
      <c r="AJ122" s="24"/>
      <c r="AK122" s="28"/>
      <c r="AL122" s="28"/>
      <c r="AM122" s="28"/>
      <c r="AN122" s="28"/>
      <c r="AO122" s="28"/>
      <c r="AP122" s="28"/>
      <c r="AQ122" s="28"/>
      <c r="AR122" s="28"/>
      <c r="AS122" s="28"/>
      <c r="AT122" s="28"/>
      <c r="AU122" s="28"/>
      <c r="AV122" s="28"/>
      <c r="AW122" s="28"/>
      <c r="AX122" s="28"/>
      <c r="AY122" s="24"/>
      <c r="AZ122" s="28"/>
      <c r="BA122" s="28"/>
      <c r="BB122" s="28"/>
      <c r="BC122" s="28"/>
      <c r="BD122" s="28"/>
      <c r="BE122" s="28"/>
      <c r="BF122" s="24"/>
      <c r="BG122" s="28"/>
      <c r="BH122" s="28"/>
      <c r="BI122" s="28"/>
      <c r="BJ122" s="24"/>
      <c r="BK122" s="28"/>
      <c r="BL122" s="28"/>
      <c r="BM122" s="28"/>
    </row>
    <row r="123" spans="1:65">
      <c r="A123" s="24"/>
      <c r="B123" s="28"/>
      <c r="C123" s="25"/>
      <c r="D123" s="26"/>
      <c r="E123" s="24"/>
      <c r="F123" s="24"/>
      <c r="G123" s="26"/>
      <c r="H123" s="26"/>
      <c r="I123" s="26"/>
      <c r="J123" s="26"/>
      <c r="K123" s="26"/>
      <c r="L123" s="26"/>
      <c r="M123" s="26"/>
      <c r="N123" s="26"/>
      <c r="O123" s="26"/>
      <c r="P123" s="26"/>
      <c r="R123" s="24"/>
      <c r="S123" s="26"/>
      <c r="T123" s="25"/>
      <c r="U123" s="24"/>
      <c r="V123" s="24"/>
      <c r="W123" s="24"/>
      <c r="X123" s="26"/>
      <c r="Y123" s="26"/>
      <c r="Z123" s="24"/>
      <c r="AA123" s="26"/>
      <c r="AB123" s="25"/>
      <c r="AC123" s="24"/>
      <c r="AD123" s="24"/>
      <c r="AE123" s="24"/>
      <c r="AF123" s="26"/>
      <c r="AG123" s="26"/>
      <c r="AH123" s="24"/>
      <c r="AI123" s="24"/>
      <c r="AJ123" s="24"/>
      <c r="AK123" s="28"/>
      <c r="AL123" s="28"/>
      <c r="AM123" s="28"/>
      <c r="AN123" s="28"/>
      <c r="AO123" s="28"/>
      <c r="AP123" s="28"/>
      <c r="AQ123" s="28"/>
      <c r="AR123" s="28"/>
      <c r="AS123" s="28"/>
      <c r="AT123" s="28"/>
      <c r="AU123" s="28"/>
      <c r="AV123" s="28"/>
      <c r="AW123" s="28"/>
      <c r="AX123" s="28"/>
      <c r="AY123" s="24"/>
      <c r="AZ123" s="28"/>
      <c r="BA123" s="28"/>
      <c r="BB123" s="28"/>
      <c r="BC123" s="28"/>
      <c r="BD123" s="28"/>
      <c r="BE123" s="28"/>
      <c r="BF123" s="24"/>
      <c r="BG123" s="28"/>
      <c r="BH123" s="28"/>
      <c r="BI123" s="28"/>
      <c r="BJ123" s="24"/>
      <c r="BK123" s="28"/>
      <c r="BL123" s="28"/>
      <c r="BM123" s="28"/>
    </row>
    <row r="124" spans="1:65">
      <c r="A124" s="24"/>
      <c r="B124" s="28"/>
      <c r="C124" s="25"/>
      <c r="D124" s="26"/>
      <c r="E124" s="24"/>
      <c r="F124" s="24"/>
      <c r="G124" s="26"/>
      <c r="H124" s="26"/>
      <c r="I124" s="26"/>
      <c r="J124" s="26"/>
      <c r="K124" s="26"/>
      <c r="L124" s="26"/>
      <c r="M124" s="26"/>
      <c r="N124" s="26"/>
      <c r="O124" s="26"/>
      <c r="P124" s="26"/>
      <c r="R124" s="24"/>
      <c r="S124" s="26"/>
      <c r="T124" s="25"/>
      <c r="U124" s="24"/>
      <c r="V124" s="24"/>
      <c r="W124" s="24"/>
      <c r="X124" s="26"/>
      <c r="Y124" s="26"/>
      <c r="Z124" s="24"/>
      <c r="AA124" s="26"/>
      <c r="AB124" s="25"/>
      <c r="AC124" s="24"/>
      <c r="AD124" s="24"/>
      <c r="AE124" s="24"/>
      <c r="AF124" s="26"/>
      <c r="AG124" s="26"/>
      <c r="AH124" s="24"/>
      <c r="AI124" s="24"/>
      <c r="AJ124" s="24"/>
      <c r="AK124" s="28"/>
      <c r="AL124" s="28"/>
      <c r="AM124" s="28"/>
      <c r="AN124" s="28"/>
      <c r="AO124" s="28"/>
      <c r="AP124" s="28"/>
      <c r="AQ124" s="28"/>
      <c r="AR124" s="28"/>
      <c r="AS124" s="28"/>
      <c r="AT124" s="28"/>
      <c r="AU124" s="28"/>
      <c r="AV124" s="28"/>
      <c r="AW124" s="28"/>
      <c r="AX124" s="28"/>
      <c r="AY124" s="24"/>
      <c r="AZ124" s="28"/>
      <c r="BA124" s="28"/>
      <c r="BB124" s="28"/>
      <c r="BC124" s="28"/>
      <c r="BD124" s="28"/>
      <c r="BE124" s="28"/>
      <c r="BF124" s="24"/>
      <c r="BG124" s="28"/>
      <c r="BH124" s="28"/>
      <c r="BI124" s="28"/>
      <c r="BJ124" s="24"/>
      <c r="BK124" s="28"/>
      <c r="BL124" s="28"/>
      <c r="BM124" s="28"/>
    </row>
    <row r="125" spans="1:65">
      <c r="A125" s="24"/>
      <c r="B125" s="28"/>
      <c r="C125" s="25"/>
      <c r="D125" s="26"/>
      <c r="E125" s="24"/>
      <c r="F125" s="24"/>
      <c r="G125" s="26"/>
      <c r="H125" s="26"/>
      <c r="I125" s="26"/>
      <c r="J125" s="26"/>
      <c r="K125" s="26"/>
      <c r="L125" s="26"/>
      <c r="M125" s="26"/>
      <c r="N125" s="26"/>
      <c r="O125" s="26"/>
      <c r="P125" s="26"/>
      <c r="R125" s="24"/>
      <c r="S125" s="26"/>
      <c r="T125" s="25"/>
      <c r="U125" s="24"/>
      <c r="V125" s="24"/>
      <c r="W125" s="24"/>
      <c r="X125" s="26"/>
      <c r="Y125" s="26"/>
      <c r="Z125" s="24"/>
      <c r="AA125" s="26"/>
      <c r="AB125" s="25"/>
      <c r="AC125" s="24"/>
      <c r="AD125" s="24"/>
      <c r="AE125" s="24"/>
      <c r="AF125" s="26"/>
      <c r="AG125" s="26"/>
      <c r="AH125" s="24"/>
      <c r="AI125" s="24"/>
      <c r="AJ125" s="24"/>
      <c r="AK125" s="28"/>
      <c r="AL125" s="28"/>
      <c r="AM125" s="28"/>
      <c r="AN125" s="28"/>
      <c r="AO125" s="28"/>
      <c r="AP125" s="28"/>
      <c r="AQ125" s="28"/>
      <c r="AR125" s="28"/>
      <c r="AS125" s="28"/>
      <c r="AT125" s="28"/>
      <c r="AU125" s="28"/>
      <c r="AV125" s="28"/>
      <c r="AW125" s="28"/>
      <c r="AX125" s="28"/>
      <c r="AY125" s="24"/>
      <c r="AZ125" s="28"/>
      <c r="BA125" s="28"/>
      <c r="BB125" s="28"/>
      <c r="BC125" s="28"/>
      <c r="BD125" s="28"/>
      <c r="BE125" s="28"/>
      <c r="BF125" s="24"/>
      <c r="BG125" s="28"/>
      <c r="BH125" s="28"/>
      <c r="BI125" s="28"/>
      <c r="BJ125" s="24"/>
      <c r="BK125" s="28"/>
      <c r="BL125" s="28"/>
      <c r="BM125" s="28"/>
    </row>
    <row r="126" spans="1:65">
      <c r="A126" s="24"/>
      <c r="B126" s="28"/>
      <c r="C126" s="25"/>
      <c r="D126" s="26"/>
      <c r="E126" s="24"/>
      <c r="F126" s="24"/>
      <c r="G126" s="26"/>
      <c r="H126" s="26"/>
      <c r="I126" s="26"/>
      <c r="J126" s="26"/>
      <c r="K126" s="26"/>
      <c r="L126" s="26"/>
      <c r="M126" s="26"/>
      <c r="N126" s="26"/>
      <c r="O126" s="26"/>
      <c r="P126" s="26"/>
      <c r="R126" s="24"/>
      <c r="S126" s="26"/>
      <c r="T126" s="25"/>
      <c r="U126" s="24"/>
      <c r="V126" s="24"/>
      <c r="W126" s="24"/>
      <c r="X126" s="26"/>
      <c r="Y126" s="26"/>
      <c r="Z126" s="24"/>
      <c r="AA126" s="26"/>
      <c r="AB126" s="25"/>
      <c r="AC126" s="24"/>
      <c r="AD126" s="24"/>
      <c r="AE126" s="24"/>
      <c r="AF126" s="26"/>
      <c r="AG126" s="26"/>
      <c r="AH126" s="24"/>
      <c r="AI126" s="24"/>
      <c r="AJ126" s="24"/>
      <c r="AK126" s="28"/>
      <c r="AL126" s="28"/>
      <c r="AM126" s="28"/>
      <c r="AN126" s="28"/>
      <c r="AO126" s="28"/>
      <c r="AP126" s="28"/>
      <c r="AQ126" s="28"/>
      <c r="AR126" s="28"/>
      <c r="AS126" s="28"/>
      <c r="AT126" s="28"/>
      <c r="AU126" s="28"/>
      <c r="AV126" s="28"/>
      <c r="AW126" s="28"/>
      <c r="AX126" s="28"/>
      <c r="AY126" s="24"/>
      <c r="AZ126" s="28"/>
      <c r="BA126" s="28"/>
      <c r="BB126" s="28"/>
      <c r="BC126" s="28"/>
      <c r="BD126" s="28"/>
      <c r="BE126" s="28"/>
      <c r="BF126" s="24"/>
      <c r="BG126" s="28"/>
      <c r="BH126" s="28"/>
      <c r="BI126" s="28"/>
      <c r="BJ126" s="24"/>
      <c r="BK126" s="28"/>
      <c r="BL126" s="28"/>
      <c r="BM126" s="28"/>
    </row>
    <row r="127" spans="1:65">
      <c r="A127" s="24"/>
      <c r="B127" s="28"/>
      <c r="C127" s="25"/>
      <c r="D127" s="26"/>
      <c r="E127" s="24"/>
      <c r="F127" s="24"/>
      <c r="G127" s="26"/>
      <c r="H127" s="26"/>
      <c r="I127" s="26"/>
      <c r="J127" s="26"/>
      <c r="K127" s="26"/>
      <c r="L127" s="26"/>
      <c r="M127" s="26"/>
      <c r="N127" s="26"/>
      <c r="O127" s="26"/>
      <c r="P127" s="26"/>
      <c r="R127" s="24"/>
      <c r="S127" s="26"/>
      <c r="T127" s="25"/>
      <c r="U127" s="24"/>
      <c r="V127" s="24"/>
      <c r="W127" s="24"/>
      <c r="X127" s="26"/>
      <c r="Y127" s="26"/>
      <c r="Z127" s="24"/>
      <c r="AA127" s="26"/>
      <c r="AB127" s="25"/>
      <c r="AC127" s="24"/>
      <c r="AD127" s="24"/>
      <c r="AE127" s="24"/>
      <c r="AF127" s="26"/>
      <c r="AG127" s="26"/>
      <c r="AH127" s="24"/>
      <c r="AI127" s="24"/>
      <c r="AJ127" s="24"/>
      <c r="AK127" s="28"/>
      <c r="AL127" s="28"/>
      <c r="AM127" s="28"/>
      <c r="AN127" s="28"/>
      <c r="AO127" s="28"/>
      <c r="AP127" s="28"/>
      <c r="AQ127" s="28"/>
      <c r="AR127" s="28"/>
      <c r="AS127" s="28"/>
      <c r="AT127" s="28"/>
      <c r="AU127" s="28"/>
      <c r="AV127" s="28"/>
      <c r="AW127" s="28"/>
      <c r="AX127" s="28"/>
      <c r="AY127" s="24"/>
      <c r="AZ127" s="28"/>
      <c r="BA127" s="28"/>
      <c r="BB127" s="28"/>
      <c r="BC127" s="28"/>
      <c r="BD127" s="28"/>
      <c r="BE127" s="28"/>
      <c r="BF127" s="24"/>
      <c r="BG127" s="28"/>
      <c r="BH127" s="28"/>
      <c r="BI127" s="28"/>
      <c r="BJ127" s="24"/>
      <c r="BK127" s="28"/>
      <c r="BL127" s="28"/>
      <c r="BM127" s="28"/>
    </row>
    <row r="128" spans="1:65">
      <c r="A128" s="24"/>
      <c r="B128" s="28"/>
      <c r="C128" s="25"/>
      <c r="D128" s="26"/>
      <c r="E128" s="24"/>
      <c r="F128" s="24"/>
      <c r="G128" s="26"/>
      <c r="H128" s="26"/>
      <c r="I128" s="26"/>
      <c r="J128" s="26"/>
      <c r="K128" s="26"/>
      <c r="L128" s="26"/>
      <c r="M128" s="26"/>
      <c r="N128" s="26"/>
      <c r="O128" s="26"/>
      <c r="P128" s="26"/>
      <c r="R128" s="24"/>
      <c r="S128" s="26"/>
      <c r="T128" s="25"/>
      <c r="U128" s="24"/>
      <c r="V128" s="24"/>
      <c r="W128" s="24"/>
      <c r="X128" s="26"/>
      <c r="Y128" s="26"/>
      <c r="Z128" s="24"/>
      <c r="AA128" s="26"/>
      <c r="AB128" s="25"/>
      <c r="AC128" s="24"/>
      <c r="AD128" s="24"/>
      <c r="AE128" s="24"/>
      <c r="AF128" s="26"/>
      <c r="AG128" s="26"/>
      <c r="AH128" s="24"/>
      <c r="AI128" s="24"/>
      <c r="AJ128" s="24"/>
      <c r="AK128" s="28"/>
      <c r="AL128" s="28"/>
      <c r="AM128" s="28"/>
      <c r="AN128" s="28"/>
      <c r="AO128" s="28"/>
      <c r="AP128" s="28"/>
      <c r="AQ128" s="28"/>
      <c r="AR128" s="28"/>
      <c r="AS128" s="28"/>
      <c r="AT128" s="28"/>
      <c r="AU128" s="28"/>
      <c r="AV128" s="28"/>
      <c r="AW128" s="28"/>
      <c r="AX128" s="28"/>
      <c r="AY128" s="24"/>
      <c r="AZ128" s="28"/>
      <c r="BA128" s="28"/>
      <c r="BB128" s="28"/>
      <c r="BC128" s="28"/>
      <c r="BD128" s="28"/>
      <c r="BE128" s="28"/>
      <c r="BF128" s="24"/>
      <c r="BG128" s="28"/>
      <c r="BH128" s="28"/>
      <c r="BI128" s="28"/>
      <c r="BJ128" s="24"/>
      <c r="BK128" s="28"/>
      <c r="BL128" s="28"/>
      <c r="BM128" s="28"/>
    </row>
    <row r="129" spans="1:65">
      <c r="A129" s="24"/>
      <c r="B129" s="28"/>
      <c r="C129" s="25"/>
      <c r="D129" s="26"/>
      <c r="E129" s="24"/>
      <c r="F129" s="24"/>
      <c r="G129" s="26"/>
      <c r="H129" s="26"/>
      <c r="I129" s="26"/>
      <c r="J129" s="26"/>
      <c r="K129" s="26"/>
      <c r="L129" s="26"/>
      <c r="M129" s="26"/>
      <c r="N129" s="26"/>
      <c r="O129" s="26"/>
      <c r="P129" s="26"/>
      <c r="R129" s="24"/>
      <c r="S129" s="26"/>
      <c r="T129" s="25"/>
      <c r="U129" s="24"/>
      <c r="V129" s="24"/>
      <c r="W129" s="24"/>
      <c r="X129" s="26"/>
      <c r="Y129" s="26"/>
      <c r="Z129" s="24"/>
      <c r="AA129" s="26"/>
      <c r="AB129" s="25"/>
      <c r="AC129" s="24"/>
      <c r="AD129" s="24"/>
      <c r="AE129" s="24"/>
      <c r="AF129" s="26"/>
      <c r="AG129" s="26"/>
      <c r="AH129" s="24"/>
      <c r="AI129" s="24"/>
      <c r="AJ129" s="24"/>
      <c r="AK129" s="28"/>
      <c r="AL129" s="28"/>
      <c r="AM129" s="28"/>
      <c r="AN129" s="28"/>
      <c r="AO129" s="28"/>
      <c r="AP129" s="28"/>
      <c r="AQ129" s="28"/>
      <c r="AR129" s="28"/>
      <c r="AS129" s="28"/>
      <c r="AT129" s="28"/>
      <c r="AU129" s="28"/>
      <c r="AV129" s="28"/>
      <c r="AW129" s="28"/>
      <c r="AX129" s="28"/>
      <c r="AY129" s="24"/>
      <c r="AZ129" s="28"/>
      <c r="BA129" s="28"/>
      <c r="BB129" s="28"/>
      <c r="BC129" s="28"/>
      <c r="BD129" s="28"/>
      <c r="BE129" s="28"/>
      <c r="BF129" s="24"/>
      <c r="BG129" s="28"/>
      <c r="BH129" s="28"/>
      <c r="BI129" s="28"/>
      <c r="BJ129" s="24"/>
      <c r="BK129" s="28"/>
      <c r="BL129" s="28"/>
      <c r="BM129" s="28"/>
    </row>
    <row r="130" spans="1:65">
      <c r="A130" s="24"/>
      <c r="B130" s="28"/>
      <c r="C130" s="25"/>
      <c r="D130" s="26"/>
      <c r="E130" s="24"/>
      <c r="F130" s="24"/>
      <c r="G130" s="26"/>
      <c r="H130" s="26"/>
      <c r="I130" s="26"/>
      <c r="J130" s="26"/>
      <c r="K130" s="26"/>
      <c r="L130" s="26"/>
      <c r="M130" s="26"/>
      <c r="N130" s="26"/>
      <c r="O130" s="26"/>
      <c r="P130" s="26"/>
      <c r="R130" s="24"/>
      <c r="S130" s="26"/>
      <c r="T130" s="25"/>
      <c r="U130" s="24"/>
      <c r="V130" s="24"/>
      <c r="W130" s="24"/>
      <c r="X130" s="26"/>
      <c r="Y130" s="26"/>
      <c r="Z130" s="24"/>
      <c r="AA130" s="26"/>
      <c r="AB130" s="25"/>
      <c r="AC130" s="24"/>
      <c r="AD130" s="24"/>
      <c r="AE130" s="24"/>
      <c r="AF130" s="26"/>
      <c r="AG130" s="26"/>
      <c r="AH130" s="24"/>
      <c r="AI130" s="24"/>
      <c r="AJ130" s="24"/>
      <c r="AK130" s="28"/>
      <c r="AL130" s="28"/>
      <c r="AM130" s="28"/>
      <c r="AN130" s="28"/>
      <c r="AO130" s="28"/>
      <c r="AP130" s="28"/>
      <c r="AQ130" s="28"/>
      <c r="AR130" s="28"/>
      <c r="AS130" s="28"/>
      <c r="AT130" s="28"/>
      <c r="AU130" s="28"/>
      <c r="AV130" s="28"/>
      <c r="AW130" s="28"/>
      <c r="AX130" s="28"/>
      <c r="AY130" s="24"/>
      <c r="AZ130" s="28"/>
      <c r="BA130" s="28"/>
      <c r="BB130" s="28"/>
      <c r="BC130" s="28"/>
      <c r="BD130" s="28"/>
      <c r="BE130" s="28"/>
      <c r="BF130" s="24"/>
      <c r="BG130" s="28"/>
      <c r="BH130" s="28"/>
      <c r="BI130" s="28"/>
      <c r="BJ130" s="24"/>
      <c r="BK130" s="28"/>
      <c r="BL130" s="28"/>
      <c r="BM130" s="28"/>
    </row>
    <row r="131" spans="1:65">
      <c r="A131" s="24"/>
      <c r="B131" s="28"/>
      <c r="C131" s="25"/>
      <c r="D131" s="26"/>
      <c r="E131" s="24"/>
      <c r="F131" s="24"/>
      <c r="G131" s="26"/>
      <c r="H131" s="26"/>
      <c r="I131" s="26"/>
      <c r="J131" s="26"/>
      <c r="K131" s="26"/>
      <c r="L131" s="26"/>
      <c r="M131" s="26"/>
      <c r="N131" s="26"/>
      <c r="O131" s="26"/>
      <c r="P131" s="26"/>
      <c r="R131" s="24"/>
      <c r="S131" s="26"/>
      <c r="T131" s="25"/>
      <c r="U131" s="24"/>
      <c r="V131" s="24"/>
      <c r="W131" s="24"/>
      <c r="X131" s="26"/>
      <c r="Y131" s="26"/>
      <c r="Z131" s="24"/>
      <c r="AA131" s="26"/>
      <c r="AB131" s="25"/>
      <c r="AC131" s="24"/>
      <c r="AD131" s="24"/>
      <c r="AE131" s="24"/>
      <c r="AF131" s="26"/>
      <c r="AG131" s="26"/>
      <c r="AH131" s="24"/>
      <c r="AI131" s="24"/>
      <c r="AJ131" s="24"/>
      <c r="AK131" s="28"/>
      <c r="AL131" s="28"/>
      <c r="AM131" s="28"/>
      <c r="AN131" s="28"/>
      <c r="AO131" s="28"/>
      <c r="AP131" s="28"/>
      <c r="AQ131" s="28"/>
      <c r="AR131" s="28"/>
      <c r="AS131" s="28"/>
      <c r="AT131" s="28"/>
      <c r="AU131" s="28"/>
      <c r="AV131" s="28"/>
      <c r="AW131" s="28"/>
      <c r="AX131" s="28"/>
      <c r="AY131" s="24"/>
      <c r="AZ131" s="28"/>
      <c r="BA131" s="28"/>
      <c r="BB131" s="28"/>
      <c r="BC131" s="28"/>
      <c r="BD131" s="28"/>
      <c r="BE131" s="28"/>
      <c r="BF131" s="24"/>
      <c r="BG131" s="28"/>
      <c r="BH131" s="28"/>
      <c r="BI131" s="28"/>
      <c r="BJ131" s="24"/>
      <c r="BK131" s="28"/>
      <c r="BL131" s="28"/>
      <c r="BM131" s="28"/>
    </row>
    <row r="132" spans="1:65">
      <c r="A132" s="24"/>
      <c r="B132" s="28"/>
      <c r="C132" s="25"/>
      <c r="D132" s="26"/>
      <c r="E132" s="24"/>
      <c r="F132" s="24"/>
      <c r="G132" s="26"/>
      <c r="H132" s="26"/>
      <c r="I132" s="26"/>
      <c r="J132" s="26"/>
      <c r="K132" s="26"/>
      <c r="L132" s="26"/>
      <c r="M132" s="26"/>
      <c r="N132" s="26"/>
      <c r="O132" s="26"/>
      <c r="P132" s="26"/>
      <c r="R132" s="24"/>
      <c r="S132" s="26"/>
      <c r="T132" s="25"/>
      <c r="U132" s="24"/>
      <c r="V132" s="24"/>
      <c r="W132" s="24"/>
      <c r="X132" s="26"/>
      <c r="Y132" s="26"/>
      <c r="Z132" s="24"/>
      <c r="AA132" s="26"/>
      <c r="AB132" s="25"/>
      <c r="AC132" s="24"/>
      <c r="AD132" s="24"/>
      <c r="AE132" s="24"/>
      <c r="AF132" s="26"/>
      <c r="AG132" s="26"/>
      <c r="AH132" s="24"/>
      <c r="AI132" s="24"/>
      <c r="AJ132" s="24"/>
      <c r="AK132" s="28"/>
      <c r="AL132" s="28"/>
      <c r="AM132" s="28"/>
      <c r="AN132" s="28"/>
      <c r="AO132" s="28"/>
      <c r="AP132" s="28"/>
      <c r="AQ132" s="28"/>
      <c r="AR132" s="28"/>
      <c r="AS132" s="28"/>
      <c r="AT132" s="28"/>
      <c r="AU132" s="28"/>
      <c r="AV132" s="28"/>
      <c r="AW132" s="28"/>
      <c r="AX132" s="28"/>
      <c r="AY132" s="24"/>
      <c r="AZ132" s="28"/>
      <c r="BA132" s="28"/>
      <c r="BB132" s="28"/>
      <c r="BC132" s="28"/>
      <c r="BD132" s="28"/>
      <c r="BE132" s="28"/>
      <c r="BF132" s="24"/>
      <c r="BG132" s="28"/>
      <c r="BH132" s="28"/>
      <c r="BI132" s="28"/>
      <c r="BJ132" s="24"/>
      <c r="BK132" s="28"/>
      <c r="BL132" s="28"/>
      <c r="BM132" s="28"/>
    </row>
    <row r="133" spans="1:65">
      <c r="A133" s="24"/>
      <c r="B133" s="28"/>
      <c r="C133" s="25"/>
      <c r="D133" s="26"/>
      <c r="E133" s="24"/>
      <c r="F133" s="24"/>
      <c r="G133" s="26"/>
      <c r="H133" s="26"/>
      <c r="I133" s="26"/>
      <c r="J133" s="26"/>
      <c r="K133" s="26"/>
      <c r="L133" s="26"/>
      <c r="M133" s="26"/>
      <c r="N133" s="26"/>
      <c r="O133" s="26"/>
      <c r="P133" s="26"/>
      <c r="R133" s="24"/>
      <c r="S133" s="26"/>
      <c r="T133" s="25"/>
      <c r="U133" s="24"/>
      <c r="V133" s="24"/>
      <c r="W133" s="24"/>
      <c r="X133" s="26"/>
      <c r="Y133" s="26"/>
      <c r="Z133" s="24"/>
      <c r="AA133" s="26"/>
      <c r="AB133" s="25"/>
      <c r="AC133" s="24"/>
      <c r="AD133" s="24"/>
      <c r="AE133" s="24"/>
      <c r="AF133" s="26"/>
      <c r="AG133" s="26"/>
      <c r="AH133" s="24"/>
      <c r="AI133" s="24"/>
      <c r="AJ133" s="24"/>
      <c r="AK133" s="28"/>
      <c r="AL133" s="28"/>
      <c r="AM133" s="28"/>
      <c r="AN133" s="28"/>
      <c r="AO133" s="28"/>
      <c r="AP133" s="28"/>
      <c r="AQ133" s="28"/>
      <c r="AR133" s="28"/>
      <c r="AS133" s="28"/>
      <c r="AT133" s="28"/>
      <c r="AU133" s="28"/>
      <c r="AV133" s="28"/>
      <c r="AW133" s="28"/>
      <c r="AX133" s="28"/>
      <c r="AY133" s="24"/>
      <c r="AZ133" s="28"/>
      <c r="BA133" s="28"/>
      <c r="BB133" s="28"/>
      <c r="BC133" s="28"/>
      <c r="BD133" s="28"/>
      <c r="BE133" s="28"/>
      <c r="BF133" s="24"/>
      <c r="BG133" s="28"/>
      <c r="BH133" s="28"/>
      <c r="BI133" s="28"/>
      <c r="BJ133" s="24"/>
      <c r="BK133" s="28"/>
      <c r="BL133" s="28"/>
      <c r="BM133" s="28"/>
    </row>
    <row r="134" spans="1:65">
      <c r="A134" s="24"/>
      <c r="B134" s="28"/>
      <c r="C134" s="25"/>
      <c r="D134" s="26"/>
      <c r="E134" s="24"/>
      <c r="F134" s="24"/>
      <c r="G134" s="26"/>
      <c r="H134" s="26"/>
      <c r="I134" s="26"/>
      <c r="J134" s="26"/>
      <c r="K134" s="26"/>
      <c r="L134" s="26"/>
      <c r="M134" s="26"/>
      <c r="N134" s="26"/>
      <c r="O134" s="26"/>
      <c r="P134" s="26"/>
      <c r="R134" s="24"/>
      <c r="S134" s="26"/>
      <c r="T134" s="25"/>
      <c r="U134" s="24"/>
      <c r="V134" s="24"/>
      <c r="W134" s="24"/>
      <c r="X134" s="26"/>
      <c r="Y134" s="26"/>
      <c r="Z134" s="24"/>
      <c r="AA134" s="26"/>
      <c r="AB134" s="25"/>
      <c r="AC134" s="24"/>
      <c r="AD134" s="24"/>
      <c r="AE134" s="24"/>
      <c r="AF134" s="26"/>
      <c r="AG134" s="26"/>
      <c r="AH134" s="24"/>
      <c r="AI134" s="24"/>
      <c r="AJ134" s="24"/>
      <c r="AK134" s="28"/>
      <c r="AL134" s="28"/>
      <c r="AM134" s="28"/>
      <c r="AN134" s="28"/>
      <c r="AO134" s="28"/>
      <c r="AP134" s="28"/>
      <c r="AQ134" s="28"/>
      <c r="AR134" s="28"/>
      <c r="AS134" s="28"/>
      <c r="AT134" s="28"/>
      <c r="AU134" s="28"/>
      <c r="AV134" s="28"/>
      <c r="AW134" s="28"/>
      <c r="AX134" s="28"/>
      <c r="AY134" s="24"/>
      <c r="AZ134" s="28"/>
      <c r="BA134" s="28"/>
      <c r="BB134" s="28"/>
      <c r="BC134" s="28"/>
      <c r="BD134" s="28"/>
      <c r="BE134" s="28"/>
      <c r="BF134" s="24"/>
      <c r="BG134" s="28"/>
      <c r="BH134" s="28"/>
      <c r="BI134" s="28"/>
      <c r="BJ134" s="24"/>
      <c r="BK134" s="28"/>
      <c r="BL134" s="28"/>
      <c r="BM134" s="28"/>
    </row>
    <row r="135" spans="1:65">
      <c r="A135" s="24"/>
      <c r="B135" s="28"/>
      <c r="C135" s="25"/>
      <c r="D135" s="26"/>
      <c r="E135" s="24"/>
      <c r="F135" s="24"/>
      <c r="G135" s="26"/>
      <c r="H135" s="26"/>
      <c r="I135" s="26"/>
      <c r="J135" s="26"/>
      <c r="K135" s="26"/>
      <c r="L135" s="26"/>
      <c r="M135" s="26"/>
      <c r="N135" s="26"/>
      <c r="O135" s="26"/>
      <c r="P135" s="26"/>
      <c r="R135" s="24"/>
      <c r="S135" s="26"/>
      <c r="T135" s="25"/>
      <c r="U135" s="24"/>
      <c r="V135" s="24"/>
      <c r="W135" s="24"/>
      <c r="X135" s="26"/>
      <c r="Y135" s="26"/>
      <c r="Z135" s="24"/>
      <c r="AA135" s="26"/>
      <c r="AB135" s="25"/>
      <c r="AC135" s="24"/>
      <c r="AD135" s="24"/>
      <c r="AE135" s="24"/>
      <c r="AF135" s="26"/>
      <c r="AG135" s="26"/>
      <c r="AH135" s="24"/>
      <c r="AI135" s="24"/>
      <c r="AJ135" s="24"/>
      <c r="AK135" s="28"/>
      <c r="AL135" s="28"/>
      <c r="AM135" s="28"/>
      <c r="AN135" s="28"/>
      <c r="AO135" s="28"/>
      <c r="AP135" s="28"/>
      <c r="AQ135" s="28"/>
      <c r="AR135" s="28"/>
      <c r="AS135" s="28"/>
      <c r="AT135" s="28"/>
      <c r="AU135" s="28"/>
      <c r="AV135" s="28"/>
      <c r="AW135" s="28"/>
      <c r="AX135" s="28"/>
      <c r="AY135" s="24"/>
      <c r="AZ135" s="28"/>
      <c r="BA135" s="28"/>
      <c r="BB135" s="28"/>
      <c r="BC135" s="28"/>
      <c r="BD135" s="28"/>
      <c r="BE135" s="28"/>
      <c r="BF135" s="24"/>
      <c r="BG135" s="28"/>
      <c r="BH135" s="28"/>
      <c r="BI135" s="28"/>
      <c r="BJ135" s="24"/>
      <c r="BK135" s="28"/>
      <c r="BL135" s="28"/>
      <c r="BM135" s="28"/>
    </row>
    <row r="136" spans="1:65">
      <c r="A136" s="24"/>
      <c r="B136" s="28"/>
      <c r="C136" s="25"/>
      <c r="D136" s="26"/>
      <c r="E136" s="24"/>
      <c r="F136" s="24"/>
      <c r="G136" s="26"/>
      <c r="H136" s="26"/>
      <c r="I136" s="26"/>
      <c r="J136" s="26"/>
      <c r="K136" s="26"/>
      <c r="L136" s="26"/>
      <c r="M136" s="26"/>
      <c r="N136" s="26"/>
      <c r="O136" s="26"/>
      <c r="P136" s="26"/>
      <c r="R136" s="24"/>
      <c r="S136" s="26"/>
      <c r="T136" s="25"/>
      <c r="U136" s="24"/>
      <c r="V136" s="24"/>
      <c r="W136" s="24"/>
      <c r="X136" s="26"/>
      <c r="Y136" s="26"/>
      <c r="Z136" s="24"/>
      <c r="AA136" s="26"/>
      <c r="AB136" s="25"/>
      <c r="AC136" s="24"/>
      <c r="AD136" s="24"/>
      <c r="AE136" s="24"/>
      <c r="AF136" s="26"/>
      <c r="AG136" s="26"/>
      <c r="AH136" s="24"/>
      <c r="AI136" s="24"/>
      <c r="AJ136" s="24"/>
      <c r="AK136" s="28"/>
      <c r="AL136" s="28"/>
      <c r="AM136" s="28"/>
      <c r="AN136" s="28"/>
      <c r="AO136" s="28"/>
      <c r="AP136" s="28"/>
      <c r="AQ136" s="28"/>
      <c r="AR136" s="28"/>
      <c r="AS136" s="28"/>
      <c r="AT136" s="28"/>
      <c r="AU136" s="28"/>
      <c r="AV136" s="28"/>
      <c r="AW136" s="28"/>
      <c r="AX136" s="28"/>
      <c r="AY136" s="24"/>
      <c r="AZ136" s="28"/>
      <c r="BA136" s="28"/>
      <c r="BB136" s="28"/>
      <c r="BC136" s="28"/>
      <c r="BD136" s="28"/>
      <c r="BE136" s="28"/>
      <c r="BF136" s="24"/>
      <c r="BG136" s="28"/>
      <c r="BH136" s="28"/>
      <c r="BI136" s="28"/>
      <c r="BJ136" s="24"/>
      <c r="BK136" s="28"/>
      <c r="BL136" s="28"/>
      <c r="BM136" s="28"/>
    </row>
    <row r="137" spans="1:65">
      <c r="A137" s="24"/>
      <c r="B137" s="28"/>
      <c r="C137" s="25"/>
      <c r="D137" s="26"/>
      <c r="E137" s="24"/>
      <c r="F137" s="24"/>
      <c r="G137" s="26"/>
      <c r="H137" s="26"/>
      <c r="I137" s="26"/>
      <c r="J137" s="26"/>
      <c r="K137" s="26"/>
      <c r="L137" s="26"/>
      <c r="M137" s="26"/>
      <c r="N137" s="26"/>
      <c r="O137" s="26"/>
      <c r="P137" s="26"/>
      <c r="R137" s="24"/>
      <c r="S137" s="26"/>
      <c r="T137" s="25"/>
      <c r="U137" s="24"/>
      <c r="V137" s="24"/>
      <c r="W137" s="24"/>
      <c r="X137" s="26"/>
      <c r="Y137" s="26"/>
      <c r="Z137" s="24"/>
      <c r="AA137" s="26"/>
      <c r="AB137" s="25"/>
      <c r="AC137" s="24"/>
      <c r="AD137" s="24"/>
      <c r="AE137" s="24"/>
      <c r="AF137" s="26"/>
      <c r="AG137" s="26"/>
      <c r="AH137" s="24"/>
      <c r="AI137" s="24"/>
      <c r="AJ137" s="24"/>
      <c r="AK137" s="28"/>
      <c r="AL137" s="28"/>
      <c r="AM137" s="28"/>
      <c r="AN137" s="28"/>
      <c r="AO137" s="28"/>
      <c r="AP137" s="28"/>
      <c r="AQ137" s="28"/>
      <c r="AR137" s="28"/>
      <c r="AS137" s="28"/>
      <c r="AT137" s="28"/>
      <c r="AU137" s="28"/>
      <c r="AV137" s="28"/>
      <c r="AW137" s="28"/>
      <c r="AX137" s="28"/>
      <c r="AY137" s="24"/>
      <c r="AZ137" s="28"/>
      <c r="BA137" s="28"/>
      <c r="BB137" s="28"/>
      <c r="BC137" s="28"/>
      <c r="BD137" s="28"/>
      <c r="BE137" s="28"/>
      <c r="BF137" s="24"/>
      <c r="BG137" s="28"/>
      <c r="BH137" s="28"/>
      <c r="BI137" s="28"/>
      <c r="BJ137" s="24"/>
      <c r="BK137" s="28"/>
      <c r="BL137" s="28"/>
      <c r="BM137" s="28"/>
    </row>
    <row r="138" spans="1:65">
      <c r="A138" s="24"/>
      <c r="B138" s="28"/>
      <c r="C138" s="25"/>
      <c r="D138" s="26"/>
      <c r="E138" s="24"/>
      <c r="F138" s="24"/>
      <c r="G138" s="26"/>
      <c r="H138" s="26"/>
      <c r="I138" s="26"/>
      <c r="J138" s="26"/>
      <c r="K138" s="26"/>
      <c r="L138" s="26"/>
      <c r="M138" s="26"/>
      <c r="N138" s="26"/>
      <c r="O138" s="26"/>
      <c r="P138" s="26"/>
      <c r="R138" s="24"/>
      <c r="S138" s="26"/>
      <c r="T138" s="25"/>
      <c r="U138" s="24"/>
      <c r="V138" s="24"/>
      <c r="W138" s="24"/>
      <c r="X138" s="26"/>
      <c r="Y138" s="26"/>
      <c r="Z138" s="24"/>
      <c r="AA138" s="26"/>
      <c r="AB138" s="25"/>
      <c r="AC138" s="24"/>
      <c r="AD138" s="24"/>
      <c r="AE138" s="24"/>
      <c r="AF138" s="26"/>
      <c r="AG138" s="26"/>
      <c r="AH138" s="24"/>
      <c r="AI138" s="24"/>
      <c r="AJ138" s="24"/>
      <c r="AK138" s="28"/>
      <c r="AL138" s="28"/>
      <c r="AM138" s="28"/>
      <c r="AN138" s="28"/>
      <c r="AO138" s="28"/>
      <c r="AP138" s="28"/>
      <c r="AQ138" s="28"/>
      <c r="AR138" s="28"/>
      <c r="AS138" s="28"/>
      <c r="AT138" s="28"/>
      <c r="AU138" s="28"/>
      <c r="AV138" s="28"/>
      <c r="AW138" s="28"/>
      <c r="AX138" s="28"/>
      <c r="AY138" s="24"/>
      <c r="AZ138" s="28"/>
      <c r="BA138" s="28"/>
      <c r="BB138" s="28"/>
      <c r="BC138" s="28"/>
      <c r="BD138" s="28"/>
      <c r="BE138" s="28"/>
      <c r="BF138" s="24"/>
      <c r="BG138" s="28"/>
      <c r="BH138" s="28"/>
      <c r="BI138" s="28"/>
      <c r="BJ138" s="24"/>
      <c r="BK138" s="28"/>
      <c r="BL138" s="28"/>
      <c r="BM138" s="28"/>
    </row>
    <row r="139" spans="1:65">
      <c r="A139" s="24"/>
      <c r="B139" s="28"/>
      <c r="C139" s="25"/>
      <c r="D139" s="26"/>
      <c r="E139" s="24"/>
      <c r="F139" s="24"/>
      <c r="G139" s="26"/>
      <c r="H139" s="26"/>
      <c r="I139" s="26"/>
      <c r="J139" s="26"/>
      <c r="K139" s="26"/>
      <c r="L139" s="26"/>
      <c r="M139" s="26"/>
      <c r="N139" s="26"/>
      <c r="O139" s="26"/>
      <c r="P139" s="26"/>
      <c r="R139" s="24"/>
      <c r="S139" s="26"/>
      <c r="T139" s="25"/>
      <c r="U139" s="24"/>
      <c r="V139" s="24"/>
      <c r="W139" s="24"/>
      <c r="X139" s="26"/>
      <c r="Y139" s="26"/>
      <c r="Z139" s="24"/>
      <c r="AA139" s="26"/>
      <c r="AB139" s="25"/>
      <c r="AC139" s="24"/>
      <c r="AD139" s="24"/>
      <c r="AE139" s="24"/>
      <c r="AF139" s="26"/>
      <c r="AG139" s="26"/>
      <c r="AH139" s="24"/>
      <c r="AI139" s="24"/>
      <c r="AJ139" s="24"/>
      <c r="AK139" s="28"/>
      <c r="AL139" s="28"/>
      <c r="AM139" s="28"/>
      <c r="AN139" s="28"/>
      <c r="AO139" s="28"/>
      <c r="AP139" s="28"/>
      <c r="AQ139" s="28"/>
      <c r="AR139" s="28"/>
      <c r="AS139" s="28"/>
      <c r="AT139" s="28"/>
      <c r="AU139" s="28"/>
      <c r="AV139" s="28"/>
      <c r="AW139" s="28"/>
      <c r="AX139" s="28"/>
      <c r="AY139" s="24"/>
      <c r="AZ139" s="28"/>
      <c r="BA139" s="28"/>
      <c r="BB139" s="28"/>
      <c r="BC139" s="28"/>
      <c r="BD139" s="28"/>
      <c r="BE139" s="28"/>
      <c r="BF139" s="24"/>
      <c r="BG139" s="28"/>
      <c r="BH139" s="28"/>
      <c r="BI139" s="28"/>
      <c r="BJ139" s="24"/>
      <c r="BK139" s="28"/>
      <c r="BL139" s="28"/>
      <c r="BM139" s="28"/>
    </row>
    <row r="140" spans="1:65">
      <c r="A140" s="24"/>
      <c r="B140" s="28"/>
      <c r="C140" s="25"/>
      <c r="D140" s="26"/>
      <c r="E140" s="24"/>
      <c r="F140" s="24"/>
      <c r="G140" s="26"/>
      <c r="H140" s="26"/>
      <c r="I140" s="26"/>
      <c r="J140" s="26"/>
      <c r="K140" s="26"/>
      <c r="L140" s="26"/>
      <c r="M140" s="26"/>
      <c r="N140" s="26"/>
      <c r="O140" s="26"/>
      <c r="P140" s="26"/>
      <c r="R140" s="24"/>
      <c r="S140" s="26"/>
      <c r="T140" s="25"/>
      <c r="U140" s="24"/>
      <c r="V140" s="24"/>
      <c r="W140" s="24"/>
      <c r="X140" s="26"/>
      <c r="Y140" s="26"/>
      <c r="Z140" s="24"/>
      <c r="AA140" s="26"/>
      <c r="AB140" s="25"/>
      <c r="AC140" s="24"/>
      <c r="AD140" s="24"/>
      <c r="AE140" s="24"/>
      <c r="AF140" s="26"/>
      <c r="AG140" s="26"/>
      <c r="AH140" s="24"/>
      <c r="AI140" s="24"/>
      <c r="AJ140" s="24"/>
      <c r="AK140" s="28"/>
      <c r="AL140" s="28"/>
      <c r="AM140" s="28"/>
      <c r="AN140" s="28"/>
      <c r="AO140" s="28"/>
      <c r="AP140" s="28"/>
      <c r="AQ140" s="28"/>
      <c r="AR140" s="28"/>
      <c r="AS140" s="28"/>
      <c r="AT140" s="28"/>
      <c r="AU140" s="28"/>
      <c r="AV140" s="28"/>
      <c r="AW140" s="28"/>
      <c r="AX140" s="28"/>
      <c r="AY140" s="24"/>
      <c r="AZ140" s="28"/>
      <c r="BA140" s="28"/>
      <c r="BB140" s="28"/>
      <c r="BC140" s="28"/>
      <c r="BD140" s="28"/>
      <c r="BE140" s="28"/>
      <c r="BF140" s="24"/>
      <c r="BG140" s="28"/>
      <c r="BH140" s="28"/>
      <c r="BI140" s="28"/>
      <c r="BJ140" s="24"/>
      <c r="BK140" s="28"/>
      <c r="BL140" s="28"/>
      <c r="BM140" s="28"/>
    </row>
    <row r="141" spans="1:65">
      <c r="A141" s="24"/>
      <c r="B141" s="28"/>
      <c r="C141" s="25"/>
      <c r="D141" s="26"/>
      <c r="E141" s="24"/>
      <c r="F141" s="24"/>
      <c r="G141" s="26"/>
      <c r="H141" s="26"/>
      <c r="I141" s="26"/>
      <c r="J141" s="26"/>
      <c r="K141" s="26"/>
      <c r="L141" s="26"/>
      <c r="M141" s="26"/>
      <c r="N141" s="26"/>
      <c r="O141" s="26"/>
      <c r="P141" s="26"/>
      <c r="R141" s="24"/>
      <c r="S141" s="26"/>
      <c r="T141" s="25"/>
      <c r="U141" s="24"/>
      <c r="V141" s="24"/>
      <c r="W141" s="24"/>
      <c r="X141" s="26"/>
      <c r="Y141" s="26"/>
      <c r="Z141" s="24"/>
      <c r="AA141" s="26"/>
      <c r="AB141" s="25"/>
      <c r="AC141" s="24"/>
      <c r="AD141" s="24"/>
      <c r="AE141" s="24"/>
      <c r="AF141" s="26"/>
      <c r="AG141" s="26"/>
      <c r="AH141" s="24"/>
      <c r="AI141" s="24"/>
      <c r="AJ141" s="24"/>
      <c r="AK141" s="28"/>
      <c r="AL141" s="28"/>
      <c r="AM141" s="28"/>
      <c r="AN141" s="28"/>
      <c r="AO141" s="28"/>
      <c r="AP141" s="28"/>
      <c r="AQ141" s="28"/>
      <c r="AR141" s="28"/>
      <c r="AS141" s="28"/>
      <c r="AT141" s="28"/>
      <c r="AU141" s="28"/>
      <c r="AV141" s="28"/>
      <c r="AW141" s="28"/>
      <c r="AX141" s="28"/>
      <c r="AY141" s="24"/>
      <c r="AZ141" s="28"/>
      <c r="BA141" s="28"/>
      <c r="BB141" s="28"/>
      <c r="BC141" s="28"/>
      <c r="BD141" s="28"/>
      <c r="BE141" s="28"/>
      <c r="BF141" s="24"/>
      <c r="BG141" s="28"/>
      <c r="BH141" s="28"/>
      <c r="BI141" s="28"/>
      <c r="BJ141" s="24"/>
      <c r="BK141" s="28"/>
      <c r="BL141" s="28"/>
      <c r="BM141" s="28"/>
    </row>
    <row r="142" spans="1:65">
      <c r="A142" s="24"/>
      <c r="B142" s="28"/>
      <c r="C142" s="25"/>
      <c r="D142" s="26"/>
      <c r="E142" s="24"/>
      <c r="F142" s="24"/>
      <c r="G142" s="26"/>
      <c r="H142" s="26"/>
      <c r="I142" s="26"/>
      <c r="J142" s="26"/>
      <c r="K142" s="26"/>
      <c r="L142" s="26"/>
      <c r="M142" s="26"/>
      <c r="N142" s="26"/>
      <c r="O142" s="26"/>
      <c r="P142" s="26"/>
      <c r="R142" s="24"/>
      <c r="S142" s="26"/>
      <c r="T142" s="25"/>
      <c r="U142" s="24"/>
      <c r="V142" s="24"/>
      <c r="W142" s="24"/>
      <c r="X142" s="26"/>
      <c r="Y142" s="26"/>
      <c r="Z142" s="24"/>
      <c r="AA142" s="26"/>
      <c r="AB142" s="25"/>
      <c r="AC142" s="24"/>
      <c r="AD142" s="24"/>
      <c r="AE142" s="24"/>
      <c r="AF142" s="26"/>
      <c r="AG142" s="26"/>
      <c r="AH142" s="24"/>
      <c r="AI142" s="24"/>
      <c r="AJ142" s="24"/>
      <c r="AK142" s="28"/>
      <c r="AL142" s="28"/>
      <c r="AM142" s="28"/>
      <c r="AN142" s="28"/>
      <c r="AO142" s="28"/>
      <c r="AP142" s="28"/>
      <c r="AQ142" s="28"/>
      <c r="AR142" s="28"/>
      <c r="AS142" s="28"/>
      <c r="AT142" s="28"/>
      <c r="AU142" s="28"/>
      <c r="AV142" s="28"/>
      <c r="AW142" s="28"/>
      <c r="AX142" s="28"/>
      <c r="AY142" s="24"/>
      <c r="AZ142" s="28"/>
      <c r="BA142" s="28"/>
      <c r="BB142" s="28"/>
      <c r="BC142" s="28"/>
      <c r="BD142" s="28"/>
      <c r="BE142" s="28"/>
      <c r="BF142" s="24"/>
      <c r="BG142" s="28"/>
      <c r="BH142" s="28"/>
      <c r="BI142" s="28"/>
      <c r="BJ142" s="24"/>
      <c r="BK142" s="28"/>
      <c r="BL142" s="28"/>
      <c r="BM142" s="28"/>
    </row>
    <row r="143" spans="1:65">
      <c r="A143" s="24"/>
      <c r="B143" s="28"/>
      <c r="C143" s="25"/>
      <c r="D143" s="26"/>
      <c r="E143" s="24"/>
      <c r="F143" s="24"/>
      <c r="G143" s="26"/>
      <c r="H143" s="26"/>
      <c r="I143" s="26"/>
      <c r="J143" s="26"/>
      <c r="K143" s="26"/>
      <c r="L143" s="26"/>
      <c r="M143" s="26"/>
      <c r="N143" s="26"/>
      <c r="O143" s="26"/>
      <c r="P143" s="26"/>
      <c r="R143" s="24"/>
      <c r="S143" s="26"/>
      <c r="T143" s="25"/>
      <c r="U143" s="24"/>
      <c r="V143" s="24"/>
      <c r="W143" s="24"/>
      <c r="X143" s="26"/>
      <c r="Y143" s="26"/>
      <c r="Z143" s="24"/>
      <c r="AA143" s="26"/>
      <c r="AB143" s="25"/>
      <c r="AC143" s="24"/>
      <c r="AD143" s="24"/>
      <c r="AE143" s="24"/>
      <c r="AF143" s="26"/>
      <c r="AG143" s="26"/>
      <c r="AH143" s="24"/>
      <c r="AI143" s="24"/>
      <c r="AJ143" s="24"/>
      <c r="AK143" s="28"/>
      <c r="AL143" s="28"/>
      <c r="AM143" s="28"/>
      <c r="AN143" s="28"/>
      <c r="AO143" s="28"/>
      <c r="AP143" s="28"/>
      <c r="AQ143" s="28"/>
      <c r="AR143" s="28"/>
      <c r="AS143" s="28"/>
      <c r="AT143" s="28"/>
      <c r="AU143" s="28"/>
      <c r="AV143" s="28"/>
      <c r="AW143" s="28"/>
      <c r="AX143" s="28"/>
      <c r="AY143" s="24"/>
      <c r="AZ143" s="28"/>
      <c r="BA143" s="28"/>
      <c r="BB143" s="28"/>
      <c r="BC143" s="28"/>
      <c r="BD143" s="28"/>
      <c r="BE143" s="28"/>
      <c r="BF143" s="24"/>
      <c r="BG143" s="28"/>
      <c r="BH143" s="28"/>
      <c r="BI143" s="28"/>
      <c r="BJ143" s="24"/>
      <c r="BK143" s="28"/>
      <c r="BL143" s="28"/>
      <c r="BM143" s="28"/>
    </row>
    <row r="144" spans="1:65">
      <c r="A144" s="24"/>
      <c r="B144" s="28"/>
      <c r="C144" s="25"/>
      <c r="D144" s="26"/>
      <c r="E144" s="24"/>
      <c r="F144" s="24"/>
      <c r="G144" s="26"/>
      <c r="H144" s="26"/>
      <c r="I144" s="26"/>
      <c r="J144" s="26"/>
      <c r="K144" s="26"/>
      <c r="L144" s="26"/>
      <c r="M144" s="26"/>
      <c r="N144" s="26"/>
      <c r="O144" s="26"/>
      <c r="P144" s="26"/>
      <c r="R144" s="24"/>
      <c r="S144" s="26"/>
      <c r="T144" s="25"/>
      <c r="U144" s="24"/>
      <c r="V144" s="24"/>
      <c r="W144" s="24"/>
      <c r="X144" s="26"/>
      <c r="Y144" s="26"/>
      <c r="Z144" s="24"/>
      <c r="AA144" s="26"/>
      <c r="AB144" s="25"/>
      <c r="AC144" s="24"/>
      <c r="AD144" s="24"/>
      <c r="AE144" s="24"/>
      <c r="AF144" s="26"/>
      <c r="AG144" s="26"/>
      <c r="AH144" s="24"/>
      <c r="AI144" s="24"/>
      <c r="AJ144" s="24"/>
      <c r="AK144" s="28"/>
      <c r="AL144" s="28"/>
      <c r="AM144" s="28"/>
      <c r="AN144" s="28"/>
      <c r="AO144" s="28"/>
      <c r="AP144" s="28"/>
      <c r="AQ144" s="28"/>
      <c r="AR144" s="28"/>
      <c r="AS144" s="28"/>
      <c r="AT144" s="28"/>
      <c r="AU144" s="28"/>
      <c r="AV144" s="28"/>
      <c r="AW144" s="28"/>
      <c r="AX144" s="28"/>
      <c r="AY144" s="24"/>
      <c r="AZ144" s="28"/>
      <c r="BA144" s="28"/>
      <c r="BB144" s="28"/>
      <c r="BC144" s="28"/>
      <c r="BD144" s="28"/>
      <c r="BE144" s="28"/>
      <c r="BF144" s="24"/>
      <c r="BG144" s="28"/>
      <c r="BH144" s="28"/>
      <c r="BI144" s="28"/>
      <c r="BJ144" s="24"/>
      <c r="BK144" s="28"/>
      <c r="BL144" s="28"/>
      <c r="BM144" s="28"/>
    </row>
    <row r="145" spans="1:65">
      <c r="A145" s="24"/>
      <c r="B145" s="28"/>
      <c r="C145" s="25"/>
      <c r="D145" s="26"/>
      <c r="E145" s="24"/>
      <c r="F145" s="24"/>
      <c r="G145" s="26"/>
      <c r="H145" s="26"/>
      <c r="I145" s="26"/>
      <c r="J145" s="26"/>
      <c r="K145" s="26"/>
      <c r="L145" s="26"/>
      <c r="M145" s="26"/>
      <c r="N145" s="26"/>
      <c r="O145" s="26"/>
      <c r="P145" s="26"/>
      <c r="R145" s="24"/>
      <c r="S145" s="26"/>
      <c r="T145" s="25"/>
      <c r="U145" s="24"/>
      <c r="V145" s="24"/>
      <c r="W145" s="24"/>
      <c r="X145" s="26"/>
      <c r="Y145" s="26"/>
      <c r="Z145" s="24"/>
      <c r="AA145" s="26"/>
      <c r="AB145" s="25"/>
      <c r="AC145" s="24"/>
      <c r="AD145" s="24"/>
      <c r="AE145" s="24"/>
      <c r="AF145" s="26"/>
      <c r="AG145" s="26"/>
      <c r="AH145" s="24"/>
      <c r="AI145" s="24"/>
      <c r="AJ145" s="24"/>
      <c r="AK145" s="28"/>
      <c r="AL145" s="28"/>
      <c r="AM145" s="28"/>
      <c r="AN145" s="28"/>
      <c r="AO145" s="28"/>
      <c r="AP145" s="28"/>
      <c r="AQ145" s="28"/>
      <c r="AR145" s="28"/>
      <c r="AS145" s="28"/>
      <c r="AT145" s="28"/>
      <c r="AU145" s="28"/>
      <c r="AV145" s="28"/>
      <c r="AW145" s="28"/>
      <c r="AX145" s="28"/>
      <c r="AY145" s="24"/>
      <c r="AZ145" s="28"/>
      <c r="BA145" s="28"/>
      <c r="BB145" s="28"/>
      <c r="BC145" s="28"/>
      <c r="BD145" s="28"/>
      <c r="BE145" s="28"/>
      <c r="BF145" s="24"/>
      <c r="BG145" s="28"/>
      <c r="BH145" s="28"/>
      <c r="BI145" s="28"/>
      <c r="BJ145" s="24"/>
      <c r="BK145" s="28"/>
      <c r="BL145" s="28"/>
      <c r="BM145" s="28"/>
    </row>
    <row r="146" spans="1:65">
      <c r="A146" s="24"/>
      <c r="B146" s="28"/>
      <c r="C146" s="25"/>
      <c r="D146" s="26"/>
      <c r="E146" s="24"/>
      <c r="F146" s="24"/>
      <c r="G146" s="26"/>
      <c r="H146" s="26"/>
      <c r="I146" s="26"/>
      <c r="J146" s="26"/>
      <c r="K146" s="26"/>
      <c r="L146" s="26"/>
      <c r="M146" s="26"/>
      <c r="N146" s="26"/>
      <c r="O146" s="26"/>
      <c r="P146" s="26"/>
      <c r="R146" s="24"/>
      <c r="S146" s="26"/>
      <c r="T146" s="25"/>
      <c r="U146" s="24"/>
      <c r="V146" s="24"/>
      <c r="W146" s="24"/>
      <c r="X146" s="26"/>
      <c r="Y146" s="26"/>
      <c r="Z146" s="24"/>
      <c r="AA146" s="26"/>
      <c r="AB146" s="25"/>
      <c r="AC146" s="24"/>
      <c r="AD146" s="24"/>
      <c r="AE146" s="24"/>
      <c r="AF146" s="26"/>
      <c r="AG146" s="26"/>
      <c r="AH146" s="24"/>
      <c r="AI146" s="24"/>
      <c r="AJ146" s="24"/>
      <c r="AK146" s="28"/>
      <c r="AL146" s="28"/>
      <c r="AM146" s="28"/>
      <c r="AN146" s="28"/>
      <c r="AO146" s="28"/>
      <c r="AP146" s="28"/>
      <c r="AQ146" s="28"/>
      <c r="AR146" s="28"/>
      <c r="AS146" s="28"/>
      <c r="AT146" s="28"/>
      <c r="AU146" s="28"/>
      <c r="AV146" s="28"/>
      <c r="AW146" s="28"/>
      <c r="AX146" s="28"/>
      <c r="AY146" s="24"/>
      <c r="AZ146" s="28"/>
      <c r="BA146" s="28"/>
      <c r="BB146" s="28"/>
      <c r="BC146" s="28"/>
      <c r="BD146" s="28"/>
      <c r="BE146" s="28"/>
      <c r="BF146" s="24"/>
      <c r="BG146" s="28"/>
      <c r="BH146" s="28"/>
      <c r="BI146" s="28"/>
      <c r="BJ146" s="24"/>
      <c r="BK146" s="28"/>
      <c r="BL146" s="28"/>
      <c r="BM146" s="28"/>
    </row>
    <row r="147" spans="1:65">
      <c r="A147" s="24"/>
      <c r="B147" s="28"/>
      <c r="C147" s="25"/>
      <c r="D147" s="26"/>
      <c r="E147" s="24"/>
      <c r="F147" s="24"/>
      <c r="G147" s="26"/>
      <c r="H147" s="26"/>
      <c r="I147" s="26"/>
      <c r="J147" s="26"/>
      <c r="K147" s="26"/>
      <c r="L147" s="26"/>
      <c r="M147" s="26"/>
      <c r="N147" s="26"/>
      <c r="O147" s="26"/>
      <c r="P147" s="26"/>
      <c r="R147" s="24"/>
      <c r="S147" s="26"/>
      <c r="T147" s="25"/>
      <c r="U147" s="24"/>
      <c r="V147" s="24"/>
      <c r="W147" s="24"/>
      <c r="X147" s="26"/>
      <c r="Y147" s="26"/>
      <c r="Z147" s="24"/>
      <c r="AA147" s="26"/>
      <c r="AB147" s="25"/>
      <c r="AC147" s="24"/>
      <c r="AD147" s="24"/>
      <c r="AE147" s="24"/>
      <c r="AF147" s="26"/>
      <c r="AG147" s="26"/>
      <c r="AH147" s="24"/>
      <c r="AI147" s="24"/>
      <c r="AJ147" s="24"/>
      <c r="AK147" s="28"/>
      <c r="AL147" s="28"/>
      <c r="AM147" s="28"/>
      <c r="AN147" s="28"/>
      <c r="AO147" s="28"/>
      <c r="AP147" s="28"/>
      <c r="AQ147" s="28"/>
      <c r="AR147" s="28"/>
      <c r="AS147" s="28"/>
      <c r="AT147" s="28"/>
      <c r="AU147" s="28"/>
      <c r="AV147" s="28"/>
      <c r="AW147" s="28"/>
      <c r="AX147" s="28"/>
      <c r="AY147" s="24"/>
      <c r="AZ147" s="28"/>
      <c r="BA147" s="28"/>
      <c r="BB147" s="28"/>
      <c r="BC147" s="28"/>
      <c r="BD147" s="28"/>
      <c r="BE147" s="28"/>
      <c r="BF147" s="24"/>
      <c r="BG147" s="28"/>
      <c r="BH147" s="28"/>
      <c r="BI147" s="28"/>
      <c r="BJ147" s="24"/>
      <c r="BK147" s="28"/>
      <c r="BL147" s="28"/>
      <c r="BM147" s="28"/>
    </row>
    <row r="148" spans="1:65">
      <c r="A148" s="24"/>
      <c r="B148" s="28"/>
      <c r="C148" s="25"/>
      <c r="D148" s="26"/>
      <c r="E148" s="24"/>
      <c r="F148" s="24"/>
      <c r="G148" s="26"/>
      <c r="H148" s="26"/>
      <c r="I148" s="26"/>
      <c r="J148" s="26"/>
      <c r="K148" s="26"/>
      <c r="L148" s="26"/>
      <c r="M148" s="26"/>
      <c r="N148" s="26"/>
      <c r="O148" s="26"/>
      <c r="P148" s="26"/>
      <c r="R148" s="24"/>
      <c r="S148" s="26"/>
      <c r="T148" s="25"/>
      <c r="U148" s="24"/>
      <c r="V148" s="24"/>
      <c r="W148" s="24"/>
      <c r="X148" s="26"/>
      <c r="Y148" s="26"/>
      <c r="Z148" s="24"/>
      <c r="AA148" s="26"/>
      <c r="AB148" s="25"/>
      <c r="AC148" s="24"/>
      <c r="AD148" s="24"/>
      <c r="AE148" s="24"/>
      <c r="AF148" s="26"/>
      <c r="AG148" s="26"/>
      <c r="AH148" s="24"/>
      <c r="AI148" s="24"/>
      <c r="AJ148" s="24"/>
      <c r="AK148" s="28"/>
      <c r="AL148" s="28"/>
      <c r="AM148" s="28"/>
      <c r="AN148" s="28"/>
      <c r="AO148" s="28"/>
      <c r="AP148" s="28"/>
      <c r="AQ148" s="28"/>
      <c r="AR148" s="28"/>
      <c r="AS148" s="28"/>
      <c r="AT148" s="28"/>
      <c r="AU148" s="28"/>
      <c r="AV148" s="28"/>
      <c r="AW148" s="28"/>
      <c r="AX148" s="28"/>
      <c r="AY148" s="24"/>
      <c r="AZ148" s="28"/>
      <c r="BA148" s="28"/>
      <c r="BB148" s="28"/>
      <c r="BC148" s="28"/>
      <c r="BD148" s="28"/>
      <c r="BE148" s="28"/>
      <c r="BF148" s="24"/>
      <c r="BG148" s="28"/>
      <c r="BH148" s="28"/>
      <c r="BI148" s="28"/>
      <c r="BJ148" s="24"/>
      <c r="BK148" s="28"/>
      <c r="BL148" s="28"/>
      <c r="BM148" s="28"/>
    </row>
    <row r="149" spans="1:65">
      <c r="A149" s="24"/>
      <c r="B149" s="28"/>
      <c r="C149" s="25"/>
      <c r="D149" s="26"/>
      <c r="E149" s="24"/>
      <c r="F149" s="24"/>
      <c r="G149" s="26"/>
      <c r="H149" s="26"/>
      <c r="I149" s="26"/>
      <c r="J149" s="26"/>
      <c r="K149" s="26"/>
      <c r="L149" s="26"/>
      <c r="M149" s="26"/>
      <c r="N149" s="26"/>
      <c r="O149" s="26"/>
      <c r="P149" s="26"/>
      <c r="R149" s="24"/>
      <c r="S149" s="26"/>
      <c r="T149" s="25"/>
      <c r="U149" s="24"/>
      <c r="V149" s="24"/>
      <c r="W149" s="24"/>
      <c r="X149" s="26"/>
      <c r="Y149" s="26"/>
      <c r="Z149" s="24"/>
      <c r="AA149" s="26"/>
      <c r="AB149" s="25"/>
      <c r="AC149" s="24"/>
      <c r="AD149" s="24"/>
      <c r="AE149" s="24"/>
      <c r="AF149" s="26"/>
      <c r="AG149" s="26"/>
      <c r="AH149" s="24"/>
      <c r="AI149" s="24"/>
      <c r="AJ149" s="24"/>
      <c r="AK149" s="28"/>
      <c r="AL149" s="28"/>
      <c r="AM149" s="28"/>
      <c r="AN149" s="28"/>
      <c r="AO149" s="28"/>
      <c r="AP149" s="28"/>
      <c r="AQ149" s="28"/>
      <c r="AR149" s="28"/>
      <c r="AS149" s="28"/>
      <c r="AT149" s="28"/>
      <c r="AU149" s="28"/>
      <c r="AV149" s="28"/>
      <c r="AW149" s="28"/>
      <c r="AX149" s="28"/>
      <c r="AY149" s="24"/>
      <c r="AZ149" s="28"/>
      <c r="BA149" s="28"/>
      <c r="BB149" s="28"/>
      <c r="BC149" s="28"/>
      <c r="BD149" s="28"/>
      <c r="BE149" s="28"/>
      <c r="BF149" s="24"/>
      <c r="BG149" s="28"/>
      <c r="BH149" s="28"/>
      <c r="BI149" s="28"/>
      <c r="BJ149" s="24"/>
      <c r="BK149" s="28"/>
      <c r="BL149" s="28"/>
      <c r="BM149" s="28"/>
    </row>
    <row r="150" spans="1:65">
      <c r="A150" s="24"/>
      <c r="B150" s="28"/>
      <c r="C150" s="25"/>
      <c r="D150" s="26"/>
      <c r="E150" s="24"/>
      <c r="F150" s="24"/>
      <c r="G150" s="26"/>
      <c r="H150" s="26"/>
      <c r="I150" s="26"/>
      <c r="J150" s="26"/>
      <c r="K150" s="26"/>
      <c r="L150" s="26"/>
      <c r="M150" s="26"/>
      <c r="N150" s="26"/>
      <c r="O150" s="26"/>
      <c r="P150" s="26"/>
      <c r="R150" s="24"/>
      <c r="S150" s="26"/>
      <c r="T150" s="25"/>
      <c r="U150" s="24"/>
      <c r="V150" s="24"/>
      <c r="W150" s="24"/>
      <c r="X150" s="26"/>
      <c r="Y150" s="26"/>
      <c r="Z150" s="24"/>
      <c r="AA150" s="26"/>
      <c r="AB150" s="25"/>
      <c r="AC150" s="24"/>
      <c r="AD150" s="24"/>
      <c r="AE150" s="24"/>
      <c r="AF150" s="26"/>
      <c r="AG150" s="26"/>
      <c r="AH150" s="24"/>
      <c r="AI150" s="24"/>
      <c r="AJ150" s="24"/>
      <c r="AK150" s="28"/>
      <c r="AL150" s="28"/>
      <c r="AM150" s="28"/>
      <c r="AN150" s="28"/>
      <c r="AO150" s="28"/>
      <c r="AP150" s="28"/>
      <c r="AQ150" s="28"/>
      <c r="AR150" s="28"/>
      <c r="AS150" s="28"/>
      <c r="AT150" s="28"/>
      <c r="AU150" s="28"/>
      <c r="AV150" s="28"/>
      <c r="AW150" s="28"/>
      <c r="AX150" s="28"/>
      <c r="AY150" s="24"/>
      <c r="AZ150" s="28"/>
      <c r="BA150" s="28"/>
      <c r="BB150" s="28"/>
      <c r="BC150" s="28"/>
      <c r="BD150" s="28"/>
      <c r="BE150" s="28"/>
      <c r="BF150" s="24"/>
      <c r="BG150" s="28"/>
      <c r="BH150" s="28"/>
      <c r="BI150" s="28"/>
      <c r="BJ150" s="24"/>
      <c r="BK150" s="28"/>
      <c r="BL150" s="28"/>
      <c r="BM150" s="28"/>
    </row>
    <row r="151" spans="1:65">
      <c r="A151" s="24"/>
      <c r="B151" s="28"/>
      <c r="C151" s="25"/>
      <c r="D151" s="26"/>
      <c r="E151" s="24"/>
      <c r="F151" s="24"/>
      <c r="G151" s="26"/>
      <c r="H151" s="26"/>
      <c r="I151" s="26"/>
      <c r="J151" s="26"/>
      <c r="K151" s="26"/>
      <c r="L151" s="26"/>
      <c r="M151" s="26"/>
      <c r="N151" s="26"/>
      <c r="O151" s="26"/>
      <c r="P151" s="26"/>
      <c r="R151" s="24"/>
      <c r="S151" s="26"/>
      <c r="T151" s="25"/>
      <c r="U151" s="24"/>
      <c r="V151" s="24"/>
      <c r="W151" s="24"/>
      <c r="X151" s="26"/>
      <c r="Y151" s="26"/>
      <c r="Z151" s="24"/>
      <c r="AA151" s="26"/>
      <c r="AB151" s="25"/>
      <c r="AC151" s="24"/>
      <c r="AD151" s="24"/>
      <c r="AE151" s="24"/>
      <c r="AF151" s="26"/>
      <c r="AG151" s="26"/>
      <c r="AH151" s="24"/>
      <c r="AI151" s="24"/>
      <c r="AJ151" s="24"/>
      <c r="AK151" s="28"/>
      <c r="AL151" s="28"/>
      <c r="AM151" s="28"/>
      <c r="AN151" s="28"/>
      <c r="AO151" s="28"/>
      <c r="AP151" s="28"/>
      <c r="AQ151" s="28"/>
      <c r="AR151" s="28"/>
      <c r="AS151" s="28"/>
      <c r="AT151" s="28"/>
      <c r="AU151" s="28"/>
      <c r="AV151" s="28"/>
      <c r="AW151" s="28"/>
      <c r="AX151" s="28"/>
      <c r="AY151" s="24"/>
      <c r="AZ151" s="28"/>
      <c r="BA151" s="28"/>
      <c r="BB151" s="28"/>
      <c r="BC151" s="28"/>
      <c r="BD151" s="28"/>
      <c r="BE151" s="28"/>
      <c r="BF151" s="24"/>
      <c r="BG151" s="28"/>
      <c r="BH151" s="28"/>
      <c r="BI151" s="28"/>
      <c r="BJ151" s="24"/>
      <c r="BK151" s="28"/>
      <c r="BL151" s="28"/>
      <c r="BM151" s="28"/>
    </row>
    <row r="152" spans="1:65">
      <c r="A152" s="24"/>
      <c r="B152" s="28"/>
      <c r="C152" s="25"/>
      <c r="D152" s="26"/>
      <c r="E152" s="24"/>
      <c r="F152" s="24"/>
      <c r="G152" s="26"/>
      <c r="H152" s="26"/>
      <c r="I152" s="26"/>
      <c r="J152" s="26"/>
      <c r="K152" s="26"/>
      <c r="L152" s="26"/>
      <c r="M152" s="26"/>
      <c r="N152" s="26"/>
      <c r="O152" s="26"/>
      <c r="P152" s="26"/>
      <c r="R152" s="24"/>
      <c r="S152" s="26"/>
      <c r="T152" s="25"/>
      <c r="U152" s="24"/>
      <c r="V152" s="24"/>
      <c r="W152" s="24"/>
      <c r="X152" s="26"/>
      <c r="Y152" s="26"/>
      <c r="Z152" s="24"/>
      <c r="AA152" s="26"/>
      <c r="AB152" s="25"/>
      <c r="AC152" s="24"/>
      <c r="AD152" s="24"/>
      <c r="AE152" s="24"/>
      <c r="AF152" s="26"/>
      <c r="AG152" s="26"/>
      <c r="AH152" s="24"/>
      <c r="AI152" s="24"/>
      <c r="AJ152" s="24"/>
      <c r="AK152" s="28"/>
      <c r="AL152" s="28"/>
      <c r="AM152" s="28"/>
      <c r="AN152" s="28"/>
      <c r="AO152" s="28"/>
      <c r="AP152" s="28"/>
      <c r="AQ152" s="28"/>
      <c r="AR152" s="28"/>
      <c r="AS152" s="28"/>
      <c r="AT152" s="28"/>
      <c r="AU152" s="28"/>
      <c r="AV152" s="28"/>
      <c r="AW152" s="28"/>
      <c r="AX152" s="28"/>
      <c r="AY152" s="24"/>
      <c r="AZ152" s="28"/>
      <c r="BA152" s="28"/>
      <c r="BB152" s="28"/>
      <c r="BC152" s="28"/>
      <c r="BD152" s="28"/>
      <c r="BE152" s="28"/>
      <c r="BF152" s="24"/>
      <c r="BG152" s="28"/>
      <c r="BH152" s="28"/>
      <c r="BI152" s="28"/>
      <c r="BJ152" s="24"/>
      <c r="BK152" s="28"/>
      <c r="BL152" s="28"/>
      <c r="BM152" s="28"/>
    </row>
    <row r="153" spans="1:65">
      <c r="A153" s="24"/>
      <c r="B153" s="28"/>
      <c r="C153" s="25"/>
      <c r="D153" s="26"/>
      <c r="E153" s="24"/>
      <c r="F153" s="24"/>
      <c r="G153" s="26"/>
      <c r="H153" s="26"/>
      <c r="I153" s="26"/>
      <c r="J153" s="26"/>
      <c r="K153" s="26"/>
      <c r="L153" s="26"/>
      <c r="M153" s="26"/>
      <c r="N153" s="26"/>
      <c r="O153" s="26"/>
      <c r="P153" s="26"/>
      <c r="R153" s="24"/>
      <c r="S153" s="26"/>
      <c r="T153" s="25"/>
      <c r="U153" s="24"/>
      <c r="V153" s="24"/>
      <c r="W153" s="24"/>
      <c r="X153" s="26"/>
      <c r="Y153" s="26"/>
      <c r="Z153" s="24"/>
      <c r="AA153" s="26"/>
      <c r="AB153" s="25"/>
      <c r="AC153" s="24"/>
      <c r="AD153" s="24"/>
      <c r="AE153" s="24"/>
      <c r="AF153" s="26"/>
      <c r="AG153" s="26"/>
      <c r="AH153" s="24"/>
      <c r="AI153" s="24"/>
      <c r="AJ153" s="24"/>
      <c r="AK153" s="28"/>
      <c r="AL153" s="28"/>
      <c r="AM153" s="28"/>
      <c r="AN153" s="28"/>
      <c r="AO153" s="28"/>
      <c r="AP153" s="28"/>
      <c r="AQ153" s="28"/>
      <c r="AR153" s="28"/>
      <c r="AS153" s="28"/>
      <c r="AT153" s="28"/>
      <c r="AU153" s="28"/>
      <c r="AV153" s="28"/>
      <c r="AW153" s="28"/>
      <c r="AX153" s="28"/>
      <c r="AY153" s="24"/>
      <c r="AZ153" s="28"/>
      <c r="BA153" s="28"/>
      <c r="BB153" s="28"/>
      <c r="BC153" s="28"/>
      <c r="BD153" s="28"/>
      <c r="BE153" s="28"/>
      <c r="BF153" s="24"/>
      <c r="BG153" s="28"/>
      <c r="BH153" s="28"/>
      <c r="BI153" s="28"/>
      <c r="BJ153" s="24"/>
      <c r="BK153" s="28"/>
      <c r="BL153" s="28"/>
      <c r="BM153" s="28"/>
    </row>
    <row r="154" spans="1:65">
      <c r="A154" s="24"/>
      <c r="B154" s="28"/>
      <c r="C154" s="25"/>
      <c r="D154" s="26"/>
      <c r="E154" s="24"/>
      <c r="F154" s="24"/>
      <c r="G154" s="26"/>
      <c r="H154" s="26"/>
      <c r="I154" s="26"/>
      <c r="J154" s="26"/>
      <c r="K154" s="26"/>
      <c r="L154" s="26"/>
      <c r="M154" s="26"/>
      <c r="N154" s="26"/>
      <c r="O154" s="26"/>
      <c r="P154" s="26"/>
      <c r="R154" s="24"/>
      <c r="S154" s="26"/>
      <c r="T154" s="25"/>
      <c r="U154" s="24"/>
      <c r="V154" s="24"/>
      <c r="W154" s="24"/>
      <c r="X154" s="26"/>
      <c r="Y154" s="26"/>
      <c r="Z154" s="24"/>
      <c r="AA154" s="26"/>
      <c r="AB154" s="25"/>
      <c r="AC154" s="24"/>
      <c r="AD154" s="24"/>
      <c r="AE154" s="24"/>
      <c r="AF154" s="26"/>
      <c r="AG154" s="26"/>
      <c r="AH154" s="24"/>
      <c r="AI154" s="24"/>
      <c r="AJ154" s="24"/>
      <c r="AK154" s="28"/>
      <c r="AL154" s="28"/>
      <c r="AM154" s="28"/>
      <c r="AN154" s="28"/>
      <c r="AO154" s="28"/>
      <c r="AP154" s="28"/>
      <c r="AQ154" s="28"/>
      <c r="AR154" s="28"/>
      <c r="AS154" s="28"/>
      <c r="AT154" s="28"/>
      <c r="AU154" s="28"/>
      <c r="AV154" s="28"/>
      <c r="AW154" s="28"/>
      <c r="AX154" s="28"/>
      <c r="AY154" s="24"/>
      <c r="AZ154" s="28"/>
      <c r="BA154" s="28"/>
      <c r="BB154" s="28"/>
      <c r="BC154" s="28"/>
      <c r="BD154" s="28"/>
      <c r="BE154" s="28"/>
      <c r="BF154" s="24"/>
      <c r="BG154" s="28"/>
      <c r="BH154" s="28"/>
      <c r="BI154" s="28"/>
      <c r="BJ154" s="24"/>
      <c r="BK154" s="28"/>
      <c r="BL154" s="28"/>
      <c r="BM154" s="28"/>
    </row>
    <row r="155" spans="1:65">
      <c r="A155" s="24"/>
      <c r="B155" s="28"/>
      <c r="C155" s="25"/>
      <c r="D155" s="26"/>
      <c r="E155" s="24"/>
      <c r="F155" s="24"/>
      <c r="G155" s="26"/>
      <c r="H155" s="26"/>
      <c r="I155" s="26"/>
      <c r="J155" s="26"/>
      <c r="K155" s="26"/>
      <c r="L155" s="26"/>
      <c r="M155" s="26"/>
      <c r="N155" s="26"/>
      <c r="O155" s="26"/>
      <c r="P155" s="26"/>
      <c r="R155" s="24"/>
      <c r="S155" s="26"/>
      <c r="T155" s="25"/>
      <c r="U155" s="24"/>
      <c r="V155" s="24"/>
      <c r="W155" s="24"/>
      <c r="X155" s="26"/>
      <c r="Y155" s="26"/>
      <c r="Z155" s="24"/>
      <c r="AA155" s="26"/>
      <c r="AB155" s="25"/>
      <c r="AC155" s="24"/>
      <c r="AD155" s="24"/>
      <c r="AE155" s="24"/>
      <c r="AF155" s="26"/>
      <c r="AG155" s="26"/>
      <c r="AH155" s="24"/>
      <c r="AI155" s="24"/>
      <c r="AJ155" s="24"/>
      <c r="AK155" s="28"/>
      <c r="AL155" s="28"/>
      <c r="AM155" s="28"/>
      <c r="AN155" s="28"/>
      <c r="AO155" s="28"/>
      <c r="AP155" s="28"/>
      <c r="AQ155" s="28"/>
      <c r="AR155" s="28"/>
      <c r="AS155" s="28"/>
      <c r="AT155" s="28"/>
      <c r="AU155" s="28"/>
      <c r="AV155" s="28"/>
      <c r="AW155" s="28"/>
      <c r="AX155" s="28"/>
      <c r="AY155" s="24"/>
      <c r="AZ155" s="28"/>
      <c r="BA155" s="28"/>
      <c r="BB155" s="28"/>
      <c r="BC155" s="28"/>
      <c r="BD155" s="28"/>
      <c r="BE155" s="28"/>
      <c r="BF155" s="24"/>
      <c r="BG155" s="28"/>
      <c r="BH155" s="28"/>
      <c r="BI155" s="28"/>
      <c r="BJ155" s="24"/>
      <c r="BK155" s="28"/>
      <c r="BL155" s="28"/>
      <c r="BM155" s="28"/>
    </row>
    <row r="156" spans="1:65">
      <c r="A156" s="24"/>
      <c r="B156" s="28"/>
      <c r="C156" s="25"/>
      <c r="D156" s="26"/>
      <c r="E156" s="24"/>
      <c r="F156" s="24"/>
      <c r="G156" s="26"/>
      <c r="H156" s="26"/>
      <c r="I156" s="26"/>
      <c r="J156" s="26"/>
      <c r="K156" s="26"/>
      <c r="L156" s="26"/>
      <c r="M156" s="26"/>
      <c r="N156" s="26"/>
      <c r="O156" s="26"/>
      <c r="P156" s="26"/>
      <c r="R156" s="24"/>
      <c r="S156" s="26"/>
      <c r="T156" s="25"/>
      <c r="U156" s="24"/>
      <c r="V156" s="24"/>
      <c r="W156" s="24"/>
      <c r="X156" s="26"/>
      <c r="Y156" s="26"/>
      <c r="Z156" s="24"/>
      <c r="AA156" s="26"/>
      <c r="AB156" s="25"/>
      <c r="AC156" s="24"/>
      <c r="AD156" s="24"/>
      <c r="AE156" s="24"/>
      <c r="AF156" s="26"/>
      <c r="AG156" s="26"/>
      <c r="AH156" s="24"/>
      <c r="AI156" s="24"/>
      <c r="AJ156" s="24"/>
      <c r="AK156" s="28"/>
      <c r="AL156" s="28"/>
      <c r="AM156" s="28"/>
      <c r="AN156" s="28"/>
      <c r="AO156" s="28"/>
      <c r="AP156" s="28"/>
      <c r="AQ156" s="28"/>
      <c r="AR156" s="28"/>
      <c r="AS156" s="28"/>
      <c r="AT156" s="28"/>
      <c r="AU156" s="28"/>
      <c r="AV156" s="28"/>
      <c r="AW156" s="28"/>
      <c r="AX156" s="28"/>
      <c r="AY156" s="24"/>
      <c r="AZ156" s="28"/>
      <c r="BA156" s="28"/>
      <c r="BB156" s="28"/>
      <c r="BC156" s="28"/>
      <c r="BD156" s="28"/>
      <c r="BE156" s="28"/>
      <c r="BF156" s="24"/>
      <c r="BG156" s="28"/>
      <c r="BH156" s="28"/>
      <c r="BI156" s="28"/>
      <c r="BJ156" s="24"/>
      <c r="BK156" s="28"/>
      <c r="BL156" s="28"/>
      <c r="BM156" s="28"/>
    </row>
    <row r="157" spans="1:65">
      <c r="A157" s="24"/>
      <c r="B157" s="28"/>
      <c r="C157" s="25"/>
      <c r="D157" s="26"/>
      <c r="E157" s="24"/>
      <c r="F157" s="24"/>
      <c r="G157" s="26"/>
      <c r="H157" s="26"/>
      <c r="I157" s="26"/>
      <c r="J157" s="26"/>
      <c r="K157" s="26"/>
      <c r="L157" s="26"/>
      <c r="M157" s="26"/>
      <c r="N157" s="26"/>
      <c r="O157" s="26"/>
      <c r="P157" s="26"/>
      <c r="R157" s="24"/>
      <c r="S157" s="26"/>
      <c r="T157" s="25"/>
      <c r="U157" s="24"/>
      <c r="V157" s="24"/>
      <c r="W157" s="24"/>
      <c r="X157" s="26"/>
      <c r="Y157" s="26"/>
      <c r="Z157" s="24"/>
      <c r="AA157" s="26"/>
      <c r="AB157" s="25"/>
      <c r="AC157" s="24"/>
      <c r="AD157" s="24"/>
      <c r="AE157" s="24"/>
      <c r="AF157" s="26"/>
      <c r="AG157" s="26"/>
      <c r="AH157" s="24"/>
      <c r="AI157" s="24"/>
      <c r="AJ157" s="24"/>
      <c r="AK157" s="28"/>
      <c r="AL157" s="28"/>
      <c r="AM157" s="28"/>
      <c r="AN157" s="28"/>
      <c r="AO157" s="28"/>
      <c r="AP157" s="28"/>
      <c r="AQ157" s="28"/>
      <c r="AR157" s="28"/>
      <c r="AS157" s="28"/>
      <c r="AT157" s="28"/>
      <c r="AU157" s="28"/>
      <c r="AV157" s="28"/>
      <c r="AW157" s="28"/>
      <c r="AX157" s="28"/>
      <c r="AY157" s="24"/>
      <c r="AZ157" s="28"/>
      <c r="BA157" s="28"/>
      <c r="BB157" s="28"/>
      <c r="BC157" s="28"/>
      <c r="BD157" s="28"/>
      <c r="BE157" s="28"/>
      <c r="BF157" s="24"/>
      <c r="BG157" s="28"/>
      <c r="BH157" s="28"/>
      <c r="BI157" s="28"/>
      <c r="BJ157" s="24"/>
      <c r="BK157" s="28"/>
      <c r="BL157" s="28"/>
      <c r="BM157" s="28"/>
    </row>
    <row r="158" spans="1:65">
      <c r="A158" s="24"/>
      <c r="B158" s="28"/>
      <c r="C158" s="25"/>
      <c r="D158" s="26"/>
      <c r="E158" s="24"/>
      <c r="F158" s="24"/>
      <c r="G158" s="26"/>
      <c r="H158" s="26"/>
      <c r="I158" s="26"/>
      <c r="J158" s="26"/>
      <c r="K158" s="26"/>
      <c r="L158" s="26"/>
      <c r="M158" s="26"/>
      <c r="N158" s="26"/>
      <c r="O158" s="26"/>
      <c r="P158" s="26"/>
      <c r="R158" s="24"/>
      <c r="S158" s="26"/>
      <c r="T158" s="25"/>
      <c r="U158" s="24"/>
      <c r="V158" s="24"/>
      <c r="W158" s="24"/>
      <c r="X158" s="26"/>
      <c r="Y158" s="26"/>
      <c r="Z158" s="24"/>
      <c r="AA158" s="26"/>
      <c r="AB158" s="25"/>
      <c r="AC158" s="24"/>
      <c r="AD158" s="24"/>
      <c r="AE158" s="24"/>
      <c r="AF158" s="26"/>
      <c r="AG158" s="26"/>
      <c r="AH158" s="24"/>
      <c r="AI158" s="24"/>
      <c r="AJ158" s="24"/>
      <c r="AK158" s="28"/>
      <c r="AL158" s="28"/>
      <c r="AM158" s="28"/>
      <c r="AN158" s="28"/>
      <c r="AO158" s="28"/>
      <c r="AP158" s="28"/>
      <c r="AQ158" s="28"/>
      <c r="AR158" s="28"/>
      <c r="AS158" s="28"/>
      <c r="AT158" s="28"/>
      <c r="AU158" s="28"/>
      <c r="AV158" s="28"/>
      <c r="AW158" s="28"/>
      <c r="AX158" s="28"/>
      <c r="AY158" s="24"/>
      <c r="AZ158" s="28"/>
      <c r="BA158" s="28"/>
      <c r="BB158" s="28"/>
      <c r="BC158" s="28"/>
      <c r="BD158" s="28"/>
      <c r="BE158" s="28"/>
      <c r="BF158" s="24"/>
      <c r="BG158" s="28"/>
      <c r="BH158" s="28"/>
      <c r="BI158" s="28"/>
      <c r="BJ158" s="24"/>
      <c r="BK158" s="28"/>
      <c r="BL158" s="28"/>
      <c r="BM158" s="28"/>
    </row>
    <row r="159" spans="1:65">
      <c r="A159" s="24"/>
      <c r="B159" s="28"/>
      <c r="C159" s="25"/>
      <c r="D159" s="26"/>
      <c r="E159" s="24"/>
      <c r="F159" s="24"/>
      <c r="G159" s="26"/>
      <c r="H159" s="26"/>
      <c r="I159" s="26"/>
      <c r="J159" s="26"/>
      <c r="K159" s="26"/>
      <c r="L159" s="26"/>
      <c r="M159" s="26"/>
      <c r="N159" s="26"/>
      <c r="O159" s="26"/>
      <c r="P159" s="26"/>
      <c r="R159" s="24"/>
      <c r="S159" s="26"/>
      <c r="T159" s="25"/>
      <c r="U159" s="24"/>
      <c r="V159" s="24"/>
      <c r="W159" s="24"/>
      <c r="X159" s="26"/>
      <c r="Y159" s="26"/>
      <c r="Z159" s="24"/>
      <c r="AA159" s="26"/>
      <c r="AB159" s="25"/>
      <c r="AC159" s="24"/>
      <c r="AD159" s="24"/>
      <c r="AE159" s="24"/>
      <c r="AF159" s="26"/>
      <c r="AG159" s="26"/>
      <c r="AH159" s="24"/>
      <c r="AI159" s="24"/>
      <c r="AJ159" s="24"/>
      <c r="AK159" s="28"/>
      <c r="AL159" s="28"/>
      <c r="AM159" s="28"/>
      <c r="AN159" s="28"/>
      <c r="AO159" s="28"/>
      <c r="AP159" s="28"/>
      <c r="AQ159" s="28"/>
      <c r="AR159" s="28"/>
      <c r="AS159" s="28"/>
      <c r="AT159" s="28"/>
      <c r="AU159" s="28"/>
      <c r="AV159" s="28"/>
      <c r="AW159" s="28"/>
      <c r="AX159" s="28"/>
      <c r="AY159" s="24"/>
      <c r="AZ159" s="28"/>
      <c r="BA159" s="28"/>
      <c r="BB159" s="28"/>
      <c r="BC159" s="28"/>
      <c r="BD159" s="28"/>
      <c r="BE159" s="28"/>
      <c r="BF159" s="24"/>
      <c r="BG159" s="28"/>
      <c r="BH159" s="28"/>
      <c r="BI159" s="28"/>
      <c r="BJ159" s="24"/>
      <c r="BK159" s="28"/>
      <c r="BL159" s="28"/>
      <c r="BM159" s="28"/>
    </row>
    <row r="160" spans="1:65">
      <c r="A160" s="24"/>
      <c r="B160" s="28"/>
      <c r="C160" s="25"/>
      <c r="D160" s="26"/>
      <c r="E160" s="24"/>
      <c r="F160" s="24"/>
      <c r="G160" s="26"/>
      <c r="H160" s="26"/>
      <c r="I160" s="26"/>
      <c r="J160" s="26"/>
      <c r="K160" s="26"/>
      <c r="L160" s="26"/>
      <c r="M160" s="26"/>
      <c r="N160" s="26"/>
      <c r="O160" s="26"/>
      <c r="P160" s="26"/>
      <c r="R160" s="24"/>
      <c r="S160" s="26"/>
      <c r="T160" s="25"/>
      <c r="U160" s="24"/>
      <c r="V160" s="24"/>
      <c r="W160" s="24"/>
      <c r="X160" s="26"/>
      <c r="Y160" s="26"/>
      <c r="Z160" s="24"/>
      <c r="AA160" s="26"/>
      <c r="AB160" s="25"/>
      <c r="AC160" s="24"/>
      <c r="AD160" s="24"/>
      <c r="AE160" s="24"/>
      <c r="AF160" s="26"/>
      <c r="AG160" s="26"/>
      <c r="AH160" s="24"/>
      <c r="AI160" s="24"/>
      <c r="AJ160" s="24"/>
      <c r="AK160" s="28"/>
      <c r="AL160" s="28"/>
      <c r="AM160" s="28"/>
      <c r="AN160" s="28"/>
      <c r="AO160" s="28"/>
      <c r="AP160" s="28"/>
      <c r="AQ160" s="28"/>
      <c r="AR160" s="28"/>
      <c r="AS160" s="28"/>
      <c r="AT160" s="28"/>
      <c r="AU160" s="28"/>
      <c r="AV160" s="28"/>
      <c r="AW160" s="28"/>
      <c r="AX160" s="28"/>
      <c r="AY160" s="24"/>
      <c r="AZ160" s="28"/>
      <c r="BA160" s="28"/>
      <c r="BB160" s="28"/>
      <c r="BC160" s="28"/>
      <c r="BD160" s="28"/>
      <c r="BE160" s="28"/>
      <c r="BF160" s="24"/>
      <c r="BG160" s="28"/>
      <c r="BH160" s="28"/>
      <c r="BI160" s="28"/>
      <c r="BJ160" s="24"/>
      <c r="BK160" s="28"/>
      <c r="BL160" s="28"/>
      <c r="BM160" s="28"/>
    </row>
    <row r="161" spans="1:65">
      <c r="A161" s="24"/>
      <c r="B161" s="28"/>
      <c r="C161" s="25"/>
      <c r="D161" s="26"/>
      <c r="E161" s="24"/>
      <c r="F161" s="24"/>
      <c r="G161" s="26"/>
      <c r="H161" s="26"/>
      <c r="I161" s="26"/>
      <c r="J161" s="26"/>
      <c r="K161" s="26"/>
      <c r="L161" s="26"/>
      <c r="M161" s="26"/>
      <c r="N161" s="26"/>
      <c r="O161" s="26"/>
      <c r="P161" s="26"/>
      <c r="R161" s="24"/>
      <c r="S161" s="26"/>
      <c r="T161" s="25"/>
      <c r="U161" s="24"/>
      <c r="V161" s="24"/>
      <c r="W161" s="24"/>
      <c r="X161" s="26"/>
      <c r="Y161" s="26"/>
      <c r="Z161" s="24"/>
      <c r="AA161" s="26"/>
      <c r="AB161" s="25"/>
      <c r="AC161" s="24"/>
      <c r="AD161" s="24"/>
      <c r="AE161" s="24"/>
      <c r="AF161" s="26"/>
      <c r="AG161" s="26"/>
      <c r="AH161" s="24"/>
      <c r="AI161" s="24"/>
      <c r="AJ161" s="24"/>
      <c r="AK161" s="28"/>
      <c r="AL161" s="28"/>
      <c r="AM161" s="28"/>
      <c r="AN161" s="28"/>
      <c r="AO161" s="28"/>
      <c r="AP161" s="28"/>
      <c r="AQ161" s="28"/>
      <c r="AR161" s="28"/>
      <c r="AS161" s="28"/>
      <c r="AT161" s="28"/>
      <c r="AU161" s="28"/>
      <c r="AV161" s="28"/>
      <c r="AW161" s="28"/>
      <c r="AX161" s="28"/>
      <c r="AY161" s="24"/>
      <c r="AZ161" s="28"/>
      <c r="BA161" s="28"/>
      <c r="BB161" s="28"/>
      <c r="BC161" s="28"/>
      <c r="BD161" s="28"/>
      <c r="BE161" s="28"/>
      <c r="BF161" s="24"/>
      <c r="BG161" s="28"/>
      <c r="BH161" s="28"/>
      <c r="BI161" s="28"/>
      <c r="BJ161" s="24"/>
      <c r="BK161" s="28"/>
      <c r="BL161" s="28"/>
      <c r="BM161" s="28"/>
    </row>
    <row r="162" spans="1:65">
      <c r="A162" s="24"/>
      <c r="B162" s="28"/>
      <c r="C162" s="25"/>
      <c r="D162" s="26"/>
      <c r="E162" s="24"/>
      <c r="F162" s="24"/>
      <c r="G162" s="26"/>
      <c r="H162" s="26"/>
      <c r="I162" s="26"/>
      <c r="J162" s="26"/>
      <c r="K162" s="26"/>
      <c r="L162" s="26"/>
      <c r="M162" s="26"/>
      <c r="N162" s="26"/>
      <c r="O162" s="26"/>
      <c r="P162" s="26"/>
      <c r="R162" s="24"/>
      <c r="S162" s="26"/>
      <c r="T162" s="25"/>
      <c r="U162" s="24"/>
      <c r="V162" s="24"/>
      <c r="W162" s="24"/>
      <c r="X162" s="26"/>
      <c r="Y162" s="26"/>
      <c r="Z162" s="24"/>
      <c r="AA162" s="26"/>
      <c r="AB162" s="25"/>
      <c r="AC162" s="24"/>
      <c r="AD162" s="24"/>
      <c r="AE162" s="24"/>
      <c r="AF162" s="26"/>
      <c r="AG162" s="26"/>
      <c r="AH162" s="24"/>
      <c r="AI162" s="24"/>
      <c r="AJ162" s="24"/>
      <c r="AK162" s="28"/>
      <c r="AL162" s="28"/>
      <c r="AM162" s="28"/>
      <c r="AN162" s="28"/>
      <c r="AO162" s="28"/>
      <c r="AP162" s="28"/>
      <c r="AQ162" s="28"/>
      <c r="AR162" s="28"/>
      <c r="AS162" s="28"/>
      <c r="AT162" s="28"/>
      <c r="AU162" s="28"/>
      <c r="AV162" s="28"/>
      <c r="AW162" s="28"/>
      <c r="AX162" s="28"/>
      <c r="AY162" s="24"/>
      <c r="AZ162" s="28"/>
      <c r="BA162" s="28"/>
      <c r="BB162" s="28"/>
      <c r="BC162" s="28"/>
      <c r="BD162" s="28"/>
      <c r="BE162" s="28"/>
      <c r="BF162" s="24"/>
      <c r="BG162" s="28"/>
      <c r="BH162" s="28"/>
      <c r="BI162" s="28"/>
      <c r="BJ162" s="24"/>
      <c r="BK162" s="28"/>
      <c r="BL162" s="28"/>
      <c r="BM162" s="28"/>
    </row>
    <row r="163" spans="1:65">
      <c r="A163" s="24"/>
      <c r="B163" s="28"/>
      <c r="C163" s="25"/>
      <c r="D163" s="26"/>
      <c r="E163" s="24"/>
      <c r="F163" s="24"/>
      <c r="G163" s="26"/>
      <c r="H163" s="26"/>
      <c r="I163" s="26"/>
      <c r="J163" s="26"/>
      <c r="K163" s="26"/>
      <c r="L163" s="26"/>
      <c r="M163" s="26"/>
      <c r="N163" s="26"/>
      <c r="O163" s="26"/>
      <c r="P163" s="26"/>
      <c r="R163" s="24"/>
      <c r="S163" s="26"/>
      <c r="T163" s="25"/>
      <c r="U163" s="24"/>
      <c r="V163" s="24"/>
      <c r="W163" s="24"/>
      <c r="X163" s="26"/>
      <c r="Y163" s="26"/>
      <c r="Z163" s="24"/>
      <c r="AA163" s="26"/>
      <c r="AB163" s="25"/>
      <c r="AC163" s="24"/>
      <c r="AD163" s="24"/>
      <c r="AE163" s="24"/>
      <c r="AF163" s="26"/>
      <c r="AG163" s="26"/>
      <c r="AH163" s="24"/>
      <c r="AI163" s="24"/>
      <c r="AJ163" s="24"/>
      <c r="AK163" s="28"/>
      <c r="AL163" s="28"/>
      <c r="AM163" s="28"/>
      <c r="AN163" s="28"/>
      <c r="AO163" s="28"/>
      <c r="AP163" s="28"/>
      <c r="AQ163" s="28"/>
      <c r="AR163" s="28"/>
      <c r="AS163" s="28"/>
      <c r="AT163" s="28"/>
      <c r="AU163" s="28"/>
      <c r="AV163" s="28"/>
      <c r="AW163" s="28"/>
      <c r="AX163" s="28"/>
      <c r="AY163" s="24"/>
      <c r="AZ163" s="28"/>
      <c r="BA163" s="28"/>
      <c r="BB163" s="28"/>
      <c r="BC163" s="28"/>
      <c r="BD163" s="28"/>
      <c r="BE163" s="28"/>
      <c r="BF163" s="24"/>
      <c r="BG163" s="28"/>
      <c r="BH163" s="28"/>
      <c r="BI163" s="28"/>
      <c r="BJ163" s="24"/>
      <c r="BK163" s="28"/>
      <c r="BL163" s="28"/>
      <c r="BM163" s="28"/>
    </row>
    <row r="164" spans="1:65">
      <c r="A164" s="24"/>
      <c r="B164" s="28"/>
      <c r="C164" s="25"/>
      <c r="D164" s="26"/>
      <c r="E164" s="24"/>
      <c r="F164" s="24"/>
      <c r="G164" s="26"/>
      <c r="H164" s="26"/>
      <c r="I164" s="26"/>
      <c r="J164" s="26"/>
      <c r="K164" s="26"/>
      <c r="L164" s="26"/>
      <c r="M164" s="26"/>
      <c r="N164" s="26"/>
      <c r="O164" s="26"/>
      <c r="P164" s="26"/>
      <c r="R164" s="24"/>
      <c r="S164" s="26"/>
      <c r="T164" s="25"/>
      <c r="U164" s="24"/>
      <c r="V164" s="24"/>
      <c r="W164" s="24"/>
      <c r="X164" s="26"/>
      <c r="Y164" s="26"/>
      <c r="Z164" s="24"/>
      <c r="AA164" s="26"/>
      <c r="AB164" s="25"/>
      <c r="AC164" s="24"/>
      <c r="AD164" s="24"/>
      <c r="AE164" s="24"/>
      <c r="AF164" s="26"/>
      <c r="AG164" s="26"/>
      <c r="AH164" s="24"/>
      <c r="AI164" s="24"/>
      <c r="AJ164" s="24"/>
      <c r="AK164" s="28"/>
      <c r="AL164" s="28"/>
      <c r="AM164" s="28"/>
      <c r="AN164" s="28"/>
      <c r="AO164" s="28"/>
      <c r="AP164" s="28"/>
      <c r="AQ164" s="28"/>
      <c r="AR164" s="28"/>
      <c r="AS164" s="28"/>
      <c r="AT164" s="28"/>
      <c r="AU164" s="28"/>
      <c r="AV164" s="28"/>
      <c r="AW164" s="28"/>
      <c r="AX164" s="28"/>
      <c r="AY164" s="24"/>
      <c r="AZ164" s="28"/>
      <c r="BA164" s="28"/>
      <c r="BB164" s="28"/>
      <c r="BC164" s="28"/>
      <c r="BD164" s="28"/>
      <c r="BE164" s="28"/>
      <c r="BF164" s="24"/>
      <c r="BG164" s="28"/>
      <c r="BH164" s="28"/>
      <c r="BI164" s="28"/>
      <c r="BJ164" s="24"/>
      <c r="BK164" s="28"/>
      <c r="BL164" s="28"/>
      <c r="BM164" s="28"/>
    </row>
    <row r="165" spans="1:65">
      <c r="A165" s="24"/>
      <c r="B165" s="28"/>
      <c r="C165" s="25"/>
      <c r="D165" s="26"/>
      <c r="E165" s="24"/>
      <c r="F165" s="24"/>
      <c r="G165" s="26"/>
      <c r="H165" s="26"/>
      <c r="I165" s="26"/>
      <c r="J165" s="26"/>
      <c r="K165" s="26"/>
      <c r="L165" s="26"/>
      <c r="M165" s="26"/>
      <c r="N165" s="26"/>
      <c r="O165" s="26"/>
      <c r="P165" s="26"/>
      <c r="R165" s="24"/>
      <c r="S165" s="26"/>
      <c r="T165" s="25"/>
      <c r="U165" s="24"/>
      <c r="V165" s="24"/>
      <c r="W165" s="24"/>
      <c r="X165" s="26"/>
      <c r="Y165" s="26"/>
      <c r="Z165" s="24"/>
      <c r="AA165" s="26"/>
      <c r="AB165" s="25"/>
      <c r="AC165" s="24"/>
      <c r="AD165" s="24"/>
      <c r="AE165" s="24"/>
      <c r="AF165" s="26"/>
      <c r="AG165" s="26"/>
      <c r="AH165" s="24"/>
      <c r="AI165" s="24"/>
      <c r="AJ165" s="24"/>
      <c r="AK165" s="28"/>
      <c r="AL165" s="28"/>
      <c r="AM165" s="28"/>
      <c r="AN165" s="28"/>
      <c r="AO165" s="28"/>
      <c r="AP165" s="28"/>
      <c r="AQ165" s="28"/>
      <c r="AR165" s="28"/>
      <c r="AS165" s="28"/>
      <c r="AT165" s="28"/>
      <c r="AU165" s="28"/>
      <c r="AV165" s="28"/>
      <c r="AW165" s="28"/>
      <c r="AX165" s="28"/>
      <c r="AY165" s="24"/>
      <c r="AZ165" s="28"/>
      <c r="BA165" s="28"/>
      <c r="BB165" s="28"/>
      <c r="BC165" s="28"/>
      <c r="BD165" s="28"/>
      <c r="BE165" s="28"/>
      <c r="BF165" s="24"/>
      <c r="BG165" s="28"/>
      <c r="BH165" s="28"/>
      <c r="BI165" s="28"/>
      <c r="BJ165" s="24"/>
      <c r="BK165" s="28"/>
      <c r="BL165" s="28"/>
      <c r="BM165" s="28"/>
    </row>
    <row r="166" spans="1:65">
      <c r="A166" s="24"/>
      <c r="B166" s="28"/>
      <c r="C166" s="25"/>
      <c r="D166" s="26"/>
      <c r="E166" s="24"/>
      <c r="F166" s="24"/>
      <c r="G166" s="26"/>
      <c r="H166" s="26"/>
      <c r="I166" s="26"/>
      <c r="J166" s="26"/>
      <c r="K166" s="26"/>
      <c r="L166" s="26"/>
      <c r="M166" s="26"/>
      <c r="N166" s="26"/>
      <c r="O166" s="26"/>
      <c r="P166" s="26"/>
      <c r="R166" s="24"/>
      <c r="S166" s="26"/>
      <c r="T166" s="25"/>
      <c r="U166" s="24"/>
      <c r="V166" s="24"/>
      <c r="W166" s="24"/>
      <c r="X166" s="26"/>
      <c r="Y166" s="26"/>
      <c r="Z166" s="24"/>
      <c r="AA166" s="26"/>
      <c r="AB166" s="25"/>
      <c r="AC166" s="24"/>
      <c r="AD166" s="24"/>
      <c r="AE166" s="24"/>
      <c r="AF166" s="26"/>
      <c r="AG166" s="26"/>
      <c r="AH166" s="24"/>
      <c r="AI166" s="24"/>
      <c r="AJ166" s="24"/>
      <c r="AK166" s="28"/>
      <c r="AL166" s="28"/>
      <c r="AM166" s="28"/>
      <c r="AN166" s="28"/>
      <c r="AO166" s="28"/>
      <c r="AP166" s="28"/>
      <c r="AQ166" s="28"/>
      <c r="AR166" s="28"/>
      <c r="AS166" s="28"/>
      <c r="AT166" s="28"/>
      <c r="AU166" s="28"/>
      <c r="AV166" s="28"/>
      <c r="AW166" s="28"/>
      <c r="AX166" s="28"/>
      <c r="AY166" s="24"/>
      <c r="AZ166" s="28"/>
      <c r="BA166" s="28"/>
      <c r="BB166" s="28"/>
      <c r="BC166" s="28"/>
      <c r="BD166" s="28"/>
      <c r="BE166" s="28"/>
      <c r="BF166" s="24"/>
      <c r="BG166" s="28"/>
      <c r="BH166" s="28"/>
      <c r="BI166" s="28"/>
      <c r="BJ166" s="24"/>
      <c r="BK166" s="28"/>
      <c r="BL166" s="28"/>
      <c r="BM166" s="28"/>
    </row>
    <row r="167" spans="1:65">
      <c r="A167" s="24"/>
      <c r="B167" s="28"/>
      <c r="C167" s="25"/>
      <c r="D167" s="26"/>
      <c r="E167" s="24"/>
      <c r="F167" s="24"/>
      <c r="G167" s="26"/>
      <c r="H167" s="26"/>
      <c r="I167" s="26"/>
      <c r="J167" s="26"/>
      <c r="K167" s="26"/>
      <c r="L167" s="26"/>
      <c r="M167" s="26"/>
      <c r="N167" s="26"/>
      <c r="O167" s="26"/>
      <c r="P167" s="26"/>
      <c r="R167" s="24"/>
      <c r="S167" s="26"/>
      <c r="T167" s="25"/>
      <c r="U167" s="24"/>
      <c r="V167" s="24"/>
      <c r="W167" s="24"/>
      <c r="X167" s="26"/>
      <c r="Y167" s="26"/>
      <c r="Z167" s="24"/>
      <c r="AA167" s="26"/>
      <c r="AB167" s="25"/>
      <c r="AC167" s="24"/>
      <c r="AD167" s="24"/>
      <c r="AE167" s="24"/>
      <c r="AF167" s="26"/>
      <c r="AG167" s="26"/>
      <c r="AH167" s="24"/>
      <c r="AI167" s="24"/>
      <c r="AJ167" s="24"/>
      <c r="AK167" s="28"/>
      <c r="AL167" s="28"/>
      <c r="AM167" s="28"/>
      <c r="AN167" s="28"/>
      <c r="AO167" s="28"/>
      <c r="AP167" s="28"/>
      <c r="AQ167" s="28"/>
      <c r="AR167" s="28"/>
      <c r="AS167" s="28"/>
      <c r="AT167" s="28"/>
      <c r="AU167" s="28"/>
      <c r="AV167" s="28"/>
      <c r="AW167" s="28"/>
      <c r="AX167" s="28"/>
      <c r="AY167" s="24"/>
      <c r="AZ167" s="28"/>
      <c r="BA167" s="28"/>
      <c r="BB167" s="28"/>
      <c r="BC167" s="28"/>
      <c r="BD167" s="28"/>
      <c r="BE167" s="28"/>
      <c r="BF167" s="24"/>
      <c r="BG167" s="28"/>
      <c r="BH167" s="28"/>
      <c r="BI167" s="28"/>
      <c r="BJ167" s="24"/>
      <c r="BK167" s="28"/>
      <c r="BL167" s="28"/>
      <c r="BM167" s="28"/>
    </row>
    <row r="168" spans="1:65">
      <c r="A168" s="24"/>
      <c r="B168" s="28"/>
      <c r="C168" s="25"/>
      <c r="D168" s="26"/>
      <c r="E168" s="24"/>
      <c r="F168" s="24"/>
      <c r="G168" s="26"/>
      <c r="H168" s="26"/>
      <c r="I168" s="26"/>
      <c r="J168" s="26"/>
      <c r="K168" s="26"/>
      <c r="L168" s="26"/>
      <c r="M168" s="26"/>
      <c r="N168" s="26"/>
      <c r="O168" s="26"/>
      <c r="P168" s="26"/>
      <c r="R168" s="24"/>
      <c r="S168" s="26"/>
      <c r="T168" s="25"/>
      <c r="U168" s="24"/>
      <c r="V168" s="24"/>
      <c r="W168" s="24"/>
      <c r="X168" s="26"/>
      <c r="Y168" s="26"/>
      <c r="Z168" s="24"/>
      <c r="AA168" s="26"/>
      <c r="AB168" s="25"/>
      <c r="AC168" s="24"/>
      <c r="AD168" s="24"/>
      <c r="AE168" s="24"/>
      <c r="AF168" s="26"/>
      <c r="AG168" s="26"/>
      <c r="AH168" s="24"/>
      <c r="AI168" s="24"/>
      <c r="AJ168" s="24"/>
      <c r="AK168" s="28"/>
      <c r="AL168" s="28"/>
      <c r="AM168" s="28"/>
      <c r="AN168" s="28"/>
      <c r="AO168" s="28"/>
      <c r="AP168" s="28"/>
      <c r="AQ168" s="28"/>
      <c r="AR168" s="28"/>
      <c r="AS168" s="28"/>
      <c r="AT168" s="28"/>
      <c r="AU168" s="28"/>
      <c r="AV168" s="28"/>
      <c r="AW168" s="28"/>
      <c r="AX168" s="28"/>
      <c r="AY168" s="24"/>
      <c r="AZ168" s="28"/>
      <c r="BA168" s="28"/>
      <c r="BB168" s="28"/>
      <c r="BC168" s="28"/>
      <c r="BD168" s="28"/>
      <c r="BE168" s="28"/>
      <c r="BF168" s="24"/>
      <c r="BG168" s="28"/>
      <c r="BH168" s="28"/>
      <c r="BI168" s="28"/>
      <c r="BJ168" s="24"/>
      <c r="BK168" s="28"/>
      <c r="BL168" s="28"/>
      <c r="BM168" s="28"/>
    </row>
    <row r="169" spans="1:65">
      <c r="A169" s="24"/>
      <c r="B169" s="28"/>
      <c r="C169" s="25"/>
      <c r="D169" s="26"/>
      <c r="E169" s="24"/>
      <c r="F169" s="24"/>
      <c r="G169" s="26"/>
      <c r="H169" s="26"/>
      <c r="I169" s="26"/>
      <c r="J169" s="26"/>
      <c r="K169" s="26"/>
      <c r="L169" s="26"/>
      <c r="M169" s="26"/>
      <c r="N169" s="26"/>
      <c r="O169" s="26"/>
      <c r="P169" s="26"/>
      <c r="R169" s="24"/>
      <c r="S169" s="26"/>
      <c r="T169" s="25"/>
      <c r="U169" s="24"/>
      <c r="V169" s="24"/>
      <c r="W169" s="24"/>
      <c r="X169" s="26"/>
      <c r="Y169" s="26"/>
      <c r="Z169" s="24"/>
      <c r="AA169" s="26"/>
      <c r="AB169" s="25"/>
      <c r="AC169" s="24"/>
      <c r="AD169" s="24"/>
      <c r="AE169" s="24"/>
      <c r="AF169" s="26"/>
      <c r="AG169" s="26"/>
      <c r="AH169" s="24"/>
      <c r="AI169" s="24"/>
      <c r="AJ169" s="24"/>
      <c r="AK169" s="28"/>
      <c r="AL169" s="28"/>
      <c r="AM169" s="28"/>
      <c r="AN169" s="28"/>
      <c r="AO169" s="28"/>
      <c r="AP169" s="28"/>
      <c r="AQ169" s="28"/>
      <c r="AR169" s="28"/>
      <c r="AS169" s="28"/>
      <c r="AT169" s="28"/>
      <c r="AU169" s="28"/>
      <c r="AV169" s="28"/>
      <c r="AW169" s="28"/>
      <c r="AX169" s="28"/>
      <c r="AY169" s="24"/>
      <c r="AZ169" s="28"/>
      <c r="BA169" s="28"/>
      <c r="BB169" s="28"/>
      <c r="BC169" s="28"/>
      <c r="BD169" s="28"/>
      <c r="BE169" s="28"/>
      <c r="BF169" s="24"/>
      <c r="BG169" s="28"/>
      <c r="BH169" s="28"/>
      <c r="BI169" s="28"/>
      <c r="BJ169" s="24"/>
      <c r="BK169" s="28"/>
      <c r="BL169" s="28"/>
      <c r="BM169" s="28"/>
    </row>
    <row r="170" spans="1:65">
      <c r="A170" s="24"/>
      <c r="B170" s="28"/>
      <c r="C170" s="25"/>
      <c r="D170" s="26"/>
      <c r="E170" s="24"/>
      <c r="F170" s="24"/>
      <c r="G170" s="26"/>
      <c r="H170" s="26"/>
      <c r="I170" s="26"/>
      <c r="J170" s="26"/>
      <c r="K170" s="26"/>
      <c r="L170" s="26"/>
      <c r="M170" s="26"/>
      <c r="N170" s="26"/>
      <c r="O170" s="26"/>
      <c r="P170" s="26"/>
      <c r="R170" s="24"/>
      <c r="S170" s="26"/>
      <c r="T170" s="25"/>
      <c r="U170" s="24"/>
      <c r="V170" s="24"/>
      <c r="W170" s="24"/>
      <c r="X170" s="26"/>
      <c r="Y170" s="26"/>
      <c r="Z170" s="24"/>
      <c r="AA170" s="26"/>
      <c r="AB170" s="25"/>
      <c r="AC170" s="24"/>
      <c r="AD170" s="24"/>
      <c r="AE170" s="24"/>
      <c r="AF170" s="26"/>
      <c r="AG170" s="26"/>
      <c r="AH170" s="24"/>
      <c r="AI170" s="24"/>
      <c r="AJ170" s="24"/>
      <c r="AK170" s="28"/>
      <c r="AL170" s="28"/>
      <c r="AM170" s="28"/>
      <c r="AN170" s="28"/>
      <c r="AO170" s="28"/>
      <c r="AP170" s="28"/>
      <c r="AQ170" s="28"/>
      <c r="AR170" s="28"/>
      <c r="AS170" s="28"/>
      <c r="AT170" s="28"/>
      <c r="AU170" s="28"/>
      <c r="AV170" s="28"/>
      <c r="AW170" s="28"/>
      <c r="AX170" s="28"/>
      <c r="AY170" s="24"/>
      <c r="AZ170" s="28"/>
      <c r="BA170" s="28"/>
      <c r="BB170" s="28"/>
      <c r="BC170" s="28"/>
      <c r="BD170" s="28"/>
      <c r="BE170" s="28"/>
      <c r="BF170" s="24"/>
      <c r="BG170" s="28"/>
      <c r="BH170" s="28"/>
      <c r="BI170" s="28"/>
      <c r="BJ170" s="24"/>
      <c r="BK170" s="28"/>
      <c r="BL170" s="28"/>
      <c r="BM170" s="28"/>
    </row>
    <row r="171" spans="1:65">
      <c r="A171" s="24"/>
      <c r="B171" s="28"/>
      <c r="C171" s="25"/>
      <c r="D171" s="26"/>
      <c r="E171" s="24"/>
      <c r="F171" s="24"/>
      <c r="G171" s="26"/>
      <c r="H171" s="26"/>
      <c r="I171" s="26"/>
      <c r="J171" s="26"/>
      <c r="K171" s="26"/>
      <c r="L171" s="26"/>
      <c r="M171" s="26"/>
      <c r="N171" s="26"/>
      <c r="O171" s="26"/>
      <c r="P171" s="26"/>
      <c r="R171" s="24"/>
      <c r="S171" s="26"/>
      <c r="T171" s="25"/>
      <c r="U171" s="24"/>
      <c r="V171" s="24"/>
      <c r="W171" s="24"/>
      <c r="X171" s="26"/>
      <c r="Y171" s="26"/>
      <c r="Z171" s="24"/>
      <c r="AA171" s="26"/>
      <c r="AB171" s="25"/>
      <c r="AC171" s="24"/>
      <c r="AD171" s="24"/>
      <c r="AE171" s="24"/>
      <c r="AF171" s="26"/>
      <c r="AG171" s="26"/>
      <c r="AH171" s="24"/>
      <c r="AI171" s="24"/>
      <c r="AJ171" s="24"/>
      <c r="AK171" s="28"/>
      <c r="AL171" s="28"/>
      <c r="AM171" s="28"/>
      <c r="AN171" s="28"/>
      <c r="AO171" s="28"/>
      <c r="AP171" s="28"/>
      <c r="AQ171" s="28"/>
      <c r="AR171" s="28"/>
      <c r="AS171" s="28"/>
      <c r="AT171" s="28"/>
      <c r="AU171" s="28"/>
      <c r="AV171" s="28"/>
      <c r="AW171" s="28"/>
      <c r="AX171" s="28"/>
      <c r="AY171" s="24"/>
      <c r="AZ171" s="28"/>
      <c r="BA171" s="28"/>
      <c r="BB171" s="28"/>
      <c r="BC171" s="28"/>
      <c r="BD171" s="28"/>
      <c r="BE171" s="28"/>
      <c r="BF171" s="24"/>
      <c r="BG171" s="28"/>
      <c r="BH171" s="28"/>
      <c r="BI171" s="28"/>
      <c r="BJ171" s="24"/>
      <c r="BK171" s="28"/>
      <c r="BL171" s="28"/>
      <c r="BM171" s="28"/>
    </row>
    <row r="172" spans="1:65">
      <c r="A172" s="24"/>
      <c r="B172" s="28"/>
      <c r="C172" s="25"/>
      <c r="D172" s="26"/>
      <c r="E172" s="24"/>
      <c r="F172" s="24"/>
      <c r="G172" s="26"/>
      <c r="H172" s="26"/>
      <c r="I172" s="26"/>
      <c r="J172" s="26"/>
      <c r="K172" s="26"/>
      <c r="L172" s="26"/>
      <c r="M172" s="26"/>
      <c r="N172" s="26"/>
      <c r="O172" s="26"/>
      <c r="P172" s="26"/>
      <c r="R172" s="24"/>
      <c r="S172" s="26"/>
      <c r="T172" s="25"/>
      <c r="U172" s="24"/>
      <c r="V172" s="24"/>
      <c r="W172" s="24"/>
      <c r="X172" s="26"/>
      <c r="Y172" s="26"/>
      <c r="Z172" s="24"/>
      <c r="AA172" s="26"/>
      <c r="AB172" s="25"/>
      <c r="AC172" s="24"/>
      <c r="AD172" s="24"/>
      <c r="AE172" s="24"/>
      <c r="AF172" s="26"/>
      <c r="AG172" s="26"/>
      <c r="AH172" s="24"/>
      <c r="AI172" s="24"/>
      <c r="AJ172" s="24"/>
      <c r="AK172" s="28"/>
      <c r="AL172" s="28"/>
      <c r="AM172" s="28"/>
      <c r="AN172" s="28"/>
      <c r="AO172" s="28"/>
      <c r="AP172" s="28"/>
      <c r="AQ172" s="28"/>
      <c r="AR172" s="28"/>
      <c r="AS172" s="28"/>
      <c r="AT172" s="28"/>
      <c r="AU172" s="28"/>
      <c r="AV172" s="28"/>
      <c r="AW172" s="28"/>
      <c r="AX172" s="28"/>
      <c r="AY172" s="24"/>
      <c r="AZ172" s="28"/>
      <c r="BA172" s="28"/>
      <c r="BB172" s="28"/>
      <c r="BC172" s="28"/>
      <c r="BD172" s="28"/>
      <c r="BE172" s="28"/>
      <c r="BF172" s="24"/>
      <c r="BG172" s="28"/>
      <c r="BH172" s="28"/>
      <c r="BI172" s="28"/>
      <c r="BJ172" s="24"/>
      <c r="BK172" s="28"/>
      <c r="BL172" s="28"/>
      <c r="BM172" s="28"/>
    </row>
    <row r="173" spans="1:65">
      <c r="A173" s="24"/>
      <c r="B173" s="28"/>
      <c r="C173" s="25"/>
      <c r="D173" s="26"/>
      <c r="E173" s="24"/>
      <c r="F173" s="24"/>
      <c r="G173" s="26"/>
      <c r="H173" s="26"/>
      <c r="I173" s="26"/>
      <c r="J173" s="26"/>
      <c r="K173" s="26"/>
      <c r="L173" s="26"/>
      <c r="M173" s="26"/>
      <c r="N173" s="26"/>
      <c r="O173" s="26"/>
      <c r="P173" s="26"/>
      <c r="R173" s="24"/>
      <c r="S173" s="26"/>
      <c r="T173" s="25"/>
      <c r="U173" s="24"/>
      <c r="V173" s="24"/>
      <c r="W173" s="24"/>
      <c r="X173" s="26"/>
      <c r="Y173" s="26"/>
      <c r="Z173" s="24"/>
      <c r="AA173" s="26"/>
      <c r="AB173" s="25"/>
      <c r="AC173" s="24"/>
      <c r="AD173" s="24"/>
      <c r="AE173" s="24"/>
      <c r="AF173" s="26"/>
      <c r="AG173" s="26"/>
      <c r="AH173" s="24"/>
      <c r="AI173" s="24"/>
      <c r="AJ173" s="24"/>
      <c r="AK173" s="28"/>
      <c r="AL173" s="28"/>
      <c r="AM173" s="28"/>
      <c r="AN173" s="28"/>
      <c r="AO173" s="28"/>
      <c r="AP173" s="28"/>
      <c r="AQ173" s="28"/>
      <c r="AR173" s="28"/>
      <c r="AS173" s="28"/>
      <c r="AT173" s="28"/>
      <c r="AU173" s="28"/>
      <c r="AV173" s="28"/>
      <c r="AW173" s="28"/>
      <c r="AX173" s="28"/>
      <c r="AY173" s="24"/>
      <c r="AZ173" s="28"/>
      <c r="BA173" s="28"/>
      <c r="BB173" s="28"/>
      <c r="BC173" s="28"/>
      <c r="BD173" s="28"/>
      <c r="BE173" s="28"/>
      <c r="BF173" s="24"/>
      <c r="BG173" s="28"/>
      <c r="BH173" s="28"/>
      <c r="BI173" s="28"/>
      <c r="BJ173" s="24"/>
      <c r="BK173" s="28"/>
      <c r="BL173" s="28"/>
      <c r="BM173" s="28"/>
    </row>
    <row r="174" spans="1:65">
      <c r="A174" s="24"/>
      <c r="B174" s="28"/>
      <c r="C174" s="25"/>
      <c r="D174" s="26"/>
      <c r="E174" s="24"/>
      <c r="F174" s="24"/>
      <c r="G174" s="26"/>
      <c r="H174" s="26"/>
      <c r="I174" s="26"/>
      <c r="J174" s="26"/>
      <c r="K174" s="26"/>
      <c r="L174" s="26"/>
      <c r="M174" s="26"/>
      <c r="N174" s="26"/>
      <c r="O174" s="26"/>
      <c r="P174" s="26"/>
      <c r="R174" s="24"/>
      <c r="S174" s="26"/>
      <c r="T174" s="25"/>
      <c r="U174" s="24"/>
      <c r="V174" s="24"/>
      <c r="W174" s="24"/>
      <c r="X174" s="26"/>
      <c r="Y174" s="26"/>
      <c r="Z174" s="24"/>
      <c r="AA174" s="26"/>
      <c r="AB174" s="25"/>
      <c r="AC174" s="24"/>
      <c r="AD174" s="24"/>
      <c r="AE174" s="24"/>
      <c r="AF174" s="26"/>
      <c r="AG174" s="26"/>
      <c r="AH174" s="24"/>
      <c r="AI174" s="24"/>
      <c r="AJ174" s="24"/>
      <c r="AK174" s="28"/>
      <c r="AL174" s="28"/>
      <c r="AM174" s="28"/>
      <c r="AN174" s="28"/>
      <c r="AO174" s="28"/>
      <c r="AP174" s="28"/>
      <c r="AQ174" s="28"/>
      <c r="AR174" s="28"/>
      <c r="AS174" s="28"/>
      <c r="AT174" s="28"/>
      <c r="AU174" s="28"/>
      <c r="AV174" s="28"/>
      <c r="AW174" s="28"/>
      <c r="AX174" s="28"/>
      <c r="AY174" s="24"/>
      <c r="AZ174" s="28"/>
      <c r="BA174" s="28"/>
      <c r="BB174" s="28"/>
      <c r="BC174" s="28"/>
      <c r="BD174" s="28"/>
      <c r="BE174" s="28"/>
      <c r="BF174" s="24"/>
      <c r="BG174" s="28"/>
      <c r="BH174" s="28"/>
      <c r="BI174" s="28"/>
      <c r="BJ174" s="24"/>
      <c r="BK174" s="28"/>
      <c r="BL174" s="28"/>
      <c r="BM174" s="28"/>
    </row>
    <row r="175" spans="1:65">
      <c r="A175" s="24"/>
      <c r="B175" s="28"/>
      <c r="C175" s="25"/>
      <c r="D175" s="26"/>
      <c r="E175" s="24"/>
      <c r="F175" s="24"/>
      <c r="G175" s="26"/>
      <c r="H175" s="26"/>
      <c r="I175" s="26"/>
      <c r="J175" s="26"/>
      <c r="K175" s="26"/>
      <c r="L175" s="26"/>
      <c r="M175" s="26"/>
      <c r="N175" s="26"/>
      <c r="O175" s="26"/>
      <c r="P175" s="26"/>
      <c r="R175" s="24"/>
      <c r="S175" s="26"/>
      <c r="T175" s="25"/>
      <c r="U175" s="24"/>
      <c r="V175" s="24"/>
      <c r="W175" s="24"/>
      <c r="X175" s="26"/>
      <c r="Y175" s="26"/>
      <c r="Z175" s="24"/>
      <c r="AA175" s="26"/>
      <c r="AB175" s="25"/>
      <c r="AC175" s="24"/>
      <c r="AD175" s="24"/>
      <c r="AE175" s="24"/>
      <c r="AF175" s="26"/>
      <c r="AG175" s="26"/>
      <c r="AH175" s="24"/>
      <c r="AI175" s="24"/>
      <c r="AJ175" s="24"/>
      <c r="AK175" s="28"/>
      <c r="AL175" s="28"/>
      <c r="AM175" s="28"/>
      <c r="AN175" s="28"/>
      <c r="AO175" s="28"/>
      <c r="AP175" s="28"/>
      <c r="AQ175" s="28"/>
      <c r="AR175" s="28"/>
      <c r="AS175" s="28"/>
      <c r="AT175" s="28"/>
      <c r="AU175" s="28"/>
      <c r="AV175" s="28"/>
      <c r="AW175" s="28"/>
      <c r="AX175" s="28"/>
      <c r="AY175" s="24"/>
      <c r="AZ175" s="28"/>
      <c r="BA175" s="28"/>
      <c r="BB175" s="28"/>
      <c r="BC175" s="28"/>
      <c r="BD175" s="28"/>
      <c r="BE175" s="28"/>
      <c r="BF175" s="24"/>
      <c r="BG175" s="28"/>
      <c r="BH175" s="28"/>
      <c r="BI175" s="28"/>
      <c r="BJ175" s="24"/>
      <c r="BK175" s="28"/>
      <c r="BL175" s="28"/>
      <c r="BM175" s="28"/>
    </row>
    <row r="176" spans="1:65">
      <c r="A176" s="24"/>
      <c r="B176" s="28"/>
      <c r="C176" s="25"/>
      <c r="D176" s="26"/>
      <c r="E176" s="24"/>
      <c r="F176" s="24"/>
      <c r="G176" s="26"/>
      <c r="H176" s="26"/>
      <c r="I176" s="26"/>
      <c r="J176" s="26"/>
      <c r="K176" s="26"/>
      <c r="L176" s="26"/>
      <c r="M176" s="26"/>
      <c r="N176" s="26"/>
      <c r="O176" s="26"/>
      <c r="P176" s="26"/>
      <c r="R176" s="24"/>
      <c r="S176" s="26"/>
      <c r="T176" s="25"/>
      <c r="U176" s="24"/>
      <c r="V176" s="24"/>
      <c r="W176" s="24"/>
      <c r="X176" s="26"/>
      <c r="Y176" s="26"/>
      <c r="Z176" s="24"/>
      <c r="AA176" s="26"/>
      <c r="AB176" s="25"/>
      <c r="AC176" s="24"/>
      <c r="AD176" s="24"/>
      <c r="AE176" s="24"/>
      <c r="AF176" s="26"/>
      <c r="AG176" s="26"/>
      <c r="AH176" s="24"/>
      <c r="AI176" s="24"/>
      <c r="AJ176" s="24"/>
      <c r="AK176" s="28"/>
      <c r="AL176" s="28"/>
      <c r="AM176" s="28"/>
      <c r="AN176" s="28"/>
      <c r="AO176" s="28"/>
      <c r="AP176" s="28"/>
      <c r="AQ176" s="28"/>
      <c r="AR176" s="28"/>
      <c r="AS176" s="28"/>
      <c r="AT176" s="28"/>
      <c r="AU176" s="28"/>
      <c r="AV176" s="28"/>
      <c r="AW176" s="28"/>
      <c r="AX176" s="28"/>
      <c r="AY176" s="24"/>
      <c r="AZ176" s="28"/>
      <c r="BA176" s="28"/>
      <c r="BB176" s="28"/>
      <c r="BC176" s="28"/>
      <c r="BD176" s="28"/>
      <c r="BE176" s="28"/>
      <c r="BF176" s="24"/>
      <c r="BG176" s="28"/>
      <c r="BH176" s="28"/>
      <c r="BI176" s="28"/>
      <c r="BJ176" s="24"/>
      <c r="BK176" s="28"/>
      <c r="BL176" s="28"/>
      <c r="BM176" s="28"/>
    </row>
    <row r="177" spans="1:65">
      <c r="A177" s="24"/>
      <c r="B177" s="28"/>
      <c r="C177" s="25"/>
      <c r="D177" s="26"/>
      <c r="E177" s="24"/>
      <c r="F177" s="24"/>
      <c r="G177" s="26"/>
      <c r="H177" s="26"/>
      <c r="I177" s="26"/>
      <c r="J177" s="26"/>
      <c r="K177" s="26"/>
      <c r="L177" s="26"/>
      <c r="M177" s="26"/>
      <c r="N177" s="26"/>
      <c r="O177" s="26"/>
      <c r="P177" s="26"/>
      <c r="R177" s="24"/>
      <c r="S177" s="26"/>
      <c r="T177" s="25"/>
      <c r="U177" s="24"/>
      <c r="V177" s="24"/>
      <c r="W177" s="24"/>
      <c r="X177" s="26"/>
      <c r="Y177" s="26"/>
      <c r="Z177" s="24"/>
      <c r="AA177" s="26"/>
      <c r="AB177" s="25"/>
      <c r="AC177" s="24"/>
      <c r="AD177" s="24"/>
      <c r="AE177" s="24"/>
      <c r="AF177" s="26"/>
      <c r="AG177" s="26"/>
      <c r="AH177" s="24"/>
      <c r="AI177" s="24"/>
      <c r="AJ177" s="24"/>
      <c r="AK177" s="28"/>
      <c r="AL177" s="28"/>
      <c r="AM177" s="28"/>
      <c r="AN177" s="28"/>
      <c r="AO177" s="28"/>
      <c r="AP177" s="28"/>
      <c r="AQ177" s="28"/>
      <c r="AR177" s="28"/>
      <c r="AS177" s="28"/>
      <c r="AT177" s="28"/>
      <c r="AU177" s="28"/>
      <c r="AV177" s="28"/>
      <c r="AW177" s="28"/>
      <c r="AX177" s="28"/>
      <c r="AY177" s="24"/>
      <c r="AZ177" s="28"/>
      <c r="BA177" s="28"/>
      <c r="BB177" s="28"/>
      <c r="BC177" s="28"/>
      <c r="BD177" s="28"/>
      <c r="BE177" s="28"/>
      <c r="BF177" s="24"/>
      <c r="BG177" s="28"/>
      <c r="BH177" s="28"/>
      <c r="BI177" s="28"/>
      <c r="BJ177" s="24"/>
      <c r="BK177" s="28"/>
      <c r="BL177" s="28"/>
      <c r="BM177" s="28"/>
    </row>
    <row r="178" spans="1:65">
      <c r="A178" s="24"/>
      <c r="B178" s="28"/>
      <c r="C178" s="25"/>
      <c r="D178" s="26"/>
      <c r="E178" s="24"/>
      <c r="F178" s="24"/>
      <c r="G178" s="26"/>
      <c r="H178" s="26"/>
      <c r="I178" s="26"/>
      <c r="J178" s="26"/>
      <c r="K178" s="26"/>
      <c r="L178" s="26"/>
      <c r="M178" s="26"/>
      <c r="N178" s="26"/>
      <c r="O178" s="26"/>
      <c r="P178" s="26"/>
      <c r="R178" s="24"/>
      <c r="S178" s="26"/>
      <c r="T178" s="25"/>
      <c r="U178" s="24"/>
      <c r="V178" s="24"/>
      <c r="W178" s="24"/>
      <c r="X178" s="26"/>
      <c r="Y178" s="26"/>
      <c r="Z178" s="24"/>
      <c r="AA178" s="26"/>
      <c r="AB178" s="25"/>
      <c r="AC178" s="24"/>
      <c r="AD178" s="24"/>
      <c r="AE178" s="24"/>
      <c r="AF178" s="26"/>
      <c r="AG178" s="26"/>
      <c r="AH178" s="24"/>
      <c r="AI178" s="24"/>
      <c r="AJ178" s="24"/>
      <c r="AK178" s="28"/>
      <c r="AL178" s="28"/>
      <c r="AM178" s="28"/>
      <c r="AN178" s="28"/>
      <c r="AO178" s="28"/>
      <c r="AP178" s="28"/>
      <c r="AQ178" s="28"/>
      <c r="AR178" s="28"/>
      <c r="AS178" s="28"/>
      <c r="AT178" s="28"/>
      <c r="AU178" s="28"/>
      <c r="AV178" s="28"/>
      <c r="AW178" s="28"/>
      <c r="AX178" s="28"/>
      <c r="AY178" s="24"/>
      <c r="AZ178" s="28"/>
      <c r="BA178" s="28"/>
      <c r="BB178" s="28"/>
      <c r="BC178" s="28"/>
      <c r="BD178" s="28"/>
      <c r="BE178" s="28"/>
      <c r="BF178" s="24"/>
      <c r="BG178" s="28"/>
      <c r="BH178" s="28"/>
      <c r="BI178" s="28"/>
      <c r="BJ178" s="24"/>
      <c r="BK178" s="28"/>
      <c r="BL178" s="28"/>
      <c r="BM178" s="28"/>
    </row>
    <row r="179" spans="1:65">
      <c r="A179" s="24"/>
      <c r="B179" s="28"/>
      <c r="C179" s="25"/>
      <c r="D179" s="26"/>
      <c r="E179" s="24"/>
      <c r="F179" s="24"/>
      <c r="G179" s="26"/>
      <c r="H179" s="26"/>
      <c r="I179" s="26"/>
      <c r="J179" s="26"/>
      <c r="K179" s="26"/>
      <c r="L179" s="26"/>
      <c r="M179" s="26"/>
      <c r="N179" s="26"/>
      <c r="O179" s="26"/>
      <c r="P179" s="26"/>
      <c r="R179" s="24"/>
      <c r="S179" s="26"/>
      <c r="T179" s="25"/>
      <c r="U179" s="24"/>
      <c r="V179" s="24"/>
      <c r="W179" s="24"/>
      <c r="X179" s="26"/>
      <c r="Y179" s="26"/>
      <c r="Z179" s="24"/>
      <c r="AA179" s="26"/>
      <c r="AB179" s="25"/>
      <c r="AC179" s="24"/>
      <c r="AD179" s="24"/>
      <c r="AE179" s="24"/>
      <c r="AF179" s="26"/>
      <c r="AG179" s="26"/>
      <c r="AH179" s="24"/>
      <c r="AI179" s="24"/>
      <c r="AJ179" s="24"/>
      <c r="AK179" s="28"/>
      <c r="AL179" s="28"/>
      <c r="AM179" s="28"/>
      <c r="AN179" s="28"/>
      <c r="AO179" s="28"/>
      <c r="AP179" s="28"/>
      <c r="AQ179" s="28"/>
      <c r="AR179" s="28"/>
      <c r="AS179" s="28"/>
      <c r="AT179" s="28"/>
      <c r="AU179" s="28"/>
      <c r="AV179" s="28"/>
      <c r="AW179" s="28"/>
      <c r="AX179" s="28"/>
      <c r="AY179" s="24"/>
      <c r="AZ179" s="28"/>
      <c r="BA179" s="28"/>
      <c r="BB179" s="28"/>
      <c r="BC179" s="28"/>
      <c r="BD179" s="28"/>
      <c r="BE179" s="28"/>
      <c r="BF179" s="24"/>
      <c r="BG179" s="28"/>
      <c r="BH179" s="28"/>
      <c r="BI179" s="28"/>
      <c r="BJ179" s="24"/>
      <c r="BK179" s="28"/>
      <c r="BL179" s="28"/>
      <c r="BM179" s="28"/>
    </row>
    <row r="180" spans="1:65">
      <c r="A180" s="24"/>
      <c r="B180" s="28"/>
      <c r="C180" s="25"/>
      <c r="D180" s="26"/>
      <c r="E180" s="24"/>
      <c r="F180" s="24"/>
      <c r="G180" s="26"/>
      <c r="H180" s="26"/>
      <c r="I180" s="26"/>
      <c r="J180" s="26"/>
      <c r="K180" s="26"/>
      <c r="L180" s="26"/>
      <c r="M180" s="26"/>
      <c r="N180" s="26"/>
      <c r="O180" s="26"/>
      <c r="P180" s="26"/>
      <c r="R180" s="24"/>
      <c r="S180" s="26"/>
      <c r="T180" s="25"/>
      <c r="U180" s="24"/>
      <c r="V180" s="24"/>
      <c r="W180" s="24"/>
      <c r="X180" s="26"/>
      <c r="Y180" s="26"/>
      <c r="Z180" s="24"/>
      <c r="AA180" s="26"/>
      <c r="AB180" s="25"/>
      <c r="AC180" s="24"/>
      <c r="AD180" s="24"/>
      <c r="AE180" s="24"/>
      <c r="AF180" s="26"/>
      <c r="AG180" s="26"/>
      <c r="AH180" s="24"/>
      <c r="AI180" s="24"/>
      <c r="AJ180" s="24"/>
      <c r="AK180" s="28"/>
      <c r="AL180" s="28"/>
      <c r="AM180" s="28"/>
      <c r="AN180" s="28"/>
      <c r="AO180" s="28"/>
      <c r="AP180" s="28"/>
      <c r="AQ180" s="28"/>
      <c r="AR180" s="28"/>
      <c r="AS180" s="28"/>
      <c r="AT180" s="28"/>
      <c r="AU180" s="28"/>
      <c r="AV180" s="28"/>
      <c r="AW180" s="28"/>
      <c r="AX180" s="28"/>
      <c r="AY180" s="24"/>
      <c r="AZ180" s="28"/>
      <c r="BA180" s="28"/>
      <c r="BB180" s="28"/>
      <c r="BC180" s="28"/>
      <c r="BD180" s="28"/>
      <c r="BE180" s="28"/>
      <c r="BF180" s="24"/>
      <c r="BG180" s="28"/>
      <c r="BH180" s="28"/>
      <c r="BI180" s="28"/>
      <c r="BJ180" s="24"/>
      <c r="BK180" s="28"/>
      <c r="BL180" s="28"/>
      <c r="BM180" s="28"/>
    </row>
    <row r="181" spans="1:65">
      <c r="A181" s="24"/>
      <c r="B181" s="28"/>
      <c r="C181" s="25"/>
      <c r="D181" s="26"/>
      <c r="E181" s="24"/>
      <c r="F181" s="24"/>
      <c r="G181" s="26"/>
      <c r="H181" s="26"/>
      <c r="I181" s="26"/>
      <c r="J181" s="26"/>
      <c r="K181" s="26"/>
      <c r="L181" s="26"/>
      <c r="M181" s="26"/>
      <c r="N181" s="26"/>
      <c r="O181" s="26"/>
      <c r="P181" s="26"/>
      <c r="R181" s="24"/>
      <c r="S181" s="26"/>
      <c r="T181" s="25"/>
      <c r="U181" s="24"/>
      <c r="V181" s="24"/>
      <c r="W181" s="24"/>
      <c r="X181" s="26"/>
      <c r="Y181" s="26"/>
      <c r="Z181" s="24"/>
      <c r="AA181" s="26"/>
      <c r="AB181" s="25"/>
      <c r="AC181" s="24"/>
      <c r="AD181" s="24"/>
      <c r="AE181" s="24"/>
      <c r="AF181" s="26"/>
      <c r="AG181" s="26"/>
      <c r="AH181" s="24"/>
      <c r="AI181" s="24"/>
      <c r="AJ181" s="24"/>
      <c r="AK181" s="28"/>
      <c r="AL181" s="28"/>
      <c r="AM181" s="28"/>
      <c r="AN181" s="28"/>
      <c r="AO181" s="28"/>
      <c r="AP181" s="28"/>
      <c r="AQ181" s="28"/>
      <c r="AR181" s="28"/>
      <c r="AS181" s="28"/>
      <c r="AT181" s="28"/>
      <c r="AU181" s="28"/>
      <c r="AV181" s="28"/>
      <c r="AW181" s="28"/>
      <c r="AX181" s="28"/>
      <c r="AY181" s="24"/>
      <c r="AZ181" s="28"/>
      <c r="BA181" s="28"/>
      <c r="BB181" s="28"/>
      <c r="BC181" s="28"/>
      <c r="BD181" s="28"/>
      <c r="BE181" s="28"/>
      <c r="BF181" s="24"/>
      <c r="BG181" s="28"/>
      <c r="BH181" s="28"/>
      <c r="BI181" s="28"/>
      <c r="BJ181" s="24"/>
      <c r="BK181" s="28"/>
      <c r="BL181" s="28"/>
      <c r="BM181" s="28"/>
    </row>
    <row r="182" spans="1:65">
      <c r="A182" s="24"/>
      <c r="B182" s="28"/>
      <c r="C182" s="25"/>
      <c r="D182" s="26"/>
      <c r="E182" s="24"/>
      <c r="F182" s="24"/>
      <c r="G182" s="26"/>
      <c r="H182" s="26"/>
      <c r="I182" s="26"/>
      <c r="J182" s="26"/>
      <c r="K182" s="26"/>
      <c r="L182" s="26"/>
      <c r="M182" s="26"/>
      <c r="N182" s="26"/>
      <c r="O182" s="26"/>
      <c r="P182" s="26"/>
      <c r="R182" s="24"/>
      <c r="S182" s="26"/>
      <c r="T182" s="25"/>
      <c r="U182" s="24"/>
      <c r="V182" s="24"/>
      <c r="W182" s="24"/>
      <c r="X182" s="26"/>
      <c r="Y182" s="26"/>
      <c r="Z182" s="24"/>
      <c r="AA182" s="26"/>
      <c r="AB182" s="25"/>
      <c r="AC182" s="24"/>
      <c r="AD182" s="24"/>
      <c r="AE182" s="24"/>
      <c r="AF182" s="26"/>
      <c r="AG182" s="26"/>
      <c r="AH182" s="24"/>
      <c r="AI182" s="24"/>
      <c r="AJ182" s="24"/>
      <c r="AK182" s="28"/>
      <c r="AL182" s="28"/>
      <c r="AM182" s="28"/>
      <c r="AN182" s="28"/>
      <c r="AO182" s="28"/>
      <c r="AP182" s="28"/>
      <c r="AQ182" s="28"/>
      <c r="AR182" s="28"/>
      <c r="AS182" s="28"/>
      <c r="AT182" s="28"/>
      <c r="AU182" s="28"/>
      <c r="AV182" s="28"/>
      <c r="AW182" s="28"/>
      <c r="AX182" s="28"/>
      <c r="AY182" s="24"/>
      <c r="AZ182" s="28"/>
      <c r="BA182" s="28"/>
      <c r="BB182" s="28"/>
      <c r="BC182" s="28"/>
      <c r="BD182" s="28"/>
      <c r="BE182" s="28"/>
      <c r="BF182" s="24"/>
      <c r="BG182" s="28"/>
      <c r="BH182" s="28"/>
      <c r="BI182" s="28"/>
      <c r="BJ182" s="24"/>
      <c r="BK182" s="28"/>
      <c r="BL182" s="28"/>
      <c r="BM182" s="28"/>
    </row>
    <row r="183" spans="1:65">
      <c r="A183" s="24"/>
      <c r="B183" s="28"/>
      <c r="C183" s="25"/>
      <c r="D183" s="26"/>
      <c r="E183" s="24"/>
      <c r="F183" s="24"/>
      <c r="G183" s="26"/>
      <c r="H183" s="26"/>
      <c r="I183" s="26"/>
      <c r="J183" s="26"/>
      <c r="K183" s="26"/>
      <c r="L183" s="26"/>
      <c r="M183" s="26"/>
      <c r="N183" s="26"/>
      <c r="O183" s="26"/>
      <c r="P183" s="26"/>
      <c r="R183" s="24"/>
      <c r="S183" s="26"/>
      <c r="T183" s="25"/>
      <c r="U183" s="24"/>
      <c r="V183" s="24"/>
      <c r="W183" s="24"/>
      <c r="X183" s="26"/>
      <c r="Y183" s="26"/>
      <c r="Z183" s="24"/>
      <c r="AA183" s="26"/>
      <c r="AB183" s="25"/>
      <c r="AC183" s="24"/>
      <c r="AD183" s="24"/>
      <c r="AE183" s="24"/>
      <c r="AF183" s="26"/>
      <c r="AG183" s="26"/>
      <c r="AH183" s="24"/>
      <c r="AI183" s="24"/>
      <c r="AJ183" s="24"/>
      <c r="AK183" s="28"/>
      <c r="AL183" s="28"/>
      <c r="AM183" s="28"/>
      <c r="AN183" s="28"/>
      <c r="AO183" s="28"/>
      <c r="AP183" s="28"/>
      <c r="AQ183" s="28"/>
      <c r="AR183" s="28"/>
      <c r="AS183" s="28"/>
      <c r="AT183" s="28"/>
      <c r="AU183" s="28"/>
      <c r="AV183" s="28"/>
      <c r="AW183" s="28"/>
      <c r="AX183" s="28"/>
      <c r="AY183" s="24"/>
      <c r="AZ183" s="28"/>
      <c r="BA183" s="28"/>
      <c r="BB183" s="28"/>
      <c r="BC183" s="28"/>
      <c r="BD183" s="28"/>
      <c r="BE183" s="28"/>
      <c r="BF183" s="24"/>
      <c r="BG183" s="28"/>
      <c r="BH183" s="28"/>
      <c r="BI183" s="28"/>
      <c r="BJ183" s="24"/>
      <c r="BK183" s="28"/>
      <c r="BL183" s="28"/>
      <c r="BM183" s="28"/>
    </row>
    <row r="184" spans="1:65">
      <c r="A184" s="24"/>
      <c r="B184" s="28"/>
      <c r="C184" s="25"/>
      <c r="D184" s="26"/>
      <c r="E184" s="24"/>
      <c r="F184" s="24"/>
      <c r="G184" s="26"/>
      <c r="H184" s="26"/>
      <c r="I184" s="26"/>
      <c r="J184" s="26"/>
      <c r="K184" s="26"/>
      <c r="L184" s="26"/>
      <c r="M184" s="26"/>
      <c r="N184" s="26"/>
      <c r="O184" s="26"/>
      <c r="P184" s="26"/>
      <c r="R184" s="24"/>
      <c r="S184" s="26"/>
      <c r="T184" s="25"/>
      <c r="U184" s="24"/>
      <c r="V184" s="24"/>
      <c r="W184" s="24"/>
      <c r="X184" s="26"/>
      <c r="Y184" s="26"/>
      <c r="Z184" s="24"/>
      <c r="AA184" s="26"/>
      <c r="AB184" s="25"/>
      <c r="AC184" s="24"/>
      <c r="AD184" s="24"/>
      <c r="AE184" s="24"/>
      <c r="AF184" s="26"/>
      <c r="AG184" s="26"/>
      <c r="AH184" s="24"/>
      <c r="AI184" s="24"/>
      <c r="AJ184" s="24"/>
      <c r="AK184" s="28"/>
      <c r="AL184" s="28"/>
      <c r="AM184" s="28"/>
      <c r="AN184" s="28"/>
      <c r="AO184" s="28"/>
      <c r="AP184" s="28"/>
      <c r="AQ184" s="28"/>
      <c r="AR184" s="28"/>
      <c r="AS184" s="28"/>
      <c r="AT184" s="28"/>
      <c r="AU184" s="28"/>
      <c r="AV184" s="28"/>
      <c r="AW184" s="28"/>
      <c r="AX184" s="28"/>
      <c r="AY184" s="24"/>
      <c r="AZ184" s="28"/>
      <c r="BA184" s="28"/>
      <c r="BB184" s="28"/>
      <c r="BC184" s="28"/>
      <c r="BD184" s="28"/>
      <c r="BE184" s="28"/>
      <c r="BF184" s="24"/>
      <c r="BG184" s="28"/>
      <c r="BH184" s="28"/>
      <c r="BI184" s="28"/>
      <c r="BJ184" s="24"/>
      <c r="BK184" s="28"/>
      <c r="BL184" s="28"/>
      <c r="BM184" s="28"/>
    </row>
    <row r="185" spans="1:65">
      <c r="A185" s="24"/>
      <c r="B185" s="28"/>
      <c r="C185" s="25"/>
      <c r="D185" s="26"/>
      <c r="E185" s="24"/>
      <c r="F185" s="24"/>
      <c r="G185" s="26"/>
      <c r="H185" s="26"/>
      <c r="I185" s="26"/>
      <c r="J185" s="26"/>
      <c r="K185" s="26"/>
      <c r="L185" s="26"/>
      <c r="M185" s="26"/>
      <c r="N185" s="26"/>
      <c r="O185" s="26"/>
      <c r="P185" s="26"/>
      <c r="R185" s="24"/>
      <c r="S185" s="26"/>
      <c r="T185" s="25"/>
      <c r="U185" s="24"/>
      <c r="V185" s="24"/>
      <c r="W185" s="24"/>
      <c r="X185" s="26"/>
      <c r="Y185" s="26"/>
      <c r="Z185" s="24"/>
      <c r="AA185" s="26"/>
      <c r="AB185" s="25"/>
      <c r="AC185" s="24"/>
      <c r="AD185" s="24"/>
      <c r="AE185" s="24"/>
      <c r="AF185" s="26"/>
      <c r="AG185" s="26"/>
      <c r="AH185" s="24"/>
      <c r="AI185" s="24"/>
      <c r="AJ185" s="24"/>
      <c r="AK185" s="28"/>
      <c r="AL185" s="28"/>
      <c r="AM185" s="28"/>
      <c r="AN185" s="28"/>
      <c r="AO185" s="28"/>
      <c r="AP185" s="28"/>
      <c r="AQ185" s="28"/>
      <c r="AR185" s="28"/>
      <c r="AS185" s="28"/>
      <c r="AT185" s="28"/>
      <c r="AU185" s="28"/>
      <c r="AV185" s="28"/>
      <c r="AW185" s="28"/>
      <c r="AX185" s="28"/>
      <c r="AY185" s="24"/>
      <c r="AZ185" s="28"/>
      <c r="BA185" s="28"/>
      <c r="BB185" s="28"/>
      <c r="BC185" s="28"/>
      <c r="BD185" s="28"/>
      <c r="BE185" s="28"/>
      <c r="BF185" s="24"/>
      <c r="BG185" s="28"/>
      <c r="BH185" s="28"/>
      <c r="BI185" s="28"/>
      <c r="BJ185" s="24"/>
      <c r="BK185" s="28"/>
      <c r="BL185" s="28"/>
      <c r="BM185" s="28"/>
    </row>
    <row r="186" spans="1:65">
      <c r="A186" s="24"/>
      <c r="B186" s="28"/>
      <c r="C186" s="25"/>
      <c r="D186" s="26"/>
      <c r="E186" s="24"/>
      <c r="F186" s="24"/>
      <c r="G186" s="26"/>
      <c r="H186" s="26"/>
      <c r="I186" s="26"/>
      <c r="J186" s="26"/>
      <c r="K186" s="26"/>
      <c r="L186" s="26"/>
      <c r="M186" s="26"/>
      <c r="N186" s="26"/>
      <c r="O186" s="26"/>
      <c r="P186" s="26"/>
      <c r="R186" s="24"/>
      <c r="S186" s="26"/>
      <c r="T186" s="25"/>
      <c r="U186" s="24"/>
      <c r="V186" s="24"/>
      <c r="W186" s="24"/>
      <c r="X186" s="26"/>
      <c r="Y186" s="26"/>
      <c r="Z186" s="24"/>
      <c r="AA186" s="26"/>
      <c r="AB186" s="25"/>
      <c r="AC186" s="24"/>
      <c r="AD186" s="24"/>
      <c r="AE186" s="24"/>
      <c r="AF186" s="26"/>
      <c r="AG186" s="26"/>
      <c r="AH186" s="24"/>
      <c r="AI186" s="24"/>
      <c r="AJ186" s="24"/>
      <c r="AK186" s="28"/>
      <c r="AL186" s="28"/>
      <c r="AM186" s="28"/>
      <c r="AN186" s="28"/>
      <c r="AO186" s="28"/>
      <c r="AP186" s="28"/>
      <c r="AQ186" s="28"/>
      <c r="AR186" s="28"/>
      <c r="AS186" s="28"/>
      <c r="AT186" s="28"/>
      <c r="AU186" s="28"/>
      <c r="AV186" s="28"/>
      <c r="AW186" s="28"/>
      <c r="AX186" s="28"/>
      <c r="AY186" s="24"/>
      <c r="AZ186" s="28"/>
      <c r="BA186" s="28"/>
      <c r="BB186" s="28"/>
      <c r="BC186" s="28"/>
      <c r="BD186" s="28"/>
      <c r="BE186" s="28"/>
      <c r="BF186" s="24"/>
      <c r="BG186" s="28"/>
      <c r="BH186" s="28"/>
      <c r="BI186" s="28"/>
      <c r="BJ186" s="24"/>
      <c r="BK186" s="28"/>
      <c r="BL186" s="28"/>
      <c r="BM186" s="28"/>
    </row>
    <row r="187" spans="1:65">
      <c r="A187" s="24"/>
      <c r="B187" s="28"/>
      <c r="C187" s="25"/>
      <c r="D187" s="26"/>
      <c r="E187" s="24"/>
      <c r="F187" s="24"/>
      <c r="G187" s="26"/>
      <c r="H187" s="26"/>
      <c r="I187" s="26"/>
      <c r="J187" s="26"/>
      <c r="K187" s="26"/>
      <c r="L187" s="26"/>
      <c r="M187" s="26"/>
      <c r="N187" s="26"/>
      <c r="O187" s="26"/>
      <c r="P187" s="26"/>
      <c r="R187" s="24"/>
      <c r="S187" s="26"/>
      <c r="T187" s="25"/>
      <c r="U187" s="24"/>
      <c r="V187" s="24"/>
      <c r="W187" s="24"/>
      <c r="X187" s="26"/>
      <c r="Y187" s="26"/>
      <c r="Z187" s="24"/>
      <c r="AA187" s="26"/>
      <c r="AB187" s="25"/>
      <c r="AC187" s="24"/>
      <c r="AD187" s="24"/>
      <c r="AE187" s="24"/>
      <c r="AF187" s="26"/>
      <c r="AG187" s="26"/>
      <c r="AH187" s="24"/>
      <c r="AI187" s="24"/>
      <c r="AJ187" s="24"/>
      <c r="AK187" s="28"/>
      <c r="AL187" s="28"/>
      <c r="AM187" s="28"/>
      <c r="AN187" s="28"/>
      <c r="AO187" s="28"/>
      <c r="AP187" s="28"/>
      <c r="AQ187" s="28"/>
      <c r="AR187" s="28"/>
      <c r="AS187" s="28"/>
      <c r="AT187" s="28"/>
      <c r="AU187" s="28"/>
      <c r="AV187" s="28"/>
      <c r="AW187" s="28"/>
      <c r="AX187" s="28"/>
      <c r="AY187" s="24"/>
      <c r="AZ187" s="28"/>
      <c r="BA187" s="28"/>
      <c r="BB187" s="28"/>
      <c r="BC187" s="28"/>
      <c r="BD187" s="28"/>
      <c r="BE187" s="28"/>
      <c r="BF187" s="24"/>
      <c r="BG187" s="28"/>
      <c r="BH187" s="28"/>
      <c r="BI187" s="28"/>
      <c r="BJ187" s="24"/>
      <c r="BK187" s="28"/>
      <c r="BL187" s="28"/>
      <c r="BM187" s="28"/>
    </row>
    <row r="188" spans="1:65">
      <c r="A188" s="24"/>
      <c r="B188" s="28"/>
      <c r="C188" s="25"/>
      <c r="D188" s="26"/>
      <c r="E188" s="24"/>
      <c r="F188" s="24"/>
      <c r="G188" s="26"/>
      <c r="H188" s="26"/>
      <c r="I188" s="26"/>
      <c r="J188" s="26"/>
      <c r="K188" s="26"/>
      <c r="L188" s="26"/>
      <c r="M188" s="26"/>
      <c r="N188" s="26"/>
      <c r="O188" s="26"/>
      <c r="P188" s="26"/>
      <c r="R188" s="24"/>
      <c r="S188" s="26"/>
      <c r="T188" s="25"/>
      <c r="U188" s="24"/>
      <c r="V188" s="24"/>
      <c r="W188" s="24"/>
      <c r="X188" s="26"/>
      <c r="Y188" s="26"/>
      <c r="Z188" s="24"/>
      <c r="AA188" s="26"/>
      <c r="AB188" s="25"/>
      <c r="AC188" s="24"/>
      <c r="AD188" s="24"/>
      <c r="AE188" s="24"/>
      <c r="AF188" s="26"/>
      <c r="AG188" s="26"/>
      <c r="AH188" s="24"/>
      <c r="AI188" s="24"/>
      <c r="AJ188" s="24"/>
      <c r="AK188" s="28"/>
      <c r="AL188" s="28"/>
      <c r="AM188" s="28"/>
      <c r="AN188" s="28"/>
      <c r="AO188" s="28"/>
      <c r="AP188" s="28"/>
      <c r="AQ188" s="28"/>
      <c r="AR188" s="28"/>
      <c r="AS188" s="28"/>
      <c r="AT188" s="28"/>
      <c r="AU188" s="28"/>
      <c r="AV188" s="28"/>
      <c r="AW188" s="28"/>
      <c r="AX188" s="28"/>
      <c r="AY188" s="24"/>
      <c r="AZ188" s="28"/>
      <c r="BA188" s="28"/>
      <c r="BB188" s="28"/>
      <c r="BC188" s="28"/>
      <c r="BD188" s="28"/>
      <c r="BE188" s="28"/>
      <c r="BF188" s="24"/>
      <c r="BG188" s="28"/>
      <c r="BH188" s="28"/>
      <c r="BI188" s="28"/>
      <c r="BJ188" s="24"/>
      <c r="BK188" s="28"/>
      <c r="BL188" s="28"/>
      <c r="BM188" s="28"/>
    </row>
    <row r="189" spans="1:65">
      <c r="A189" s="24"/>
      <c r="B189" s="28"/>
      <c r="C189" s="25"/>
      <c r="D189" s="26"/>
      <c r="E189" s="24"/>
      <c r="F189" s="24"/>
      <c r="G189" s="26"/>
      <c r="H189" s="26"/>
      <c r="I189" s="26"/>
      <c r="J189" s="26"/>
      <c r="K189" s="26"/>
      <c r="L189" s="26"/>
      <c r="M189" s="26"/>
      <c r="N189" s="26"/>
      <c r="O189" s="26"/>
      <c r="P189" s="26"/>
      <c r="R189" s="24"/>
      <c r="S189" s="26"/>
      <c r="T189" s="25"/>
      <c r="U189" s="24"/>
      <c r="V189" s="24"/>
      <c r="W189" s="24"/>
      <c r="X189" s="26"/>
      <c r="Y189" s="26"/>
      <c r="Z189" s="24"/>
      <c r="AA189" s="26"/>
      <c r="AB189" s="25"/>
      <c r="AC189" s="24"/>
      <c r="AD189" s="24"/>
      <c r="AE189" s="24"/>
      <c r="AF189" s="26"/>
      <c r="AG189" s="26"/>
      <c r="AH189" s="24"/>
      <c r="AI189" s="24"/>
      <c r="AJ189" s="24"/>
      <c r="AK189" s="28"/>
      <c r="AL189" s="28"/>
      <c r="AM189" s="28"/>
      <c r="AN189" s="28"/>
      <c r="AO189" s="28"/>
      <c r="AP189" s="28"/>
      <c r="AQ189" s="28"/>
      <c r="AR189" s="28"/>
      <c r="AS189" s="28"/>
      <c r="AT189" s="28"/>
      <c r="AU189" s="28"/>
      <c r="AV189" s="28"/>
      <c r="AW189" s="28"/>
      <c r="AX189" s="28"/>
      <c r="AY189" s="24"/>
      <c r="AZ189" s="28"/>
      <c r="BA189" s="28"/>
      <c r="BB189" s="28"/>
      <c r="BC189" s="28"/>
      <c r="BD189" s="28"/>
      <c r="BE189" s="28"/>
      <c r="BF189" s="24"/>
      <c r="BG189" s="28"/>
      <c r="BH189" s="28"/>
      <c r="BI189" s="28"/>
      <c r="BJ189" s="24"/>
      <c r="BK189" s="28"/>
      <c r="BL189" s="28"/>
      <c r="BM189" s="28"/>
    </row>
    <row r="190" spans="1:65">
      <c r="A190" s="24"/>
      <c r="B190" s="28"/>
      <c r="C190" s="25"/>
      <c r="D190" s="26"/>
      <c r="E190" s="24"/>
      <c r="F190" s="24"/>
      <c r="G190" s="26"/>
      <c r="H190" s="26"/>
      <c r="I190" s="26"/>
      <c r="J190" s="26"/>
      <c r="K190" s="26"/>
      <c r="L190" s="26"/>
      <c r="M190" s="26"/>
      <c r="N190" s="26"/>
      <c r="O190" s="26"/>
      <c r="P190" s="26"/>
      <c r="R190" s="24"/>
      <c r="S190" s="26"/>
      <c r="T190" s="25"/>
      <c r="U190" s="24"/>
      <c r="V190" s="24"/>
      <c r="W190" s="24"/>
      <c r="X190" s="26"/>
      <c r="Y190" s="26"/>
      <c r="Z190" s="24"/>
      <c r="AA190" s="26"/>
      <c r="AB190" s="25"/>
      <c r="AC190" s="24"/>
      <c r="AD190" s="24"/>
      <c r="AE190" s="24"/>
      <c r="AF190" s="26"/>
      <c r="AG190" s="26"/>
      <c r="AH190" s="24"/>
      <c r="AI190" s="24"/>
      <c r="AJ190" s="24"/>
      <c r="AK190" s="28"/>
      <c r="AL190" s="28"/>
      <c r="AM190" s="28"/>
      <c r="AN190" s="28"/>
      <c r="AO190" s="28"/>
      <c r="AP190" s="28"/>
      <c r="AQ190" s="28"/>
      <c r="AR190" s="28"/>
      <c r="AS190" s="28"/>
      <c r="AT190" s="28"/>
      <c r="AU190" s="28"/>
      <c r="AV190" s="28"/>
      <c r="AW190" s="28"/>
      <c r="AX190" s="28"/>
      <c r="AY190" s="24"/>
      <c r="AZ190" s="28"/>
      <c r="BA190" s="28"/>
      <c r="BB190" s="28"/>
      <c r="BC190" s="28"/>
      <c r="BD190" s="28"/>
      <c r="BE190" s="28"/>
      <c r="BF190" s="24"/>
      <c r="BG190" s="28"/>
      <c r="BH190" s="28"/>
      <c r="BI190" s="28"/>
      <c r="BJ190" s="24"/>
      <c r="BK190" s="28"/>
      <c r="BL190" s="28"/>
      <c r="BM190" s="28"/>
    </row>
    <row r="191" spans="1:65">
      <c r="A191" s="24"/>
      <c r="B191" s="28"/>
      <c r="C191" s="25"/>
      <c r="D191" s="26"/>
      <c r="E191" s="24"/>
      <c r="F191" s="24"/>
      <c r="G191" s="26"/>
      <c r="H191" s="26"/>
      <c r="I191" s="26"/>
      <c r="J191" s="26"/>
      <c r="K191" s="26"/>
      <c r="L191" s="26"/>
      <c r="M191" s="26"/>
      <c r="N191" s="26"/>
      <c r="O191" s="26"/>
      <c r="P191" s="26"/>
      <c r="R191" s="24"/>
      <c r="S191" s="26"/>
      <c r="T191" s="25"/>
      <c r="U191" s="24"/>
      <c r="V191" s="24"/>
      <c r="W191" s="24"/>
      <c r="X191" s="26"/>
      <c r="Y191" s="26"/>
      <c r="Z191" s="24"/>
      <c r="AA191" s="26"/>
      <c r="AB191" s="25"/>
      <c r="AC191" s="24"/>
      <c r="AD191" s="24"/>
      <c r="AE191" s="24"/>
      <c r="AF191" s="26"/>
      <c r="AG191" s="26"/>
      <c r="AH191" s="24"/>
      <c r="AI191" s="24"/>
      <c r="AJ191" s="24"/>
      <c r="AK191" s="28"/>
      <c r="AL191" s="28"/>
      <c r="AM191" s="28"/>
      <c r="AN191" s="28"/>
      <c r="AO191" s="28"/>
      <c r="AP191" s="28"/>
      <c r="AQ191" s="28"/>
      <c r="AR191" s="28"/>
      <c r="AS191" s="28"/>
      <c r="AT191" s="28"/>
      <c r="AU191" s="28"/>
      <c r="AV191" s="28"/>
      <c r="AW191" s="28"/>
      <c r="AX191" s="28"/>
      <c r="AY191" s="24"/>
      <c r="AZ191" s="28"/>
      <c r="BA191" s="28"/>
      <c r="BB191" s="28"/>
      <c r="BC191" s="28"/>
      <c r="BD191" s="28"/>
      <c r="BE191" s="28"/>
      <c r="BF191" s="24"/>
      <c r="BG191" s="28"/>
      <c r="BH191" s="28"/>
      <c r="BI191" s="28"/>
      <c r="BJ191" s="24"/>
      <c r="BK191" s="28"/>
      <c r="BL191" s="28"/>
      <c r="BM191" s="28"/>
    </row>
    <row r="192" spans="1:65">
      <c r="A192" s="24"/>
      <c r="B192" s="28"/>
      <c r="C192" s="25"/>
      <c r="D192" s="26"/>
      <c r="E192" s="24"/>
      <c r="F192" s="24"/>
      <c r="G192" s="26"/>
      <c r="H192" s="26"/>
      <c r="I192" s="26"/>
      <c r="J192" s="26"/>
      <c r="K192" s="26"/>
      <c r="L192" s="26"/>
      <c r="M192" s="26"/>
      <c r="N192" s="26"/>
      <c r="O192" s="26"/>
      <c r="P192" s="26"/>
      <c r="R192" s="24"/>
      <c r="S192" s="26"/>
      <c r="T192" s="25"/>
      <c r="U192" s="24"/>
      <c r="V192" s="24"/>
      <c r="W192" s="24"/>
      <c r="X192" s="26"/>
      <c r="Y192" s="26"/>
      <c r="Z192" s="24"/>
      <c r="AA192" s="26"/>
      <c r="AB192" s="25"/>
      <c r="AC192" s="24"/>
      <c r="AD192" s="24"/>
      <c r="AE192" s="24"/>
      <c r="AF192" s="26"/>
      <c r="AG192" s="26"/>
      <c r="AH192" s="24"/>
      <c r="AI192" s="24"/>
      <c r="AJ192" s="24"/>
      <c r="AK192" s="28"/>
      <c r="AL192" s="28"/>
      <c r="AM192" s="28"/>
      <c r="AN192" s="28"/>
      <c r="AO192" s="28"/>
      <c r="AP192" s="28"/>
      <c r="AQ192" s="28"/>
      <c r="AR192" s="28"/>
      <c r="AS192" s="28"/>
      <c r="AT192" s="28"/>
      <c r="AU192" s="28"/>
      <c r="AV192" s="28"/>
      <c r="AW192" s="28"/>
      <c r="AX192" s="28"/>
      <c r="AY192" s="24"/>
      <c r="AZ192" s="28"/>
      <c r="BA192" s="28"/>
      <c r="BB192" s="28"/>
      <c r="BC192" s="28"/>
      <c r="BD192" s="28"/>
      <c r="BE192" s="28"/>
      <c r="BF192" s="24"/>
      <c r="BG192" s="28"/>
      <c r="BH192" s="28"/>
      <c r="BI192" s="28"/>
      <c r="BJ192" s="24"/>
      <c r="BK192" s="28"/>
      <c r="BL192" s="28"/>
      <c r="BM192" s="28"/>
    </row>
    <row r="193" spans="1:65">
      <c r="A193" s="24"/>
      <c r="B193" s="28"/>
      <c r="C193" s="25"/>
      <c r="D193" s="26"/>
      <c r="E193" s="24"/>
      <c r="F193" s="24"/>
      <c r="G193" s="26"/>
      <c r="H193" s="26"/>
      <c r="I193" s="26"/>
      <c r="J193" s="26"/>
      <c r="K193" s="26"/>
      <c r="L193" s="26"/>
      <c r="M193" s="26"/>
      <c r="N193" s="26"/>
      <c r="O193" s="26"/>
      <c r="P193" s="26"/>
      <c r="R193" s="24"/>
      <c r="S193" s="26"/>
      <c r="T193" s="25"/>
      <c r="U193" s="24"/>
      <c r="V193" s="24"/>
      <c r="W193" s="24"/>
      <c r="X193" s="26"/>
      <c r="Y193" s="26"/>
      <c r="Z193" s="24"/>
      <c r="AA193" s="26"/>
      <c r="AB193" s="25"/>
      <c r="AC193" s="24"/>
      <c r="AD193" s="24"/>
      <c r="AE193" s="24"/>
      <c r="AF193" s="26"/>
      <c r="AG193" s="26"/>
      <c r="AH193" s="24"/>
      <c r="AI193" s="24"/>
      <c r="AJ193" s="24"/>
      <c r="AK193" s="28"/>
      <c r="AL193" s="28"/>
      <c r="AM193" s="28"/>
      <c r="AN193" s="28"/>
      <c r="AO193" s="28"/>
      <c r="AP193" s="28"/>
      <c r="AQ193" s="28"/>
      <c r="AR193" s="28"/>
      <c r="AS193" s="28"/>
      <c r="AT193" s="28"/>
      <c r="AU193" s="28"/>
      <c r="AV193" s="28"/>
      <c r="AW193" s="28"/>
      <c r="AX193" s="28"/>
      <c r="AY193" s="24"/>
      <c r="AZ193" s="28"/>
      <c r="BA193" s="28"/>
      <c r="BB193" s="28"/>
      <c r="BC193" s="28"/>
      <c r="BD193" s="28"/>
      <c r="BE193" s="28"/>
      <c r="BF193" s="24"/>
      <c r="BG193" s="28"/>
      <c r="BH193" s="28"/>
      <c r="BI193" s="28"/>
      <c r="BJ193" s="24"/>
      <c r="BK193" s="28"/>
      <c r="BL193" s="28"/>
      <c r="BM193" s="28"/>
    </row>
    <row r="194" spans="1:65">
      <c r="A194" s="24"/>
      <c r="B194" s="28"/>
      <c r="C194" s="25"/>
      <c r="D194" s="26"/>
      <c r="E194" s="24"/>
      <c r="F194" s="24"/>
      <c r="G194" s="26"/>
      <c r="H194" s="26"/>
      <c r="I194" s="26"/>
      <c r="J194" s="26"/>
      <c r="K194" s="26"/>
      <c r="L194" s="26"/>
      <c r="M194" s="26"/>
      <c r="N194" s="26"/>
      <c r="O194" s="26"/>
      <c r="P194" s="26"/>
      <c r="R194" s="24"/>
      <c r="S194" s="26"/>
      <c r="T194" s="25"/>
      <c r="U194" s="24"/>
      <c r="V194" s="24"/>
      <c r="W194" s="24"/>
      <c r="X194" s="26"/>
      <c r="Y194" s="26"/>
      <c r="Z194" s="24"/>
      <c r="AA194" s="26"/>
      <c r="AB194" s="25"/>
      <c r="AC194" s="24"/>
      <c r="AD194" s="24"/>
      <c r="AE194" s="24"/>
      <c r="AF194" s="26"/>
      <c r="AG194" s="26"/>
      <c r="AH194" s="24"/>
      <c r="AI194" s="24"/>
      <c r="AJ194" s="24"/>
      <c r="AK194" s="28"/>
      <c r="AL194" s="28"/>
      <c r="AM194" s="28"/>
      <c r="AN194" s="28"/>
      <c r="AO194" s="28"/>
      <c r="AP194" s="28"/>
      <c r="AQ194" s="28"/>
      <c r="AR194" s="28"/>
      <c r="AS194" s="28"/>
      <c r="AT194" s="28"/>
      <c r="AU194" s="28"/>
      <c r="AV194" s="28"/>
      <c r="AW194" s="28"/>
      <c r="AX194" s="28"/>
      <c r="AY194" s="24"/>
      <c r="AZ194" s="28"/>
      <c r="BA194" s="28"/>
      <c r="BB194" s="28"/>
      <c r="BC194" s="28"/>
      <c r="BD194" s="28"/>
      <c r="BE194" s="28"/>
      <c r="BF194" s="24"/>
      <c r="BG194" s="28"/>
      <c r="BH194" s="28"/>
      <c r="BI194" s="28"/>
      <c r="BJ194" s="24"/>
      <c r="BK194" s="28"/>
      <c r="BL194" s="28"/>
      <c r="BM194" s="28"/>
    </row>
    <row r="195" spans="1:65">
      <c r="A195" s="24"/>
      <c r="B195" s="28"/>
      <c r="C195" s="25"/>
      <c r="D195" s="26"/>
      <c r="E195" s="24"/>
      <c r="F195" s="24"/>
      <c r="G195" s="26"/>
      <c r="H195" s="26"/>
      <c r="I195" s="26"/>
      <c r="J195" s="26"/>
      <c r="K195" s="26"/>
      <c r="L195" s="26"/>
      <c r="M195" s="26"/>
      <c r="N195" s="26"/>
      <c r="O195" s="26"/>
      <c r="P195" s="26"/>
      <c r="R195" s="24"/>
      <c r="S195" s="26"/>
      <c r="T195" s="25"/>
      <c r="U195" s="24"/>
      <c r="V195" s="24"/>
      <c r="W195" s="24"/>
      <c r="X195" s="26"/>
      <c r="Y195" s="26"/>
      <c r="Z195" s="24"/>
      <c r="AA195" s="26"/>
      <c r="AB195" s="25"/>
      <c r="AC195" s="24"/>
      <c r="AD195" s="24"/>
      <c r="AE195" s="24"/>
      <c r="AF195" s="26"/>
      <c r="AG195" s="26"/>
      <c r="AH195" s="24"/>
      <c r="AI195" s="24"/>
      <c r="AJ195" s="24"/>
      <c r="AK195" s="28"/>
      <c r="AL195" s="28"/>
      <c r="AM195" s="28"/>
      <c r="AN195" s="28"/>
      <c r="AO195" s="28"/>
      <c r="AP195" s="28"/>
      <c r="AQ195" s="28"/>
      <c r="AR195" s="28"/>
      <c r="AS195" s="28"/>
      <c r="AT195" s="28"/>
      <c r="AU195" s="28"/>
      <c r="AV195" s="28"/>
      <c r="AW195" s="28"/>
      <c r="AX195" s="28"/>
      <c r="AY195" s="24"/>
      <c r="AZ195" s="28"/>
      <c r="BA195" s="28"/>
      <c r="BB195" s="28"/>
      <c r="BC195" s="28"/>
      <c r="BD195" s="28"/>
      <c r="BE195" s="28"/>
      <c r="BF195" s="24"/>
      <c r="BG195" s="28"/>
      <c r="BH195" s="28"/>
      <c r="BI195" s="28"/>
      <c r="BJ195" s="24"/>
      <c r="BK195" s="28"/>
      <c r="BL195" s="28"/>
      <c r="BM195" s="28"/>
    </row>
    <row r="196" spans="1:65">
      <c r="A196" s="24"/>
      <c r="B196" s="28"/>
      <c r="C196" s="25"/>
      <c r="D196" s="26"/>
      <c r="E196" s="24"/>
      <c r="F196" s="24"/>
      <c r="G196" s="26"/>
      <c r="H196" s="26"/>
      <c r="I196" s="26"/>
      <c r="J196" s="26"/>
      <c r="K196" s="26"/>
      <c r="L196" s="26"/>
      <c r="M196" s="26"/>
      <c r="N196" s="26"/>
      <c r="O196" s="26"/>
      <c r="P196" s="26"/>
      <c r="R196" s="24"/>
      <c r="S196" s="26"/>
      <c r="T196" s="25"/>
      <c r="U196" s="24"/>
      <c r="V196" s="24"/>
      <c r="W196" s="24"/>
      <c r="X196" s="26"/>
      <c r="Y196" s="26"/>
      <c r="Z196" s="24"/>
      <c r="AA196" s="26"/>
      <c r="AB196" s="25"/>
      <c r="AC196" s="24"/>
      <c r="AD196" s="24"/>
      <c r="AE196" s="24"/>
      <c r="AF196" s="26"/>
      <c r="AG196" s="26"/>
      <c r="AH196" s="24"/>
      <c r="AI196" s="24"/>
      <c r="AJ196" s="24"/>
      <c r="AK196" s="28"/>
      <c r="AL196" s="28"/>
      <c r="AM196" s="28"/>
      <c r="AN196" s="28"/>
      <c r="AO196" s="28"/>
      <c r="AP196" s="28"/>
      <c r="AQ196" s="28"/>
      <c r="AR196" s="28"/>
      <c r="AS196" s="28"/>
      <c r="AT196" s="28"/>
      <c r="AU196" s="28"/>
      <c r="AV196" s="28"/>
      <c r="AW196" s="28"/>
      <c r="AX196" s="28"/>
      <c r="AY196" s="24"/>
      <c r="AZ196" s="28"/>
      <c r="BA196" s="28"/>
      <c r="BB196" s="28"/>
      <c r="BC196" s="28"/>
      <c r="BD196" s="28"/>
      <c r="BE196" s="28"/>
      <c r="BF196" s="24"/>
      <c r="BG196" s="28"/>
      <c r="BH196" s="28"/>
      <c r="BI196" s="28"/>
      <c r="BJ196" s="24"/>
      <c r="BK196" s="28"/>
      <c r="BL196" s="28"/>
      <c r="BM196" s="28"/>
    </row>
    <row r="197" spans="1:65">
      <c r="A197" s="24"/>
      <c r="B197" s="28"/>
      <c r="C197" s="25"/>
      <c r="D197" s="26"/>
      <c r="E197" s="24"/>
      <c r="F197" s="24"/>
      <c r="G197" s="26"/>
      <c r="H197" s="26"/>
      <c r="I197" s="26"/>
      <c r="J197" s="26"/>
      <c r="K197" s="26"/>
      <c r="L197" s="26"/>
      <c r="M197" s="26"/>
      <c r="N197" s="26"/>
      <c r="O197" s="26"/>
      <c r="P197" s="26"/>
      <c r="R197" s="24"/>
      <c r="S197" s="26"/>
      <c r="T197" s="25"/>
      <c r="U197" s="24"/>
      <c r="V197" s="24"/>
      <c r="W197" s="24"/>
      <c r="X197" s="26"/>
      <c r="Y197" s="26"/>
      <c r="Z197" s="24"/>
      <c r="AA197" s="26"/>
      <c r="AB197" s="25"/>
      <c r="AC197" s="24"/>
      <c r="AD197" s="24"/>
      <c r="AE197" s="24"/>
      <c r="AF197" s="26"/>
      <c r="AG197" s="26"/>
      <c r="AH197" s="24"/>
      <c r="AI197" s="24"/>
      <c r="AJ197" s="24"/>
      <c r="AK197" s="28"/>
      <c r="AL197" s="28"/>
      <c r="AM197" s="28"/>
      <c r="AN197" s="28"/>
      <c r="AO197" s="28"/>
      <c r="AP197" s="28"/>
      <c r="AQ197" s="28"/>
      <c r="AR197" s="28"/>
      <c r="AS197" s="28"/>
      <c r="AT197" s="28"/>
      <c r="AU197" s="28"/>
      <c r="AV197" s="28"/>
      <c r="AW197" s="28"/>
      <c r="AX197" s="28"/>
      <c r="AY197" s="24"/>
      <c r="AZ197" s="28"/>
      <c r="BA197" s="28"/>
      <c r="BB197" s="28"/>
      <c r="BC197" s="28"/>
      <c r="BD197" s="28"/>
      <c r="BE197" s="28"/>
      <c r="BF197" s="24"/>
      <c r="BG197" s="28"/>
      <c r="BH197" s="28"/>
      <c r="BI197" s="28"/>
      <c r="BJ197" s="24"/>
      <c r="BK197" s="28"/>
      <c r="BL197" s="28"/>
      <c r="BM197" s="28"/>
    </row>
    <row r="198" spans="1:65">
      <c r="A198" s="24"/>
      <c r="B198" s="28"/>
      <c r="C198" s="25"/>
      <c r="D198" s="26"/>
      <c r="E198" s="24"/>
      <c r="F198" s="24"/>
      <c r="G198" s="26"/>
      <c r="H198" s="26"/>
      <c r="I198" s="26"/>
      <c r="J198" s="26"/>
      <c r="K198" s="26"/>
      <c r="L198" s="26"/>
      <c r="M198" s="26"/>
      <c r="N198" s="26"/>
      <c r="O198" s="26"/>
      <c r="P198" s="26"/>
      <c r="R198" s="24"/>
      <c r="S198" s="26"/>
      <c r="T198" s="25"/>
      <c r="U198" s="24"/>
      <c r="V198" s="24"/>
      <c r="W198" s="24"/>
      <c r="X198" s="26"/>
      <c r="Y198" s="26"/>
      <c r="Z198" s="24"/>
      <c r="AA198" s="26"/>
      <c r="AB198" s="25"/>
      <c r="AC198" s="24"/>
      <c r="AD198" s="24"/>
      <c r="AE198" s="24"/>
      <c r="AF198" s="26"/>
      <c r="AG198" s="26"/>
      <c r="AH198" s="24"/>
      <c r="AI198" s="24"/>
      <c r="AJ198" s="24"/>
      <c r="AK198" s="28"/>
      <c r="AL198" s="28"/>
      <c r="AM198" s="28"/>
      <c r="AN198" s="28"/>
      <c r="AO198" s="28"/>
      <c r="AP198" s="28"/>
      <c r="AQ198" s="28"/>
      <c r="AR198" s="28"/>
      <c r="AS198" s="28"/>
      <c r="AT198" s="28"/>
      <c r="AU198" s="28"/>
      <c r="AV198" s="28"/>
      <c r="AW198" s="28"/>
      <c r="AX198" s="28"/>
      <c r="AY198" s="24"/>
      <c r="AZ198" s="28"/>
      <c r="BA198" s="28"/>
      <c r="BB198" s="28"/>
      <c r="BC198" s="28"/>
      <c r="BD198" s="28"/>
      <c r="BE198" s="28"/>
      <c r="BF198" s="24"/>
      <c r="BG198" s="28"/>
      <c r="BH198" s="28"/>
      <c r="BI198" s="28"/>
      <c r="BJ198" s="24"/>
      <c r="BK198" s="28"/>
      <c r="BL198" s="28"/>
      <c r="BM198" s="28"/>
    </row>
    <row r="199" spans="1:65">
      <c r="A199" s="24"/>
      <c r="B199" s="28"/>
      <c r="C199" s="25"/>
      <c r="D199" s="26"/>
      <c r="E199" s="24"/>
      <c r="F199" s="24"/>
      <c r="G199" s="26"/>
      <c r="H199" s="26"/>
      <c r="I199" s="26"/>
      <c r="J199" s="26"/>
      <c r="K199" s="26"/>
      <c r="L199" s="26"/>
      <c r="M199" s="26"/>
      <c r="N199" s="26"/>
      <c r="O199" s="26"/>
      <c r="P199" s="26"/>
      <c r="R199" s="24"/>
      <c r="S199" s="26"/>
      <c r="T199" s="25"/>
      <c r="U199" s="24"/>
      <c r="V199" s="24"/>
      <c r="W199" s="24"/>
      <c r="X199" s="26"/>
      <c r="Y199" s="26"/>
      <c r="Z199" s="24"/>
      <c r="AA199" s="26"/>
      <c r="AB199" s="25"/>
      <c r="AC199" s="24"/>
      <c r="AD199" s="24"/>
      <c r="AE199" s="24"/>
      <c r="AF199" s="26"/>
      <c r="AG199" s="26"/>
      <c r="AH199" s="24"/>
      <c r="AI199" s="24"/>
      <c r="AJ199" s="24"/>
      <c r="AK199" s="28"/>
      <c r="AL199" s="28"/>
      <c r="AM199" s="28"/>
      <c r="AN199" s="28"/>
      <c r="AO199" s="28"/>
      <c r="AP199" s="28"/>
      <c r="AQ199" s="28"/>
      <c r="AR199" s="28"/>
      <c r="AS199" s="28"/>
      <c r="AT199" s="28"/>
      <c r="AU199" s="28"/>
      <c r="AV199" s="28"/>
      <c r="AW199" s="28"/>
      <c r="AX199" s="28"/>
      <c r="AY199" s="24"/>
      <c r="AZ199" s="28"/>
      <c r="BA199" s="28"/>
      <c r="BB199" s="28"/>
      <c r="BC199" s="28"/>
      <c r="BD199" s="28"/>
      <c r="BE199" s="28"/>
      <c r="BF199" s="24"/>
      <c r="BG199" s="28"/>
      <c r="BH199" s="28"/>
      <c r="BI199" s="28"/>
      <c r="BJ199" s="24"/>
      <c r="BK199" s="28"/>
      <c r="BL199" s="28"/>
      <c r="BM199" s="28"/>
    </row>
    <row r="200" spans="1:65">
      <c r="A200" s="24"/>
      <c r="B200" s="28"/>
      <c r="C200" s="25"/>
      <c r="D200" s="26"/>
      <c r="E200" s="24"/>
      <c r="F200" s="24"/>
      <c r="G200" s="26"/>
      <c r="H200" s="26"/>
      <c r="I200" s="26"/>
      <c r="J200" s="26"/>
      <c r="K200" s="26"/>
      <c r="L200" s="26"/>
      <c r="M200" s="26"/>
      <c r="N200" s="26"/>
      <c r="O200" s="26"/>
      <c r="P200" s="26"/>
      <c r="R200" s="24"/>
      <c r="S200" s="26"/>
      <c r="T200" s="25"/>
      <c r="U200" s="24"/>
      <c r="V200" s="24"/>
      <c r="W200" s="24"/>
      <c r="X200" s="26"/>
      <c r="Y200" s="26"/>
      <c r="Z200" s="24"/>
      <c r="AA200" s="26"/>
      <c r="AB200" s="25"/>
      <c r="AC200" s="24"/>
      <c r="AD200" s="24"/>
      <c r="AE200" s="24"/>
      <c r="AF200" s="26"/>
      <c r="AG200" s="26"/>
      <c r="AH200" s="24"/>
      <c r="AI200" s="24"/>
      <c r="AJ200" s="24"/>
      <c r="AK200" s="28"/>
      <c r="AL200" s="28"/>
      <c r="AM200" s="28"/>
      <c r="AN200" s="28"/>
      <c r="AO200" s="28"/>
      <c r="AP200" s="28"/>
      <c r="AQ200" s="28"/>
      <c r="AR200" s="28"/>
      <c r="AS200" s="28"/>
      <c r="AT200" s="28"/>
      <c r="AU200" s="28"/>
      <c r="AV200" s="28"/>
      <c r="AW200" s="28"/>
      <c r="AX200" s="28"/>
      <c r="AY200" s="24"/>
      <c r="AZ200" s="28"/>
      <c r="BA200" s="28"/>
      <c r="BB200" s="28"/>
      <c r="BC200" s="28"/>
      <c r="BD200" s="28"/>
      <c r="BE200" s="28"/>
      <c r="BF200" s="24"/>
      <c r="BG200" s="28"/>
      <c r="BH200" s="28"/>
      <c r="BI200" s="28"/>
      <c r="BJ200" s="24"/>
      <c r="BK200" s="28"/>
      <c r="BL200" s="28"/>
      <c r="BM200" s="28"/>
    </row>
    <row r="201" spans="1:65">
      <c r="A201" s="24"/>
      <c r="B201" s="28"/>
      <c r="C201" s="25"/>
      <c r="D201" s="26"/>
      <c r="E201" s="24"/>
      <c r="F201" s="24"/>
      <c r="G201" s="26"/>
      <c r="H201" s="26"/>
      <c r="I201" s="26"/>
      <c r="J201" s="26"/>
      <c r="K201" s="26"/>
      <c r="L201" s="26"/>
      <c r="M201" s="26"/>
      <c r="N201" s="26"/>
      <c r="O201" s="26"/>
      <c r="P201" s="26"/>
      <c r="R201" s="24"/>
      <c r="S201" s="26"/>
      <c r="T201" s="25"/>
      <c r="U201" s="24"/>
      <c r="V201" s="24"/>
      <c r="W201" s="24"/>
      <c r="X201" s="26"/>
      <c r="Y201" s="26"/>
      <c r="Z201" s="24"/>
      <c r="AA201" s="26"/>
      <c r="AB201" s="25"/>
      <c r="AC201" s="24"/>
      <c r="AD201" s="24"/>
      <c r="AE201" s="24"/>
      <c r="AF201" s="26"/>
      <c r="AG201" s="26"/>
      <c r="AH201" s="24"/>
      <c r="AI201" s="24"/>
      <c r="AJ201" s="24"/>
      <c r="AK201" s="28"/>
      <c r="AL201" s="28"/>
      <c r="AM201" s="28"/>
      <c r="AN201" s="28"/>
      <c r="AO201" s="28"/>
      <c r="AP201" s="28"/>
      <c r="AQ201" s="28"/>
      <c r="AR201" s="28"/>
      <c r="AS201" s="28"/>
      <c r="AT201" s="28"/>
      <c r="AU201" s="28"/>
      <c r="AV201" s="28"/>
      <c r="AW201" s="28"/>
      <c r="AX201" s="28"/>
      <c r="AY201" s="24"/>
      <c r="AZ201" s="28"/>
      <c r="BA201" s="28"/>
      <c r="BB201" s="28"/>
      <c r="BC201" s="28"/>
      <c r="BD201" s="28"/>
      <c r="BE201" s="28"/>
      <c r="BF201" s="24"/>
      <c r="BG201" s="28"/>
      <c r="BH201" s="28"/>
      <c r="BI201" s="28"/>
      <c r="BJ201" s="24"/>
      <c r="BK201" s="28"/>
      <c r="BL201" s="28"/>
      <c r="BM201" s="28"/>
    </row>
    <row r="202" spans="1:65">
      <c r="A202" s="24"/>
      <c r="B202" s="28"/>
      <c r="C202" s="25"/>
      <c r="D202" s="26"/>
      <c r="E202" s="24"/>
      <c r="F202" s="24"/>
      <c r="G202" s="26"/>
      <c r="H202" s="26"/>
      <c r="I202" s="26"/>
      <c r="J202" s="26"/>
      <c r="K202" s="26"/>
      <c r="L202" s="26"/>
      <c r="M202" s="26"/>
      <c r="N202" s="26"/>
      <c r="O202" s="26"/>
      <c r="P202" s="26"/>
      <c r="R202" s="24"/>
      <c r="S202" s="26"/>
      <c r="T202" s="25"/>
      <c r="U202" s="24"/>
      <c r="V202" s="24"/>
      <c r="W202" s="24"/>
      <c r="X202" s="26"/>
      <c r="Y202" s="26"/>
      <c r="Z202" s="24"/>
      <c r="AA202" s="26"/>
      <c r="AB202" s="25"/>
      <c r="AC202" s="24"/>
      <c r="AD202" s="24"/>
      <c r="AE202" s="24"/>
      <c r="AF202" s="26"/>
      <c r="AG202" s="26"/>
      <c r="AH202" s="24"/>
      <c r="AI202" s="24"/>
      <c r="AJ202" s="24"/>
      <c r="AK202" s="28"/>
      <c r="AL202" s="28"/>
      <c r="AM202" s="28"/>
      <c r="AN202" s="28"/>
      <c r="AO202" s="28"/>
      <c r="AP202" s="28"/>
      <c r="AQ202" s="28"/>
      <c r="AR202" s="28"/>
      <c r="AS202" s="28"/>
      <c r="AT202" s="28"/>
      <c r="AU202" s="28"/>
      <c r="AV202" s="28"/>
      <c r="AW202" s="28"/>
      <c r="AX202" s="28"/>
      <c r="AY202" s="24"/>
      <c r="AZ202" s="28"/>
      <c r="BA202" s="28"/>
      <c r="BB202" s="28"/>
      <c r="BC202" s="28"/>
      <c r="BD202" s="28"/>
      <c r="BE202" s="28"/>
      <c r="BF202" s="24"/>
      <c r="BG202" s="28"/>
      <c r="BH202" s="28"/>
      <c r="BI202" s="28"/>
      <c r="BJ202" s="24"/>
      <c r="BK202" s="28"/>
      <c r="BL202" s="28"/>
      <c r="BM202" s="28"/>
    </row>
    <row r="203" spans="1:65">
      <c r="A203" s="24"/>
      <c r="B203" s="28"/>
      <c r="C203" s="25"/>
      <c r="D203" s="26"/>
      <c r="E203" s="24"/>
      <c r="F203" s="24"/>
      <c r="G203" s="26"/>
      <c r="H203" s="26"/>
      <c r="I203" s="26"/>
      <c r="J203" s="26"/>
      <c r="K203" s="26"/>
      <c r="L203" s="26"/>
      <c r="M203" s="26"/>
      <c r="N203" s="26"/>
      <c r="O203" s="26"/>
      <c r="P203" s="26"/>
      <c r="R203" s="24"/>
      <c r="S203" s="26"/>
      <c r="T203" s="25"/>
      <c r="U203" s="24"/>
      <c r="V203" s="24"/>
      <c r="W203" s="24"/>
      <c r="X203" s="26"/>
      <c r="Y203" s="26"/>
      <c r="Z203" s="24"/>
      <c r="AA203" s="26"/>
      <c r="AB203" s="25"/>
      <c r="AC203" s="24"/>
      <c r="AD203" s="24"/>
      <c r="AE203" s="24"/>
      <c r="AF203" s="26"/>
      <c r="AG203" s="26"/>
      <c r="AH203" s="24"/>
      <c r="AI203" s="24"/>
      <c r="AJ203" s="24"/>
      <c r="AK203" s="28"/>
      <c r="AL203" s="28"/>
      <c r="AM203" s="28"/>
      <c r="AN203" s="28"/>
      <c r="AO203" s="28"/>
      <c r="AP203" s="28"/>
      <c r="AQ203" s="28"/>
      <c r="AR203" s="28"/>
      <c r="AS203" s="28"/>
      <c r="AT203" s="28"/>
      <c r="AU203" s="28"/>
      <c r="AV203" s="28"/>
      <c r="AW203" s="28"/>
      <c r="AX203" s="28"/>
      <c r="AY203" s="24"/>
      <c r="AZ203" s="28"/>
      <c r="BA203" s="28"/>
      <c r="BB203" s="28"/>
      <c r="BC203" s="28"/>
      <c r="BD203" s="28"/>
      <c r="BE203" s="28"/>
      <c r="BF203" s="24"/>
      <c r="BG203" s="28"/>
      <c r="BH203" s="28"/>
      <c r="BI203" s="28"/>
      <c r="BJ203" s="24"/>
      <c r="BK203" s="28"/>
      <c r="BL203" s="28"/>
      <c r="BM203" s="28"/>
    </row>
    <row r="204" spans="1:65">
      <c r="A204" s="24"/>
      <c r="B204" s="28"/>
      <c r="C204" s="25"/>
      <c r="D204" s="26"/>
      <c r="E204" s="24"/>
      <c r="F204" s="24"/>
      <c r="G204" s="26"/>
      <c r="H204" s="26"/>
      <c r="I204" s="26"/>
      <c r="J204" s="26"/>
      <c r="K204" s="26"/>
      <c r="L204" s="26"/>
      <c r="M204" s="26"/>
      <c r="N204" s="26"/>
      <c r="O204" s="26"/>
      <c r="P204" s="26"/>
      <c r="R204" s="24"/>
      <c r="S204" s="26"/>
      <c r="T204" s="25"/>
      <c r="U204" s="24"/>
      <c r="V204" s="24"/>
      <c r="W204" s="24"/>
      <c r="X204" s="26"/>
      <c r="Y204" s="26"/>
      <c r="Z204" s="24"/>
      <c r="AA204" s="26"/>
      <c r="AB204" s="25"/>
      <c r="AC204" s="24"/>
      <c r="AD204" s="24"/>
      <c r="AE204" s="24"/>
      <c r="AF204" s="26"/>
      <c r="AG204" s="26"/>
      <c r="AH204" s="24"/>
      <c r="AI204" s="24"/>
      <c r="AJ204" s="24"/>
      <c r="AK204" s="28"/>
      <c r="AL204" s="28"/>
      <c r="AM204" s="28"/>
      <c r="AN204" s="28"/>
      <c r="AO204" s="28"/>
      <c r="AP204" s="28"/>
      <c r="AQ204" s="28"/>
      <c r="AR204" s="28"/>
      <c r="AS204" s="28"/>
      <c r="AT204" s="28"/>
      <c r="AU204" s="28"/>
      <c r="AV204" s="28"/>
      <c r="AW204" s="28"/>
      <c r="AX204" s="28"/>
      <c r="AY204" s="24"/>
      <c r="AZ204" s="28"/>
      <c r="BA204" s="28"/>
      <c r="BB204" s="28"/>
      <c r="BC204" s="28"/>
      <c r="BD204" s="28"/>
      <c r="BE204" s="28"/>
      <c r="BF204" s="24"/>
      <c r="BG204" s="28"/>
      <c r="BH204" s="28"/>
      <c r="BI204" s="28"/>
      <c r="BJ204" s="24"/>
      <c r="BK204" s="28"/>
      <c r="BL204" s="28"/>
      <c r="BM204" s="28"/>
    </row>
    <row r="205" spans="1:65">
      <c r="A205" s="24"/>
      <c r="B205" s="28"/>
      <c r="C205" s="25"/>
      <c r="D205" s="26"/>
      <c r="E205" s="24"/>
      <c r="F205" s="24"/>
      <c r="G205" s="26"/>
      <c r="H205" s="26"/>
      <c r="I205" s="26"/>
      <c r="J205" s="26"/>
      <c r="K205" s="26"/>
      <c r="L205" s="26"/>
      <c r="M205" s="26"/>
      <c r="N205" s="26"/>
      <c r="O205" s="26"/>
      <c r="P205" s="26"/>
      <c r="R205" s="24"/>
      <c r="S205" s="26"/>
      <c r="T205" s="25"/>
      <c r="U205" s="24"/>
      <c r="V205" s="24"/>
      <c r="W205" s="24"/>
      <c r="X205" s="26"/>
      <c r="Y205" s="26"/>
      <c r="Z205" s="24"/>
      <c r="AA205" s="26"/>
      <c r="AB205" s="25"/>
      <c r="AC205" s="24"/>
      <c r="AD205" s="24"/>
      <c r="AE205" s="24"/>
      <c r="AF205" s="26"/>
      <c r="AG205" s="26"/>
      <c r="AH205" s="24"/>
      <c r="AI205" s="24"/>
      <c r="AJ205" s="24"/>
      <c r="AK205" s="28"/>
      <c r="AL205" s="28"/>
      <c r="AM205" s="28"/>
      <c r="AN205" s="28"/>
      <c r="AO205" s="28"/>
      <c r="AP205" s="28"/>
      <c r="AQ205" s="28"/>
      <c r="AR205" s="28"/>
      <c r="AS205" s="28"/>
      <c r="AT205" s="28"/>
      <c r="AU205" s="28"/>
      <c r="AV205" s="28"/>
      <c r="AW205" s="28"/>
      <c r="AX205" s="28"/>
      <c r="AY205" s="24"/>
      <c r="AZ205" s="28"/>
      <c r="BA205" s="28"/>
      <c r="BB205" s="28"/>
      <c r="BC205" s="28"/>
      <c r="BD205" s="28"/>
      <c r="BE205" s="28"/>
      <c r="BF205" s="24"/>
      <c r="BG205" s="28"/>
      <c r="BH205" s="28"/>
      <c r="BI205" s="28"/>
      <c r="BJ205" s="24"/>
      <c r="BK205" s="28"/>
      <c r="BL205" s="28"/>
      <c r="BM205" s="28"/>
    </row>
    <row r="206" spans="1:65">
      <c r="A206" s="24"/>
      <c r="B206" s="28"/>
      <c r="C206" s="25"/>
      <c r="D206" s="26"/>
      <c r="E206" s="24"/>
      <c r="F206" s="24"/>
      <c r="G206" s="26"/>
      <c r="H206" s="26"/>
      <c r="I206" s="26"/>
      <c r="J206" s="26"/>
      <c r="K206" s="26"/>
      <c r="L206" s="26"/>
      <c r="M206" s="26"/>
      <c r="N206" s="26"/>
      <c r="O206" s="26"/>
      <c r="P206" s="26"/>
      <c r="R206" s="24"/>
      <c r="S206" s="26"/>
      <c r="T206" s="25"/>
      <c r="U206" s="24"/>
      <c r="V206" s="24"/>
      <c r="W206" s="24"/>
      <c r="X206" s="26"/>
      <c r="Y206" s="26"/>
      <c r="Z206" s="24"/>
      <c r="AA206" s="26"/>
      <c r="AB206" s="25"/>
      <c r="AC206" s="24"/>
      <c r="AD206" s="24"/>
      <c r="AE206" s="24"/>
      <c r="AF206" s="26"/>
      <c r="AG206" s="26"/>
      <c r="AH206" s="24"/>
      <c r="AI206" s="24"/>
      <c r="AJ206" s="24"/>
      <c r="AK206" s="28"/>
      <c r="AL206" s="28"/>
      <c r="AM206" s="28"/>
      <c r="AN206" s="28"/>
      <c r="AO206" s="28"/>
      <c r="AP206" s="28"/>
      <c r="AQ206" s="28"/>
      <c r="AR206" s="28"/>
      <c r="AS206" s="28"/>
      <c r="AT206" s="28"/>
      <c r="AU206" s="28"/>
      <c r="AV206" s="28"/>
      <c r="AW206" s="28"/>
      <c r="AX206" s="28"/>
      <c r="AY206" s="24"/>
      <c r="AZ206" s="28"/>
      <c r="BA206" s="28"/>
      <c r="BB206" s="28"/>
      <c r="BC206" s="28"/>
      <c r="BD206" s="28"/>
      <c r="BE206" s="28"/>
      <c r="BF206" s="24"/>
      <c r="BG206" s="28"/>
      <c r="BH206" s="28"/>
      <c r="BI206" s="28"/>
      <c r="BJ206" s="24"/>
      <c r="BK206" s="28"/>
      <c r="BL206" s="28"/>
      <c r="BM206" s="28"/>
    </row>
    <row r="207" spans="1:65">
      <c r="A207" s="24"/>
      <c r="B207" s="28"/>
      <c r="C207" s="25"/>
      <c r="D207" s="26"/>
      <c r="E207" s="24"/>
      <c r="F207" s="24"/>
      <c r="G207" s="26"/>
      <c r="H207" s="26"/>
      <c r="I207" s="26"/>
      <c r="J207" s="26"/>
      <c r="K207" s="26"/>
      <c r="L207" s="26"/>
      <c r="M207" s="26"/>
      <c r="N207" s="26"/>
      <c r="O207" s="26"/>
      <c r="P207" s="26"/>
      <c r="R207" s="24"/>
      <c r="S207" s="26"/>
      <c r="T207" s="25"/>
      <c r="U207" s="24"/>
      <c r="V207" s="24"/>
      <c r="W207" s="24"/>
      <c r="X207" s="26"/>
      <c r="Y207" s="26"/>
      <c r="Z207" s="24"/>
      <c r="AA207" s="26"/>
      <c r="AB207" s="25"/>
      <c r="AC207" s="24"/>
      <c r="AD207" s="24"/>
      <c r="AE207" s="24"/>
      <c r="AF207" s="26"/>
      <c r="AG207" s="26"/>
      <c r="AH207" s="24"/>
      <c r="AI207" s="24"/>
      <c r="AJ207" s="24"/>
      <c r="AK207" s="28"/>
      <c r="AL207" s="28"/>
      <c r="AM207" s="28"/>
      <c r="AN207" s="28"/>
      <c r="AO207" s="28"/>
      <c r="AP207" s="28"/>
      <c r="AQ207" s="28"/>
      <c r="AR207" s="28"/>
      <c r="AS207" s="28"/>
      <c r="AT207" s="28"/>
      <c r="AU207" s="28"/>
      <c r="AV207" s="28"/>
      <c r="AW207" s="28"/>
      <c r="AX207" s="28"/>
      <c r="AY207" s="24"/>
      <c r="AZ207" s="28"/>
      <c r="BA207" s="28"/>
      <c r="BB207" s="28"/>
      <c r="BC207" s="28"/>
      <c r="BD207" s="28"/>
      <c r="BE207" s="28"/>
      <c r="BF207" s="24"/>
      <c r="BG207" s="28"/>
      <c r="BH207" s="28"/>
      <c r="BI207" s="28"/>
      <c r="BJ207" s="24"/>
      <c r="BK207" s="28"/>
      <c r="BL207" s="28"/>
      <c r="BM207" s="28"/>
    </row>
    <row r="208" spans="1:65">
      <c r="A208" s="24"/>
      <c r="B208" s="28"/>
      <c r="C208" s="25"/>
      <c r="D208" s="26"/>
      <c r="E208" s="24"/>
      <c r="F208" s="24"/>
      <c r="G208" s="26"/>
      <c r="H208" s="26"/>
      <c r="I208" s="26"/>
      <c r="J208" s="26"/>
      <c r="K208" s="26"/>
      <c r="L208" s="26"/>
      <c r="M208" s="26"/>
      <c r="N208" s="26"/>
      <c r="O208" s="26"/>
      <c r="P208" s="26"/>
      <c r="R208" s="24"/>
      <c r="S208" s="26"/>
      <c r="T208" s="25"/>
      <c r="U208" s="24"/>
      <c r="V208" s="24"/>
      <c r="W208" s="24"/>
      <c r="X208" s="26"/>
      <c r="Y208" s="26"/>
      <c r="Z208" s="24"/>
      <c r="AA208" s="26"/>
      <c r="AB208" s="25"/>
      <c r="AC208" s="24"/>
      <c r="AD208" s="24"/>
      <c r="AE208" s="24"/>
      <c r="AF208" s="26"/>
      <c r="AG208" s="26"/>
      <c r="AH208" s="24"/>
      <c r="AI208" s="24"/>
      <c r="AJ208" s="24"/>
      <c r="AK208" s="28"/>
      <c r="AL208" s="28"/>
      <c r="AM208" s="28"/>
      <c r="AN208" s="28"/>
      <c r="AO208" s="28"/>
      <c r="AP208" s="28"/>
      <c r="AQ208" s="28"/>
      <c r="AR208" s="28"/>
      <c r="AS208" s="28"/>
      <c r="AT208" s="28"/>
      <c r="AU208" s="28"/>
      <c r="AV208" s="28"/>
      <c r="AW208" s="28"/>
      <c r="AX208" s="28"/>
      <c r="AY208" s="24"/>
      <c r="AZ208" s="28"/>
      <c r="BA208" s="28"/>
      <c r="BB208" s="28"/>
      <c r="BC208" s="28"/>
      <c r="BD208" s="28"/>
      <c r="BE208" s="28"/>
      <c r="BF208" s="24"/>
      <c r="BG208" s="28"/>
      <c r="BH208" s="28"/>
      <c r="BI208" s="28"/>
      <c r="BJ208" s="24"/>
      <c r="BK208" s="28"/>
      <c r="BL208" s="28"/>
      <c r="BM208" s="28"/>
    </row>
    <row r="209" spans="1:65">
      <c r="A209" s="24"/>
      <c r="B209" s="28"/>
      <c r="C209" s="25"/>
      <c r="D209" s="26"/>
      <c r="E209" s="24"/>
      <c r="F209" s="24"/>
      <c r="G209" s="26"/>
      <c r="H209" s="26"/>
      <c r="I209" s="26"/>
      <c r="J209" s="26"/>
      <c r="K209" s="26"/>
      <c r="L209" s="26"/>
      <c r="M209" s="26"/>
      <c r="N209" s="26"/>
      <c r="O209" s="26"/>
      <c r="P209" s="26"/>
      <c r="R209" s="24"/>
      <c r="S209" s="26"/>
      <c r="T209" s="25"/>
      <c r="U209" s="24"/>
      <c r="V209" s="24"/>
      <c r="W209" s="24"/>
      <c r="X209" s="26"/>
      <c r="Y209" s="26"/>
      <c r="Z209" s="24"/>
      <c r="AA209" s="26"/>
      <c r="AB209" s="25"/>
      <c r="AC209" s="24"/>
      <c r="AD209" s="24"/>
      <c r="AE209" s="24"/>
      <c r="AF209" s="26"/>
      <c r="AG209" s="26"/>
      <c r="AH209" s="24"/>
      <c r="AI209" s="24"/>
      <c r="AJ209" s="24"/>
      <c r="AK209" s="28"/>
      <c r="AL209" s="28"/>
      <c r="AM209" s="28"/>
      <c r="AN209" s="28"/>
      <c r="AO209" s="28"/>
      <c r="AP209" s="28"/>
      <c r="AQ209" s="28"/>
      <c r="AR209" s="28"/>
      <c r="AS209" s="28"/>
      <c r="AT209" s="28"/>
      <c r="AU209" s="28"/>
      <c r="AV209" s="28"/>
      <c r="AW209" s="28"/>
      <c r="AX209" s="28"/>
      <c r="AY209" s="24"/>
      <c r="AZ209" s="28"/>
      <c r="BA209" s="28"/>
      <c r="BB209" s="28"/>
      <c r="BC209" s="28"/>
      <c r="BD209" s="28"/>
      <c r="BE209" s="28"/>
      <c r="BF209" s="24"/>
      <c r="BG209" s="28"/>
      <c r="BH209" s="28"/>
      <c r="BI209" s="28"/>
      <c r="BJ209" s="24"/>
      <c r="BK209" s="28"/>
      <c r="BL209" s="28"/>
      <c r="BM209" s="28"/>
    </row>
    <row r="210" spans="1:65">
      <c r="A210" s="24"/>
      <c r="B210" s="28"/>
      <c r="C210" s="25"/>
      <c r="D210" s="26"/>
      <c r="E210" s="24"/>
      <c r="F210" s="24"/>
      <c r="G210" s="26"/>
      <c r="H210" s="26"/>
      <c r="I210" s="26"/>
      <c r="J210" s="26"/>
      <c r="K210" s="26"/>
      <c r="L210" s="26"/>
      <c r="M210" s="26"/>
      <c r="N210" s="26"/>
      <c r="O210" s="26"/>
      <c r="P210" s="26"/>
      <c r="R210" s="24"/>
      <c r="S210" s="26"/>
      <c r="T210" s="25"/>
      <c r="U210" s="24"/>
      <c r="V210" s="24"/>
      <c r="W210" s="24"/>
      <c r="X210" s="26"/>
      <c r="Y210" s="26"/>
      <c r="Z210" s="24"/>
      <c r="AA210" s="26"/>
      <c r="AB210" s="25"/>
      <c r="AC210" s="24"/>
      <c r="AD210" s="24"/>
      <c r="AE210" s="24"/>
      <c r="AF210" s="26"/>
      <c r="AG210" s="26"/>
      <c r="AH210" s="24"/>
      <c r="AI210" s="24"/>
      <c r="AJ210" s="24"/>
      <c r="AK210" s="28"/>
      <c r="AL210" s="28"/>
      <c r="AM210" s="28"/>
      <c r="AN210" s="28"/>
      <c r="AO210" s="28"/>
      <c r="AP210" s="28"/>
      <c r="AQ210" s="28"/>
      <c r="AR210" s="28"/>
      <c r="AS210" s="28"/>
      <c r="AT210" s="28"/>
      <c r="AU210" s="28"/>
      <c r="AV210" s="28"/>
      <c r="AW210" s="28"/>
      <c r="AX210" s="28"/>
      <c r="AY210" s="24"/>
      <c r="AZ210" s="28"/>
      <c r="BA210" s="28"/>
      <c r="BB210" s="28"/>
      <c r="BC210" s="28"/>
      <c r="BD210" s="28"/>
      <c r="BE210" s="28"/>
      <c r="BF210" s="24"/>
      <c r="BG210" s="28"/>
      <c r="BH210" s="28"/>
      <c r="BI210" s="28"/>
      <c r="BJ210" s="24"/>
      <c r="BK210" s="28"/>
      <c r="BL210" s="28"/>
      <c r="BM210" s="28"/>
    </row>
    <row r="211" spans="1:65">
      <c r="A211" s="24"/>
      <c r="B211" s="28"/>
      <c r="C211" s="25"/>
      <c r="D211" s="26"/>
      <c r="E211" s="24"/>
      <c r="F211" s="24"/>
      <c r="G211" s="26"/>
      <c r="H211" s="26"/>
      <c r="I211" s="26"/>
      <c r="J211" s="26"/>
      <c r="K211" s="26"/>
      <c r="L211" s="26"/>
      <c r="M211" s="26"/>
      <c r="N211" s="26"/>
      <c r="O211" s="26"/>
      <c r="P211" s="26"/>
      <c r="R211" s="24"/>
      <c r="S211" s="26"/>
      <c r="T211" s="25"/>
      <c r="U211" s="24"/>
      <c r="V211" s="24"/>
      <c r="W211" s="24"/>
      <c r="X211" s="26"/>
      <c r="Y211" s="26"/>
      <c r="Z211" s="24"/>
      <c r="AA211" s="26"/>
      <c r="AB211" s="25"/>
      <c r="AC211" s="24"/>
      <c r="AD211" s="24"/>
      <c r="AE211" s="24"/>
      <c r="AF211" s="26"/>
      <c r="AG211" s="26"/>
      <c r="AH211" s="24"/>
      <c r="AI211" s="24"/>
      <c r="AJ211" s="24"/>
      <c r="AK211" s="28"/>
      <c r="AL211" s="28"/>
      <c r="AM211" s="28"/>
      <c r="AN211" s="28"/>
      <c r="AO211" s="28"/>
      <c r="AP211" s="28"/>
      <c r="AQ211" s="28"/>
      <c r="AR211" s="28"/>
      <c r="AS211" s="28"/>
      <c r="AT211" s="28"/>
      <c r="AU211" s="28"/>
      <c r="AV211" s="28"/>
      <c r="AW211" s="28"/>
      <c r="AX211" s="28"/>
      <c r="AY211" s="24"/>
      <c r="AZ211" s="28"/>
      <c r="BA211" s="28"/>
      <c r="BB211" s="28"/>
      <c r="BC211" s="28"/>
      <c r="BD211" s="28"/>
      <c r="BE211" s="28"/>
      <c r="BF211" s="24"/>
      <c r="BG211" s="28"/>
      <c r="BH211" s="28"/>
      <c r="BI211" s="28"/>
      <c r="BJ211" s="24"/>
      <c r="BK211" s="28"/>
      <c r="BL211" s="28"/>
      <c r="BM211" s="28"/>
    </row>
    <row r="212" spans="1:65">
      <c r="A212" s="24"/>
      <c r="B212" s="28"/>
      <c r="C212" s="25"/>
      <c r="D212" s="26"/>
      <c r="E212" s="24"/>
      <c r="F212" s="24"/>
      <c r="G212" s="26"/>
      <c r="H212" s="26"/>
      <c r="I212" s="26"/>
      <c r="J212" s="26"/>
      <c r="K212" s="26"/>
      <c r="L212" s="26"/>
      <c r="M212" s="26"/>
      <c r="N212" s="26"/>
      <c r="O212" s="26"/>
      <c r="P212" s="26"/>
      <c r="R212" s="24"/>
      <c r="S212" s="26"/>
      <c r="T212" s="25"/>
      <c r="U212" s="24"/>
      <c r="V212" s="24"/>
      <c r="W212" s="24"/>
      <c r="X212" s="26"/>
      <c r="Y212" s="26"/>
      <c r="Z212" s="24"/>
      <c r="AA212" s="26"/>
      <c r="AB212" s="25"/>
      <c r="AC212" s="24"/>
      <c r="AD212" s="24"/>
      <c r="AE212" s="24"/>
      <c r="AF212" s="26"/>
      <c r="AG212" s="26"/>
      <c r="AH212" s="24"/>
      <c r="AI212" s="24"/>
      <c r="AJ212" s="24"/>
      <c r="AK212" s="28"/>
      <c r="AL212" s="28"/>
      <c r="AM212" s="28"/>
      <c r="AN212" s="28"/>
      <c r="AO212" s="28"/>
      <c r="AP212" s="28"/>
      <c r="AQ212" s="28"/>
      <c r="AR212" s="28"/>
      <c r="AS212" s="28"/>
      <c r="AT212" s="28"/>
      <c r="AU212" s="28"/>
      <c r="AV212" s="28"/>
      <c r="AW212" s="28"/>
      <c r="AX212" s="28"/>
      <c r="AY212" s="24"/>
      <c r="AZ212" s="28"/>
      <c r="BA212" s="28"/>
      <c r="BB212" s="28"/>
      <c r="BC212" s="28"/>
      <c r="BD212" s="28"/>
      <c r="BE212" s="28"/>
      <c r="BF212" s="24"/>
      <c r="BG212" s="28"/>
      <c r="BH212" s="28"/>
      <c r="BI212" s="28"/>
      <c r="BJ212" s="24"/>
      <c r="BK212" s="28"/>
      <c r="BL212" s="28"/>
      <c r="BM212" s="28"/>
    </row>
    <row r="213" spans="1:65">
      <c r="A213" s="24"/>
      <c r="B213" s="28"/>
      <c r="C213" s="25"/>
      <c r="D213" s="26"/>
      <c r="E213" s="24"/>
      <c r="F213" s="24"/>
      <c r="G213" s="26"/>
      <c r="H213" s="26"/>
      <c r="I213" s="26"/>
      <c r="J213" s="26"/>
      <c r="K213" s="26"/>
      <c r="L213" s="26"/>
      <c r="M213" s="26"/>
      <c r="N213" s="26"/>
      <c r="O213" s="26"/>
      <c r="P213" s="26"/>
      <c r="R213" s="24"/>
      <c r="S213" s="26"/>
      <c r="T213" s="25"/>
      <c r="U213" s="24"/>
      <c r="V213" s="24"/>
      <c r="W213" s="24"/>
      <c r="X213" s="26"/>
      <c r="Y213" s="26"/>
      <c r="Z213" s="24"/>
      <c r="AA213" s="26"/>
      <c r="AB213" s="25"/>
      <c r="AC213" s="24"/>
      <c r="AD213" s="24"/>
      <c r="AE213" s="24"/>
      <c r="AF213" s="26"/>
      <c r="AG213" s="26"/>
      <c r="AH213" s="24"/>
      <c r="AI213" s="24"/>
      <c r="AJ213" s="24"/>
      <c r="AK213" s="28"/>
      <c r="AL213" s="28"/>
      <c r="AM213" s="28"/>
      <c r="AN213" s="28"/>
      <c r="AO213" s="28"/>
      <c r="AP213" s="28"/>
      <c r="AQ213" s="28"/>
      <c r="AR213" s="28"/>
      <c r="AS213" s="28"/>
      <c r="AT213" s="28"/>
      <c r="AU213" s="28"/>
      <c r="AV213" s="28"/>
      <c r="AW213" s="28"/>
      <c r="AX213" s="28"/>
      <c r="AY213" s="24"/>
      <c r="AZ213" s="28"/>
      <c r="BA213" s="28"/>
      <c r="BB213" s="28"/>
      <c r="BC213" s="28"/>
      <c r="BD213" s="28"/>
      <c r="BE213" s="28"/>
      <c r="BF213" s="24"/>
      <c r="BG213" s="28"/>
      <c r="BH213" s="28"/>
      <c r="BI213" s="28"/>
      <c r="BJ213" s="24"/>
      <c r="BK213" s="28"/>
      <c r="BL213" s="28"/>
      <c r="BM213" s="28"/>
    </row>
    <row r="214" spans="1:65">
      <c r="A214" s="24"/>
      <c r="B214" s="28"/>
      <c r="C214" s="25"/>
      <c r="D214" s="26"/>
      <c r="E214" s="24"/>
      <c r="F214" s="24"/>
      <c r="G214" s="26"/>
      <c r="H214" s="26"/>
      <c r="I214" s="26"/>
      <c r="J214" s="26"/>
      <c r="K214" s="26"/>
      <c r="L214" s="26"/>
      <c r="M214" s="26"/>
      <c r="N214" s="26"/>
      <c r="O214" s="26"/>
      <c r="P214" s="26"/>
      <c r="R214" s="24"/>
      <c r="S214" s="26"/>
      <c r="T214" s="25"/>
      <c r="U214" s="24"/>
      <c r="V214" s="24"/>
      <c r="W214" s="24"/>
      <c r="X214" s="26"/>
      <c r="Y214" s="26"/>
      <c r="Z214" s="24"/>
      <c r="AA214" s="26"/>
      <c r="AB214" s="25"/>
      <c r="AC214" s="24"/>
      <c r="AD214" s="24"/>
      <c r="AE214" s="24"/>
      <c r="AF214" s="26"/>
      <c r="AG214" s="26"/>
      <c r="AH214" s="24"/>
      <c r="AI214" s="24"/>
      <c r="AJ214" s="24"/>
      <c r="AK214" s="28"/>
      <c r="AL214" s="28"/>
      <c r="AM214" s="28"/>
      <c r="AN214" s="28"/>
      <c r="AO214" s="28"/>
      <c r="AP214" s="28"/>
      <c r="AQ214" s="28"/>
      <c r="AR214" s="28"/>
      <c r="AS214" s="28"/>
      <c r="AT214" s="28"/>
      <c r="AU214" s="28"/>
      <c r="AV214" s="28"/>
      <c r="AW214" s="28"/>
      <c r="AX214" s="28"/>
      <c r="AY214" s="24"/>
      <c r="AZ214" s="28"/>
      <c r="BA214" s="28"/>
      <c r="BB214" s="28"/>
      <c r="BC214" s="28"/>
      <c r="BD214" s="28"/>
      <c r="BE214" s="28"/>
      <c r="BF214" s="24"/>
      <c r="BG214" s="28"/>
      <c r="BH214" s="28"/>
      <c r="BI214" s="28"/>
      <c r="BJ214" s="24"/>
      <c r="BK214" s="28"/>
      <c r="BL214" s="28"/>
      <c r="BM214" s="28"/>
    </row>
    <row r="215" spans="1:65">
      <c r="A215" s="24"/>
      <c r="B215" s="28"/>
      <c r="C215" s="25"/>
      <c r="D215" s="26"/>
      <c r="E215" s="24"/>
      <c r="F215" s="24"/>
      <c r="G215" s="26"/>
      <c r="H215" s="26"/>
      <c r="I215" s="26"/>
      <c r="J215" s="26"/>
      <c r="K215" s="26"/>
      <c r="L215" s="26"/>
      <c r="M215" s="26"/>
      <c r="N215" s="26"/>
      <c r="O215" s="26"/>
      <c r="P215" s="26"/>
      <c r="R215" s="24"/>
      <c r="S215" s="26"/>
      <c r="T215" s="25"/>
      <c r="U215" s="24"/>
      <c r="V215" s="24"/>
      <c r="W215" s="24"/>
      <c r="X215" s="26"/>
      <c r="Y215" s="26"/>
      <c r="Z215" s="24"/>
      <c r="AA215" s="26"/>
      <c r="AB215" s="25"/>
      <c r="AC215" s="24"/>
      <c r="AD215" s="24"/>
      <c r="AE215" s="24"/>
      <c r="AF215" s="26"/>
      <c r="AG215" s="26"/>
      <c r="AH215" s="24"/>
      <c r="AI215" s="24"/>
      <c r="AJ215" s="24"/>
      <c r="AK215" s="28"/>
      <c r="AL215" s="28"/>
      <c r="AM215" s="28"/>
      <c r="AN215" s="28"/>
      <c r="AO215" s="28"/>
      <c r="AP215" s="28"/>
      <c r="AQ215" s="28"/>
      <c r="AR215" s="28"/>
      <c r="AS215" s="28"/>
      <c r="AT215" s="28"/>
      <c r="AU215" s="28"/>
      <c r="AV215" s="28"/>
      <c r="AW215" s="28"/>
      <c r="AX215" s="28"/>
      <c r="AY215" s="24"/>
      <c r="AZ215" s="28"/>
      <c r="BA215" s="28"/>
      <c r="BB215" s="28"/>
      <c r="BC215" s="28"/>
      <c r="BD215" s="28"/>
      <c r="BE215" s="28"/>
      <c r="BF215" s="24"/>
      <c r="BG215" s="28"/>
      <c r="BH215" s="28"/>
      <c r="BI215" s="28"/>
      <c r="BJ215" s="24"/>
      <c r="BK215" s="28"/>
      <c r="BL215" s="28"/>
      <c r="BM215" s="28"/>
    </row>
    <row r="216" spans="1:65">
      <c r="A216" s="24"/>
      <c r="B216" s="28"/>
      <c r="C216" s="25"/>
      <c r="D216" s="26"/>
      <c r="E216" s="24"/>
      <c r="F216" s="24"/>
      <c r="G216" s="26"/>
      <c r="H216" s="26"/>
      <c r="I216" s="26"/>
      <c r="J216" s="26"/>
      <c r="K216" s="26"/>
      <c r="L216" s="26"/>
      <c r="M216" s="26"/>
      <c r="N216" s="26"/>
      <c r="O216" s="26"/>
      <c r="P216" s="26"/>
      <c r="R216" s="24"/>
      <c r="S216" s="26"/>
      <c r="T216" s="25"/>
      <c r="U216" s="24"/>
      <c r="V216" s="24"/>
      <c r="W216" s="24"/>
      <c r="X216" s="26"/>
      <c r="Y216" s="26"/>
      <c r="Z216" s="24"/>
      <c r="AA216" s="26"/>
      <c r="AB216" s="25"/>
      <c r="AC216" s="24"/>
      <c r="AD216" s="24"/>
      <c r="AE216" s="24"/>
      <c r="AF216" s="26"/>
      <c r="AG216" s="26"/>
      <c r="AH216" s="24"/>
      <c r="AI216" s="24"/>
      <c r="AJ216" s="24"/>
      <c r="AK216" s="28"/>
      <c r="AL216" s="28"/>
      <c r="AM216" s="28"/>
      <c r="AN216" s="28"/>
      <c r="AO216" s="28"/>
      <c r="AP216" s="28"/>
      <c r="AQ216" s="28"/>
      <c r="AR216" s="28"/>
      <c r="AS216" s="28"/>
      <c r="AT216" s="28"/>
      <c r="AU216" s="28"/>
      <c r="AV216" s="28"/>
      <c r="AW216" s="28"/>
      <c r="AX216" s="28"/>
      <c r="AY216" s="24"/>
      <c r="AZ216" s="28"/>
      <c r="BA216" s="28"/>
      <c r="BB216" s="28"/>
      <c r="BC216" s="28"/>
      <c r="BD216" s="28"/>
      <c r="BE216" s="28"/>
      <c r="BF216" s="24"/>
      <c r="BG216" s="28"/>
      <c r="BH216" s="28"/>
      <c r="BI216" s="28"/>
      <c r="BJ216" s="24"/>
      <c r="BK216" s="28"/>
      <c r="BL216" s="28"/>
      <c r="BM216" s="28"/>
    </row>
    <row r="217" spans="1:65">
      <c r="A217" s="24"/>
      <c r="B217" s="28"/>
      <c r="C217" s="82"/>
      <c r="D217" s="26"/>
      <c r="E217" s="24"/>
      <c r="F217" s="24"/>
      <c r="G217" s="26"/>
      <c r="H217" s="26"/>
      <c r="I217" s="26"/>
      <c r="J217" s="26"/>
      <c r="K217" s="26"/>
      <c r="L217" s="26"/>
      <c r="M217" s="26"/>
      <c r="N217" s="26"/>
      <c r="O217" s="26"/>
      <c r="P217" s="26"/>
      <c r="R217" s="24"/>
      <c r="S217" s="26"/>
      <c r="T217" s="25"/>
      <c r="U217" s="24"/>
      <c r="V217" s="24"/>
      <c r="W217" s="24"/>
      <c r="X217" s="26"/>
      <c r="Y217" s="26"/>
      <c r="Z217" s="24"/>
      <c r="AA217" s="26"/>
      <c r="AB217" s="25"/>
      <c r="AC217" s="24"/>
      <c r="AD217" s="24"/>
      <c r="AE217" s="24"/>
      <c r="AF217" s="26"/>
      <c r="AG217" s="26"/>
      <c r="AH217" s="24"/>
      <c r="AI217" s="24"/>
      <c r="AJ217" s="24"/>
      <c r="AK217" s="28"/>
      <c r="AL217" s="28"/>
      <c r="AM217" s="28"/>
      <c r="AN217" s="28"/>
      <c r="AO217" s="28"/>
      <c r="AP217" s="28"/>
      <c r="AQ217" s="28"/>
      <c r="AR217" s="28"/>
      <c r="AS217" s="28"/>
      <c r="AT217" s="28"/>
      <c r="AU217" s="28"/>
      <c r="AV217" s="28"/>
      <c r="AW217" s="28"/>
      <c r="AX217" s="28"/>
      <c r="AY217" s="24"/>
      <c r="AZ217" s="28"/>
      <c r="BA217" s="28"/>
      <c r="BB217" s="28"/>
      <c r="BC217" s="28"/>
      <c r="BD217" s="28"/>
      <c r="BE217" s="28"/>
      <c r="BF217" s="24"/>
      <c r="BG217" s="28"/>
      <c r="BH217" s="28"/>
      <c r="BI217" s="28"/>
      <c r="BJ217" s="24"/>
      <c r="BK217" s="28"/>
      <c r="BL217" s="28"/>
      <c r="BM217" s="28"/>
    </row>
    <row r="218" spans="1:65">
      <c r="A218" s="24"/>
      <c r="B218" s="28"/>
      <c r="C218" s="25"/>
      <c r="D218" s="26"/>
      <c r="E218" s="24"/>
      <c r="F218" s="24"/>
      <c r="G218" s="26"/>
      <c r="H218" s="26"/>
      <c r="I218" s="26"/>
      <c r="J218" s="26"/>
      <c r="K218" s="26"/>
      <c r="L218" s="26"/>
      <c r="M218" s="26"/>
      <c r="N218" s="26"/>
      <c r="O218" s="26"/>
      <c r="P218" s="26"/>
      <c r="R218" s="24"/>
      <c r="S218" s="26"/>
      <c r="T218" s="25"/>
      <c r="U218" s="24"/>
      <c r="V218" s="24"/>
      <c r="W218" s="24"/>
      <c r="X218" s="26"/>
      <c r="Y218" s="26"/>
      <c r="Z218" s="24"/>
      <c r="AA218" s="26"/>
      <c r="AB218" s="25"/>
      <c r="AC218" s="24"/>
      <c r="AD218" s="24"/>
      <c r="AE218" s="24"/>
      <c r="AF218" s="26"/>
      <c r="AG218" s="26"/>
      <c r="AH218" s="24"/>
      <c r="AI218" s="24"/>
      <c r="AJ218" s="24"/>
      <c r="AK218" s="28"/>
      <c r="AL218" s="28"/>
      <c r="AM218" s="28"/>
      <c r="AN218" s="28"/>
      <c r="AO218" s="28"/>
      <c r="AP218" s="28"/>
      <c r="AQ218" s="28"/>
      <c r="AR218" s="28"/>
      <c r="AS218" s="28"/>
      <c r="AT218" s="28"/>
      <c r="AU218" s="28"/>
      <c r="AV218" s="28"/>
      <c r="AW218" s="28"/>
      <c r="AX218" s="28"/>
      <c r="AY218" s="24"/>
      <c r="AZ218" s="28"/>
      <c r="BA218" s="28"/>
      <c r="BB218" s="28"/>
      <c r="BC218" s="28"/>
      <c r="BD218" s="28"/>
      <c r="BE218" s="28"/>
      <c r="BF218" s="24"/>
      <c r="BG218" s="28"/>
      <c r="BH218" s="28"/>
      <c r="BI218" s="28"/>
      <c r="BJ218" s="24"/>
      <c r="BK218" s="28"/>
      <c r="BL218" s="28"/>
      <c r="BM218" s="28"/>
    </row>
    <row r="219" spans="1:65">
      <c r="A219" s="24"/>
      <c r="B219" s="28"/>
      <c r="C219" s="25"/>
      <c r="D219" s="26"/>
      <c r="E219" s="24"/>
      <c r="F219" s="24"/>
      <c r="G219" s="26"/>
      <c r="H219" s="26"/>
      <c r="I219" s="26"/>
      <c r="J219" s="26"/>
      <c r="K219" s="26"/>
      <c r="L219" s="26"/>
      <c r="M219" s="26"/>
      <c r="N219" s="26"/>
      <c r="O219" s="26"/>
      <c r="P219" s="26"/>
      <c r="R219" s="24"/>
      <c r="S219" s="26"/>
      <c r="T219" s="25"/>
      <c r="U219" s="24"/>
      <c r="V219" s="24"/>
      <c r="W219" s="24"/>
      <c r="X219" s="26"/>
      <c r="Y219" s="26"/>
      <c r="Z219" s="24"/>
      <c r="AA219" s="26"/>
      <c r="AB219" s="25"/>
      <c r="AC219" s="24"/>
      <c r="AD219" s="24"/>
      <c r="AE219" s="24"/>
      <c r="AF219" s="26"/>
      <c r="AG219" s="26"/>
      <c r="AH219" s="24"/>
      <c r="AI219" s="24"/>
      <c r="AJ219" s="24"/>
      <c r="AK219" s="28"/>
      <c r="AL219" s="28"/>
      <c r="AM219" s="28"/>
      <c r="AN219" s="28"/>
      <c r="AO219" s="28"/>
      <c r="AP219" s="28"/>
      <c r="AQ219" s="28"/>
      <c r="AR219" s="28"/>
      <c r="AS219" s="28"/>
      <c r="AT219" s="28"/>
      <c r="AU219" s="28"/>
      <c r="AV219" s="28"/>
      <c r="AW219" s="28"/>
      <c r="AX219" s="28"/>
      <c r="AY219" s="24"/>
      <c r="AZ219" s="28"/>
      <c r="BA219" s="28"/>
      <c r="BB219" s="28"/>
      <c r="BC219" s="28"/>
      <c r="BD219" s="28"/>
      <c r="BE219" s="28"/>
      <c r="BF219" s="24"/>
      <c r="BG219" s="28"/>
      <c r="BH219" s="28"/>
      <c r="BI219" s="28"/>
      <c r="BJ219" s="24"/>
      <c r="BK219" s="28"/>
      <c r="BL219" s="28"/>
      <c r="BM219" s="28"/>
    </row>
    <row r="220" spans="1:65">
      <c r="A220" s="24"/>
      <c r="B220" s="28"/>
      <c r="C220" s="25"/>
      <c r="D220" s="26"/>
      <c r="E220" s="24"/>
      <c r="F220" s="24"/>
      <c r="G220" s="26"/>
      <c r="H220" s="26"/>
      <c r="I220" s="26"/>
      <c r="J220" s="26"/>
      <c r="K220" s="26"/>
      <c r="L220" s="26"/>
      <c r="M220" s="26"/>
      <c r="N220" s="26"/>
      <c r="O220" s="26"/>
      <c r="P220" s="26"/>
      <c r="R220" s="24"/>
      <c r="S220" s="26"/>
      <c r="T220" s="25"/>
      <c r="U220" s="24"/>
      <c r="V220" s="24"/>
      <c r="W220" s="24"/>
      <c r="X220" s="26"/>
      <c r="Y220" s="26"/>
      <c r="Z220" s="24"/>
      <c r="AA220" s="26"/>
      <c r="AB220" s="25"/>
      <c r="AC220" s="24"/>
      <c r="AD220" s="24"/>
      <c r="AE220" s="24"/>
      <c r="AF220" s="26"/>
      <c r="AG220" s="26"/>
      <c r="AH220" s="24"/>
      <c r="AI220" s="24"/>
      <c r="AJ220" s="24"/>
      <c r="AK220" s="28"/>
      <c r="AL220" s="28"/>
      <c r="AM220" s="28"/>
      <c r="AN220" s="28"/>
      <c r="AO220" s="28"/>
      <c r="AP220" s="28"/>
      <c r="AQ220" s="28"/>
      <c r="AR220" s="28"/>
      <c r="AS220" s="28"/>
      <c r="AT220" s="28"/>
      <c r="AU220" s="28"/>
      <c r="AV220" s="28"/>
      <c r="AW220" s="28"/>
      <c r="AX220" s="28"/>
      <c r="AY220" s="24"/>
      <c r="AZ220" s="28"/>
      <c r="BA220" s="28"/>
      <c r="BB220" s="28"/>
      <c r="BC220" s="28"/>
      <c r="BD220" s="28"/>
      <c r="BE220" s="28"/>
      <c r="BF220" s="24"/>
      <c r="BG220" s="28"/>
      <c r="BH220" s="28"/>
      <c r="BI220" s="28"/>
      <c r="BJ220" s="24"/>
      <c r="BK220" s="28"/>
      <c r="BL220" s="28"/>
      <c r="BM220" s="28"/>
    </row>
    <row r="221" spans="1:65">
      <c r="A221" s="24"/>
      <c r="B221" s="28"/>
      <c r="C221" s="25"/>
      <c r="D221" s="26"/>
      <c r="E221" s="24"/>
      <c r="F221" s="24"/>
      <c r="G221" s="26"/>
      <c r="H221" s="26"/>
      <c r="I221" s="26"/>
      <c r="J221" s="26"/>
      <c r="K221" s="26"/>
      <c r="L221" s="26"/>
      <c r="M221" s="26"/>
      <c r="N221" s="26"/>
      <c r="O221" s="26"/>
      <c r="P221" s="26"/>
      <c r="R221" s="24"/>
      <c r="S221" s="26"/>
      <c r="T221" s="25"/>
      <c r="U221" s="24"/>
      <c r="V221" s="24"/>
      <c r="W221" s="24"/>
      <c r="X221" s="26"/>
      <c r="Y221" s="26"/>
      <c r="Z221" s="24"/>
      <c r="AA221" s="26"/>
      <c r="AB221" s="25"/>
      <c r="AC221" s="24"/>
      <c r="AD221" s="24"/>
      <c r="AE221" s="24"/>
      <c r="AF221" s="26"/>
      <c r="AG221" s="26"/>
      <c r="AH221" s="24"/>
      <c r="AI221" s="24"/>
      <c r="AJ221" s="24"/>
      <c r="AK221" s="28"/>
      <c r="AL221" s="28"/>
      <c r="AM221" s="28"/>
      <c r="AN221" s="28"/>
      <c r="AO221" s="28"/>
      <c r="AP221" s="28"/>
      <c r="AQ221" s="28"/>
      <c r="AR221" s="28"/>
      <c r="AS221" s="28"/>
      <c r="AT221" s="28"/>
      <c r="AU221" s="28"/>
      <c r="AV221" s="28"/>
      <c r="AW221" s="28"/>
      <c r="AX221" s="28"/>
      <c r="AY221" s="24"/>
      <c r="AZ221" s="28"/>
      <c r="BA221" s="28"/>
      <c r="BB221" s="28"/>
      <c r="BC221" s="28"/>
      <c r="BD221" s="28"/>
      <c r="BE221" s="28"/>
      <c r="BF221" s="24"/>
      <c r="BG221" s="28"/>
      <c r="BH221" s="28"/>
      <c r="BI221" s="28"/>
      <c r="BJ221" s="24"/>
      <c r="BK221" s="28"/>
      <c r="BL221" s="28"/>
      <c r="BM221" s="28"/>
    </row>
    <row r="222" spans="1:65">
      <c r="A222" s="24"/>
      <c r="B222" s="28"/>
      <c r="C222" s="25"/>
      <c r="D222" s="26"/>
      <c r="E222" s="24"/>
      <c r="F222" s="24"/>
      <c r="G222" s="26"/>
      <c r="H222" s="26"/>
      <c r="I222" s="26"/>
      <c r="J222" s="26"/>
      <c r="K222" s="26"/>
      <c r="L222" s="26"/>
      <c r="M222" s="26"/>
      <c r="N222" s="26"/>
      <c r="O222" s="26"/>
      <c r="P222" s="26"/>
      <c r="R222" s="24"/>
      <c r="S222" s="26"/>
      <c r="T222" s="25"/>
      <c r="U222" s="24"/>
      <c r="V222" s="24"/>
      <c r="W222" s="24"/>
      <c r="X222" s="26"/>
      <c r="Y222" s="26"/>
      <c r="Z222" s="24"/>
      <c r="AA222" s="26"/>
      <c r="AB222" s="25"/>
      <c r="AC222" s="24"/>
      <c r="AD222" s="24"/>
      <c r="AE222" s="24"/>
      <c r="AF222" s="26"/>
      <c r="AG222" s="26"/>
      <c r="AH222" s="24"/>
      <c r="AI222" s="24"/>
      <c r="AJ222" s="24"/>
      <c r="AK222" s="28"/>
      <c r="AL222" s="28"/>
      <c r="AM222" s="28"/>
      <c r="AN222" s="28"/>
      <c r="AO222" s="28"/>
      <c r="AP222" s="28"/>
      <c r="AQ222" s="28"/>
      <c r="AR222" s="28"/>
      <c r="AS222" s="28"/>
      <c r="AT222" s="28"/>
      <c r="AU222" s="28"/>
      <c r="AV222" s="28"/>
      <c r="AW222" s="28"/>
      <c r="AX222" s="28"/>
      <c r="AY222" s="24"/>
      <c r="AZ222" s="28"/>
      <c r="BA222" s="28"/>
      <c r="BB222" s="28"/>
      <c r="BC222" s="28"/>
      <c r="BD222" s="28"/>
      <c r="BE222" s="28"/>
      <c r="BF222" s="24"/>
      <c r="BG222" s="28"/>
      <c r="BH222" s="28"/>
      <c r="BI222" s="28"/>
      <c r="BJ222" s="24"/>
      <c r="BK222" s="28"/>
      <c r="BL222" s="28"/>
      <c r="BM222" s="28"/>
    </row>
    <row r="223" spans="1:65">
      <c r="A223" s="24"/>
      <c r="B223" s="28"/>
      <c r="C223" s="25"/>
      <c r="D223" s="26"/>
      <c r="E223" s="24"/>
      <c r="F223" s="24"/>
      <c r="G223" s="26"/>
      <c r="H223" s="26"/>
      <c r="I223" s="26"/>
      <c r="J223" s="26"/>
      <c r="K223" s="26"/>
      <c r="L223" s="26"/>
      <c r="M223" s="26"/>
      <c r="N223" s="26"/>
      <c r="O223" s="26"/>
      <c r="P223" s="26"/>
      <c r="R223" s="24"/>
      <c r="S223" s="26"/>
      <c r="T223" s="25"/>
      <c r="U223" s="24"/>
      <c r="V223" s="24"/>
      <c r="W223" s="24"/>
      <c r="X223" s="26"/>
      <c r="Y223" s="26"/>
      <c r="Z223" s="24"/>
      <c r="AA223" s="26"/>
      <c r="AB223" s="25"/>
      <c r="AC223" s="24"/>
      <c r="AD223" s="24"/>
      <c r="AE223" s="24"/>
      <c r="AF223" s="26"/>
      <c r="AG223" s="26"/>
      <c r="AH223" s="24"/>
      <c r="AI223" s="24"/>
      <c r="AJ223" s="24"/>
      <c r="AK223" s="28"/>
      <c r="AL223" s="28"/>
      <c r="AM223" s="28"/>
      <c r="AN223" s="28"/>
      <c r="AO223" s="28"/>
      <c r="AP223" s="28"/>
      <c r="AQ223" s="28"/>
      <c r="AR223" s="28"/>
      <c r="AS223" s="28"/>
      <c r="AT223" s="28"/>
      <c r="AU223" s="28"/>
      <c r="AV223" s="28"/>
      <c r="AW223" s="28"/>
      <c r="AX223" s="28"/>
      <c r="AY223" s="24"/>
      <c r="AZ223" s="28"/>
      <c r="BA223" s="28"/>
      <c r="BB223" s="28"/>
      <c r="BC223" s="28"/>
      <c r="BD223" s="28"/>
      <c r="BE223" s="28"/>
      <c r="BF223" s="24"/>
      <c r="BG223" s="28"/>
      <c r="BH223" s="28"/>
      <c r="BI223" s="28"/>
      <c r="BJ223" s="24"/>
      <c r="BK223" s="28"/>
      <c r="BL223" s="28"/>
      <c r="BM223" s="28"/>
    </row>
    <row r="224" spans="1:65">
      <c r="A224" s="24"/>
      <c r="B224" s="28"/>
      <c r="C224" s="25"/>
      <c r="D224" s="26"/>
      <c r="E224" s="24"/>
      <c r="F224" s="24"/>
      <c r="G224" s="26"/>
      <c r="H224" s="26"/>
      <c r="I224" s="26"/>
      <c r="J224" s="26"/>
      <c r="K224" s="26"/>
      <c r="L224" s="26"/>
      <c r="M224" s="26"/>
      <c r="N224" s="26"/>
      <c r="O224" s="26"/>
      <c r="P224" s="26"/>
      <c r="R224" s="24"/>
      <c r="S224" s="26"/>
      <c r="T224" s="25"/>
      <c r="U224" s="24"/>
      <c r="V224" s="24"/>
      <c r="W224" s="24"/>
      <c r="X224" s="26"/>
      <c r="Y224" s="26"/>
      <c r="Z224" s="24"/>
      <c r="AA224" s="26"/>
      <c r="AB224" s="25"/>
      <c r="AC224" s="24"/>
      <c r="AD224" s="24"/>
      <c r="AE224" s="24"/>
      <c r="AF224" s="26"/>
      <c r="AG224" s="26"/>
      <c r="AH224" s="24"/>
      <c r="AI224" s="24"/>
      <c r="AJ224" s="24"/>
      <c r="AK224" s="28"/>
      <c r="AL224" s="28"/>
      <c r="AM224" s="28"/>
      <c r="AN224" s="28"/>
      <c r="AO224" s="28"/>
      <c r="AP224" s="28"/>
      <c r="AQ224" s="28"/>
      <c r="AR224" s="28"/>
      <c r="AS224" s="28"/>
      <c r="AT224" s="28"/>
      <c r="AU224" s="28"/>
      <c r="AV224" s="28"/>
      <c r="AW224" s="28"/>
      <c r="AX224" s="28"/>
      <c r="AY224" s="24"/>
      <c r="AZ224" s="28"/>
      <c r="BA224" s="28"/>
      <c r="BB224" s="28"/>
      <c r="BC224" s="28"/>
      <c r="BD224" s="28"/>
      <c r="BE224" s="28"/>
      <c r="BF224" s="24"/>
      <c r="BG224" s="28"/>
      <c r="BH224" s="28"/>
      <c r="BI224" s="28"/>
      <c r="BJ224" s="24"/>
      <c r="BK224" s="28"/>
      <c r="BL224" s="28"/>
      <c r="BM224" s="28"/>
    </row>
    <row r="225" spans="1:65">
      <c r="A225" s="24"/>
      <c r="B225" s="28"/>
      <c r="C225" s="25"/>
      <c r="D225" s="26"/>
      <c r="E225" s="24"/>
      <c r="F225" s="24"/>
      <c r="G225" s="26"/>
      <c r="H225" s="26"/>
      <c r="I225" s="26"/>
      <c r="J225" s="26"/>
      <c r="K225" s="26"/>
      <c r="L225" s="26"/>
      <c r="M225" s="26"/>
      <c r="N225" s="26"/>
      <c r="O225" s="26"/>
      <c r="P225" s="26"/>
      <c r="R225" s="24"/>
      <c r="S225" s="26"/>
      <c r="T225" s="25"/>
      <c r="U225" s="24"/>
      <c r="V225" s="24"/>
      <c r="W225" s="24"/>
      <c r="X225" s="26"/>
      <c r="Y225" s="26"/>
      <c r="Z225" s="24"/>
      <c r="AA225" s="26"/>
      <c r="AB225" s="25"/>
      <c r="AC225" s="24"/>
      <c r="AD225" s="24"/>
      <c r="AE225" s="24"/>
      <c r="AF225" s="26"/>
      <c r="AG225" s="26"/>
      <c r="AH225" s="24"/>
      <c r="AI225" s="24"/>
      <c r="AJ225" s="24"/>
      <c r="AK225" s="28"/>
      <c r="AL225" s="28"/>
      <c r="AM225" s="28"/>
      <c r="AN225" s="28"/>
      <c r="AO225" s="28"/>
      <c r="AP225" s="28"/>
      <c r="AQ225" s="28"/>
      <c r="AR225" s="28"/>
      <c r="AS225" s="28"/>
      <c r="AT225" s="28"/>
      <c r="AU225" s="28"/>
      <c r="AV225" s="28"/>
      <c r="AW225" s="28"/>
      <c r="AX225" s="28"/>
      <c r="AY225" s="24"/>
      <c r="AZ225" s="28"/>
      <c r="BA225" s="28"/>
      <c r="BB225" s="28"/>
      <c r="BC225" s="28"/>
      <c r="BD225" s="28"/>
      <c r="BE225" s="28"/>
      <c r="BF225" s="24"/>
      <c r="BG225" s="28"/>
      <c r="BH225" s="28"/>
      <c r="BI225" s="28"/>
      <c r="BJ225" s="24"/>
      <c r="BK225" s="28"/>
      <c r="BL225" s="28"/>
      <c r="BM225" s="28"/>
    </row>
    <row r="226" spans="1:65">
      <c r="A226" s="24"/>
      <c r="B226" s="28"/>
      <c r="C226" s="25"/>
      <c r="D226" s="26"/>
      <c r="E226" s="24"/>
      <c r="F226" s="24"/>
      <c r="G226" s="26"/>
      <c r="H226" s="26"/>
      <c r="I226" s="26"/>
      <c r="J226" s="26"/>
      <c r="K226" s="26"/>
      <c r="L226" s="26"/>
      <c r="M226" s="26"/>
      <c r="N226" s="26"/>
      <c r="O226" s="26"/>
      <c r="P226" s="26"/>
      <c r="R226" s="24"/>
      <c r="S226" s="26"/>
      <c r="T226" s="25"/>
      <c r="U226" s="24"/>
      <c r="V226" s="24"/>
      <c r="W226" s="24"/>
      <c r="X226" s="26"/>
      <c r="Y226" s="26"/>
      <c r="Z226" s="24"/>
      <c r="AA226" s="26"/>
      <c r="AB226" s="25"/>
      <c r="AC226" s="24"/>
      <c r="AD226" s="24"/>
      <c r="AE226" s="24"/>
      <c r="AF226" s="26"/>
      <c r="AG226" s="26"/>
      <c r="AH226" s="24"/>
      <c r="AI226" s="24"/>
      <c r="AJ226" s="24"/>
      <c r="AK226" s="28"/>
      <c r="AL226" s="28"/>
      <c r="AM226" s="28"/>
      <c r="AN226" s="28"/>
      <c r="AO226" s="28"/>
      <c r="AP226" s="28"/>
      <c r="AQ226" s="28"/>
      <c r="AR226" s="28"/>
      <c r="AS226" s="28"/>
      <c r="AT226" s="28"/>
      <c r="AU226" s="28"/>
      <c r="AV226" s="28"/>
      <c r="AW226" s="28"/>
      <c r="AX226" s="28"/>
      <c r="AY226" s="24"/>
      <c r="AZ226" s="28"/>
      <c r="BA226" s="28"/>
      <c r="BB226" s="28"/>
      <c r="BC226" s="28"/>
      <c r="BD226" s="28"/>
      <c r="BE226" s="28"/>
      <c r="BF226" s="24"/>
      <c r="BG226" s="28"/>
      <c r="BH226" s="28"/>
      <c r="BI226" s="28"/>
      <c r="BJ226" s="24"/>
      <c r="BK226" s="28"/>
      <c r="BL226" s="28"/>
      <c r="BM226" s="28"/>
    </row>
    <row r="227" spans="1:65">
      <c r="A227" s="24"/>
      <c r="B227" s="28"/>
      <c r="C227" s="25"/>
      <c r="D227" s="26"/>
      <c r="E227" s="24"/>
      <c r="F227" s="24"/>
      <c r="G227" s="26"/>
      <c r="H227" s="26"/>
      <c r="I227" s="26"/>
      <c r="J227" s="26"/>
      <c r="K227" s="26"/>
      <c r="L227" s="26"/>
      <c r="M227" s="26"/>
      <c r="N227" s="26"/>
      <c r="O227" s="26"/>
      <c r="P227" s="26"/>
      <c r="R227" s="24"/>
      <c r="S227" s="26"/>
      <c r="T227" s="25"/>
      <c r="U227" s="24"/>
      <c r="V227" s="24"/>
      <c r="W227" s="24"/>
      <c r="X227" s="26"/>
      <c r="Y227" s="26"/>
      <c r="Z227" s="24"/>
      <c r="AA227" s="26"/>
      <c r="AB227" s="25"/>
      <c r="AC227" s="24"/>
      <c r="AD227" s="24"/>
      <c r="AE227" s="24"/>
      <c r="AF227" s="26"/>
      <c r="AG227" s="26"/>
      <c r="AH227" s="24"/>
      <c r="AI227" s="24"/>
      <c r="AJ227" s="24"/>
      <c r="AK227" s="28"/>
      <c r="AL227" s="28"/>
      <c r="AM227" s="28"/>
      <c r="AN227" s="28"/>
      <c r="AO227" s="28"/>
      <c r="AP227" s="28"/>
      <c r="AQ227" s="28"/>
      <c r="AR227" s="28"/>
      <c r="AS227" s="28"/>
      <c r="AT227" s="28"/>
      <c r="AU227" s="28"/>
      <c r="AV227" s="28"/>
      <c r="AW227" s="28"/>
      <c r="AX227" s="28"/>
      <c r="AY227" s="24"/>
      <c r="AZ227" s="28"/>
      <c r="BA227" s="28"/>
      <c r="BB227" s="28"/>
      <c r="BC227" s="28"/>
      <c r="BD227" s="28"/>
      <c r="BE227" s="28"/>
      <c r="BF227" s="24"/>
      <c r="BG227" s="28"/>
      <c r="BH227" s="28"/>
      <c r="BI227" s="28"/>
      <c r="BJ227" s="24"/>
      <c r="BK227" s="28"/>
      <c r="BL227" s="28"/>
      <c r="BM227" s="28"/>
    </row>
    <row r="228" spans="1:65">
      <c r="A228" s="24"/>
      <c r="B228" s="28"/>
      <c r="C228" s="25"/>
      <c r="D228" s="26"/>
      <c r="E228" s="24"/>
      <c r="F228" s="24"/>
      <c r="G228" s="26"/>
      <c r="H228" s="26"/>
      <c r="I228" s="26"/>
      <c r="J228" s="26"/>
      <c r="K228" s="26"/>
      <c r="L228" s="26"/>
      <c r="M228" s="26"/>
      <c r="N228" s="26"/>
      <c r="O228" s="26"/>
      <c r="P228" s="26"/>
      <c r="R228" s="24"/>
      <c r="S228" s="26"/>
      <c r="T228" s="25"/>
      <c r="U228" s="24"/>
      <c r="V228" s="24"/>
      <c r="W228" s="24"/>
      <c r="X228" s="26"/>
      <c r="Y228" s="26"/>
      <c r="Z228" s="24"/>
      <c r="AA228" s="26"/>
      <c r="AB228" s="25"/>
      <c r="AC228" s="24"/>
      <c r="AD228" s="24"/>
      <c r="AE228" s="24"/>
      <c r="AF228" s="26"/>
      <c r="AG228" s="26"/>
      <c r="AH228" s="24"/>
      <c r="AI228" s="24"/>
      <c r="AJ228" s="24"/>
      <c r="AK228" s="28"/>
      <c r="AL228" s="28"/>
      <c r="AM228" s="28"/>
      <c r="AN228" s="28"/>
      <c r="AO228" s="28"/>
      <c r="AP228" s="28"/>
      <c r="AQ228" s="28"/>
      <c r="AR228" s="28"/>
      <c r="AS228" s="28"/>
      <c r="AT228" s="28"/>
      <c r="AU228" s="28"/>
      <c r="AV228" s="28"/>
      <c r="AW228" s="28"/>
      <c r="AX228" s="28"/>
      <c r="AY228" s="24"/>
      <c r="AZ228" s="28"/>
      <c r="BA228" s="28"/>
      <c r="BB228" s="28"/>
      <c r="BC228" s="28"/>
      <c r="BD228" s="28"/>
      <c r="BE228" s="28"/>
      <c r="BF228" s="24"/>
      <c r="BG228" s="28"/>
      <c r="BH228" s="28"/>
      <c r="BI228" s="28"/>
      <c r="BJ228" s="24"/>
      <c r="BK228" s="28"/>
      <c r="BL228" s="28"/>
      <c r="BM228" s="28"/>
    </row>
    <row r="229" spans="1:65">
      <c r="A229" s="24"/>
      <c r="B229" s="28"/>
      <c r="C229" s="25"/>
      <c r="D229" s="26"/>
      <c r="E229" s="24"/>
      <c r="F229" s="24"/>
      <c r="G229" s="26"/>
      <c r="H229" s="26"/>
      <c r="I229" s="26"/>
      <c r="J229" s="26"/>
      <c r="K229" s="26"/>
      <c r="L229" s="26"/>
      <c r="M229" s="26"/>
      <c r="N229" s="26"/>
      <c r="O229" s="26"/>
      <c r="P229" s="26"/>
      <c r="R229" s="24"/>
      <c r="S229" s="26"/>
      <c r="T229" s="25"/>
      <c r="U229" s="24"/>
      <c r="V229" s="24"/>
      <c r="W229" s="24"/>
      <c r="X229" s="26"/>
      <c r="Y229" s="26"/>
      <c r="Z229" s="24"/>
      <c r="AA229" s="26"/>
      <c r="AB229" s="25"/>
      <c r="AC229" s="24"/>
      <c r="AD229" s="24"/>
      <c r="AE229" s="24"/>
      <c r="AF229" s="26"/>
      <c r="AG229" s="26"/>
      <c r="AH229" s="24"/>
      <c r="AI229" s="24"/>
      <c r="AJ229" s="24"/>
      <c r="AK229" s="28"/>
      <c r="AL229" s="28"/>
      <c r="AM229" s="28"/>
      <c r="AN229" s="28"/>
      <c r="AO229" s="28"/>
      <c r="AP229" s="28"/>
      <c r="AQ229" s="28"/>
      <c r="AR229" s="28"/>
      <c r="AS229" s="28"/>
      <c r="AT229" s="28"/>
      <c r="AU229" s="28"/>
      <c r="AV229" s="28"/>
      <c r="AW229" s="28"/>
      <c r="AX229" s="28"/>
      <c r="AY229" s="24"/>
      <c r="AZ229" s="28"/>
      <c r="BA229" s="28"/>
      <c r="BB229" s="28"/>
      <c r="BC229" s="28"/>
      <c r="BD229" s="28"/>
      <c r="BE229" s="28"/>
      <c r="BF229" s="24"/>
      <c r="BG229" s="28"/>
      <c r="BH229" s="28"/>
      <c r="BI229" s="28"/>
      <c r="BJ229" s="24"/>
      <c r="BK229" s="28"/>
      <c r="BL229" s="28"/>
      <c r="BM229" s="28"/>
    </row>
    <row r="230" spans="1:65">
      <c r="A230" s="24"/>
      <c r="B230" s="28"/>
      <c r="C230" s="25"/>
      <c r="D230" s="26"/>
      <c r="E230" s="24"/>
      <c r="F230" s="24"/>
      <c r="G230" s="26"/>
      <c r="H230" s="26"/>
      <c r="I230" s="26"/>
      <c r="J230" s="26"/>
      <c r="K230" s="26"/>
      <c r="L230" s="26"/>
      <c r="M230" s="26"/>
      <c r="N230" s="26"/>
      <c r="O230" s="26"/>
      <c r="P230" s="26"/>
      <c r="R230" s="24"/>
      <c r="S230" s="26"/>
      <c r="T230" s="25"/>
      <c r="U230" s="24"/>
      <c r="V230" s="24"/>
      <c r="W230" s="24"/>
      <c r="X230" s="26"/>
      <c r="Y230" s="26"/>
      <c r="Z230" s="24"/>
      <c r="AA230" s="26"/>
      <c r="AB230" s="25"/>
      <c r="AC230" s="24"/>
      <c r="AD230" s="24"/>
      <c r="AE230" s="24"/>
      <c r="AF230" s="26"/>
      <c r="AG230" s="26"/>
      <c r="AH230" s="24"/>
      <c r="AI230" s="24"/>
      <c r="AJ230" s="24"/>
      <c r="AK230" s="28"/>
      <c r="AL230" s="28"/>
      <c r="AM230" s="28"/>
      <c r="AN230" s="28"/>
      <c r="AO230" s="28"/>
      <c r="AP230" s="28"/>
      <c r="AQ230" s="28"/>
      <c r="AR230" s="28"/>
      <c r="AS230" s="28"/>
      <c r="AT230" s="28"/>
      <c r="AU230" s="28"/>
      <c r="AV230" s="28"/>
      <c r="AW230" s="28"/>
      <c r="AX230" s="28"/>
      <c r="AY230" s="24"/>
      <c r="AZ230" s="28"/>
      <c r="BA230" s="28"/>
      <c r="BB230" s="28"/>
      <c r="BC230" s="28"/>
      <c r="BD230" s="28"/>
      <c r="BE230" s="28"/>
      <c r="BF230" s="24"/>
      <c r="BG230" s="28"/>
      <c r="BH230" s="28"/>
      <c r="BI230" s="28"/>
      <c r="BJ230" s="24"/>
      <c r="BK230" s="28"/>
      <c r="BL230" s="28"/>
      <c r="BM230" s="28"/>
    </row>
    <row r="231" spans="1:65">
      <c r="A231" s="24"/>
      <c r="B231" s="28"/>
      <c r="C231" s="25"/>
      <c r="D231" s="26"/>
      <c r="E231" s="24"/>
      <c r="F231" s="24"/>
      <c r="G231" s="26"/>
      <c r="H231" s="26"/>
      <c r="I231" s="26"/>
      <c r="J231" s="26"/>
      <c r="K231" s="26"/>
      <c r="L231" s="26"/>
      <c r="M231" s="26"/>
      <c r="N231" s="26"/>
      <c r="O231" s="26"/>
      <c r="P231" s="26"/>
      <c r="R231" s="24"/>
      <c r="S231" s="26"/>
      <c r="T231" s="25"/>
      <c r="U231" s="24"/>
      <c r="V231" s="24"/>
      <c r="W231" s="24"/>
      <c r="X231" s="26"/>
      <c r="Y231" s="26"/>
      <c r="Z231" s="24"/>
      <c r="AA231" s="26"/>
      <c r="AB231" s="25"/>
      <c r="AC231" s="24"/>
      <c r="AD231" s="24"/>
      <c r="AE231" s="24"/>
      <c r="AF231" s="26"/>
      <c r="AG231" s="26"/>
      <c r="AH231" s="24"/>
      <c r="AI231" s="24"/>
      <c r="AJ231" s="24"/>
      <c r="AK231" s="28"/>
      <c r="AL231" s="28"/>
      <c r="AM231" s="28"/>
      <c r="AN231" s="28"/>
      <c r="AO231" s="28"/>
      <c r="AP231" s="28"/>
      <c r="AQ231" s="28"/>
      <c r="AR231" s="28"/>
      <c r="AS231" s="28"/>
      <c r="AT231" s="28"/>
      <c r="AU231" s="28"/>
      <c r="AV231" s="28"/>
      <c r="AW231" s="28"/>
      <c r="AX231" s="28"/>
      <c r="AY231" s="24"/>
      <c r="AZ231" s="28"/>
      <c r="BA231" s="28"/>
      <c r="BB231" s="28"/>
      <c r="BC231" s="28"/>
      <c r="BD231" s="28"/>
      <c r="BE231" s="28"/>
      <c r="BF231" s="24"/>
      <c r="BG231" s="28"/>
      <c r="BH231" s="28"/>
      <c r="BI231" s="28"/>
      <c r="BJ231" s="24"/>
      <c r="BK231" s="28"/>
      <c r="BL231" s="28"/>
      <c r="BM231" s="28"/>
    </row>
    <row r="232" spans="1:65">
      <c r="A232" s="24"/>
      <c r="B232" s="28"/>
      <c r="C232" s="25"/>
      <c r="D232" s="26"/>
      <c r="E232" s="24"/>
      <c r="F232" s="24"/>
      <c r="G232" s="26"/>
      <c r="H232" s="26"/>
      <c r="I232" s="26"/>
      <c r="J232" s="26"/>
      <c r="K232" s="26"/>
      <c r="L232" s="26"/>
      <c r="M232" s="26"/>
      <c r="N232" s="26"/>
      <c r="O232" s="26"/>
      <c r="P232" s="26"/>
      <c r="R232" s="24"/>
      <c r="S232" s="26"/>
      <c r="T232" s="25"/>
      <c r="U232" s="24"/>
      <c r="V232" s="24"/>
      <c r="W232" s="24"/>
      <c r="X232" s="26"/>
      <c r="Y232" s="26"/>
      <c r="Z232" s="24"/>
      <c r="AA232" s="26"/>
      <c r="AB232" s="25"/>
      <c r="AC232" s="24"/>
      <c r="AD232" s="24"/>
      <c r="AE232" s="24"/>
      <c r="AF232" s="26"/>
      <c r="AG232" s="26"/>
      <c r="AH232" s="24"/>
      <c r="AI232" s="24"/>
      <c r="AJ232" s="24"/>
      <c r="AK232" s="28"/>
      <c r="AL232" s="28"/>
      <c r="AM232" s="28"/>
      <c r="AN232" s="28"/>
      <c r="AO232" s="28"/>
      <c r="AP232" s="28"/>
      <c r="AQ232" s="28"/>
      <c r="AR232" s="28"/>
      <c r="AS232" s="28"/>
      <c r="AT232" s="28"/>
      <c r="AU232" s="28"/>
      <c r="AV232" s="28"/>
      <c r="AW232" s="28"/>
      <c r="AX232" s="28"/>
      <c r="AY232" s="24"/>
      <c r="AZ232" s="28"/>
      <c r="BA232" s="28"/>
      <c r="BB232" s="28"/>
      <c r="BC232" s="28"/>
      <c r="BD232" s="28"/>
      <c r="BE232" s="28"/>
      <c r="BF232" s="24"/>
      <c r="BG232" s="28"/>
      <c r="BH232" s="28"/>
      <c r="BI232" s="28"/>
      <c r="BJ232" s="24"/>
      <c r="BK232" s="28"/>
      <c r="BL232" s="28"/>
      <c r="BM232" s="28"/>
    </row>
    <row r="233" spans="1:65">
      <c r="A233" s="24"/>
      <c r="B233" s="28"/>
      <c r="C233" s="25"/>
      <c r="D233" s="26"/>
      <c r="E233" s="24"/>
      <c r="F233" s="24"/>
      <c r="G233" s="26"/>
      <c r="H233" s="26"/>
      <c r="I233" s="26"/>
      <c r="J233" s="26"/>
      <c r="K233" s="26"/>
      <c r="L233" s="26"/>
      <c r="M233" s="26"/>
      <c r="N233" s="26"/>
      <c r="O233" s="26"/>
      <c r="P233" s="26"/>
      <c r="R233" s="24"/>
      <c r="S233" s="26"/>
      <c r="T233" s="25"/>
      <c r="U233" s="24"/>
      <c r="V233" s="24"/>
      <c r="W233" s="24"/>
      <c r="X233" s="26"/>
      <c r="Y233" s="26"/>
      <c r="Z233" s="24"/>
      <c r="AA233" s="26"/>
      <c r="AB233" s="25"/>
      <c r="AC233" s="24"/>
      <c r="AD233" s="24"/>
      <c r="AE233" s="24"/>
      <c r="AF233" s="26"/>
      <c r="AG233" s="26"/>
      <c r="AH233" s="24"/>
      <c r="AI233" s="24"/>
      <c r="AJ233" s="24"/>
      <c r="AK233" s="28"/>
      <c r="AL233" s="28"/>
      <c r="AM233" s="28"/>
      <c r="AN233" s="28"/>
      <c r="AO233" s="28"/>
      <c r="AP233" s="28"/>
      <c r="AQ233" s="28"/>
      <c r="AR233" s="28"/>
      <c r="AS233" s="28"/>
      <c r="AT233" s="28"/>
      <c r="AU233" s="28"/>
      <c r="AV233" s="28"/>
      <c r="AW233" s="28"/>
      <c r="AX233" s="28"/>
      <c r="AY233" s="24"/>
      <c r="AZ233" s="28"/>
      <c r="BA233" s="28"/>
      <c r="BB233" s="28"/>
      <c r="BC233" s="28"/>
      <c r="BD233" s="28"/>
      <c r="BE233" s="28"/>
      <c r="BF233" s="24"/>
      <c r="BG233" s="28"/>
      <c r="BH233" s="28"/>
      <c r="BI233" s="28"/>
      <c r="BJ233" s="24"/>
      <c r="BK233" s="28"/>
      <c r="BL233" s="28"/>
      <c r="BM233" s="28"/>
    </row>
    <row r="234" spans="1:65">
      <c r="A234" s="24"/>
      <c r="B234" s="28"/>
      <c r="C234" s="25"/>
      <c r="D234" s="26"/>
      <c r="E234" s="24"/>
      <c r="F234" s="24"/>
      <c r="G234" s="26"/>
      <c r="H234" s="26"/>
      <c r="I234" s="26"/>
      <c r="J234" s="26"/>
      <c r="K234" s="26"/>
      <c r="L234" s="26"/>
      <c r="M234" s="26"/>
      <c r="N234" s="26"/>
      <c r="O234" s="26"/>
      <c r="P234" s="26"/>
      <c r="R234" s="24"/>
      <c r="S234" s="26"/>
      <c r="T234" s="25"/>
      <c r="U234" s="24"/>
      <c r="V234" s="24"/>
      <c r="W234" s="24"/>
      <c r="X234" s="26"/>
      <c r="Y234" s="26"/>
      <c r="Z234" s="24"/>
      <c r="AA234" s="26"/>
      <c r="AB234" s="25"/>
      <c r="AC234" s="24"/>
      <c r="AD234" s="24"/>
      <c r="AE234" s="24"/>
      <c r="AF234" s="26"/>
      <c r="AG234" s="26"/>
      <c r="AH234" s="24"/>
      <c r="AI234" s="24"/>
      <c r="AJ234" s="24"/>
      <c r="AK234" s="28"/>
      <c r="AL234" s="28"/>
      <c r="AM234" s="28"/>
      <c r="AN234" s="28"/>
      <c r="AO234" s="28"/>
      <c r="AP234" s="28"/>
      <c r="AQ234" s="28"/>
      <c r="AR234" s="28"/>
      <c r="AS234" s="28"/>
      <c r="AT234" s="28"/>
      <c r="AU234" s="28"/>
      <c r="AV234" s="28"/>
      <c r="AW234" s="28"/>
      <c r="AX234" s="28"/>
      <c r="AY234" s="24"/>
      <c r="AZ234" s="28"/>
      <c r="BA234" s="28"/>
      <c r="BB234" s="28"/>
      <c r="BC234" s="28"/>
      <c r="BD234" s="28"/>
      <c r="BE234" s="28"/>
      <c r="BF234" s="24"/>
      <c r="BG234" s="28"/>
      <c r="BH234" s="28"/>
      <c r="BI234" s="28"/>
      <c r="BJ234" s="24"/>
      <c r="BK234" s="28"/>
      <c r="BL234" s="28"/>
      <c r="BM234" s="28"/>
    </row>
    <row r="235" spans="1:65">
      <c r="A235" s="24"/>
      <c r="B235" s="28"/>
      <c r="C235" s="25"/>
      <c r="D235" s="26"/>
      <c r="E235" s="24"/>
      <c r="F235" s="24"/>
      <c r="G235" s="26"/>
      <c r="H235" s="26"/>
      <c r="I235" s="26"/>
      <c r="J235" s="26"/>
      <c r="K235" s="26"/>
      <c r="L235" s="26"/>
      <c r="M235" s="26"/>
      <c r="N235" s="26"/>
      <c r="O235" s="26"/>
      <c r="P235" s="26"/>
      <c r="R235" s="24"/>
      <c r="S235" s="26"/>
      <c r="T235" s="25"/>
      <c r="U235" s="24"/>
      <c r="V235" s="24"/>
      <c r="W235" s="24"/>
      <c r="X235" s="26"/>
      <c r="Y235" s="26"/>
      <c r="Z235" s="24"/>
      <c r="AA235" s="26"/>
      <c r="AB235" s="25"/>
      <c r="AC235" s="24"/>
      <c r="AD235" s="24"/>
      <c r="AE235" s="24"/>
      <c r="AF235" s="26"/>
      <c r="AG235" s="26"/>
      <c r="AH235" s="24"/>
      <c r="AI235" s="24"/>
      <c r="AJ235" s="24"/>
      <c r="AK235" s="28"/>
      <c r="AL235" s="28"/>
      <c r="AM235" s="28"/>
      <c r="AN235" s="28"/>
      <c r="AO235" s="28"/>
      <c r="AP235" s="28"/>
      <c r="AQ235" s="28"/>
      <c r="AR235" s="28"/>
      <c r="AS235" s="28"/>
      <c r="AT235" s="28"/>
      <c r="AU235" s="28"/>
      <c r="AV235" s="28"/>
      <c r="AW235" s="28"/>
      <c r="AX235" s="28"/>
      <c r="AY235" s="24"/>
      <c r="AZ235" s="28"/>
      <c r="BA235" s="28"/>
      <c r="BB235" s="28"/>
      <c r="BC235" s="28"/>
      <c r="BD235" s="28"/>
      <c r="BE235" s="28"/>
      <c r="BF235" s="24"/>
      <c r="BG235" s="28"/>
      <c r="BH235" s="28"/>
      <c r="BI235" s="28"/>
      <c r="BJ235" s="24"/>
      <c r="BK235" s="28"/>
      <c r="BL235" s="28"/>
      <c r="BM235" s="28"/>
    </row>
    <row r="236" spans="1:65">
      <c r="A236" s="24"/>
      <c r="B236" s="28"/>
      <c r="C236" s="25"/>
      <c r="D236" s="26"/>
      <c r="E236" s="24"/>
      <c r="F236" s="24"/>
      <c r="G236" s="26"/>
      <c r="H236" s="26"/>
      <c r="I236" s="26"/>
      <c r="J236" s="26"/>
      <c r="K236" s="26"/>
      <c r="L236" s="26"/>
      <c r="M236" s="26"/>
      <c r="N236" s="26"/>
      <c r="O236" s="26"/>
      <c r="P236" s="26"/>
      <c r="R236" s="24"/>
      <c r="S236" s="26"/>
      <c r="T236" s="25"/>
      <c r="U236" s="24"/>
      <c r="V236" s="24"/>
      <c r="W236" s="24"/>
      <c r="X236" s="26"/>
      <c r="Y236" s="26"/>
      <c r="Z236" s="24"/>
      <c r="AA236" s="26"/>
      <c r="AB236" s="25"/>
      <c r="AC236" s="24"/>
      <c r="AD236" s="24"/>
      <c r="AE236" s="24"/>
      <c r="AF236" s="26"/>
      <c r="AG236" s="26"/>
      <c r="AH236" s="24"/>
      <c r="AI236" s="24"/>
      <c r="AJ236" s="24"/>
      <c r="AK236" s="28"/>
      <c r="AL236" s="28"/>
      <c r="AM236" s="28"/>
      <c r="AN236" s="28"/>
      <c r="AO236" s="28"/>
      <c r="AP236" s="28"/>
      <c r="AQ236" s="28"/>
      <c r="AR236" s="28"/>
      <c r="AS236" s="28"/>
      <c r="AT236" s="28"/>
      <c r="AU236" s="28"/>
      <c r="AV236" s="28"/>
      <c r="AW236" s="28"/>
      <c r="AX236" s="28"/>
      <c r="AY236" s="24"/>
      <c r="AZ236" s="28"/>
      <c r="BA236" s="28"/>
      <c r="BB236" s="28"/>
      <c r="BC236" s="28"/>
      <c r="BD236" s="28"/>
      <c r="BE236" s="28"/>
      <c r="BF236" s="24"/>
      <c r="BG236" s="28"/>
      <c r="BH236" s="28"/>
      <c r="BI236" s="28"/>
      <c r="BJ236" s="24"/>
      <c r="BK236" s="28"/>
      <c r="BL236" s="28"/>
      <c r="BM236" s="28"/>
    </row>
    <row r="237" spans="1:65">
      <c r="A237" s="24"/>
      <c r="B237" s="28"/>
      <c r="C237" s="25"/>
      <c r="D237" s="26"/>
      <c r="E237" s="24"/>
      <c r="F237" s="24"/>
      <c r="G237" s="26"/>
      <c r="H237" s="26"/>
      <c r="I237" s="26"/>
      <c r="J237" s="26"/>
      <c r="K237" s="26"/>
      <c r="L237" s="26"/>
      <c r="M237" s="26"/>
      <c r="N237" s="26"/>
      <c r="O237" s="26"/>
      <c r="P237" s="26"/>
      <c r="R237" s="24"/>
      <c r="S237" s="26"/>
      <c r="T237" s="25"/>
      <c r="U237" s="24"/>
      <c r="V237" s="24"/>
      <c r="W237" s="24"/>
      <c r="X237" s="26"/>
      <c r="Y237" s="26"/>
      <c r="Z237" s="24"/>
      <c r="AA237" s="26"/>
      <c r="AB237" s="25"/>
      <c r="AC237" s="24"/>
      <c r="AD237" s="24"/>
      <c r="AE237" s="24"/>
      <c r="AF237" s="26"/>
      <c r="AG237" s="26"/>
      <c r="AH237" s="24"/>
      <c r="AI237" s="24"/>
      <c r="AJ237" s="24"/>
      <c r="AK237" s="28"/>
      <c r="AL237" s="28"/>
      <c r="AM237" s="28"/>
      <c r="AN237" s="28"/>
      <c r="AO237" s="28"/>
      <c r="AP237" s="28"/>
      <c r="AQ237" s="28"/>
      <c r="AR237" s="28"/>
      <c r="AS237" s="28"/>
      <c r="AT237" s="28"/>
      <c r="AU237" s="28"/>
      <c r="AV237" s="28"/>
      <c r="AW237" s="28"/>
      <c r="AX237" s="28"/>
      <c r="AY237" s="24"/>
      <c r="AZ237" s="28"/>
      <c r="BA237" s="28"/>
      <c r="BB237" s="28"/>
      <c r="BC237" s="28"/>
      <c r="BD237" s="28"/>
      <c r="BE237" s="28"/>
      <c r="BF237" s="24"/>
      <c r="BG237" s="28"/>
      <c r="BH237" s="28"/>
      <c r="BI237" s="28"/>
      <c r="BJ237" s="24"/>
      <c r="BK237" s="28"/>
      <c r="BL237" s="28"/>
      <c r="BM237" s="28"/>
    </row>
    <row r="238" spans="1:65">
      <c r="A238" s="24"/>
      <c r="B238" s="28"/>
      <c r="C238" s="25"/>
      <c r="D238" s="26"/>
      <c r="E238" s="24"/>
      <c r="F238" s="24"/>
      <c r="G238" s="26"/>
      <c r="H238" s="26"/>
      <c r="I238" s="26"/>
      <c r="J238" s="26"/>
      <c r="K238" s="26"/>
      <c r="L238" s="26"/>
      <c r="M238" s="26"/>
      <c r="N238" s="26"/>
      <c r="O238" s="26"/>
      <c r="P238" s="26"/>
      <c r="R238" s="24"/>
      <c r="S238" s="26"/>
      <c r="T238" s="25"/>
      <c r="U238" s="24"/>
      <c r="V238" s="24"/>
      <c r="W238" s="24"/>
      <c r="X238" s="26"/>
      <c r="Y238" s="26"/>
      <c r="Z238" s="24"/>
      <c r="AA238" s="26"/>
      <c r="AB238" s="25"/>
      <c r="AC238" s="24"/>
      <c r="AD238" s="24"/>
      <c r="AE238" s="24"/>
      <c r="AF238" s="26"/>
      <c r="AG238" s="26"/>
      <c r="AH238" s="24"/>
      <c r="AI238" s="24"/>
      <c r="AJ238" s="24"/>
      <c r="AK238" s="28"/>
      <c r="AL238" s="28"/>
      <c r="AM238" s="28"/>
      <c r="AN238" s="28"/>
      <c r="AO238" s="28"/>
      <c r="AP238" s="28"/>
      <c r="AQ238" s="28"/>
      <c r="AR238" s="28"/>
      <c r="AS238" s="28"/>
      <c r="AT238" s="28"/>
      <c r="AU238" s="28"/>
      <c r="AV238" s="28"/>
      <c r="AW238" s="28"/>
      <c r="AX238" s="28"/>
      <c r="AY238" s="24"/>
      <c r="AZ238" s="28"/>
      <c r="BA238" s="28"/>
      <c r="BB238" s="28"/>
      <c r="BC238" s="28"/>
      <c r="BD238" s="28"/>
      <c r="BE238" s="28"/>
      <c r="BF238" s="24"/>
      <c r="BG238" s="28"/>
      <c r="BH238" s="28"/>
      <c r="BI238" s="28"/>
      <c r="BJ238" s="24"/>
      <c r="BK238" s="28"/>
      <c r="BL238" s="28"/>
      <c r="BM238" s="28"/>
    </row>
    <row r="239" spans="1:65">
      <c r="A239" s="24"/>
      <c r="B239" s="28"/>
      <c r="C239" s="25"/>
      <c r="D239" s="26"/>
      <c r="E239" s="24"/>
      <c r="F239" s="24"/>
      <c r="G239" s="26"/>
      <c r="H239" s="26"/>
      <c r="I239" s="26"/>
      <c r="J239" s="26"/>
      <c r="K239" s="26"/>
      <c r="L239" s="26"/>
      <c r="M239" s="26"/>
      <c r="N239" s="26"/>
      <c r="O239" s="26"/>
      <c r="P239" s="26"/>
      <c r="R239" s="24"/>
      <c r="S239" s="26"/>
      <c r="T239" s="25"/>
      <c r="U239" s="24"/>
      <c r="V239" s="24"/>
      <c r="W239" s="24"/>
      <c r="X239" s="26"/>
      <c r="Y239" s="26"/>
      <c r="Z239" s="24"/>
      <c r="AA239" s="26"/>
      <c r="AB239" s="25"/>
      <c r="AC239" s="24"/>
      <c r="AD239" s="24"/>
      <c r="AE239" s="24"/>
      <c r="AF239" s="26"/>
      <c r="AG239" s="26"/>
      <c r="AH239" s="24"/>
      <c r="AI239" s="24"/>
      <c r="AJ239" s="24"/>
      <c r="AK239" s="28"/>
      <c r="AL239" s="28"/>
      <c r="AM239" s="28"/>
      <c r="AN239" s="28"/>
      <c r="AO239" s="28"/>
      <c r="AP239" s="28"/>
      <c r="AQ239" s="28"/>
      <c r="AR239" s="28"/>
      <c r="AS239" s="28"/>
      <c r="AT239" s="28"/>
      <c r="AU239" s="28"/>
      <c r="AV239" s="28"/>
      <c r="AW239" s="28"/>
      <c r="AX239" s="28"/>
      <c r="AY239" s="24"/>
      <c r="AZ239" s="28"/>
      <c r="BA239" s="28"/>
      <c r="BB239" s="28"/>
      <c r="BC239" s="28"/>
      <c r="BD239" s="28"/>
      <c r="BE239" s="28"/>
      <c r="BF239" s="24"/>
      <c r="BG239" s="28"/>
      <c r="BH239" s="28"/>
      <c r="BI239" s="28"/>
      <c r="BJ239" s="24"/>
      <c r="BK239" s="28"/>
      <c r="BL239" s="28"/>
      <c r="BM239" s="28"/>
    </row>
    <row r="240" spans="1:65">
      <c r="A240" s="24"/>
      <c r="B240" s="28"/>
      <c r="C240" s="25"/>
      <c r="D240" s="26"/>
      <c r="E240" s="24"/>
      <c r="F240" s="24"/>
      <c r="G240" s="26"/>
      <c r="H240" s="26"/>
      <c r="I240" s="26"/>
      <c r="J240" s="26"/>
      <c r="K240" s="26"/>
      <c r="L240" s="26"/>
      <c r="M240" s="26"/>
      <c r="N240" s="26"/>
      <c r="O240" s="26"/>
      <c r="P240" s="26"/>
      <c r="R240" s="24"/>
      <c r="S240" s="26"/>
      <c r="T240" s="25"/>
      <c r="U240" s="24"/>
      <c r="V240" s="24"/>
      <c r="W240" s="24"/>
      <c r="X240" s="26"/>
      <c r="Y240" s="26"/>
      <c r="Z240" s="24"/>
      <c r="AA240" s="26"/>
      <c r="AB240" s="25"/>
      <c r="AC240" s="24"/>
      <c r="AD240" s="24"/>
      <c r="AE240" s="24"/>
      <c r="AF240" s="26"/>
      <c r="AG240" s="26"/>
      <c r="AH240" s="24"/>
      <c r="AI240" s="24"/>
      <c r="AJ240" s="24"/>
      <c r="AK240" s="28"/>
      <c r="AL240" s="28"/>
      <c r="AM240" s="28"/>
      <c r="AN240" s="28"/>
      <c r="AO240" s="28"/>
      <c r="AP240" s="28"/>
      <c r="AQ240" s="28"/>
      <c r="AR240" s="28"/>
      <c r="AS240" s="28"/>
      <c r="AT240" s="28"/>
      <c r="AU240" s="28"/>
      <c r="AV240" s="28"/>
      <c r="AW240" s="28"/>
      <c r="AX240" s="28"/>
      <c r="AY240" s="24"/>
      <c r="AZ240" s="28"/>
      <c r="BA240" s="28"/>
      <c r="BB240" s="28"/>
      <c r="BC240" s="28"/>
      <c r="BD240" s="28"/>
      <c r="BE240" s="28"/>
      <c r="BF240" s="24"/>
      <c r="BG240" s="28"/>
      <c r="BH240" s="28"/>
      <c r="BI240" s="28"/>
      <c r="BJ240" s="24"/>
      <c r="BK240" s="28"/>
      <c r="BL240" s="28"/>
      <c r="BM240" s="28"/>
    </row>
    <row r="241" spans="1:65">
      <c r="A241" s="24"/>
      <c r="B241" s="28"/>
      <c r="C241" s="25"/>
      <c r="D241" s="26"/>
      <c r="E241" s="24"/>
      <c r="F241" s="24"/>
      <c r="G241" s="26"/>
      <c r="H241" s="26"/>
      <c r="I241" s="26"/>
      <c r="J241" s="26"/>
      <c r="K241" s="26"/>
      <c r="L241" s="26"/>
      <c r="M241" s="26"/>
      <c r="N241" s="26"/>
      <c r="O241" s="26"/>
      <c r="P241" s="26"/>
      <c r="R241" s="24"/>
      <c r="S241" s="26"/>
      <c r="T241" s="25"/>
      <c r="U241" s="24"/>
      <c r="V241" s="24"/>
      <c r="W241" s="24"/>
      <c r="X241" s="26"/>
      <c r="Y241" s="26"/>
      <c r="Z241" s="24"/>
      <c r="AA241" s="26"/>
      <c r="AB241" s="25"/>
      <c r="AC241" s="24"/>
      <c r="AD241" s="24"/>
      <c r="AE241" s="24"/>
      <c r="AF241" s="26"/>
      <c r="AG241" s="26"/>
      <c r="AH241" s="24"/>
      <c r="AI241" s="24"/>
      <c r="AJ241" s="24"/>
      <c r="AK241" s="28"/>
      <c r="AL241" s="28"/>
      <c r="AM241" s="28"/>
      <c r="AN241" s="28"/>
      <c r="AO241" s="28"/>
      <c r="AP241" s="28"/>
      <c r="AQ241" s="28"/>
      <c r="AR241" s="28"/>
      <c r="AS241" s="28"/>
      <c r="AT241" s="28"/>
      <c r="AU241" s="28"/>
      <c r="AV241" s="28"/>
      <c r="AW241" s="28"/>
      <c r="AX241" s="28"/>
      <c r="AY241" s="24"/>
      <c r="AZ241" s="28"/>
      <c r="BA241" s="28"/>
      <c r="BB241" s="28"/>
      <c r="BC241" s="28"/>
      <c r="BD241" s="28"/>
      <c r="BE241" s="28"/>
      <c r="BF241" s="24"/>
      <c r="BG241" s="28"/>
      <c r="BH241" s="28"/>
      <c r="BI241" s="28"/>
      <c r="BJ241" s="24"/>
      <c r="BK241" s="28"/>
      <c r="BL241" s="28"/>
      <c r="BM241" s="28"/>
    </row>
    <row r="242" spans="1:65">
      <c r="A242" s="24"/>
      <c r="B242" s="28"/>
      <c r="C242" s="25"/>
      <c r="D242" s="26"/>
      <c r="E242" s="24"/>
      <c r="F242" s="24"/>
      <c r="G242" s="26"/>
      <c r="H242" s="26"/>
      <c r="I242" s="26"/>
      <c r="J242" s="26"/>
      <c r="K242" s="26"/>
      <c r="L242" s="26"/>
      <c r="M242" s="26"/>
      <c r="N242" s="26"/>
      <c r="O242" s="26"/>
      <c r="P242" s="26"/>
      <c r="R242" s="24"/>
      <c r="S242" s="26"/>
      <c r="T242" s="25"/>
      <c r="U242" s="24"/>
      <c r="V242" s="24"/>
      <c r="W242" s="24"/>
      <c r="X242" s="26"/>
      <c r="Y242" s="26"/>
      <c r="Z242" s="24"/>
      <c r="AA242" s="26"/>
      <c r="AB242" s="25"/>
      <c r="AC242" s="24"/>
      <c r="AD242" s="24"/>
      <c r="AE242" s="24"/>
      <c r="AF242" s="26"/>
      <c r="AG242" s="26"/>
      <c r="AH242" s="24"/>
      <c r="AI242" s="24"/>
      <c r="AJ242" s="24"/>
      <c r="AK242" s="28"/>
      <c r="AL242" s="28"/>
      <c r="AM242" s="28"/>
      <c r="AN242" s="28"/>
      <c r="AO242" s="28"/>
      <c r="AP242" s="28"/>
      <c r="AQ242" s="28"/>
      <c r="AR242" s="28"/>
      <c r="AS242" s="28"/>
      <c r="AT242" s="28"/>
      <c r="AU242" s="28"/>
      <c r="AV242" s="28"/>
      <c r="AW242" s="28"/>
      <c r="AX242" s="28"/>
      <c r="AY242" s="24"/>
      <c r="AZ242" s="28"/>
      <c r="BA242" s="28"/>
      <c r="BB242" s="28"/>
      <c r="BC242" s="28"/>
      <c r="BD242" s="28"/>
      <c r="BE242" s="28"/>
      <c r="BF242" s="24"/>
      <c r="BG242" s="28"/>
      <c r="BH242" s="28"/>
      <c r="BI242" s="28"/>
      <c r="BJ242" s="24"/>
      <c r="BK242" s="28"/>
      <c r="BL242" s="28"/>
      <c r="BM242" s="28"/>
    </row>
    <row r="243" spans="1:65">
      <c r="A243" s="24"/>
      <c r="B243" s="28"/>
      <c r="C243" s="25"/>
      <c r="D243" s="26"/>
      <c r="E243" s="24"/>
      <c r="F243" s="24"/>
      <c r="G243" s="26"/>
      <c r="H243" s="26"/>
      <c r="I243" s="26"/>
      <c r="J243" s="26"/>
      <c r="K243" s="26"/>
      <c r="L243" s="26"/>
      <c r="M243" s="26"/>
      <c r="N243" s="26"/>
      <c r="O243" s="26"/>
      <c r="P243" s="26"/>
      <c r="R243" s="24"/>
      <c r="S243" s="26"/>
      <c r="T243" s="25"/>
      <c r="U243" s="24"/>
      <c r="V243" s="24"/>
      <c r="W243" s="24"/>
      <c r="X243" s="26"/>
      <c r="Y243" s="26"/>
      <c r="Z243" s="24"/>
      <c r="AA243" s="26"/>
      <c r="AB243" s="25"/>
      <c r="AC243" s="24"/>
      <c r="AD243" s="24"/>
      <c r="AE243" s="24"/>
      <c r="AF243" s="26"/>
      <c r="AG243" s="26"/>
      <c r="AH243" s="24"/>
      <c r="AI243" s="24"/>
      <c r="AJ243" s="24"/>
      <c r="AK243" s="28"/>
      <c r="AL243" s="28"/>
      <c r="AM243" s="28"/>
      <c r="AN243" s="28"/>
      <c r="AO243" s="28"/>
      <c r="AP243" s="28"/>
      <c r="AQ243" s="28"/>
      <c r="AR243" s="28"/>
      <c r="AS243" s="28"/>
      <c r="AT243" s="28"/>
      <c r="AU243" s="28"/>
      <c r="AV243" s="28"/>
      <c r="AW243" s="28"/>
      <c r="AX243" s="28"/>
      <c r="AY243" s="24"/>
      <c r="AZ243" s="28"/>
      <c r="BA243" s="28"/>
      <c r="BB243" s="28"/>
      <c r="BC243" s="28"/>
      <c r="BD243" s="28"/>
      <c r="BE243" s="28"/>
      <c r="BF243" s="24"/>
      <c r="BG243" s="28"/>
      <c r="BH243" s="28"/>
      <c r="BI243" s="28"/>
      <c r="BJ243" s="24"/>
      <c r="BK243" s="28"/>
      <c r="BL243" s="28"/>
      <c r="BM243" s="28"/>
    </row>
    <row r="244" spans="1:65">
      <c r="A244" s="24"/>
      <c r="B244" s="28"/>
      <c r="C244" s="25"/>
      <c r="D244" s="26"/>
      <c r="E244" s="24"/>
      <c r="F244" s="24"/>
      <c r="G244" s="26"/>
      <c r="H244" s="26"/>
      <c r="I244" s="26"/>
      <c r="J244" s="26"/>
      <c r="K244" s="26"/>
      <c r="L244" s="26"/>
      <c r="M244" s="26"/>
      <c r="N244" s="26"/>
      <c r="O244" s="26"/>
      <c r="P244" s="26"/>
      <c r="R244" s="24"/>
      <c r="S244" s="26"/>
      <c r="T244" s="25"/>
      <c r="U244" s="24"/>
      <c r="V244" s="24"/>
      <c r="W244" s="24"/>
      <c r="X244" s="26"/>
      <c r="Y244" s="26"/>
      <c r="Z244" s="24"/>
      <c r="AA244" s="26"/>
      <c r="AB244" s="25"/>
      <c r="AC244" s="24"/>
      <c r="AD244" s="24"/>
      <c r="AE244" s="24"/>
      <c r="AF244" s="26"/>
      <c r="AG244" s="26"/>
      <c r="AH244" s="24"/>
      <c r="AI244" s="24"/>
      <c r="AJ244" s="24"/>
      <c r="AK244" s="28"/>
      <c r="AL244" s="28"/>
      <c r="AM244" s="28"/>
      <c r="AN244" s="28"/>
      <c r="AO244" s="28"/>
      <c r="AP244" s="28"/>
      <c r="AQ244" s="28"/>
      <c r="AR244" s="28"/>
      <c r="AS244" s="28"/>
      <c r="AT244" s="28"/>
      <c r="AU244" s="28"/>
      <c r="AV244" s="28"/>
      <c r="AW244" s="28"/>
      <c r="AX244" s="28"/>
      <c r="AY244" s="24"/>
      <c r="AZ244" s="28"/>
      <c r="BA244" s="28"/>
      <c r="BB244" s="28"/>
      <c r="BC244" s="28"/>
      <c r="BD244" s="28"/>
      <c r="BE244" s="28"/>
      <c r="BF244" s="24"/>
      <c r="BG244" s="28"/>
      <c r="BH244" s="28"/>
      <c r="BI244" s="28"/>
      <c r="BJ244" s="24"/>
      <c r="BK244" s="28"/>
      <c r="BL244" s="28"/>
      <c r="BM244" s="28"/>
    </row>
    <row r="245" spans="1:65">
      <c r="A245" s="24"/>
      <c r="B245" s="28"/>
      <c r="C245" s="25"/>
      <c r="D245" s="26"/>
      <c r="E245" s="24"/>
      <c r="F245" s="24"/>
      <c r="G245" s="26"/>
      <c r="H245" s="26"/>
      <c r="I245" s="26"/>
      <c r="J245" s="26"/>
      <c r="K245" s="26"/>
      <c r="L245" s="26"/>
      <c r="M245" s="26"/>
      <c r="N245" s="26"/>
      <c r="O245" s="26"/>
      <c r="P245" s="26"/>
      <c r="R245" s="24"/>
      <c r="S245" s="26"/>
      <c r="T245" s="25"/>
      <c r="U245" s="24"/>
      <c r="V245" s="24"/>
      <c r="W245" s="24"/>
      <c r="X245" s="26"/>
      <c r="Y245" s="26"/>
      <c r="Z245" s="24"/>
      <c r="AA245" s="26"/>
      <c r="AB245" s="25"/>
      <c r="AC245" s="24"/>
      <c r="AD245" s="24"/>
      <c r="AE245" s="24"/>
      <c r="AF245" s="26"/>
      <c r="AG245" s="26"/>
      <c r="AH245" s="24"/>
      <c r="AI245" s="24"/>
      <c r="AJ245" s="24"/>
      <c r="AK245" s="28"/>
      <c r="AL245" s="28"/>
      <c r="AM245" s="28"/>
      <c r="AN245" s="28"/>
      <c r="AO245" s="28"/>
      <c r="AP245" s="28"/>
      <c r="AQ245" s="28"/>
      <c r="AR245" s="28"/>
      <c r="AS245" s="28"/>
      <c r="AT245" s="28"/>
      <c r="AU245" s="28"/>
      <c r="AV245" s="28"/>
      <c r="AW245" s="28"/>
      <c r="AX245" s="28"/>
      <c r="AY245" s="24"/>
      <c r="AZ245" s="28"/>
      <c r="BA245" s="28"/>
      <c r="BB245" s="28"/>
      <c r="BC245" s="28"/>
      <c r="BD245" s="28"/>
      <c r="BE245" s="28"/>
      <c r="BF245" s="24"/>
      <c r="BG245" s="28"/>
      <c r="BH245" s="28"/>
      <c r="BI245" s="28"/>
      <c r="BJ245" s="24"/>
      <c r="BK245" s="28"/>
      <c r="BL245" s="28"/>
      <c r="BM245" s="28"/>
    </row>
    <row r="246" spans="1:65">
      <c r="A246" s="24"/>
      <c r="B246" s="28"/>
      <c r="C246" s="25"/>
      <c r="D246" s="26"/>
      <c r="E246" s="24"/>
      <c r="F246" s="24"/>
      <c r="G246" s="26"/>
      <c r="H246" s="26"/>
      <c r="I246" s="26"/>
      <c r="J246" s="26"/>
      <c r="K246" s="26"/>
      <c r="L246" s="26"/>
      <c r="M246" s="26"/>
      <c r="N246" s="26"/>
      <c r="O246" s="26"/>
      <c r="P246" s="26"/>
      <c r="R246" s="24"/>
      <c r="S246" s="26"/>
      <c r="T246" s="25"/>
      <c r="U246" s="24"/>
      <c r="V246" s="24"/>
      <c r="W246" s="24"/>
      <c r="X246" s="26"/>
      <c r="Y246" s="26"/>
      <c r="Z246" s="24"/>
      <c r="AA246" s="26"/>
      <c r="AB246" s="25"/>
      <c r="AC246" s="24"/>
      <c r="AD246" s="24"/>
      <c r="AE246" s="24"/>
      <c r="AF246" s="26"/>
      <c r="AG246" s="26"/>
      <c r="AH246" s="24"/>
      <c r="AI246" s="24"/>
      <c r="AJ246" s="24"/>
      <c r="AK246" s="28"/>
      <c r="AL246" s="28"/>
      <c r="AM246" s="28"/>
      <c r="AN246" s="28"/>
      <c r="AO246" s="28"/>
      <c r="AP246" s="28"/>
      <c r="AQ246" s="28"/>
      <c r="AR246" s="28"/>
      <c r="AS246" s="28"/>
      <c r="AT246" s="28"/>
      <c r="AU246" s="28"/>
      <c r="AV246" s="28"/>
      <c r="AW246" s="28"/>
      <c r="AX246" s="28"/>
      <c r="AY246" s="24"/>
      <c r="AZ246" s="28"/>
      <c r="BA246" s="28"/>
      <c r="BB246" s="28"/>
      <c r="BC246" s="28"/>
      <c r="BD246" s="28"/>
      <c r="BE246" s="28"/>
      <c r="BF246" s="24"/>
      <c r="BG246" s="28"/>
      <c r="BH246" s="28"/>
      <c r="BI246" s="28"/>
      <c r="BJ246" s="24"/>
      <c r="BK246" s="28"/>
      <c r="BL246" s="28"/>
      <c r="BM246" s="28"/>
    </row>
    <row r="247" spans="1:65">
      <c r="A247" s="24"/>
      <c r="B247" s="28"/>
      <c r="C247" s="25"/>
      <c r="D247" s="26"/>
      <c r="E247" s="24"/>
      <c r="F247" s="24"/>
      <c r="G247" s="26"/>
      <c r="H247" s="26"/>
      <c r="I247" s="26"/>
      <c r="J247" s="26"/>
      <c r="K247" s="26"/>
      <c r="L247" s="26"/>
      <c r="M247" s="26"/>
      <c r="N247" s="26"/>
      <c r="O247" s="26"/>
      <c r="P247" s="26"/>
      <c r="R247" s="24"/>
      <c r="S247" s="26"/>
      <c r="T247" s="25"/>
      <c r="U247" s="24"/>
      <c r="V247" s="24"/>
      <c r="W247" s="24"/>
      <c r="X247" s="26"/>
      <c r="Y247" s="26"/>
      <c r="Z247" s="24"/>
      <c r="AA247" s="26"/>
      <c r="AB247" s="25"/>
      <c r="AC247" s="24"/>
      <c r="AD247" s="24"/>
      <c r="AE247" s="24"/>
      <c r="AF247" s="26"/>
      <c r="AG247" s="26"/>
      <c r="AH247" s="24"/>
      <c r="AI247" s="24"/>
      <c r="AJ247" s="24"/>
      <c r="AK247" s="28"/>
      <c r="AL247" s="28"/>
      <c r="AM247" s="28"/>
      <c r="AN247" s="28"/>
      <c r="AO247" s="28"/>
      <c r="AP247" s="28"/>
      <c r="AQ247" s="28"/>
      <c r="AR247" s="28"/>
      <c r="AS247" s="28"/>
      <c r="AT247" s="28"/>
      <c r="AU247" s="28"/>
      <c r="AV247" s="28"/>
      <c r="AW247" s="28"/>
      <c r="AX247" s="28"/>
      <c r="AY247" s="24"/>
      <c r="AZ247" s="28"/>
      <c r="BA247" s="28"/>
      <c r="BB247" s="28"/>
      <c r="BC247" s="28"/>
      <c r="BD247" s="28"/>
      <c r="BE247" s="28"/>
      <c r="BF247" s="24"/>
      <c r="BG247" s="28"/>
      <c r="BH247" s="28"/>
      <c r="BI247" s="28"/>
      <c r="BJ247" s="24"/>
      <c r="BK247" s="28"/>
      <c r="BL247" s="28"/>
      <c r="BM247" s="28"/>
    </row>
    <row r="248" spans="1:65">
      <c r="A248" s="24"/>
      <c r="B248" s="28"/>
      <c r="C248" s="25"/>
      <c r="D248" s="26"/>
      <c r="E248" s="24"/>
      <c r="F248" s="24"/>
      <c r="G248" s="26"/>
      <c r="H248" s="26"/>
      <c r="I248" s="26"/>
      <c r="J248" s="26"/>
      <c r="K248" s="26"/>
      <c r="L248" s="26"/>
      <c r="M248" s="26"/>
      <c r="N248" s="26"/>
      <c r="O248" s="26"/>
      <c r="P248" s="26"/>
      <c r="R248" s="24"/>
      <c r="S248" s="26"/>
      <c r="T248" s="25"/>
      <c r="U248" s="24"/>
      <c r="V248" s="24"/>
      <c r="W248" s="24"/>
      <c r="X248" s="26"/>
      <c r="Y248" s="26"/>
      <c r="Z248" s="24"/>
      <c r="AA248" s="26"/>
      <c r="AB248" s="25"/>
      <c r="AC248" s="24"/>
      <c r="AD248" s="24"/>
      <c r="AE248" s="24"/>
      <c r="AF248" s="26"/>
      <c r="AG248" s="26"/>
      <c r="AH248" s="24"/>
      <c r="AI248" s="24"/>
      <c r="AJ248" s="24"/>
      <c r="AK248" s="28"/>
      <c r="AL248" s="28"/>
      <c r="AM248" s="28"/>
      <c r="AN248" s="28"/>
      <c r="AO248" s="28"/>
      <c r="AP248" s="28"/>
      <c r="AQ248" s="28"/>
      <c r="AR248" s="28"/>
      <c r="AS248" s="28"/>
      <c r="AT248" s="28"/>
      <c r="AU248" s="28"/>
      <c r="AV248" s="28"/>
      <c r="AW248" s="28"/>
      <c r="AX248" s="28"/>
      <c r="AY248" s="24"/>
      <c r="AZ248" s="28"/>
      <c r="BA248" s="28"/>
      <c r="BB248" s="28"/>
      <c r="BC248" s="28"/>
      <c r="BD248" s="28"/>
      <c r="BE248" s="28"/>
      <c r="BF248" s="24"/>
      <c r="BG248" s="28"/>
      <c r="BH248" s="28"/>
      <c r="BI248" s="28"/>
      <c r="BJ248" s="24"/>
      <c r="BK248" s="28"/>
      <c r="BL248" s="28"/>
      <c r="BM248" s="28"/>
    </row>
    <row r="249" spans="1:65">
      <c r="A249" s="24"/>
      <c r="B249" s="28"/>
      <c r="C249" s="25"/>
      <c r="D249" s="26"/>
      <c r="E249" s="24"/>
      <c r="F249" s="24"/>
      <c r="G249" s="26"/>
      <c r="H249" s="26"/>
      <c r="I249" s="26"/>
      <c r="J249" s="26"/>
      <c r="K249" s="26"/>
      <c r="L249" s="26"/>
      <c r="M249" s="26"/>
      <c r="N249" s="26"/>
      <c r="O249" s="26"/>
      <c r="P249" s="26"/>
      <c r="R249" s="24"/>
      <c r="S249" s="26"/>
      <c r="T249" s="25"/>
      <c r="U249" s="24"/>
      <c r="V249" s="24"/>
      <c r="W249" s="24"/>
      <c r="X249" s="26"/>
      <c r="Y249" s="26"/>
      <c r="Z249" s="24"/>
      <c r="AA249" s="26"/>
      <c r="AB249" s="25"/>
      <c r="AC249" s="24"/>
      <c r="AD249" s="24"/>
      <c r="AE249" s="24"/>
      <c r="AF249" s="26"/>
      <c r="AG249" s="26"/>
      <c r="AH249" s="24"/>
      <c r="AI249" s="24"/>
      <c r="AJ249" s="24"/>
      <c r="AK249" s="28"/>
      <c r="AL249" s="28"/>
      <c r="AM249" s="28"/>
      <c r="AN249" s="28"/>
      <c r="AO249" s="28"/>
      <c r="AP249" s="28"/>
      <c r="AQ249" s="28"/>
      <c r="AR249" s="28"/>
      <c r="AS249" s="28"/>
      <c r="AT249" s="28"/>
      <c r="AU249" s="28"/>
      <c r="AV249" s="28"/>
      <c r="AW249" s="28"/>
      <c r="AX249" s="28"/>
      <c r="AY249" s="24"/>
      <c r="AZ249" s="28"/>
      <c r="BA249" s="28"/>
      <c r="BB249" s="28"/>
      <c r="BC249" s="28"/>
      <c r="BD249" s="28"/>
      <c r="BE249" s="28"/>
      <c r="BF249" s="24"/>
      <c r="BG249" s="28"/>
      <c r="BH249" s="28"/>
      <c r="BI249" s="28"/>
      <c r="BJ249" s="24"/>
      <c r="BK249" s="28"/>
      <c r="BL249" s="28"/>
      <c r="BM249" s="28"/>
    </row>
    <row r="250" spans="1:65">
      <c r="A250" s="24"/>
      <c r="B250" s="28"/>
      <c r="C250" s="25"/>
      <c r="D250" s="26"/>
      <c r="E250" s="24"/>
      <c r="F250" s="24"/>
      <c r="G250" s="26"/>
      <c r="H250" s="26"/>
      <c r="I250" s="26"/>
      <c r="J250" s="26"/>
      <c r="K250" s="26"/>
      <c r="L250" s="26"/>
      <c r="M250" s="26"/>
      <c r="N250" s="26"/>
      <c r="O250" s="26"/>
      <c r="P250" s="26"/>
      <c r="R250" s="24"/>
      <c r="S250" s="26"/>
      <c r="T250" s="25"/>
      <c r="U250" s="24"/>
      <c r="V250" s="24"/>
      <c r="W250" s="24"/>
      <c r="X250" s="26"/>
      <c r="Y250" s="26"/>
      <c r="Z250" s="24"/>
      <c r="AA250" s="26"/>
      <c r="AB250" s="25"/>
      <c r="AC250" s="24"/>
      <c r="AD250" s="24"/>
      <c r="AE250" s="24"/>
      <c r="AF250" s="26"/>
      <c r="AG250" s="26"/>
      <c r="AH250" s="24"/>
      <c r="AI250" s="24"/>
      <c r="AJ250" s="24"/>
      <c r="AK250" s="28"/>
      <c r="AL250" s="28"/>
      <c r="AM250" s="28"/>
      <c r="AN250" s="28"/>
      <c r="AO250" s="28"/>
      <c r="AP250" s="28"/>
      <c r="AQ250" s="28"/>
      <c r="AR250" s="28"/>
      <c r="AS250" s="28"/>
      <c r="AT250" s="28"/>
      <c r="AU250" s="28"/>
      <c r="AV250" s="28"/>
      <c r="AW250" s="28"/>
      <c r="AX250" s="28"/>
      <c r="AY250" s="24"/>
      <c r="AZ250" s="28"/>
      <c r="BA250" s="28"/>
      <c r="BB250" s="28"/>
      <c r="BC250" s="28"/>
      <c r="BD250" s="28"/>
      <c r="BE250" s="28"/>
      <c r="BF250" s="24"/>
      <c r="BG250" s="28"/>
      <c r="BH250" s="28"/>
      <c r="BI250" s="28"/>
      <c r="BJ250" s="24"/>
      <c r="BK250" s="28"/>
      <c r="BL250" s="28"/>
      <c r="BM250" s="28"/>
    </row>
    <row r="251" spans="1:65">
      <c r="A251" s="24"/>
      <c r="B251" s="28"/>
      <c r="C251" s="25"/>
      <c r="D251" s="26"/>
      <c r="E251" s="24"/>
      <c r="F251" s="24"/>
      <c r="G251" s="26"/>
      <c r="H251" s="26"/>
      <c r="I251" s="26"/>
      <c r="J251" s="26"/>
      <c r="K251" s="26"/>
      <c r="L251" s="26"/>
      <c r="M251" s="26"/>
      <c r="N251" s="26"/>
      <c r="O251" s="26"/>
      <c r="P251" s="26"/>
      <c r="R251" s="24"/>
      <c r="S251" s="26"/>
      <c r="T251" s="25"/>
      <c r="U251" s="24"/>
      <c r="V251" s="24"/>
      <c r="W251" s="24"/>
      <c r="X251" s="26"/>
      <c r="Y251" s="26"/>
      <c r="Z251" s="24"/>
      <c r="AA251" s="26"/>
      <c r="AB251" s="25"/>
      <c r="AC251" s="24"/>
      <c r="AD251" s="24"/>
      <c r="AE251" s="24"/>
      <c r="AF251" s="26"/>
      <c r="AG251" s="26"/>
      <c r="AH251" s="24"/>
      <c r="AI251" s="24"/>
      <c r="AJ251" s="24"/>
      <c r="AK251" s="28"/>
      <c r="AL251" s="28"/>
      <c r="AM251" s="28"/>
      <c r="AN251" s="28"/>
      <c r="AO251" s="28"/>
      <c r="AP251" s="28"/>
      <c r="AQ251" s="28"/>
      <c r="AR251" s="28"/>
      <c r="AS251" s="28"/>
      <c r="AT251" s="28"/>
      <c r="AU251" s="28"/>
      <c r="AV251" s="28"/>
      <c r="AW251" s="28"/>
      <c r="AX251" s="28"/>
      <c r="AY251" s="24"/>
      <c r="AZ251" s="28"/>
      <c r="BA251" s="28"/>
      <c r="BB251" s="28"/>
      <c r="BC251" s="28"/>
      <c r="BD251" s="28"/>
      <c r="BE251" s="28"/>
      <c r="BF251" s="24"/>
      <c r="BG251" s="28"/>
      <c r="BH251" s="28"/>
      <c r="BI251" s="28"/>
      <c r="BJ251" s="24"/>
      <c r="BK251" s="28"/>
      <c r="BL251" s="28"/>
      <c r="BM251" s="28"/>
    </row>
    <row r="252" spans="1:65">
      <c r="A252" s="24"/>
      <c r="B252" s="28"/>
      <c r="C252" s="25"/>
      <c r="D252" s="26"/>
      <c r="E252" s="24"/>
      <c r="F252" s="24"/>
      <c r="G252" s="26"/>
      <c r="H252" s="26"/>
      <c r="I252" s="26"/>
      <c r="J252" s="26"/>
      <c r="K252" s="26"/>
      <c r="L252" s="26"/>
      <c r="M252" s="26"/>
      <c r="N252" s="26"/>
      <c r="O252" s="26"/>
      <c r="P252" s="26"/>
      <c r="R252" s="24"/>
      <c r="S252" s="26"/>
      <c r="T252" s="25"/>
      <c r="U252" s="24"/>
      <c r="V252" s="24"/>
      <c r="W252" s="24"/>
      <c r="X252" s="26"/>
      <c r="Y252" s="26"/>
      <c r="Z252" s="24"/>
      <c r="AA252" s="26"/>
      <c r="AB252" s="25"/>
      <c r="AC252" s="24"/>
      <c r="AD252" s="24"/>
      <c r="AE252" s="24"/>
      <c r="AF252" s="26"/>
      <c r="AG252" s="26"/>
      <c r="AH252" s="24"/>
      <c r="AI252" s="24"/>
      <c r="AJ252" s="24"/>
      <c r="AK252" s="28"/>
      <c r="AL252" s="28"/>
      <c r="AM252" s="28"/>
      <c r="AN252" s="28"/>
      <c r="AO252" s="28"/>
      <c r="AP252" s="28"/>
      <c r="AQ252" s="28"/>
      <c r="AR252" s="28"/>
      <c r="AS252" s="28"/>
      <c r="AT252" s="28"/>
      <c r="AU252" s="28"/>
      <c r="AV252" s="28"/>
      <c r="AW252" s="28"/>
      <c r="AX252" s="28"/>
      <c r="AY252" s="24"/>
      <c r="AZ252" s="28"/>
      <c r="BA252" s="28"/>
      <c r="BB252" s="28"/>
      <c r="BC252" s="28"/>
      <c r="BD252" s="28"/>
      <c r="BE252" s="28"/>
      <c r="BF252" s="24"/>
      <c r="BG252" s="28"/>
      <c r="BH252" s="28"/>
      <c r="BI252" s="28"/>
      <c r="BJ252" s="24"/>
      <c r="BK252" s="28"/>
      <c r="BL252" s="28"/>
      <c r="BM252" s="28"/>
    </row>
    <row r="253" spans="1:65">
      <c r="A253" s="24"/>
      <c r="B253" s="28"/>
      <c r="C253" s="25"/>
      <c r="D253" s="26"/>
      <c r="E253" s="24"/>
      <c r="F253" s="24"/>
      <c r="G253" s="26"/>
      <c r="H253" s="26"/>
      <c r="I253" s="26"/>
      <c r="J253" s="26"/>
      <c r="K253" s="26"/>
      <c r="L253" s="26"/>
      <c r="M253" s="26"/>
      <c r="N253" s="26"/>
      <c r="O253" s="26"/>
      <c r="P253" s="26"/>
      <c r="R253" s="24"/>
      <c r="S253" s="26"/>
      <c r="T253" s="25"/>
      <c r="U253" s="24"/>
      <c r="V253" s="24"/>
      <c r="W253" s="24"/>
      <c r="X253" s="26"/>
      <c r="Y253" s="26"/>
      <c r="Z253" s="24"/>
      <c r="AA253" s="26"/>
      <c r="AB253" s="25"/>
      <c r="AC253" s="24"/>
      <c r="AD253" s="24"/>
      <c r="AE253" s="24"/>
      <c r="AF253" s="26"/>
      <c r="AG253" s="26"/>
      <c r="AH253" s="24"/>
      <c r="AI253" s="24"/>
      <c r="AJ253" s="24"/>
      <c r="AK253" s="28"/>
      <c r="AL253" s="28"/>
      <c r="AM253" s="28"/>
      <c r="AN253" s="28"/>
      <c r="AO253" s="28"/>
      <c r="AP253" s="28"/>
      <c r="AQ253" s="28"/>
      <c r="AR253" s="28"/>
      <c r="AS253" s="28"/>
      <c r="AT253" s="28"/>
      <c r="AU253" s="28"/>
      <c r="AV253" s="28"/>
      <c r="AW253" s="28"/>
      <c r="AX253" s="28"/>
      <c r="AY253" s="24"/>
      <c r="AZ253" s="28"/>
      <c r="BA253" s="28"/>
      <c r="BB253" s="28"/>
      <c r="BC253" s="28"/>
      <c r="BD253" s="28"/>
      <c r="BE253" s="28"/>
      <c r="BF253" s="24"/>
      <c r="BG253" s="28"/>
      <c r="BH253" s="28"/>
      <c r="BI253" s="28"/>
      <c r="BJ253" s="24"/>
      <c r="BK253" s="28"/>
      <c r="BL253" s="28"/>
      <c r="BM253" s="28"/>
    </row>
    <row r="254" spans="1:65">
      <c r="A254" s="24"/>
      <c r="B254" s="28"/>
      <c r="C254" s="25"/>
      <c r="D254" s="26"/>
      <c r="E254" s="24"/>
      <c r="F254" s="24"/>
      <c r="G254" s="26"/>
      <c r="H254" s="26"/>
      <c r="I254" s="26"/>
      <c r="J254" s="26"/>
      <c r="K254" s="26"/>
      <c r="L254" s="26"/>
      <c r="M254" s="26"/>
      <c r="N254" s="26"/>
      <c r="O254" s="26"/>
      <c r="P254" s="26"/>
      <c r="R254" s="24"/>
      <c r="S254" s="26"/>
      <c r="T254" s="25"/>
      <c r="U254" s="24"/>
      <c r="V254" s="24"/>
      <c r="W254" s="24"/>
      <c r="X254" s="26"/>
      <c r="Y254" s="26"/>
      <c r="Z254" s="24"/>
      <c r="AA254" s="26"/>
      <c r="AB254" s="25"/>
      <c r="AC254" s="24"/>
      <c r="AD254" s="24"/>
      <c r="AE254" s="24"/>
      <c r="AF254" s="26"/>
      <c r="AG254" s="26"/>
      <c r="AH254" s="24"/>
      <c r="AI254" s="24"/>
      <c r="AJ254" s="24"/>
      <c r="AK254" s="28"/>
      <c r="AL254" s="28"/>
      <c r="AM254" s="28"/>
      <c r="AN254" s="28"/>
      <c r="AO254" s="28"/>
      <c r="AP254" s="28"/>
      <c r="AQ254" s="28"/>
      <c r="AR254" s="28"/>
      <c r="AS254" s="28"/>
      <c r="AT254" s="28"/>
      <c r="AU254" s="28"/>
      <c r="AV254" s="28"/>
      <c r="AW254" s="28"/>
      <c r="AX254" s="28"/>
      <c r="AY254" s="24"/>
      <c r="AZ254" s="28"/>
      <c r="BA254" s="28"/>
      <c r="BB254" s="28"/>
      <c r="BC254" s="28"/>
      <c r="BD254" s="28"/>
      <c r="BE254" s="28"/>
      <c r="BF254" s="24"/>
      <c r="BG254" s="28"/>
      <c r="BH254" s="28"/>
      <c r="BI254" s="28"/>
      <c r="BJ254" s="24"/>
      <c r="BK254" s="28"/>
      <c r="BL254" s="28"/>
      <c r="BM254" s="28"/>
    </row>
    <row r="255" spans="1:65">
      <c r="A255" s="24"/>
      <c r="B255" s="28"/>
      <c r="C255" s="25"/>
      <c r="D255" s="26"/>
      <c r="E255" s="24"/>
      <c r="F255" s="24"/>
      <c r="G255" s="26"/>
      <c r="H255" s="26"/>
      <c r="I255" s="26"/>
      <c r="J255" s="26"/>
      <c r="K255" s="26"/>
      <c r="L255" s="26"/>
      <c r="M255" s="26"/>
      <c r="N255" s="26"/>
      <c r="O255" s="26"/>
      <c r="P255" s="26"/>
      <c r="R255" s="24"/>
      <c r="S255" s="26"/>
      <c r="T255" s="25"/>
      <c r="U255" s="24"/>
      <c r="V255" s="24"/>
      <c r="W255" s="24"/>
      <c r="X255" s="26"/>
      <c r="Y255" s="26"/>
      <c r="Z255" s="24"/>
      <c r="AA255" s="26"/>
      <c r="AB255" s="25"/>
      <c r="AC255" s="24"/>
      <c r="AD255" s="24"/>
      <c r="AE255" s="24"/>
      <c r="AF255" s="26"/>
      <c r="AG255" s="26"/>
      <c r="AH255" s="24"/>
      <c r="AI255" s="24"/>
      <c r="AJ255" s="24"/>
      <c r="AK255" s="28"/>
      <c r="AL255" s="28"/>
      <c r="AM255" s="28"/>
      <c r="AN255" s="28"/>
      <c r="AO255" s="28"/>
      <c r="AP255" s="28"/>
      <c r="AQ255" s="28"/>
      <c r="AR255" s="28"/>
      <c r="AS255" s="28"/>
      <c r="AT255" s="28"/>
      <c r="AU255" s="28"/>
      <c r="AV255" s="28"/>
      <c r="AW255" s="28"/>
      <c r="AX255" s="28"/>
      <c r="AY255" s="24"/>
      <c r="AZ255" s="28"/>
      <c r="BA255" s="28"/>
      <c r="BB255" s="28"/>
      <c r="BC255" s="28"/>
      <c r="BD255" s="28"/>
      <c r="BE255" s="28"/>
      <c r="BF255" s="24"/>
      <c r="BG255" s="28"/>
      <c r="BH255" s="28"/>
      <c r="BI255" s="28"/>
      <c r="BJ255" s="24"/>
      <c r="BK255" s="28"/>
      <c r="BL255" s="28"/>
      <c r="BM255" s="28"/>
    </row>
    <row r="256" spans="1:65">
      <c r="A256" s="24"/>
      <c r="B256" s="28"/>
      <c r="C256" s="25"/>
      <c r="D256" s="26"/>
      <c r="E256" s="24"/>
      <c r="F256" s="24"/>
      <c r="G256" s="26"/>
      <c r="H256" s="26"/>
      <c r="I256" s="26"/>
      <c r="J256" s="26"/>
      <c r="K256" s="26"/>
      <c r="L256" s="26"/>
      <c r="M256" s="26"/>
      <c r="N256" s="26"/>
      <c r="O256" s="26"/>
      <c r="P256" s="26"/>
      <c r="R256" s="24"/>
      <c r="S256" s="26"/>
      <c r="T256" s="25"/>
      <c r="U256" s="24"/>
      <c r="V256" s="24"/>
      <c r="W256" s="24"/>
      <c r="X256" s="26"/>
      <c r="Y256" s="26"/>
      <c r="Z256" s="24"/>
      <c r="AA256" s="26"/>
      <c r="AB256" s="25"/>
      <c r="AC256" s="24"/>
      <c r="AD256" s="24"/>
      <c r="AE256" s="24"/>
      <c r="AF256" s="26"/>
      <c r="AG256" s="26"/>
      <c r="AH256" s="24"/>
      <c r="AI256" s="24"/>
      <c r="AJ256" s="24"/>
      <c r="AK256" s="28"/>
      <c r="AL256" s="28"/>
      <c r="AM256" s="28"/>
      <c r="AN256" s="28"/>
      <c r="AO256" s="28"/>
      <c r="AP256" s="28"/>
      <c r="AQ256" s="28"/>
      <c r="AR256" s="28"/>
      <c r="AS256" s="28"/>
      <c r="AT256" s="28"/>
      <c r="AU256" s="28"/>
      <c r="AV256" s="28"/>
      <c r="AW256" s="28"/>
      <c r="AX256" s="28"/>
      <c r="AY256" s="24"/>
      <c r="AZ256" s="28"/>
      <c r="BA256" s="28"/>
      <c r="BB256" s="28"/>
      <c r="BC256" s="28"/>
      <c r="BD256" s="28"/>
      <c r="BE256" s="28"/>
      <c r="BF256" s="24"/>
      <c r="BG256" s="28"/>
      <c r="BH256" s="28"/>
      <c r="BI256" s="28"/>
      <c r="BJ256" s="24"/>
      <c r="BK256" s="28"/>
      <c r="BL256" s="28"/>
      <c r="BM256" s="28"/>
    </row>
    <row r="257" spans="1:65">
      <c r="A257" s="24"/>
      <c r="B257" s="28"/>
      <c r="C257" s="25"/>
      <c r="D257" s="26"/>
      <c r="E257" s="24"/>
      <c r="F257" s="24"/>
      <c r="G257" s="26"/>
      <c r="H257" s="26"/>
      <c r="I257" s="26"/>
      <c r="J257" s="26"/>
      <c r="K257" s="26"/>
      <c r="L257" s="26"/>
      <c r="M257" s="26"/>
      <c r="N257" s="26"/>
      <c r="O257" s="26"/>
      <c r="P257" s="26"/>
      <c r="R257" s="24"/>
      <c r="S257" s="26"/>
      <c r="T257" s="25"/>
      <c r="U257" s="24"/>
      <c r="V257" s="24"/>
      <c r="W257" s="24"/>
      <c r="X257" s="26"/>
      <c r="Y257" s="26"/>
      <c r="Z257" s="24"/>
      <c r="AA257" s="26"/>
      <c r="AB257" s="25"/>
      <c r="AC257" s="24"/>
      <c r="AD257" s="24"/>
      <c r="AE257" s="24"/>
      <c r="AF257" s="26"/>
      <c r="AG257" s="26"/>
      <c r="AH257" s="24"/>
      <c r="AI257" s="24"/>
      <c r="AJ257" s="24"/>
      <c r="AK257" s="28"/>
      <c r="AL257" s="28"/>
      <c r="AM257" s="28"/>
      <c r="AN257" s="28"/>
      <c r="AO257" s="28"/>
      <c r="AP257" s="28"/>
      <c r="AQ257" s="28"/>
      <c r="AR257" s="28"/>
      <c r="AS257" s="28"/>
      <c r="AT257" s="28"/>
      <c r="AU257" s="28"/>
      <c r="AV257" s="28"/>
      <c r="AW257" s="28"/>
      <c r="AX257" s="28"/>
      <c r="AY257" s="24"/>
      <c r="AZ257" s="28"/>
      <c r="BA257" s="28"/>
      <c r="BB257" s="28"/>
      <c r="BC257" s="28"/>
      <c r="BD257" s="28"/>
      <c r="BE257" s="28"/>
      <c r="BF257" s="24"/>
      <c r="BG257" s="28"/>
      <c r="BH257" s="28"/>
      <c r="BI257" s="28"/>
      <c r="BJ257" s="24"/>
      <c r="BK257" s="28"/>
      <c r="BL257" s="28"/>
      <c r="BM257" s="28"/>
    </row>
    <row r="258" spans="1:65">
      <c r="A258" s="24"/>
      <c r="B258" s="28"/>
      <c r="C258" s="25"/>
      <c r="D258" s="26"/>
      <c r="E258" s="24"/>
      <c r="F258" s="24"/>
      <c r="G258" s="26"/>
      <c r="H258" s="26"/>
      <c r="I258" s="26"/>
      <c r="J258" s="26"/>
      <c r="K258" s="26"/>
      <c r="L258" s="26"/>
      <c r="M258" s="26"/>
      <c r="N258" s="26"/>
      <c r="O258" s="26"/>
      <c r="P258" s="26"/>
      <c r="R258" s="24"/>
      <c r="S258" s="26"/>
      <c r="T258" s="25"/>
      <c r="U258" s="24"/>
      <c r="V258" s="24"/>
      <c r="W258" s="24"/>
      <c r="X258" s="26"/>
      <c r="Y258" s="26"/>
      <c r="Z258" s="24"/>
      <c r="AA258" s="26"/>
      <c r="AB258" s="25"/>
      <c r="AC258" s="24"/>
      <c r="AD258" s="24"/>
      <c r="AE258" s="24"/>
      <c r="AF258" s="26"/>
      <c r="AG258" s="26"/>
      <c r="AH258" s="24"/>
      <c r="AI258" s="24"/>
      <c r="AJ258" s="24"/>
      <c r="AK258" s="28"/>
      <c r="AL258" s="28"/>
      <c r="AM258" s="28"/>
      <c r="AN258" s="28"/>
      <c r="AO258" s="28"/>
      <c r="AP258" s="28"/>
      <c r="AQ258" s="28"/>
      <c r="AR258" s="28"/>
      <c r="AS258" s="28"/>
      <c r="AT258" s="28"/>
      <c r="AU258" s="28"/>
      <c r="AV258" s="28"/>
      <c r="AW258" s="28"/>
      <c r="AX258" s="28"/>
      <c r="AY258" s="24"/>
      <c r="AZ258" s="28"/>
      <c r="BA258" s="28"/>
      <c r="BB258" s="28"/>
      <c r="BC258" s="28"/>
      <c r="BD258" s="28"/>
      <c r="BE258" s="28"/>
      <c r="BF258" s="24"/>
      <c r="BG258" s="28"/>
      <c r="BH258" s="28"/>
      <c r="BI258" s="28"/>
      <c r="BJ258" s="24"/>
      <c r="BK258" s="28"/>
      <c r="BL258" s="28"/>
      <c r="BM258" s="28"/>
    </row>
    <row r="259" spans="1:65">
      <c r="A259" s="24"/>
      <c r="B259" s="28"/>
      <c r="C259" s="25"/>
      <c r="D259" s="26"/>
      <c r="E259" s="24"/>
      <c r="F259" s="24"/>
      <c r="G259" s="26"/>
      <c r="H259" s="26"/>
      <c r="I259" s="26"/>
      <c r="J259" s="26"/>
      <c r="K259" s="26"/>
      <c r="L259" s="26"/>
      <c r="M259" s="26"/>
      <c r="N259" s="26"/>
      <c r="O259" s="26"/>
      <c r="P259" s="26"/>
      <c r="R259" s="24"/>
      <c r="S259" s="26"/>
      <c r="T259" s="25"/>
      <c r="U259" s="24"/>
      <c r="V259" s="24"/>
      <c r="W259" s="24"/>
      <c r="X259" s="26"/>
      <c r="Y259" s="26"/>
      <c r="Z259" s="24"/>
      <c r="AA259" s="26"/>
      <c r="AB259" s="25"/>
      <c r="AC259" s="24"/>
      <c r="AD259" s="24"/>
      <c r="AE259" s="24"/>
      <c r="AF259" s="26"/>
      <c r="AG259" s="26"/>
      <c r="AH259" s="24"/>
      <c r="AI259" s="24"/>
      <c r="AJ259" s="24"/>
      <c r="AK259" s="28"/>
      <c r="AL259" s="28"/>
      <c r="AM259" s="28"/>
      <c r="AN259" s="28"/>
      <c r="AO259" s="28"/>
      <c r="AP259" s="28"/>
      <c r="AQ259" s="28"/>
      <c r="AR259" s="28"/>
      <c r="AS259" s="28"/>
      <c r="AT259" s="28"/>
      <c r="AU259" s="28"/>
      <c r="AV259" s="28"/>
      <c r="AW259" s="28"/>
      <c r="AX259" s="28"/>
      <c r="AY259" s="24"/>
      <c r="AZ259" s="28"/>
      <c r="BA259" s="28"/>
      <c r="BB259" s="28"/>
      <c r="BC259" s="28"/>
      <c r="BD259" s="28"/>
      <c r="BE259" s="28"/>
      <c r="BF259" s="24"/>
      <c r="BG259" s="28"/>
      <c r="BH259" s="28"/>
      <c r="BI259" s="28"/>
      <c r="BJ259" s="24"/>
      <c r="BK259" s="28"/>
      <c r="BL259" s="28"/>
      <c r="BM259" s="28"/>
    </row>
    <row r="260" spans="1:65">
      <c r="A260" s="24"/>
      <c r="B260" s="28"/>
      <c r="C260" s="25"/>
      <c r="D260" s="26"/>
      <c r="E260" s="24"/>
      <c r="F260" s="24"/>
      <c r="G260" s="26"/>
      <c r="H260" s="26"/>
      <c r="I260" s="26"/>
      <c r="J260" s="26"/>
      <c r="K260" s="26"/>
      <c r="L260" s="26"/>
      <c r="M260" s="26"/>
      <c r="N260" s="26"/>
      <c r="O260" s="26"/>
      <c r="P260" s="26"/>
      <c r="R260" s="24"/>
      <c r="S260" s="26"/>
      <c r="T260" s="25"/>
      <c r="U260" s="24"/>
      <c r="V260" s="24"/>
      <c r="W260" s="24"/>
      <c r="X260" s="26"/>
      <c r="Y260" s="26"/>
      <c r="Z260" s="24"/>
      <c r="AA260" s="26"/>
      <c r="AB260" s="25"/>
      <c r="AC260" s="24"/>
      <c r="AD260" s="24"/>
      <c r="AE260" s="24"/>
      <c r="AF260" s="26"/>
      <c r="AG260" s="26"/>
      <c r="AH260" s="24"/>
      <c r="AI260" s="24"/>
      <c r="AJ260" s="24"/>
      <c r="AK260" s="28"/>
      <c r="AL260" s="28"/>
      <c r="AM260" s="28"/>
      <c r="AN260" s="28"/>
      <c r="AO260" s="28"/>
      <c r="AP260" s="28"/>
      <c r="AQ260" s="28"/>
      <c r="AR260" s="28"/>
      <c r="AS260" s="28"/>
      <c r="AT260" s="28"/>
      <c r="AU260" s="28"/>
      <c r="AV260" s="28"/>
      <c r="AW260" s="28"/>
      <c r="AX260" s="28"/>
      <c r="AY260" s="24"/>
      <c r="AZ260" s="28"/>
      <c r="BA260" s="28"/>
      <c r="BB260" s="28"/>
      <c r="BC260" s="28"/>
      <c r="BD260" s="28"/>
      <c r="BE260" s="28"/>
      <c r="BF260" s="24"/>
      <c r="BG260" s="28"/>
      <c r="BH260" s="28"/>
      <c r="BI260" s="28"/>
      <c r="BJ260" s="24"/>
      <c r="BK260" s="28"/>
      <c r="BL260" s="28"/>
      <c r="BM260" s="28"/>
    </row>
    <row r="261" spans="1:65">
      <c r="A261" s="24"/>
      <c r="B261" s="28"/>
      <c r="C261" s="25"/>
      <c r="D261" s="26"/>
      <c r="E261" s="24"/>
      <c r="F261" s="24"/>
      <c r="G261" s="26"/>
      <c r="H261" s="26"/>
      <c r="I261" s="26"/>
      <c r="J261" s="26"/>
      <c r="K261" s="26"/>
      <c r="L261" s="26"/>
      <c r="M261" s="26"/>
      <c r="N261" s="26"/>
      <c r="O261" s="26"/>
      <c r="P261" s="26"/>
      <c r="R261" s="24"/>
      <c r="S261" s="26"/>
      <c r="T261" s="25"/>
      <c r="U261" s="24"/>
      <c r="V261" s="24"/>
      <c r="W261" s="24"/>
      <c r="X261" s="26"/>
      <c r="Y261" s="26"/>
      <c r="Z261" s="24"/>
      <c r="AA261" s="26"/>
      <c r="AB261" s="25"/>
      <c r="AC261" s="24"/>
      <c r="AD261" s="24"/>
      <c r="AE261" s="24"/>
      <c r="AF261" s="26"/>
      <c r="AG261" s="26"/>
      <c r="AH261" s="24"/>
      <c r="AI261" s="24"/>
      <c r="AJ261" s="24"/>
      <c r="AK261" s="28"/>
      <c r="AL261" s="28"/>
      <c r="AM261" s="28"/>
      <c r="AN261" s="28"/>
      <c r="AO261" s="28"/>
      <c r="AP261" s="28"/>
      <c r="AQ261" s="28"/>
      <c r="AR261" s="28"/>
      <c r="AS261" s="28"/>
      <c r="AT261" s="28"/>
      <c r="AU261" s="28"/>
      <c r="AV261" s="28"/>
      <c r="AW261" s="28"/>
      <c r="AX261" s="28"/>
      <c r="AY261" s="24"/>
      <c r="AZ261" s="28"/>
      <c r="BA261" s="28"/>
      <c r="BB261" s="28"/>
      <c r="BC261" s="28"/>
      <c r="BD261" s="28"/>
      <c r="BE261" s="28"/>
      <c r="BF261" s="24"/>
      <c r="BG261" s="28"/>
      <c r="BH261" s="28"/>
      <c r="BI261" s="28"/>
      <c r="BJ261" s="24"/>
      <c r="BK261" s="28"/>
      <c r="BL261" s="28"/>
      <c r="BM261" s="28"/>
    </row>
    <row r="262" spans="1:65">
      <c r="A262" s="24"/>
      <c r="B262" s="28"/>
      <c r="C262" s="25"/>
      <c r="D262" s="26"/>
      <c r="E262" s="24"/>
      <c r="F262" s="24"/>
      <c r="G262" s="26"/>
      <c r="H262" s="26"/>
      <c r="I262" s="26"/>
      <c r="J262" s="26"/>
      <c r="K262" s="26"/>
      <c r="L262" s="26"/>
      <c r="M262" s="26"/>
      <c r="N262" s="26"/>
      <c r="O262" s="26"/>
      <c r="P262" s="26"/>
      <c r="R262" s="24"/>
      <c r="S262" s="26"/>
      <c r="T262" s="25"/>
      <c r="U262" s="24"/>
      <c r="V262" s="24"/>
      <c r="W262" s="24"/>
      <c r="X262" s="26"/>
      <c r="Y262" s="26"/>
      <c r="Z262" s="24"/>
      <c r="AA262" s="26"/>
      <c r="AB262" s="25"/>
      <c r="AC262" s="24"/>
      <c r="AD262" s="24"/>
      <c r="AE262" s="24"/>
      <c r="AF262" s="26"/>
      <c r="AG262" s="26"/>
      <c r="AH262" s="24"/>
      <c r="AI262" s="24"/>
      <c r="AJ262" s="24"/>
      <c r="AK262" s="28"/>
      <c r="AL262" s="28"/>
      <c r="AM262" s="28"/>
      <c r="AN262" s="28"/>
      <c r="AO262" s="28"/>
      <c r="AP262" s="28"/>
      <c r="AQ262" s="28"/>
      <c r="AR262" s="28"/>
      <c r="AS262" s="28"/>
      <c r="AT262" s="28"/>
      <c r="AU262" s="28"/>
      <c r="AV262" s="28"/>
      <c r="AW262" s="28"/>
      <c r="AX262" s="28"/>
      <c r="AY262" s="24"/>
      <c r="AZ262" s="28"/>
      <c r="BA262" s="28"/>
      <c r="BB262" s="28"/>
      <c r="BC262" s="28"/>
      <c r="BD262" s="28"/>
      <c r="BE262" s="28"/>
      <c r="BF262" s="24"/>
      <c r="BG262" s="28"/>
      <c r="BH262" s="28"/>
      <c r="BI262" s="28"/>
      <c r="BJ262" s="24"/>
      <c r="BK262" s="28"/>
      <c r="BL262" s="28"/>
      <c r="BM262" s="28"/>
    </row>
    <row r="263" spans="1:65">
      <c r="A263" s="24"/>
      <c r="B263" s="28"/>
      <c r="C263" s="25"/>
      <c r="D263" s="26"/>
      <c r="E263" s="24"/>
      <c r="F263" s="24"/>
      <c r="G263" s="26"/>
      <c r="H263" s="26"/>
      <c r="I263" s="26"/>
      <c r="J263" s="26"/>
      <c r="K263" s="26"/>
      <c r="L263" s="26"/>
      <c r="M263" s="26"/>
      <c r="N263" s="26"/>
      <c r="O263" s="26"/>
      <c r="P263" s="26"/>
      <c r="R263" s="24"/>
      <c r="S263" s="26"/>
      <c r="T263" s="25"/>
      <c r="U263" s="24"/>
      <c r="V263" s="24"/>
      <c r="W263" s="24"/>
      <c r="X263" s="26"/>
      <c r="Y263" s="26"/>
      <c r="Z263" s="24"/>
      <c r="AA263" s="26"/>
      <c r="AB263" s="25"/>
      <c r="AC263" s="24"/>
      <c r="AD263" s="24"/>
      <c r="AE263" s="24"/>
      <c r="AF263" s="26"/>
      <c r="AG263" s="26"/>
      <c r="AH263" s="24"/>
      <c r="AI263" s="24"/>
      <c r="AJ263" s="24"/>
      <c r="AK263" s="28"/>
      <c r="AL263" s="28"/>
      <c r="AM263" s="28"/>
      <c r="AN263" s="28"/>
      <c r="AO263" s="28"/>
      <c r="AP263" s="28"/>
      <c r="AQ263" s="28"/>
      <c r="AR263" s="28"/>
      <c r="AS263" s="28"/>
      <c r="AT263" s="28"/>
      <c r="AU263" s="28"/>
      <c r="AV263" s="28"/>
      <c r="AW263" s="28"/>
      <c r="AX263" s="28"/>
      <c r="AY263" s="24"/>
      <c r="AZ263" s="28"/>
      <c r="BA263" s="28"/>
      <c r="BB263" s="28"/>
      <c r="BC263" s="28"/>
      <c r="BD263" s="28"/>
      <c r="BE263" s="28"/>
      <c r="BF263" s="24"/>
      <c r="BG263" s="28"/>
      <c r="BH263" s="28"/>
      <c r="BI263" s="28"/>
      <c r="BJ263" s="24"/>
      <c r="BK263" s="28"/>
      <c r="BL263" s="28"/>
      <c r="BM263" s="28"/>
    </row>
    <row r="264" spans="1:65">
      <c r="A264" s="24"/>
      <c r="B264" s="28"/>
      <c r="C264" s="25"/>
      <c r="D264" s="26"/>
      <c r="E264" s="24"/>
      <c r="F264" s="24"/>
      <c r="G264" s="26"/>
      <c r="H264" s="26"/>
      <c r="I264" s="26"/>
      <c r="J264" s="26"/>
      <c r="K264" s="26"/>
      <c r="L264" s="26"/>
      <c r="M264" s="26"/>
      <c r="N264" s="26"/>
      <c r="O264" s="26"/>
      <c r="P264" s="26"/>
      <c r="R264" s="24"/>
      <c r="S264" s="26"/>
      <c r="T264" s="25"/>
      <c r="U264" s="24"/>
      <c r="V264" s="24"/>
      <c r="W264" s="24"/>
      <c r="X264" s="26"/>
      <c r="Y264" s="26"/>
      <c r="Z264" s="24"/>
      <c r="AA264" s="26"/>
      <c r="AB264" s="25"/>
      <c r="AC264" s="24"/>
      <c r="AD264" s="24"/>
      <c r="AE264" s="24"/>
      <c r="AF264" s="26"/>
      <c r="AG264" s="26"/>
      <c r="AH264" s="24"/>
      <c r="AI264" s="24"/>
      <c r="AJ264" s="24"/>
      <c r="AK264" s="28"/>
      <c r="AL264" s="28"/>
      <c r="AM264" s="28"/>
      <c r="AN264" s="28"/>
      <c r="AO264" s="28"/>
      <c r="AP264" s="28"/>
      <c r="AQ264" s="28"/>
      <c r="AR264" s="28"/>
      <c r="AS264" s="28"/>
      <c r="AT264" s="28"/>
      <c r="AU264" s="28"/>
      <c r="AV264" s="28"/>
      <c r="AW264" s="28"/>
      <c r="AX264" s="28"/>
      <c r="AY264" s="24"/>
      <c r="AZ264" s="28"/>
      <c r="BA264" s="28"/>
      <c r="BB264" s="28"/>
      <c r="BC264" s="28"/>
      <c r="BD264" s="28"/>
      <c r="BE264" s="28"/>
      <c r="BF264" s="24"/>
      <c r="BG264" s="28"/>
      <c r="BH264" s="28"/>
      <c r="BI264" s="28"/>
      <c r="BJ264" s="24"/>
      <c r="BK264" s="28"/>
      <c r="BL264" s="28"/>
      <c r="BM264" s="28"/>
    </row>
    <row r="265" spans="1:65">
      <c r="A265" s="24"/>
      <c r="B265" s="28"/>
      <c r="C265" s="25"/>
      <c r="D265" s="26"/>
      <c r="E265" s="24"/>
      <c r="F265" s="24"/>
      <c r="G265" s="26"/>
      <c r="H265" s="26"/>
      <c r="I265" s="26"/>
      <c r="J265" s="26"/>
      <c r="K265" s="26"/>
      <c r="L265" s="26"/>
      <c r="M265" s="26"/>
      <c r="N265" s="26"/>
      <c r="O265" s="26"/>
      <c r="P265" s="26"/>
      <c r="R265" s="24"/>
      <c r="S265" s="26"/>
      <c r="T265" s="25"/>
      <c r="U265" s="24"/>
      <c r="V265" s="24"/>
      <c r="W265" s="24"/>
      <c r="X265" s="26"/>
      <c r="Y265" s="26"/>
      <c r="Z265" s="24"/>
      <c r="AA265" s="26"/>
      <c r="AB265" s="25"/>
      <c r="AC265" s="24"/>
      <c r="AD265" s="24"/>
      <c r="AE265" s="24"/>
      <c r="AF265" s="26"/>
      <c r="AG265" s="26"/>
      <c r="AH265" s="24"/>
      <c r="AI265" s="24"/>
      <c r="AJ265" s="24"/>
      <c r="AK265" s="28"/>
      <c r="AL265" s="28"/>
      <c r="AM265" s="28"/>
      <c r="AN265" s="28"/>
      <c r="AO265" s="28"/>
      <c r="AP265" s="28"/>
      <c r="AQ265" s="28"/>
      <c r="AR265" s="28"/>
      <c r="AS265" s="28"/>
      <c r="AT265" s="28"/>
      <c r="AU265" s="28"/>
      <c r="AV265" s="28"/>
      <c r="AW265" s="28"/>
      <c r="AX265" s="28"/>
      <c r="AY265" s="24"/>
      <c r="AZ265" s="28"/>
      <c r="BA265" s="28"/>
      <c r="BB265" s="28"/>
      <c r="BC265" s="28"/>
      <c r="BD265" s="28"/>
      <c r="BE265" s="28"/>
      <c r="BF265" s="24"/>
      <c r="BG265" s="28"/>
      <c r="BH265" s="28"/>
      <c r="BI265" s="28"/>
      <c r="BJ265" s="24"/>
      <c r="BK265" s="28"/>
      <c r="BL265" s="28"/>
      <c r="BM265" s="28"/>
    </row>
    <row r="266" spans="1:65">
      <c r="A266" s="24"/>
      <c r="B266" s="28"/>
      <c r="C266" s="25"/>
      <c r="D266" s="26"/>
      <c r="E266" s="24"/>
      <c r="F266" s="24"/>
      <c r="G266" s="26"/>
      <c r="H266" s="26"/>
      <c r="I266" s="26"/>
      <c r="J266" s="26"/>
      <c r="K266" s="26"/>
      <c r="L266" s="26"/>
      <c r="M266" s="26"/>
      <c r="N266" s="26"/>
      <c r="O266" s="26"/>
      <c r="P266" s="26"/>
      <c r="R266" s="24"/>
      <c r="S266" s="26"/>
      <c r="T266" s="25"/>
      <c r="U266" s="24"/>
      <c r="V266" s="24"/>
      <c r="W266" s="24"/>
      <c r="X266" s="26"/>
      <c r="Y266" s="26"/>
      <c r="Z266" s="24"/>
      <c r="AA266" s="26"/>
      <c r="AB266" s="25"/>
      <c r="AC266" s="24"/>
      <c r="AD266" s="24"/>
      <c r="AE266" s="24"/>
      <c r="AF266" s="26"/>
      <c r="AG266" s="26"/>
      <c r="AH266" s="24"/>
      <c r="AI266" s="24"/>
      <c r="AJ266" s="24"/>
      <c r="AK266" s="28"/>
      <c r="AL266" s="28"/>
      <c r="AM266" s="28"/>
      <c r="AN266" s="28"/>
      <c r="AO266" s="28"/>
      <c r="AP266" s="28"/>
      <c r="AQ266" s="28"/>
      <c r="AR266" s="28"/>
      <c r="AS266" s="28"/>
      <c r="AT266" s="28"/>
      <c r="AU266" s="28"/>
      <c r="AV266" s="28"/>
      <c r="AW266" s="28"/>
      <c r="AX266" s="28"/>
      <c r="AY266" s="24"/>
      <c r="AZ266" s="28"/>
      <c r="BA266" s="28"/>
      <c r="BB266" s="28"/>
      <c r="BC266" s="28"/>
      <c r="BD266" s="28"/>
      <c r="BE266" s="28"/>
      <c r="BF266" s="24"/>
      <c r="BG266" s="28"/>
      <c r="BH266" s="28"/>
      <c r="BI266" s="28"/>
      <c r="BJ266" s="24"/>
      <c r="BK266" s="28"/>
      <c r="BL266" s="28"/>
      <c r="BM266" s="28"/>
    </row>
    <row r="267" spans="1:65">
      <c r="A267" s="24"/>
      <c r="B267" s="28"/>
      <c r="C267" s="25"/>
      <c r="D267" s="26"/>
      <c r="E267" s="24"/>
      <c r="F267" s="24"/>
      <c r="G267" s="26"/>
      <c r="H267" s="26"/>
      <c r="I267" s="26"/>
      <c r="J267" s="26"/>
      <c r="K267" s="26"/>
      <c r="L267" s="26"/>
      <c r="M267" s="26"/>
      <c r="N267" s="26"/>
      <c r="O267" s="26"/>
      <c r="P267" s="26"/>
      <c r="R267" s="24"/>
      <c r="S267" s="26"/>
      <c r="T267" s="25"/>
      <c r="U267" s="24"/>
      <c r="V267" s="24"/>
      <c r="W267" s="24"/>
      <c r="X267" s="26"/>
      <c r="Y267" s="26"/>
      <c r="Z267" s="24"/>
      <c r="AA267" s="26"/>
      <c r="AB267" s="25"/>
      <c r="AC267" s="24"/>
      <c r="AD267" s="24"/>
      <c r="AE267" s="24"/>
      <c r="AF267" s="26"/>
      <c r="AG267" s="26"/>
      <c r="AH267" s="24"/>
      <c r="AI267" s="24"/>
      <c r="AJ267" s="24"/>
      <c r="AK267" s="28"/>
      <c r="AL267" s="28"/>
      <c r="AM267" s="28"/>
      <c r="AN267" s="28"/>
      <c r="AO267" s="28"/>
      <c r="AP267" s="28"/>
      <c r="AQ267" s="28"/>
      <c r="AR267" s="28"/>
      <c r="AS267" s="28"/>
      <c r="AT267" s="28"/>
      <c r="AU267" s="28"/>
      <c r="AV267" s="28"/>
      <c r="AW267" s="28"/>
      <c r="AX267" s="28"/>
      <c r="AY267" s="24"/>
      <c r="AZ267" s="28"/>
      <c r="BA267" s="28"/>
      <c r="BB267" s="28"/>
      <c r="BC267" s="28"/>
      <c r="BD267" s="28"/>
      <c r="BE267" s="28"/>
      <c r="BF267" s="24"/>
      <c r="BG267" s="28"/>
      <c r="BH267" s="28"/>
      <c r="BI267" s="28"/>
      <c r="BJ267" s="24"/>
      <c r="BK267" s="28"/>
      <c r="BL267" s="28"/>
      <c r="BM267" s="28"/>
    </row>
    <row r="268" spans="1:65">
      <c r="A268" s="24"/>
      <c r="B268" s="28"/>
      <c r="C268" s="25"/>
      <c r="D268" s="26"/>
      <c r="E268" s="24"/>
      <c r="F268" s="24"/>
      <c r="G268" s="26"/>
      <c r="H268" s="26"/>
      <c r="I268" s="26"/>
      <c r="J268" s="26"/>
      <c r="K268" s="26"/>
      <c r="L268" s="26"/>
      <c r="M268" s="26"/>
      <c r="N268" s="26"/>
      <c r="O268" s="26"/>
      <c r="P268" s="26"/>
      <c r="R268" s="24"/>
      <c r="S268" s="26"/>
      <c r="T268" s="25"/>
      <c r="U268" s="24"/>
      <c r="V268" s="24"/>
      <c r="W268" s="24"/>
      <c r="X268" s="26"/>
      <c r="Y268" s="26"/>
      <c r="Z268" s="24"/>
      <c r="AA268" s="26"/>
      <c r="AB268" s="25"/>
      <c r="AC268" s="24"/>
      <c r="AD268" s="24"/>
      <c r="AE268" s="24"/>
      <c r="AF268" s="26"/>
      <c r="AG268" s="26"/>
      <c r="AH268" s="24"/>
      <c r="AI268" s="24"/>
      <c r="AJ268" s="24"/>
      <c r="AK268" s="28"/>
      <c r="AL268" s="28"/>
      <c r="AM268" s="28"/>
      <c r="AN268" s="28"/>
      <c r="AO268" s="28"/>
      <c r="AP268" s="28"/>
      <c r="AQ268" s="28"/>
      <c r="AR268" s="28"/>
      <c r="AS268" s="28"/>
      <c r="AT268" s="28"/>
      <c r="AU268" s="28"/>
      <c r="AV268" s="28"/>
      <c r="AW268" s="28"/>
      <c r="AX268" s="28"/>
      <c r="AY268" s="24"/>
      <c r="AZ268" s="28"/>
      <c r="BA268" s="28"/>
      <c r="BB268" s="28"/>
      <c r="BC268" s="28"/>
      <c r="BD268" s="28"/>
      <c r="BE268" s="28"/>
      <c r="BF268" s="24"/>
      <c r="BG268" s="28"/>
      <c r="BH268" s="28"/>
      <c r="BI268" s="28"/>
      <c r="BJ268" s="24"/>
      <c r="BK268" s="28"/>
      <c r="BL268" s="28"/>
      <c r="BM268" s="28"/>
    </row>
    <row r="269" spans="1:65">
      <c r="A269" s="24"/>
      <c r="B269" s="28"/>
      <c r="C269" s="25"/>
      <c r="D269" s="26"/>
      <c r="E269" s="24"/>
      <c r="F269" s="24"/>
      <c r="G269" s="26"/>
      <c r="H269" s="26"/>
      <c r="I269" s="26"/>
      <c r="J269" s="26"/>
      <c r="K269" s="26"/>
      <c r="L269" s="26"/>
      <c r="M269" s="26"/>
      <c r="N269" s="26"/>
      <c r="O269" s="26"/>
      <c r="P269" s="26"/>
      <c r="R269" s="24"/>
      <c r="S269" s="26"/>
      <c r="T269" s="25"/>
      <c r="U269" s="24"/>
      <c r="V269" s="24"/>
      <c r="W269" s="24"/>
      <c r="X269" s="26"/>
      <c r="Y269" s="26"/>
      <c r="Z269" s="24"/>
      <c r="AA269" s="26"/>
      <c r="AB269" s="25"/>
      <c r="AC269" s="24"/>
      <c r="AD269" s="24"/>
      <c r="AE269" s="24"/>
      <c r="AF269" s="26"/>
      <c r="AG269" s="26"/>
      <c r="AH269" s="24"/>
      <c r="AI269" s="24"/>
      <c r="AJ269" s="24"/>
      <c r="AK269" s="28"/>
      <c r="AL269" s="28"/>
      <c r="AM269" s="28"/>
      <c r="AN269" s="28"/>
      <c r="AO269" s="28"/>
      <c r="AP269" s="28"/>
      <c r="AQ269" s="28"/>
      <c r="AR269" s="28"/>
      <c r="AS269" s="28"/>
      <c r="AT269" s="28"/>
      <c r="AU269" s="28"/>
      <c r="AV269" s="28"/>
      <c r="AW269" s="28"/>
      <c r="AX269" s="28"/>
      <c r="AY269" s="24"/>
      <c r="AZ269" s="28"/>
      <c r="BA269" s="28"/>
      <c r="BB269" s="28"/>
      <c r="BC269" s="28"/>
      <c r="BD269" s="28"/>
      <c r="BE269" s="28"/>
      <c r="BF269" s="24"/>
      <c r="BG269" s="28"/>
      <c r="BH269" s="28"/>
      <c r="BI269" s="28"/>
      <c r="BJ269" s="24"/>
      <c r="BK269" s="28"/>
      <c r="BL269" s="28"/>
      <c r="BM269" s="28"/>
    </row>
    <row r="270" spans="1:65">
      <c r="A270" s="24"/>
      <c r="B270" s="28"/>
      <c r="C270" s="25"/>
      <c r="D270" s="26"/>
      <c r="E270" s="24"/>
      <c r="F270" s="24"/>
      <c r="G270" s="26"/>
      <c r="H270" s="26"/>
      <c r="I270" s="26"/>
      <c r="J270" s="26"/>
      <c r="K270" s="26"/>
      <c r="L270" s="26"/>
      <c r="M270" s="26"/>
      <c r="N270" s="26"/>
      <c r="O270" s="26"/>
      <c r="P270" s="26"/>
      <c r="R270" s="24"/>
      <c r="S270" s="26"/>
      <c r="T270" s="25"/>
      <c r="U270" s="24"/>
      <c r="V270" s="24"/>
      <c r="W270" s="24"/>
      <c r="X270" s="26"/>
      <c r="Y270" s="26"/>
      <c r="Z270" s="24"/>
      <c r="AA270" s="26"/>
      <c r="AB270" s="25"/>
      <c r="AC270" s="24"/>
      <c r="AD270" s="24"/>
      <c r="AE270" s="24"/>
      <c r="AF270" s="26"/>
      <c r="AG270" s="26"/>
      <c r="AH270" s="24"/>
      <c r="AI270" s="24"/>
      <c r="AJ270" s="24"/>
      <c r="AK270" s="28"/>
      <c r="AL270" s="28"/>
      <c r="AM270" s="28"/>
      <c r="AN270" s="28"/>
      <c r="AO270" s="28"/>
      <c r="AP270" s="28"/>
      <c r="AQ270" s="28"/>
      <c r="AR270" s="28"/>
      <c r="AS270" s="28"/>
      <c r="AT270" s="28"/>
      <c r="AU270" s="28"/>
      <c r="AV270" s="28"/>
      <c r="AW270" s="28"/>
      <c r="AX270" s="28"/>
      <c r="AY270" s="24"/>
      <c r="AZ270" s="28"/>
      <c r="BA270" s="28"/>
      <c r="BB270" s="28"/>
      <c r="BC270" s="28"/>
      <c r="BD270" s="28"/>
      <c r="BE270" s="28"/>
      <c r="BF270" s="24"/>
      <c r="BG270" s="28"/>
      <c r="BH270" s="28"/>
      <c r="BI270" s="28"/>
      <c r="BJ270" s="24"/>
      <c r="BK270" s="28"/>
      <c r="BL270" s="28"/>
      <c r="BM270" s="28"/>
    </row>
    <row r="271" spans="1:65">
      <c r="A271" s="24"/>
      <c r="B271" s="28"/>
      <c r="C271" s="25"/>
      <c r="D271" s="26"/>
      <c r="E271" s="24"/>
      <c r="F271" s="24"/>
      <c r="G271" s="26"/>
      <c r="H271" s="26"/>
      <c r="I271" s="26"/>
      <c r="J271" s="26"/>
      <c r="K271" s="26"/>
      <c r="L271" s="26"/>
      <c r="M271" s="26"/>
      <c r="N271" s="26"/>
      <c r="O271" s="26"/>
      <c r="P271" s="26"/>
      <c r="R271" s="24"/>
      <c r="S271" s="26"/>
      <c r="T271" s="25"/>
      <c r="U271" s="24"/>
      <c r="V271" s="24"/>
      <c r="W271" s="24"/>
      <c r="X271" s="26"/>
      <c r="Y271" s="26"/>
      <c r="Z271" s="24"/>
      <c r="AA271" s="26"/>
      <c r="AB271" s="25"/>
      <c r="AC271" s="24"/>
      <c r="AD271" s="24"/>
      <c r="AE271" s="24"/>
      <c r="AF271" s="26"/>
      <c r="AG271" s="26"/>
      <c r="AH271" s="24"/>
      <c r="AI271" s="24"/>
      <c r="AJ271" s="24"/>
      <c r="AK271" s="28"/>
      <c r="AL271" s="28"/>
      <c r="AM271" s="28"/>
      <c r="AN271" s="28"/>
      <c r="AO271" s="28"/>
      <c r="AP271" s="28"/>
      <c r="AQ271" s="28"/>
      <c r="AR271" s="28"/>
      <c r="AS271" s="28"/>
      <c r="AT271" s="28"/>
      <c r="AU271" s="28"/>
      <c r="AV271" s="28"/>
      <c r="AW271" s="28"/>
      <c r="AX271" s="28"/>
      <c r="AY271" s="24"/>
      <c r="AZ271" s="28"/>
      <c r="BA271" s="28"/>
      <c r="BB271" s="28"/>
      <c r="BC271" s="28"/>
      <c r="BD271" s="28"/>
      <c r="BE271" s="28"/>
      <c r="BF271" s="24"/>
      <c r="BG271" s="28"/>
      <c r="BH271" s="28"/>
      <c r="BI271" s="28"/>
      <c r="BJ271" s="24"/>
      <c r="BK271" s="28"/>
      <c r="BL271" s="28"/>
      <c r="BM271" s="28"/>
    </row>
    <row r="272" spans="1:65">
      <c r="A272" s="24"/>
      <c r="B272" s="28"/>
      <c r="C272" s="25"/>
      <c r="D272" s="26"/>
      <c r="E272" s="24"/>
      <c r="F272" s="24"/>
      <c r="G272" s="26"/>
      <c r="H272" s="26"/>
      <c r="I272" s="26"/>
      <c r="J272" s="26"/>
      <c r="K272" s="26"/>
      <c r="L272" s="26"/>
      <c r="M272" s="26"/>
      <c r="N272" s="26"/>
      <c r="O272" s="26"/>
      <c r="P272" s="26"/>
      <c r="R272" s="24"/>
      <c r="S272" s="26"/>
      <c r="T272" s="25"/>
      <c r="U272" s="24"/>
      <c r="V272" s="24"/>
      <c r="W272" s="24"/>
      <c r="X272" s="26"/>
      <c r="Y272" s="26"/>
      <c r="Z272" s="24"/>
      <c r="AA272" s="26"/>
      <c r="AB272" s="25"/>
      <c r="AC272" s="24"/>
      <c r="AD272" s="24"/>
      <c r="AE272" s="24"/>
      <c r="AF272" s="26"/>
      <c r="AG272" s="26"/>
      <c r="AH272" s="24"/>
      <c r="AI272" s="24"/>
      <c r="AJ272" s="24"/>
      <c r="AK272" s="28"/>
      <c r="AL272" s="28"/>
      <c r="AM272" s="28"/>
      <c r="AN272" s="28"/>
      <c r="AO272" s="28"/>
      <c r="AP272" s="28"/>
      <c r="AQ272" s="28"/>
      <c r="AR272" s="28"/>
      <c r="AS272" s="28"/>
      <c r="AT272" s="28"/>
      <c r="AU272" s="28"/>
      <c r="AV272" s="28"/>
      <c r="AW272" s="28"/>
      <c r="AX272" s="28"/>
      <c r="AY272" s="24"/>
      <c r="AZ272" s="28"/>
      <c r="BA272" s="28"/>
      <c r="BB272" s="28"/>
      <c r="BC272" s="28"/>
      <c r="BD272" s="28"/>
      <c r="BE272" s="28"/>
      <c r="BF272" s="24"/>
      <c r="BG272" s="28"/>
      <c r="BH272" s="28"/>
      <c r="BI272" s="28"/>
      <c r="BJ272" s="24"/>
      <c r="BK272" s="28"/>
      <c r="BL272" s="28"/>
      <c r="BM272" s="28"/>
    </row>
    <row r="273" spans="1:65">
      <c r="A273" s="24"/>
      <c r="B273" s="28"/>
      <c r="C273" s="25"/>
      <c r="D273" s="26"/>
      <c r="E273" s="24"/>
      <c r="F273" s="24"/>
      <c r="G273" s="26"/>
      <c r="H273" s="26"/>
      <c r="I273" s="26"/>
      <c r="J273" s="26"/>
      <c r="K273" s="26"/>
      <c r="L273" s="26"/>
      <c r="M273" s="26"/>
      <c r="N273" s="26"/>
      <c r="O273" s="26"/>
      <c r="P273" s="26"/>
      <c r="R273" s="24"/>
      <c r="S273" s="26"/>
      <c r="T273" s="25"/>
      <c r="U273" s="24"/>
      <c r="V273" s="24"/>
      <c r="W273" s="24"/>
      <c r="X273" s="26"/>
      <c r="Y273" s="26"/>
      <c r="Z273" s="24"/>
      <c r="AA273" s="26"/>
      <c r="AB273" s="25"/>
      <c r="AC273" s="24"/>
      <c r="AD273" s="24"/>
      <c r="AE273" s="24"/>
      <c r="AF273" s="26"/>
      <c r="AG273" s="26"/>
      <c r="AH273" s="24"/>
      <c r="AI273" s="24"/>
      <c r="AJ273" s="24"/>
      <c r="AK273" s="28"/>
      <c r="AL273" s="28"/>
      <c r="AM273" s="28"/>
      <c r="AN273" s="28"/>
      <c r="AO273" s="28"/>
      <c r="AP273" s="28"/>
      <c r="AQ273" s="28"/>
      <c r="AR273" s="28"/>
      <c r="AS273" s="28"/>
      <c r="AT273" s="28"/>
      <c r="AU273" s="28"/>
      <c r="AV273" s="28"/>
      <c r="AW273" s="28"/>
      <c r="AX273" s="28"/>
      <c r="AY273" s="24"/>
      <c r="AZ273" s="28"/>
      <c r="BA273" s="28"/>
      <c r="BB273" s="28"/>
      <c r="BC273" s="28"/>
      <c r="BD273" s="28"/>
      <c r="BE273" s="28"/>
      <c r="BF273" s="24"/>
      <c r="BG273" s="28"/>
      <c r="BH273" s="28"/>
      <c r="BI273" s="28"/>
      <c r="BJ273" s="24"/>
      <c r="BK273" s="28"/>
      <c r="BL273" s="28"/>
      <c r="BM273" s="28"/>
    </row>
    <row r="274" spans="1:65">
      <c r="A274" s="24"/>
      <c r="B274" s="28"/>
      <c r="C274" s="25"/>
      <c r="D274" s="26"/>
      <c r="E274" s="24"/>
      <c r="F274" s="24"/>
      <c r="G274" s="26"/>
      <c r="H274" s="26"/>
      <c r="I274" s="26"/>
      <c r="J274" s="26"/>
      <c r="K274" s="26"/>
      <c r="L274" s="26"/>
      <c r="M274" s="26"/>
      <c r="N274" s="26"/>
      <c r="O274" s="26"/>
      <c r="P274" s="26"/>
      <c r="R274" s="24"/>
      <c r="S274" s="26"/>
      <c r="T274" s="25"/>
      <c r="U274" s="24"/>
      <c r="V274" s="24"/>
      <c r="W274" s="24"/>
      <c r="X274" s="26"/>
      <c r="Y274" s="26"/>
      <c r="Z274" s="24"/>
      <c r="AA274" s="26"/>
      <c r="AB274" s="25"/>
      <c r="AC274" s="24"/>
      <c r="AD274" s="24"/>
      <c r="AE274" s="24"/>
      <c r="AF274" s="26"/>
      <c r="AG274" s="26"/>
      <c r="AH274" s="24"/>
      <c r="AI274" s="24"/>
      <c r="AJ274" s="24"/>
      <c r="AK274" s="28"/>
      <c r="AL274" s="28"/>
      <c r="AM274" s="28"/>
      <c r="AN274" s="28"/>
      <c r="AO274" s="28"/>
      <c r="AP274" s="28"/>
      <c r="AQ274" s="28"/>
      <c r="AR274" s="28"/>
      <c r="AS274" s="28"/>
      <c r="AT274" s="28"/>
      <c r="AU274" s="28"/>
      <c r="AV274" s="28"/>
      <c r="AW274" s="28"/>
      <c r="AX274" s="28"/>
      <c r="AY274" s="24"/>
      <c r="AZ274" s="28"/>
      <c r="BA274" s="28"/>
      <c r="BB274" s="28"/>
      <c r="BC274" s="28"/>
      <c r="BD274" s="28"/>
      <c r="BE274" s="28"/>
      <c r="BF274" s="24"/>
      <c r="BG274" s="28"/>
      <c r="BH274" s="28"/>
      <c r="BI274" s="28"/>
      <c r="BJ274" s="24"/>
      <c r="BK274" s="28"/>
      <c r="BL274" s="28"/>
      <c r="BM274" s="28"/>
    </row>
    <row r="275" spans="1:65">
      <c r="A275" s="24"/>
      <c r="B275" s="28"/>
      <c r="C275" s="25"/>
      <c r="D275" s="26"/>
      <c r="E275" s="24"/>
      <c r="F275" s="24"/>
      <c r="G275" s="26"/>
      <c r="H275" s="26"/>
      <c r="I275" s="26"/>
      <c r="J275" s="26"/>
      <c r="K275" s="26"/>
      <c r="L275" s="26"/>
      <c r="M275" s="26"/>
      <c r="N275" s="26"/>
      <c r="O275" s="26"/>
      <c r="P275" s="26"/>
      <c r="R275" s="24"/>
      <c r="S275" s="26"/>
      <c r="T275" s="25"/>
      <c r="U275" s="24"/>
      <c r="V275" s="24"/>
      <c r="W275" s="24"/>
      <c r="X275" s="26"/>
      <c r="Y275" s="26"/>
      <c r="Z275" s="24"/>
      <c r="AA275" s="26"/>
      <c r="AB275" s="25"/>
      <c r="AC275" s="24"/>
      <c r="AD275" s="24"/>
      <c r="AE275" s="24"/>
      <c r="AF275" s="26"/>
      <c r="AG275" s="26"/>
      <c r="AH275" s="24"/>
      <c r="AI275" s="24"/>
      <c r="AJ275" s="24"/>
      <c r="AK275" s="28"/>
      <c r="AL275" s="28"/>
      <c r="AM275" s="28"/>
      <c r="AN275" s="28"/>
      <c r="AO275" s="28"/>
      <c r="AP275" s="28"/>
      <c r="AQ275" s="28"/>
      <c r="AR275" s="28"/>
      <c r="AS275" s="28"/>
      <c r="AT275" s="28"/>
      <c r="AU275" s="28"/>
      <c r="AV275" s="28"/>
      <c r="AW275" s="28"/>
      <c r="AX275" s="28"/>
      <c r="AY275" s="24"/>
      <c r="AZ275" s="28"/>
      <c r="BA275" s="28"/>
      <c r="BB275" s="28"/>
      <c r="BC275" s="28"/>
      <c r="BD275" s="28"/>
      <c r="BE275" s="28"/>
      <c r="BF275" s="24"/>
      <c r="BG275" s="28"/>
      <c r="BH275" s="28"/>
      <c r="BI275" s="28"/>
      <c r="BJ275" s="24"/>
      <c r="BK275" s="28"/>
      <c r="BL275" s="28"/>
      <c r="BM275" s="28"/>
    </row>
    <row r="276" spans="1:65">
      <c r="A276" s="24"/>
      <c r="B276" s="28"/>
      <c r="C276" s="25"/>
      <c r="D276" s="26"/>
      <c r="E276" s="24"/>
      <c r="F276" s="24"/>
      <c r="G276" s="26"/>
      <c r="H276" s="26"/>
      <c r="I276" s="26"/>
      <c r="J276" s="26"/>
      <c r="K276" s="26"/>
      <c r="L276" s="26"/>
      <c r="M276" s="26"/>
      <c r="N276" s="26"/>
      <c r="O276" s="26"/>
      <c r="P276" s="26"/>
      <c r="R276" s="24"/>
      <c r="S276" s="26"/>
      <c r="T276" s="25"/>
      <c r="U276" s="24"/>
      <c r="V276" s="24"/>
      <c r="W276" s="24"/>
      <c r="X276" s="26"/>
      <c r="Y276" s="26"/>
      <c r="Z276" s="24"/>
      <c r="AA276" s="26"/>
      <c r="AB276" s="25"/>
      <c r="AC276" s="24"/>
      <c r="AD276" s="24"/>
      <c r="AE276" s="24"/>
      <c r="AF276" s="26"/>
      <c r="AG276" s="26"/>
      <c r="AH276" s="24"/>
      <c r="AI276" s="24"/>
      <c r="AJ276" s="24"/>
      <c r="AK276" s="28"/>
      <c r="AL276" s="28"/>
      <c r="AM276" s="28"/>
      <c r="AN276" s="28"/>
      <c r="AO276" s="28"/>
      <c r="AP276" s="28"/>
      <c r="AQ276" s="28"/>
      <c r="AR276" s="28"/>
      <c r="AS276" s="28"/>
      <c r="AT276" s="28"/>
      <c r="AU276" s="28"/>
      <c r="AV276" s="28"/>
      <c r="AW276" s="28"/>
      <c r="AX276" s="28"/>
      <c r="AY276" s="24"/>
      <c r="AZ276" s="28"/>
      <c r="BA276" s="28"/>
      <c r="BB276" s="28"/>
      <c r="BC276" s="28"/>
      <c r="BD276" s="28"/>
      <c r="BE276" s="28"/>
      <c r="BF276" s="24"/>
      <c r="BG276" s="28"/>
      <c r="BH276" s="28"/>
      <c r="BI276" s="28"/>
      <c r="BJ276" s="24"/>
      <c r="BK276" s="28"/>
      <c r="BL276" s="28"/>
      <c r="BM276" s="28"/>
    </row>
    <row r="277" spans="1:65">
      <c r="A277" s="24"/>
      <c r="B277" s="28"/>
      <c r="C277" s="25"/>
      <c r="D277" s="26"/>
      <c r="E277" s="24"/>
      <c r="F277" s="24"/>
      <c r="G277" s="26"/>
      <c r="H277" s="26"/>
      <c r="I277" s="26"/>
      <c r="J277" s="26"/>
      <c r="K277" s="26"/>
      <c r="L277" s="26"/>
      <c r="M277" s="26"/>
      <c r="N277" s="26"/>
      <c r="O277" s="26"/>
      <c r="P277" s="26"/>
      <c r="R277" s="24"/>
      <c r="S277" s="26"/>
      <c r="T277" s="25"/>
      <c r="U277" s="24"/>
      <c r="V277" s="24"/>
      <c r="W277" s="24"/>
      <c r="X277" s="26"/>
      <c r="Y277" s="26"/>
      <c r="Z277" s="24"/>
      <c r="AA277" s="26"/>
      <c r="AB277" s="25"/>
      <c r="AC277" s="24"/>
      <c r="AD277" s="24"/>
      <c r="AE277" s="24"/>
      <c r="AF277" s="26"/>
      <c r="AG277" s="26"/>
      <c r="AH277" s="24"/>
      <c r="AI277" s="24"/>
      <c r="AJ277" s="24"/>
      <c r="AK277" s="28"/>
      <c r="AL277" s="28"/>
      <c r="AM277" s="28"/>
      <c r="AN277" s="28"/>
      <c r="AO277" s="28"/>
      <c r="AP277" s="28"/>
      <c r="AQ277" s="28"/>
      <c r="AR277" s="28"/>
      <c r="AS277" s="28"/>
      <c r="AT277" s="28"/>
      <c r="AU277" s="28"/>
      <c r="AV277" s="28"/>
      <c r="AW277" s="28"/>
      <c r="AX277" s="28"/>
      <c r="AY277" s="24"/>
      <c r="AZ277" s="28"/>
      <c r="BA277" s="28"/>
      <c r="BB277" s="28"/>
      <c r="BC277" s="28"/>
      <c r="BD277" s="28"/>
      <c r="BE277" s="28"/>
      <c r="BF277" s="24"/>
      <c r="BG277" s="28"/>
      <c r="BH277" s="28"/>
      <c r="BI277" s="28"/>
      <c r="BJ277" s="24"/>
      <c r="BK277" s="28"/>
      <c r="BL277" s="28"/>
      <c r="BM277" s="28"/>
    </row>
    <row r="278" spans="1:65">
      <c r="A278" s="24"/>
      <c r="B278" s="28"/>
      <c r="C278" s="25"/>
      <c r="D278" s="26"/>
      <c r="E278" s="24"/>
      <c r="F278" s="24"/>
      <c r="G278" s="26"/>
      <c r="H278" s="26"/>
      <c r="I278" s="26"/>
      <c r="J278" s="26"/>
      <c r="K278" s="26"/>
      <c r="L278" s="26"/>
      <c r="M278" s="26"/>
      <c r="N278" s="26"/>
      <c r="O278" s="26"/>
      <c r="P278" s="26"/>
      <c r="R278" s="24"/>
      <c r="S278" s="26"/>
      <c r="T278" s="25"/>
      <c r="U278" s="24"/>
      <c r="V278" s="24"/>
      <c r="W278" s="24"/>
      <c r="X278" s="26"/>
      <c r="Y278" s="26"/>
      <c r="Z278" s="24"/>
      <c r="AA278" s="26"/>
      <c r="AB278" s="25"/>
      <c r="AC278" s="24"/>
      <c r="AD278" s="24"/>
      <c r="AE278" s="24"/>
      <c r="AF278" s="26"/>
      <c r="AG278" s="26"/>
      <c r="AH278" s="24"/>
      <c r="AI278" s="24"/>
      <c r="AJ278" s="24"/>
      <c r="AK278" s="28"/>
      <c r="AL278" s="28"/>
      <c r="AM278" s="28"/>
      <c r="AN278" s="28"/>
      <c r="AO278" s="28"/>
      <c r="AP278" s="28"/>
      <c r="AQ278" s="28"/>
      <c r="AR278" s="28"/>
      <c r="AS278" s="28"/>
      <c r="AT278" s="28"/>
      <c r="AU278" s="28"/>
      <c r="AV278" s="28"/>
      <c r="AW278" s="28"/>
      <c r="AX278" s="28"/>
      <c r="AY278" s="24"/>
      <c r="AZ278" s="28"/>
      <c r="BA278" s="28"/>
      <c r="BB278" s="28"/>
      <c r="BC278" s="28"/>
      <c r="BD278" s="28"/>
      <c r="BE278" s="28"/>
      <c r="BF278" s="24"/>
      <c r="BG278" s="28"/>
      <c r="BH278" s="28"/>
      <c r="BI278" s="28"/>
      <c r="BJ278" s="24"/>
      <c r="BK278" s="28"/>
      <c r="BL278" s="28"/>
      <c r="BM278" s="28"/>
    </row>
    <row r="279" spans="1:65">
      <c r="A279" s="24"/>
      <c r="B279" s="28"/>
      <c r="C279" s="25"/>
      <c r="D279" s="26"/>
      <c r="E279" s="24"/>
      <c r="F279" s="24"/>
      <c r="G279" s="26"/>
      <c r="H279" s="26"/>
      <c r="I279" s="26"/>
      <c r="J279" s="26"/>
      <c r="K279" s="26"/>
      <c r="L279" s="26"/>
      <c r="M279" s="26"/>
      <c r="N279" s="26"/>
      <c r="O279" s="26"/>
      <c r="P279" s="26"/>
      <c r="R279" s="24"/>
      <c r="S279" s="26"/>
      <c r="T279" s="25"/>
      <c r="U279" s="24"/>
      <c r="V279" s="24"/>
      <c r="W279" s="24"/>
      <c r="X279" s="26"/>
      <c r="Y279" s="26"/>
      <c r="Z279" s="24"/>
      <c r="AA279" s="26"/>
      <c r="AB279" s="25"/>
      <c r="AC279" s="24"/>
      <c r="AD279" s="24"/>
      <c r="AE279" s="24"/>
      <c r="AF279" s="26"/>
      <c r="AG279" s="26"/>
      <c r="AH279" s="24"/>
      <c r="AI279" s="24"/>
      <c r="AJ279" s="24"/>
      <c r="AK279" s="28"/>
      <c r="AL279" s="28"/>
      <c r="AM279" s="28"/>
      <c r="AN279" s="28"/>
      <c r="AO279" s="28"/>
      <c r="AP279" s="28"/>
      <c r="AQ279" s="28"/>
      <c r="AR279" s="28"/>
      <c r="AS279" s="28"/>
      <c r="AT279" s="28"/>
      <c r="AU279" s="28"/>
      <c r="AV279" s="28"/>
      <c r="AW279" s="28"/>
      <c r="AX279" s="28"/>
      <c r="AY279" s="24"/>
      <c r="AZ279" s="28"/>
      <c r="BA279" s="28"/>
      <c r="BB279" s="28"/>
      <c r="BC279" s="28"/>
      <c r="BD279" s="28"/>
      <c r="BE279" s="28"/>
      <c r="BF279" s="24"/>
      <c r="BG279" s="28"/>
      <c r="BH279" s="28"/>
      <c r="BI279" s="28"/>
      <c r="BJ279" s="24"/>
      <c r="BK279" s="28"/>
      <c r="BL279" s="28"/>
      <c r="BM279" s="28"/>
    </row>
    <row r="280" spans="1:65">
      <c r="A280" s="24"/>
      <c r="B280" s="28"/>
      <c r="C280" s="25"/>
      <c r="D280" s="26"/>
      <c r="E280" s="24"/>
      <c r="F280" s="24"/>
      <c r="G280" s="26"/>
      <c r="H280" s="26"/>
      <c r="I280" s="26"/>
      <c r="J280" s="26"/>
      <c r="K280" s="26"/>
      <c r="L280" s="26"/>
      <c r="M280" s="26"/>
      <c r="N280" s="26"/>
      <c r="O280" s="26"/>
      <c r="P280" s="26"/>
      <c r="R280" s="24"/>
      <c r="S280" s="26"/>
      <c r="T280" s="25"/>
      <c r="U280" s="24"/>
      <c r="V280" s="24"/>
      <c r="W280" s="24"/>
      <c r="X280" s="26"/>
      <c r="Y280" s="26"/>
      <c r="Z280" s="24"/>
      <c r="AA280" s="26"/>
      <c r="AB280" s="25"/>
      <c r="AC280" s="24"/>
      <c r="AD280" s="24"/>
      <c r="AE280" s="24"/>
      <c r="AF280" s="26"/>
      <c r="AG280" s="26"/>
      <c r="AH280" s="24"/>
      <c r="AI280" s="24"/>
      <c r="AJ280" s="24"/>
      <c r="AK280" s="28"/>
      <c r="AL280" s="28"/>
      <c r="AM280" s="28"/>
      <c r="AN280" s="28"/>
      <c r="AO280" s="28"/>
      <c r="AP280" s="28"/>
      <c r="AQ280" s="28"/>
      <c r="AR280" s="28"/>
      <c r="AS280" s="28"/>
      <c r="AT280" s="28"/>
      <c r="AU280" s="28"/>
      <c r="AV280" s="28"/>
      <c r="AW280" s="28"/>
      <c r="AX280" s="28"/>
      <c r="AY280" s="24"/>
      <c r="AZ280" s="28"/>
      <c r="BA280" s="28"/>
      <c r="BB280" s="28"/>
      <c r="BC280" s="28"/>
      <c r="BD280" s="28"/>
      <c r="BE280" s="28"/>
      <c r="BF280" s="24"/>
      <c r="BG280" s="28"/>
      <c r="BH280" s="28"/>
      <c r="BI280" s="28"/>
      <c r="BJ280" s="24"/>
      <c r="BK280" s="28"/>
      <c r="BL280" s="28"/>
      <c r="BM280" s="28"/>
    </row>
    <row r="281" spans="1:65">
      <c r="A281" s="24"/>
      <c r="B281" s="28"/>
      <c r="C281" s="25"/>
      <c r="D281" s="26"/>
      <c r="E281" s="24"/>
      <c r="F281" s="24"/>
      <c r="G281" s="26"/>
      <c r="H281" s="26"/>
      <c r="I281" s="26"/>
      <c r="J281" s="26"/>
      <c r="K281" s="26"/>
      <c r="L281" s="26"/>
      <c r="M281" s="26"/>
      <c r="N281" s="26"/>
      <c r="O281" s="26"/>
      <c r="P281" s="26"/>
      <c r="R281" s="24"/>
      <c r="S281" s="26"/>
      <c r="T281" s="25"/>
      <c r="U281" s="24"/>
      <c r="V281" s="24"/>
      <c r="W281" s="24"/>
      <c r="X281" s="26"/>
      <c r="Y281" s="26"/>
      <c r="Z281" s="24"/>
      <c r="AA281" s="26"/>
      <c r="AB281" s="25"/>
      <c r="AC281" s="24"/>
      <c r="AD281" s="24"/>
      <c r="AE281" s="24"/>
      <c r="AF281" s="26"/>
      <c r="AG281" s="26"/>
      <c r="AH281" s="24"/>
      <c r="AI281" s="24"/>
      <c r="AJ281" s="24"/>
      <c r="AK281" s="28"/>
      <c r="AL281" s="28"/>
      <c r="AM281" s="28"/>
      <c r="AN281" s="28"/>
      <c r="AO281" s="28"/>
      <c r="AP281" s="28"/>
      <c r="AQ281" s="28"/>
      <c r="AR281" s="28"/>
      <c r="AS281" s="28"/>
      <c r="AT281" s="28"/>
      <c r="AU281" s="28"/>
      <c r="AV281" s="28"/>
      <c r="AW281" s="28"/>
      <c r="AX281" s="28"/>
      <c r="AY281" s="24"/>
      <c r="AZ281" s="28"/>
      <c r="BA281" s="28"/>
      <c r="BB281" s="28"/>
      <c r="BC281" s="28"/>
      <c r="BD281" s="28"/>
      <c r="BE281" s="28"/>
      <c r="BF281" s="24"/>
      <c r="BG281" s="28"/>
      <c r="BH281" s="28"/>
      <c r="BI281" s="28"/>
      <c r="BJ281" s="24"/>
      <c r="BK281" s="28"/>
      <c r="BL281" s="28"/>
      <c r="BM281" s="28"/>
    </row>
    <row r="282" spans="1:65">
      <c r="A282" s="24"/>
      <c r="B282" s="28"/>
      <c r="C282" s="25"/>
      <c r="D282" s="26"/>
      <c r="E282" s="24"/>
      <c r="F282" s="24"/>
      <c r="G282" s="26"/>
      <c r="H282" s="26"/>
      <c r="I282" s="26"/>
      <c r="J282" s="26"/>
      <c r="K282" s="26"/>
      <c r="L282" s="26"/>
      <c r="M282" s="26"/>
      <c r="N282" s="26"/>
      <c r="O282" s="26"/>
      <c r="P282" s="26"/>
      <c r="R282" s="24"/>
      <c r="S282" s="26"/>
      <c r="T282" s="25"/>
      <c r="U282" s="24"/>
      <c r="V282" s="24"/>
      <c r="W282" s="24"/>
      <c r="X282" s="26"/>
      <c r="Y282" s="26"/>
      <c r="Z282" s="24"/>
      <c r="AA282" s="26"/>
      <c r="AB282" s="25"/>
      <c r="AC282" s="24"/>
      <c r="AD282" s="24"/>
      <c r="AE282" s="24"/>
      <c r="AF282" s="26"/>
      <c r="AG282" s="26"/>
      <c r="AH282" s="24"/>
      <c r="AI282" s="24"/>
      <c r="AJ282" s="24"/>
      <c r="AK282" s="28"/>
      <c r="AL282" s="28"/>
      <c r="AM282" s="28"/>
      <c r="AN282" s="28"/>
      <c r="AO282" s="28"/>
      <c r="AP282" s="28"/>
      <c r="AQ282" s="28"/>
      <c r="AR282" s="28"/>
      <c r="AS282" s="28"/>
      <c r="AT282" s="28"/>
      <c r="AU282" s="28"/>
      <c r="AV282" s="28"/>
      <c r="AW282" s="28"/>
      <c r="AX282" s="28"/>
      <c r="AY282" s="24"/>
      <c r="AZ282" s="28"/>
      <c r="BA282" s="28"/>
      <c r="BB282" s="28"/>
      <c r="BC282" s="28"/>
      <c r="BD282" s="28"/>
      <c r="BE282" s="28"/>
      <c r="BF282" s="24"/>
      <c r="BG282" s="28"/>
      <c r="BH282" s="28"/>
      <c r="BI282" s="28"/>
      <c r="BJ282" s="24"/>
      <c r="BK282" s="28"/>
      <c r="BL282" s="28"/>
      <c r="BM282" s="28"/>
    </row>
    <row r="283" spans="1:65">
      <c r="A283" s="24"/>
      <c r="B283" s="28"/>
      <c r="C283" s="25"/>
      <c r="D283" s="26"/>
      <c r="E283" s="24"/>
      <c r="F283" s="24"/>
      <c r="G283" s="26"/>
      <c r="H283" s="26"/>
      <c r="I283" s="26"/>
      <c r="J283" s="26"/>
      <c r="K283" s="26"/>
      <c r="L283" s="26"/>
      <c r="M283" s="26"/>
      <c r="N283" s="26"/>
      <c r="O283" s="26"/>
      <c r="P283" s="26"/>
      <c r="R283" s="24"/>
      <c r="S283" s="26"/>
      <c r="T283" s="25"/>
      <c r="U283" s="24"/>
      <c r="V283" s="24"/>
      <c r="W283" s="24"/>
      <c r="X283" s="26"/>
      <c r="Y283" s="26"/>
      <c r="Z283" s="24"/>
      <c r="AA283" s="26"/>
      <c r="AB283" s="25"/>
      <c r="AC283" s="24"/>
      <c r="AD283" s="24"/>
      <c r="AE283" s="24"/>
      <c r="AF283" s="26"/>
      <c r="AG283" s="26"/>
      <c r="AH283" s="24"/>
      <c r="AI283" s="24"/>
      <c r="AJ283" s="24"/>
      <c r="AK283" s="28"/>
      <c r="AL283" s="28"/>
      <c r="AM283" s="28"/>
      <c r="AN283" s="28"/>
      <c r="AO283" s="28"/>
      <c r="AP283" s="28"/>
      <c r="AQ283" s="28"/>
      <c r="AR283" s="28"/>
      <c r="AS283" s="28"/>
      <c r="AT283" s="28"/>
      <c r="AU283" s="28"/>
      <c r="AV283" s="28"/>
      <c r="AW283" s="28"/>
      <c r="AX283" s="28"/>
      <c r="AY283" s="24"/>
      <c r="AZ283" s="28"/>
      <c r="BA283" s="28"/>
      <c r="BB283" s="28"/>
      <c r="BC283" s="28"/>
      <c r="BD283" s="28"/>
      <c r="BE283" s="28"/>
      <c r="BF283" s="24"/>
      <c r="BG283" s="28"/>
      <c r="BH283" s="28"/>
      <c r="BI283" s="28"/>
      <c r="BJ283" s="24"/>
      <c r="BK283" s="28"/>
      <c r="BL283" s="28"/>
      <c r="BM283" s="28"/>
    </row>
    <row r="284" spans="1:65">
      <c r="A284" s="24"/>
      <c r="B284" s="28"/>
      <c r="C284" s="25"/>
      <c r="D284" s="26"/>
      <c r="E284" s="24"/>
      <c r="F284" s="24"/>
      <c r="G284" s="26"/>
      <c r="H284" s="26"/>
      <c r="I284" s="26"/>
      <c r="J284" s="26"/>
      <c r="K284" s="26"/>
      <c r="L284" s="26"/>
      <c r="M284" s="26"/>
      <c r="N284" s="26"/>
      <c r="O284" s="26"/>
      <c r="P284" s="26"/>
      <c r="R284" s="24"/>
      <c r="S284" s="26"/>
      <c r="T284" s="25"/>
      <c r="U284" s="24"/>
      <c r="V284" s="24"/>
      <c r="W284" s="24"/>
      <c r="X284" s="26"/>
      <c r="Y284" s="26"/>
      <c r="Z284" s="24"/>
      <c r="AA284" s="26"/>
      <c r="AB284" s="25"/>
      <c r="AC284" s="24"/>
      <c r="AD284" s="24"/>
      <c r="AE284" s="24"/>
      <c r="AF284" s="26"/>
      <c r="AG284" s="26"/>
      <c r="AH284" s="24"/>
      <c r="AI284" s="24"/>
      <c r="AJ284" s="24"/>
      <c r="AK284" s="28"/>
      <c r="AL284" s="28"/>
      <c r="AM284" s="28"/>
      <c r="AN284" s="28"/>
      <c r="AO284" s="28"/>
      <c r="AP284" s="28"/>
      <c r="AQ284" s="28"/>
      <c r="AR284" s="28"/>
      <c r="AS284" s="28"/>
      <c r="AT284" s="28"/>
      <c r="AU284" s="28"/>
      <c r="AV284" s="28"/>
      <c r="AW284" s="28"/>
      <c r="AX284" s="28"/>
      <c r="AY284" s="24"/>
      <c r="AZ284" s="28"/>
      <c r="BA284" s="28"/>
      <c r="BB284" s="28"/>
      <c r="BC284" s="28"/>
      <c r="BD284" s="28"/>
      <c r="BE284" s="28"/>
      <c r="BF284" s="24"/>
      <c r="BG284" s="28"/>
      <c r="BH284" s="28"/>
      <c r="BI284" s="28"/>
      <c r="BJ284" s="24"/>
      <c r="BK284" s="28"/>
      <c r="BL284" s="28"/>
      <c r="BM284" s="28"/>
    </row>
    <row r="285" spans="1:65">
      <c r="A285" s="24"/>
      <c r="B285" s="28"/>
      <c r="C285" s="25"/>
      <c r="D285" s="26"/>
      <c r="E285" s="24"/>
      <c r="F285" s="24"/>
      <c r="G285" s="26"/>
      <c r="H285" s="26"/>
      <c r="I285" s="26"/>
      <c r="J285" s="26"/>
      <c r="K285" s="26"/>
      <c r="L285" s="26"/>
      <c r="M285" s="26"/>
      <c r="N285" s="26"/>
      <c r="O285" s="26"/>
      <c r="P285" s="26"/>
      <c r="R285" s="24"/>
      <c r="S285" s="26"/>
      <c r="T285" s="25"/>
      <c r="U285" s="24"/>
      <c r="V285" s="24"/>
      <c r="W285" s="24"/>
      <c r="X285" s="26"/>
      <c r="Y285" s="26"/>
      <c r="Z285" s="24"/>
      <c r="AA285" s="26"/>
      <c r="AB285" s="25"/>
      <c r="AC285" s="24"/>
      <c r="AD285" s="24"/>
      <c r="AE285" s="24"/>
      <c r="AF285" s="26"/>
      <c r="AG285" s="26"/>
      <c r="AH285" s="24"/>
      <c r="AI285" s="24"/>
      <c r="AJ285" s="24"/>
      <c r="AK285" s="28"/>
      <c r="AL285" s="28"/>
      <c r="AM285" s="28"/>
      <c r="AN285" s="28"/>
      <c r="AO285" s="28"/>
      <c r="AP285" s="28"/>
      <c r="AQ285" s="28"/>
      <c r="AR285" s="28"/>
      <c r="AS285" s="28"/>
      <c r="AT285" s="28"/>
      <c r="AU285" s="28"/>
      <c r="AV285" s="28"/>
      <c r="AW285" s="28"/>
      <c r="AX285" s="28"/>
      <c r="AY285" s="24"/>
      <c r="AZ285" s="28"/>
      <c r="BA285" s="28"/>
      <c r="BB285" s="28"/>
      <c r="BC285" s="28"/>
      <c r="BD285" s="28"/>
      <c r="BE285" s="28"/>
      <c r="BF285" s="24"/>
      <c r="BG285" s="28"/>
      <c r="BH285" s="28"/>
      <c r="BI285" s="28"/>
      <c r="BJ285" s="24"/>
      <c r="BK285" s="28"/>
      <c r="BL285" s="28"/>
      <c r="BM285" s="28"/>
    </row>
    <row r="286" spans="1:65">
      <c r="A286" s="24"/>
      <c r="B286" s="28"/>
      <c r="C286" s="25"/>
      <c r="D286" s="26"/>
      <c r="E286" s="24"/>
      <c r="F286" s="24"/>
      <c r="G286" s="26"/>
      <c r="H286" s="26"/>
      <c r="I286" s="26"/>
      <c r="J286" s="26"/>
      <c r="K286" s="26"/>
      <c r="L286" s="26"/>
      <c r="M286" s="26"/>
      <c r="N286" s="26"/>
      <c r="O286" s="26"/>
      <c r="P286" s="26"/>
      <c r="R286" s="24"/>
      <c r="S286" s="26"/>
      <c r="T286" s="25"/>
      <c r="U286" s="24"/>
      <c r="V286" s="24"/>
      <c r="W286" s="24"/>
      <c r="X286" s="26"/>
      <c r="Y286" s="26"/>
      <c r="Z286" s="24"/>
      <c r="AA286" s="26"/>
      <c r="AB286" s="25"/>
      <c r="AC286" s="24"/>
      <c r="AD286" s="24"/>
      <c r="AE286" s="24"/>
      <c r="AF286" s="26"/>
      <c r="AG286" s="26"/>
      <c r="AH286" s="24"/>
      <c r="AI286" s="24"/>
      <c r="AJ286" s="24"/>
      <c r="AK286" s="28"/>
      <c r="AL286" s="28"/>
      <c r="AM286" s="28"/>
      <c r="AN286" s="28"/>
      <c r="AO286" s="28"/>
      <c r="AP286" s="28"/>
      <c r="AQ286" s="28"/>
      <c r="AR286" s="28"/>
      <c r="AS286" s="28"/>
      <c r="AT286" s="28"/>
      <c r="AU286" s="28"/>
      <c r="AV286" s="28"/>
      <c r="AW286" s="28"/>
      <c r="AX286" s="28"/>
      <c r="AY286" s="24"/>
      <c r="AZ286" s="28"/>
      <c r="BA286" s="28"/>
      <c r="BB286" s="28"/>
      <c r="BC286" s="28"/>
      <c r="BD286" s="28"/>
      <c r="BE286" s="28"/>
      <c r="BF286" s="24"/>
      <c r="BG286" s="28"/>
      <c r="BH286" s="28"/>
      <c r="BI286" s="28"/>
      <c r="BJ286" s="24"/>
      <c r="BK286" s="28"/>
      <c r="BL286" s="28"/>
      <c r="BM286" s="28"/>
    </row>
    <row r="287" spans="1:65">
      <c r="A287" s="24"/>
      <c r="B287" s="28"/>
      <c r="C287" s="25"/>
      <c r="D287" s="26"/>
      <c r="E287" s="24"/>
      <c r="F287" s="24"/>
      <c r="G287" s="26"/>
      <c r="H287" s="26"/>
      <c r="I287" s="26"/>
      <c r="J287" s="26"/>
      <c r="K287" s="26"/>
      <c r="L287" s="26"/>
      <c r="M287" s="26"/>
      <c r="N287" s="26"/>
      <c r="O287" s="26"/>
      <c r="P287" s="26"/>
      <c r="R287" s="24"/>
      <c r="S287" s="26"/>
      <c r="T287" s="25"/>
      <c r="U287" s="24"/>
      <c r="V287" s="24"/>
      <c r="W287" s="24"/>
      <c r="X287" s="26"/>
      <c r="Y287" s="26"/>
      <c r="Z287" s="24"/>
      <c r="AA287" s="26"/>
      <c r="AB287" s="25"/>
      <c r="AC287" s="24"/>
      <c r="AD287" s="24"/>
      <c r="AE287" s="24"/>
      <c r="AF287" s="26"/>
      <c r="AG287" s="26"/>
      <c r="AH287" s="24"/>
      <c r="AI287" s="24"/>
      <c r="AJ287" s="24"/>
      <c r="AK287" s="28"/>
      <c r="AL287" s="28"/>
      <c r="AM287" s="28"/>
      <c r="AN287" s="28"/>
      <c r="AO287" s="28"/>
      <c r="AP287" s="28"/>
      <c r="AQ287" s="28"/>
      <c r="AR287" s="28"/>
      <c r="AS287" s="28"/>
      <c r="AT287" s="28"/>
      <c r="AU287" s="28"/>
      <c r="AV287" s="28"/>
      <c r="AW287" s="28"/>
      <c r="AX287" s="28"/>
      <c r="AY287" s="24"/>
      <c r="AZ287" s="28"/>
      <c r="BA287" s="28"/>
      <c r="BB287" s="28"/>
      <c r="BC287" s="28"/>
      <c r="BD287" s="28"/>
      <c r="BE287" s="28"/>
      <c r="BF287" s="24"/>
      <c r="BG287" s="28"/>
      <c r="BH287" s="28"/>
      <c r="BI287" s="28"/>
      <c r="BJ287" s="24"/>
      <c r="BK287" s="28"/>
      <c r="BL287" s="28"/>
      <c r="BM287" s="28"/>
    </row>
    <row r="288" spans="1:65">
      <c r="A288" s="24"/>
      <c r="B288" s="28"/>
      <c r="C288" s="25"/>
      <c r="D288" s="26"/>
      <c r="E288" s="24"/>
      <c r="F288" s="24"/>
      <c r="G288" s="26"/>
      <c r="H288" s="26"/>
      <c r="I288" s="26"/>
      <c r="J288" s="26"/>
      <c r="K288" s="26"/>
      <c r="L288" s="26"/>
      <c r="M288" s="26"/>
      <c r="N288" s="26"/>
      <c r="O288" s="26"/>
      <c r="P288" s="26"/>
      <c r="R288" s="24"/>
      <c r="S288" s="26"/>
      <c r="T288" s="25"/>
      <c r="U288" s="24"/>
      <c r="V288" s="24"/>
      <c r="W288" s="24"/>
      <c r="X288" s="26"/>
      <c r="Y288" s="26"/>
      <c r="Z288" s="24"/>
      <c r="AA288" s="26"/>
      <c r="AB288" s="25"/>
      <c r="AC288" s="24"/>
      <c r="AD288" s="24"/>
      <c r="AE288" s="24"/>
      <c r="AF288" s="26"/>
      <c r="AG288" s="26"/>
      <c r="AH288" s="24"/>
      <c r="AI288" s="24"/>
      <c r="AJ288" s="24"/>
      <c r="AK288" s="28"/>
      <c r="AL288" s="28"/>
      <c r="AM288" s="28"/>
      <c r="AN288" s="28"/>
      <c r="AO288" s="28"/>
      <c r="AP288" s="28"/>
      <c r="AQ288" s="28"/>
      <c r="AR288" s="28"/>
      <c r="AS288" s="28"/>
      <c r="AT288" s="28"/>
      <c r="AU288" s="28"/>
      <c r="AV288" s="28"/>
      <c r="AW288" s="28"/>
      <c r="AX288" s="28"/>
      <c r="AY288" s="24"/>
      <c r="AZ288" s="28"/>
      <c r="BA288" s="28"/>
      <c r="BB288" s="28"/>
      <c r="BC288" s="28"/>
      <c r="BD288" s="28"/>
      <c r="BE288" s="28"/>
      <c r="BF288" s="24"/>
      <c r="BG288" s="28"/>
      <c r="BH288" s="28"/>
      <c r="BI288" s="28"/>
      <c r="BJ288" s="24"/>
      <c r="BK288" s="28"/>
      <c r="BL288" s="28"/>
      <c r="BM288" s="28"/>
    </row>
    <row r="289" spans="1:65">
      <c r="A289" s="24"/>
      <c r="B289" s="28"/>
      <c r="C289" s="25"/>
      <c r="D289" s="26"/>
      <c r="E289" s="24"/>
      <c r="F289" s="24"/>
      <c r="G289" s="26"/>
      <c r="H289" s="26"/>
      <c r="I289" s="26"/>
      <c r="J289" s="26"/>
      <c r="K289" s="26"/>
      <c r="L289" s="26"/>
      <c r="M289" s="26"/>
      <c r="N289" s="26"/>
      <c r="O289" s="26"/>
      <c r="P289" s="26"/>
      <c r="R289" s="24"/>
      <c r="S289" s="26"/>
      <c r="T289" s="25"/>
      <c r="U289" s="24"/>
      <c r="V289" s="24"/>
      <c r="W289" s="24"/>
      <c r="X289" s="26"/>
      <c r="Y289" s="26"/>
      <c r="Z289" s="24"/>
      <c r="AA289" s="26"/>
      <c r="AB289" s="25"/>
      <c r="AC289" s="24"/>
      <c r="AD289" s="24"/>
      <c r="AE289" s="24"/>
      <c r="AF289" s="26"/>
      <c r="AG289" s="26"/>
      <c r="AH289" s="24"/>
      <c r="AI289" s="24"/>
      <c r="AJ289" s="24"/>
      <c r="AK289" s="28"/>
      <c r="AL289" s="28"/>
      <c r="AM289" s="28"/>
      <c r="AN289" s="28"/>
      <c r="AO289" s="28"/>
      <c r="AP289" s="28"/>
      <c r="AQ289" s="28"/>
      <c r="AR289" s="28"/>
      <c r="AS289" s="28"/>
      <c r="AT289" s="28"/>
      <c r="AU289" s="28"/>
      <c r="AV289" s="28"/>
      <c r="AW289" s="28"/>
      <c r="AX289" s="28"/>
      <c r="AY289" s="24"/>
      <c r="AZ289" s="28"/>
      <c r="BA289" s="28"/>
      <c r="BB289" s="28"/>
      <c r="BC289" s="28"/>
      <c r="BD289" s="28"/>
      <c r="BE289" s="28"/>
      <c r="BF289" s="24"/>
      <c r="BG289" s="28"/>
      <c r="BH289" s="28"/>
      <c r="BI289" s="28"/>
      <c r="BJ289" s="24"/>
      <c r="BK289" s="28"/>
      <c r="BL289" s="28"/>
      <c r="BM289" s="28"/>
    </row>
    <row r="290" spans="1:65">
      <c r="A290" s="24"/>
      <c r="B290" s="28"/>
      <c r="C290" s="25"/>
      <c r="D290" s="26"/>
      <c r="E290" s="24"/>
      <c r="F290" s="24"/>
      <c r="G290" s="26"/>
      <c r="H290" s="26"/>
      <c r="I290" s="26"/>
      <c r="J290" s="26"/>
      <c r="K290" s="26"/>
      <c r="L290" s="26"/>
      <c r="M290" s="26"/>
      <c r="N290" s="26"/>
      <c r="O290" s="26"/>
      <c r="P290" s="26"/>
      <c r="R290" s="24"/>
      <c r="S290" s="26"/>
      <c r="T290" s="25"/>
      <c r="U290" s="24"/>
      <c r="V290" s="24"/>
      <c r="W290" s="24"/>
      <c r="X290" s="26"/>
      <c r="Y290" s="26"/>
      <c r="Z290" s="24"/>
      <c r="AA290" s="26"/>
      <c r="AB290" s="25"/>
      <c r="AC290" s="24"/>
      <c r="AD290" s="24"/>
      <c r="AE290" s="24"/>
      <c r="AF290" s="26"/>
      <c r="AG290" s="26"/>
      <c r="AH290" s="24"/>
      <c r="AI290" s="24"/>
      <c r="AJ290" s="24"/>
      <c r="AK290" s="28"/>
      <c r="AL290" s="28"/>
      <c r="AM290" s="28"/>
      <c r="AN290" s="28"/>
      <c r="AO290" s="28"/>
      <c r="AP290" s="28"/>
      <c r="AQ290" s="28"/>
      <c r="AR290" s="28"/>
      <c r="AS290" s="28"/>
      <c r="AT290" s="28"/>
      <c r="AU290" s="28"/>
      <c r="AV290" s="28"/>
      <c r="AW290" s="28"/>
      <c r="AX290" s="28"/>
      <c r="AY290" s="24"/>
      <c r="AZ290" s="28"/>
      <c r="BA290" s="28"/>
      <c r="BB290" s="28"/>
      <c r="BC290" s="28"/>
      <c r="BD290" s="28"/>
      <c r="BE290" s="28"/>
      <c r="BF290" s="24"/>
      <c r="BG290" s="28"/>
      <c r="BH290" s="28"/>
      <c r="BI290" s="28"/>
      <c r="BJ290" s="24"/>
      <c r="BK290" s="28"/>
      <c r="BL290" s="28"/>
      <c r="BM290" s="28"/>
    </row>
    <row r="291" spans="1:65">
      <c r="A291" s="24"/>
      <c r="B291" s="28"/>
      <c r="C291" s="25"/>
      <c r="D291" s="26"/>
      <c r="E291" s="24"/>
      <c r="F291" s="24"/>
      <c r="G291" s="26"/>
      <c r="H291" s="26"/>
      <c r="I291" s="26"/>
      <c r="J291" s="26"/>
      <c r="K291" s="26"/>
      <c r="L291" s="26"/>
      <c r="M291" s="26"/>
      <c r="N291" s="26"/>
      <c r="O291" s="26"/>
      <c r="P291" s="26"/>
      <c r="R291" s="24"/>
      <c r="S291" s="26"/>
      <c r="T291" s="25"/>
      <c r="U291" s="24"/>
      <c r="V291" s="24"/>
      <c r="W291" s="24"/>
      <c r="X291" s="26"/>
      <c r="Y291" s="26"/>
      <c r="Z291" s="24"/>
      <c r="AA291" s="26"/>
      <c r="AB291" s="25"/>
      <c r="AC291" s="24"/>
      <c r="AD291" s="24"/>
      <c r="AE291" s="24"/>
      <c r="AF291" s="26"/>
      <c r="AG291" s="26"/>
      <c r="AH291" s="24"/>
      <c r="AI291" s="24"/>
      <c r="AJ291" s="24"/>
      <c r="AK291" s="28"/>
      <c r="AL291" s="28"/>
      <c r="AM291" s="28"/>
      <c r="AN291" s="28"/>
      <c r="AO291" s="28"/>
      <c r="AP291" s="28"/>
      <c r="AQ291" s="28"/>
      <c r="AR291" s="28"/>
      <c r="AS291" s="28"/>
      <c r="AT291" s="28"/>
      <c r="AU291" s="28"/>
      <c r="AV291" s="28"/>
      <c r="AW291" s="28"/>
      <c r="AX291" s="28"/>
      <c r="AY291" s="24"/>
      <c r="AZ291" s="28"/>
      <c r="BA291" s="28"/>
      <c r="BB291" s="28"/>
      <c r="BC291" s="28"/>
      <c r="BD291" s="28"/>
      <c r="BE291" s="28"/>
      <c r="BF291" s="24"/>
      <c r="BG291" s="28"/>
      <c r="BH291" s="28"/>
      <c r="BI291" s="28"/>
      <c r="BJ291" s="24"/>
      <c r="BK291" s="28"/>
      <c r="BL291" s="28"/>
      <c r="BM291" s="28"/>
    </row>
    <row r="292" spans="1:65">
      <c r="A292" s="24"/>
      <c r="B292" s="28"/>
      <c r="C292" s="25"/>
      <c r="D292" s="26"/>
      <c r="E292" s="24"/>
      <c r="F292" s="24"/>
      <c r="G292" s="26"/>
      <c r="H292" s="26"/>
      <c r="I292" s="26"/>
      <c r="J292" s="26"/>
      <c r="K292" s="26"/>
      <c r="L292" s="26"/>
      <c r="M292" s="26"/>
      <c r="N292" s="26"/>
      <c r="O292" s="26"/>
      <c r="P292" s="26"/>
      <c r="R292" s="24"/>
      <c r="S292" s="26"/>
      <c r="T292" s="25"/>
      <c r="U292" s="24"/>
      <c r="V292" s="24"/>
      <c r="W292" s="24"/>
      <c r="X292" s="26"/>
      <c r="Y292" s="26"/>
      <c r="Z292" s="24"/>
      <c r="AA292" s="26"/>
      <c r="AB292" s="25"/>
      <c r="AC292" s="24"/>
      <c r="AD292" s="24"/>
      <c r="AE292" s="24"/>
      <c r="AF292" s="26"/>
      <c r="AG292" s="26"/>
      <c r="AH292" s="24"/>
      <c r="AI292" s="24"/>
      <c r="AJ292" s="24"/>
      <c r="AK292" s="28"/>
      <c r="AL292" s="28"/>
      <c r="AM292" s="28"/>
      <c r="AN292" s="28"/>
      <c r="AO292" s="28"/>
      <c r="AP292" s="28"/>
      <c r="AQ292" s="28"/>
      <c r="AR292" s="28"/>
      <c r="AS292" s="28"/>
      <c r="AT292" s="28"/>
      <c r="AU292" s="28"/>
      <c r="AV292" s="28"/>
      <c r="AW292" s="28"/>
      <c r="AX292" s="28"/>
      <c r="AY292" s="24"/>
      <c r="AZ292" s="28"/>
      <c r="BA292" s="28"/>
      <c r="BB292" s="28"/>
      <c r="BC292" s="28"/>
      <c r="BD292" s="28"/>
      <c r="BE292" s="28"/>
      <c r="BF292" s="24"/>
      <c r="BG292" s="28"/>
      <c r="BH292" s="28"/>
      <c r="BI292" s="28"/>
      <c r="BJ292" s="24"/>
      <c r="BK292" s="28"/>
      <c r="BL292" s="28"/>
      <c r="BM292" s="28"/>
    </row>
    <row r="293" spans="1:65">
      <c r="A293" s="24"/>
      <c r="B293" s="28"/>
      <c r="C293" s="25"/>
      <c r="D293" s="26"/>
      <c r="E293" s="24"/>
      <c r="F293" s="24"/>
      <c r="G293" s="26"/>
      <c r="H293" s="26"/>
      <c r="I293" s="26"/>
      <c r="J293" s="26"/>
      <c r="K293" s="26"/>
      <c r="L293" s="26"/>
      <c r="M293" s="26"/>
      <c r="N293" s="26"/>
      <c r="O293" s="26"/>
      <c r="P293" s="26"/>
      <c r="R293" s="24"/>
      <c r="S293" s="26"/>
      <c r="T293" s="25"/>
      <c r="U293" s="24"/>
      <c r="V293" s="24"/>
      <c r="W293" s="24"/>
      <c r="X293" s="26"/>
      <c r="Y293" s="26"/>
      <c r="Z293" s="24"/>
      <c r="AA293" s="26"/>
      <c r="AB293" s="25"/>
      <c r="AC293" s="24"/>
      <c r="AD293" s="24"/>
      <c r="AE293" s="24"/>
      <c r="AF293" s="26"/>
      <c r="AG293" s="26"/>
      <c r="AH293" s="24"/>
      <c r="AI293" s="24"/>
      <c r="AJ293" s="24"/>
      <c r="AK293" s="28"/>
      <c r="AL293" s="28"/>
      <c r="AM293" s="28"/>
      <c r="AN293" s="28"/>
      <c r="AO293" s="28"/>
      <c r="AP293" s="28"/>
      <c r="AQ293" s="28"/>
      <c r="AR293" s="28"/>
      <c r="AS293" s="28"/>
      <c r="AT293" s="28"/>
      <c r="AU293" s="28"/>
      <c r="AV293" s="28"/>
      <c r="AW293" s="28"/>
      <c r="AX293" s="28"/>
      <c r="AY293" s="24"/>
      <c r="AZ293" s="28"/>
      <c r="BA293" s="28"/>
      <c r="BB293" s="28"/>
      <c r="BC293" s="28"/>
      <c r="BD293" s="28"/>
      <c r="BE293" s="28"/>
      <c r="BF293" s="24"/>
      <c r="BG293" s="28"/>
      <c r="BH293" s="28"/>
      <c r="BI293" s="28"/>
      <c r="BJ293" s="24"/>
      <c r="BK293" s="28"/>
      <c r="BL293" s="28"/>
      <c r="BM293" s="28"/>
    </row>
    <row r="294" spans="1:65">
      <c r="A294" s="24"/>
      <c r="B294" s="28"/>
      <c r="C294" s="25"/>
      <c r="D294" s="26"/>
      <c r="E294" s="24"/>
      <c r="F294" s="24"/>
      <c r="G294" s="26"/>
      <c r="H294" s="26"/>
      <c r="I294" s="26"/>
      <c r="J294" s="26"/>
      <c r="K294" s="26"/>
      <c r="L294" s="26"/>
      <c r="M294" s="26"/>
      <c r="N294" s="26"/>
      <c r="O294" s="26"/>
      <c r="P294" s="26"/>
      <c r="R294" s="24"/>
      <c r="S294" s="26"/>
      <c r="T294" s="25"/>
      <c r="U294" s="24"/>
      <c r="V294" s="24"/>
      <c r="W294" s="24"/>
      <c r="X294" s="26"/>
      <c r="Y294" s="26"/>
      <c r="Z294" s="24"/>
      <c r="AA294" s="26"/>
      <c r="AB294" s="25"/>
      <c r="AC294" s="24"/>
      <c r="AD294" s="24"/>
      <c r="AE294" s="24"/>
      <c r="AF294" s="26"/>
      <c r="AG294" s="26"/>
      <c r="AH294" s="24"/>
      <c r="AI294" s="24"/>
      <c r="AJ294" s="24"/>
      <c r="AK294" s="28"/>
      <c r="AL294" s="28"/>
      <c r="AM294" s="28"/>
      <c r="AN294" s="28"/>
      <c r="AO294" s="28"/>
      <c r="AP294" s="28"/>
      <c r="AQ294" s="28"/>
      <c r="AR294" s="28"/>
      <c r="AS294" s="28"/>
      <c r="AT294" s="28"/>
      <c r="AU294" s="28"/>
      <c r="AV294" s="28"/>
      <c r="AW294" s="28"/>
      <c r="AX294" s="28"/>
      <c r="AY294" s="24"/>
      <c r="AZ294" s="28"/>
      <c r="BA294" s="28"/>
      <c r="BB294" s="28"/>
      <c r="BC294" s="28"/>
      <c r="BD294" s="28"/>
      <c r="BE294" s="28"/>
      <c r="BF294" s="24"/>
      <c r="BG294" s="28"/>
      <c r="BH294" s="28"/>
      <c r="BI294" s="28"/>
      <c r="BJ294" s="24"/>
      <c r="BK294" s="28"/>
      <c r="BL294" s="28"/>
      <c r="BM294" s="28"/>
    </row>
    <row r="295" spans="1:65">
      <c r="A295" s="24"/>
      <c r="B295" s="28"/>
      <c r="C295" s="25"/>
      <c r="D295" s="26"/>
      <c r="E295" s="24"/>
      <c r="F295" s="24"/>
      <c r="G295" s="26"/>
      <c r="H295" s="26"/>
      <c r="I295" s="26"/>
      <c r="J295" s="26"/>
      <c r="K295" s="26"/>
      <c r="L295" s="26"/>
      <c r="M295" s="26"/>
      <c r="N295" s="26"/>
      <c r="O295" s="26"/>
      <c r="P295" s="26"/>
      <c r="R295" s="24"/>
      <c r="S295" s="26"/>
      <c r="T295" s="25"/>
      <c r="U295" s="24"/>
      <c r="V295" s="24"/>
      <c r="W295" s="24"/>
      <c r="X295" s="26"/>
      <c r="Y295" s="26"/>
      <c r="Z295" s="24"/>
      <c r="AA295" s="26"/>
      <c r="AB295" s="25"/>
      <c r="AC295" s="24"/>
      <c r="AD295" s="24"/>
      <c r="AE295" s="24"/>
      <c r="AF295" s="26"/>
      <c r="AG295" s="26"/>
      <c r="AH295" s="24"/>
      <c r="AI295" s="24"/>
      <c r="AJ295" s="24"/>
      <c r="AK295" s="28"/>
      <c r="AL295" s="28"/>
      <c r="AM295" s="28"/>
      <c r="AN295" s="28"/>
      <c r="AO295" s="28"/>
      <c r="AP295" s="28"/>
      <c r="AQ295" s="28"/>
      <c r="AR295" s="28"/>
      <c r="AS295" s="28"/>
      <c r="AT295" s="28"/>
      <c r="AU295" s="28"/>
      <c r="AV295" s="28"/>
      <c r="AW295" s="28"/>
      <c r="AX295" s="28"/>
      <c r="AY295" s="24"/>
      <c r="AZ295" s="28"/>
      <c r="BA295" s="28"/>
      <c r="BB295" s="28"/>
      <c r="BC295" s="28"/>
      <c r="BD295" s="28"/>
      <c r="BE295" s="28"/>
      <c r="BF295" s="24"/>
      <c r="BG295" s="28"/>
      <c r="BH295" s="28"/>
      <c r="BI295" s="28"/>
      <c r="BJ295" s="24"/>
      <c r="BK295" s="28"/>
      <c r="BL295" s="28"/>
      <c r="BM295" s="28"/>
    </row>
    <row r="296" spans="1:65">
      <c r="A296" s="24"/>
      <c r="B296" s="28"/>
      <c r="C296" s="25"/>
      <c r="D296" s="26"/>
      <c r="E296" s="24"/>
      <c r="F296" s="24"/>
      <c r="G296" s="26"/>
      <c r="H296" s="26"/>
      <c r="I296" s="26"/>
      <c r="J296" s="26"/>
      <c r="K296" s="26"/>
      <c r="L296" s="26"/>
      <c r="M296" s="26"/>
      <c r="N296" s="26"/>
      <c r="O296" s="26"/>
      <c r="P296" s="26"/>
      <c r="R296" s="24"/>
      <c r="S296" s="26"/>
      <c r="T296" s="25"/>
      <c r="U296" s="24"/>
      <c r="V296" s="24"/>
      <c r="W296" s="24"/>
      <c r="X296" s="26"/>
      <c r="Y296" s="26"/>
      <c r="Z296" s="24"/>
      <c r="AA296" s="26"/>
      <c r="AB296" s="25"/>
      <c r="AC296" s="24"/>
      <c r="AD296" s="24"/>
      <c r="AE296" s="24"/>
      <c r="AF296" s="26"/>
      <c r="AG296" s="26"/>
      <c r="AH296" s="24"/>
      <c r="AI296" s="24"/>
      <c r="AJ296" s="24"/>
      <c r="AK296" s="28"/>
      <c r="AL296" s="28"/>
      <c r="AM296" s="28"/>
      <c r="AN296" s="28"/>
      <c r="AO296" s="28"/>
      <c r="AP296" s="28"/>
      <c r="AQ296" s="28"/>
      <c r="AR296" s="28"/>
      <c r="AS296" s="28"/>
      <c r="AT296" s="28"/>
      <c r="AU296" s="28"/>
      <c r="AV296" s="28"/>
      <c r="AW296" s="28"/>
      <c r="AX296" s="28"/>
      <c r="AY296" s="24"/>
      <c r="AZ296" s="28"/>
      <c r="BA296" s="28"/>
      <c r="BB296" s="28"/>
      <c r="BC296" s="28"/>
      <c r="BD296" s="28"/>
      <c r="BE296" s="28"/>
      <c r="BF296" s="24"/>
      <c r="BG296" s="28"/>
      <c r="BH296" s="28"/>
      <c r="BI296" s="28"/>
      <c r="BJ296" s="24"/>
      <c r="BK296" s="28"/>
      <c r="BL296" s="28"/>
      <c r="BM296" s="28"/>
    </row>
    <row r="297" spans="1:65">
      <c r="A297" s="24"/>
      <c r="B297" s="28"/>
      <c r="C297" s="25"/>
      <c r="D297" s="26"/>
      <c r="E297" s="24"/>
      <c r="F297" s="24"/>
      <c r="G297" s="26"/>
      <c r="H297" s="26"/>
      <c r="I297" s="26"/>
      <c r="J297" s="26"/>
      <c r="K297" s="26"/>
      <c r="L297" s="26"/>
      <c r="M297" s="26"/>
      <c r="N297" s="26"/>
      <c r="O297" s="26"/>
      <c r="P297" s="26"/>
      <c r="R297" s="24"/>
      <c r="S297" s="26"/>
      <c r="T297" s="25"/>
      <c r="U297" s="24"/>
      <c r="V297" s="24"/>
      <c r="W297" s="24"/>
      <c r="X297" s="26"/>
      <c r="Y297" s="26"/>
      <c r="Z297" s="24"/>
      <c r="AA297" s="26"/>
      <c r="AB297" s="25"/>
      <c r="AC297" s="24"/>
      <c r="AD297" s="24"/>
      <c r="AE297" s="24"/>
      <c r="AF297" s="26"/>
      <c r="AG297" s="26"/>
      <c r="AH297" s="24"/>
      <c r="AI297" s="24"/>
      <c r="AJ297" s="24"/>
      <c r="AK297" s="28"/>
      <c r="AL297" s="28"/>
      <c r="AM297" s="28"/>
      <c r="AN297" s="28"/>
      <c r="AO297" s="28"/>
      <c r="AP297" s="28"/>
      <c r="AQ297" s="28"/>
      <c r="AR297" s="28"/>
      <c r="AS297" s="28"/>
      <c r="AT297" s="28"/>
      <c r="AU297" s="28"/>
      <c r="AV297" s="28"/>
      <c r="AW297" s="28"/>
      <c r="AX297" s="28"/>
      <c r="AY297" s="24"/>
      <c r="AZ297" s="28"/>
      <c r="BA297" s="28"/>
      <c r="BB297" s="28"/>
      <c r="BC297" s="28"/>
      <c r="BD297" s="28"/>
      <c r="BE297" s="28"/>
      <c r="BF297" s="24"/>
      <c r="BG297" s="28"/>
      <c r="BH297" s="28"/>
      <c r="BI297" s="28"/>
      <c r="BJ297" s="24"/>
      <c r="BK297" s="28"/>
      <c r="BL297" s="28"/>
      <c r="BM297" s="28"/>
    </row>
    <row r="298" spans="1:65">
      <c r="A298" s="24"/>
      <c r="B298" s="28"/>
      <c r="C298" s="25"/>
      <c r="D298" s="26"/>
      <c r="E298" s="24"/>
      <c r="F298" s="24"/>
      <c r="G298" s="26"/>
      <c r="H298" s="26"/>
      <c r="I298" s="26"/>
      <c r="J298" s="26"/>
      <c r="K298" s="26"/>
      <c r="L298" s="26"/>
      <c r="M298" s="26"/>
      <c r="N298" s="26"/>
      <c r="O298" s="26"/>
      <c r="P298" s="26"/>
      <c r="R298" s="24"/>
      <c r="S298" s="26"/>
      <c r="T298" s="25"/>
      <c r="U298" s="24"/>
      <c r="V298" s="24"/>
      <c r="W298" s="24"/>
      <c r="X298" s="26"/>
      <c r="Y298" s="26"/>
      <c r="Z298" s="24"/>
      <c r="AA298" s="26"/>
      <c r="AB298" s="25"/>
      <c r="AC298" s="24"/>
      <c r="AD298" s="24"/>
      <c r="AE298" s="24"/>
      <c r="AF298" s="26"/>
      <c r="AG298" s="26"/>
      <c r="AH298" s="24"/>
      <c r="AI298" s="24"/>
      <c r="AJ298" s="24"/>
      <c r="AK298" s="28"/>
      <c r="AL298" s="28"/>
      <c r="AM298" s="28"/>
      <c r="AN298" s="28"/>
      <c r="AO298" s="28"/>
      <c r="AP298" s="28"/>
      <c r="AQ298" s="28"/>
      <c r="AR298" s="28"/>
      <c r="AS298" s="28"/>
      <c r="AT298" s="28"/>
      <c r="AU298" s="28"/>
      <c r="AV298" s="28"/>
      <c r="AW298" s="28"/>
      <c r="AX298" s="28"/>
      <c r="AY298" s="24"/>
      <c r="AZ298" s="28"/>
      <c r="BA298" s="28"/>
      <c r="BB298" s="28"/>
      <c r="BC298" s="28"/>
      <c r="BD298" s="28"/>
      <c r="BE298" s="28"/>
      <c r="BF298" s="24"/>
      <c r="BG298" s="28"/>
      <c r="BH298" s="28"/>
      <c r="BI298" s="28"/>
      <c r="BJ298" s="24"/>
      <c r="BK298" s="28"/>
      <c r="BL298" s="28"/>
      <c r="BM298" s="28"/>
    </row>
    <row r="299" spans="1:65">
      <c r="A299" s="24"/>
      <c r="B299" s="28"/>
      <c r="C299" s="25"/>
      <c r="D299" s="26"/>
      <c r="E299" s="24"/>
      <c r="F299" s="24"/>
      <c r="G299" s="26"/>
      <c r="H299" s="26"/>
      <c r="I299" s="26"/>
      <c r="J299" s="26"/>
      <c r="K299" s="26"/>
      <c r="L299" s="26"/>
      <c r="M299" s="26"/>
      <c r="N299" s="26"/>
      <c r="O299" s="26"/>
      <c r="P299" s="26"/>
      <c r="R299" s="24"/>
      <c r="S299" s="26"/>
      <c r="T299" s="25"/>
      <c r="U299" s="24"/>
      <c r="V299" s="24"/>
      <c r="W299" s="24"/>
      <c r="X299" s="26"/>
      <c r="Y299" s="26"/>
      <c r="Z299" s="24"/>
      <c r="AA299" s="26"/>
      <c r="AB299" s="25"/>
      <c r="AC299" s="24"/>
      <c r="AD299" s="24"/>
      <c r="AE299" s="24"/>
      <c r="AF299" s="26"/>
      <c r="AG299" s="26"/>
      <c r="AH299" s="24"/>
      <c r="AI299" s="24"/>
      <c r="AJ299" s="24"/>
      <c r="AK299" s="28"/>
      <c r="AL299" s="28"/>
      <c r="AM299" s="28"/>
      <c r="AN299" s="28"/>
      <c r="AO299" s="28"/>
      <c r="AP299" s="28"/>
      <c r="AQ299" s="28"/>
      <c r="AR299" s="28"/>
      <c r="AS299" s="28"/>
      <c r="AT299" s="28"/>
      <c r="AU299" s="28"/>
      <c r="AV299" s="28"/>
      <c r="AW299" s="28"/>
      <c r="AX299" s="28"/>
      <c r="AY299" s="24"/>
      <c r="AZ299" s="28"/>
      <c r="BA299" s="28"/>
      <c r="BB299" s="28"/>
      <c r="BC299" s="28"/>
      <c r="BD299" s="28"/>
      <c r="BE299" s="28"/>
      <c r="BF299" s="24"/>
      <c r="BG299" s="28"/>
      <c r="BH299" s="28"/>
      <c r="BI299" s="28"/>
      <c r="BJ299" s="24"/>
      <c r="BK299" s="28"/>
      <c r="BL299" s="28"/>
      <c r="BM299" s="28"/>
    </row>
    <row r="300" spans="1:65">
      <c r="A300" s="24"/>
      <c r="B300" s="28"/>
      <c r="C300" s="25"/>
      <c r="D300" s="26"/>
      <c r="E300" s="24"/>
      <c r="F300" s="24"/>
      <c r="G300" s="26"/>
      <c r="H300" s="26"/>
      <c r="I300" s="26"/>
      <c r="J300" s="26"/>
      <c r="K300" s="26"/>
      <c r="L300" s="26"/>
      <c r="M300" s="26"/>
      <c r="N300" s="26"/>
      <c r="O300" s="26"/>
      <c r="P300" s="26"/>
      <c r="R300" s="24"/>
      <c r="S300" s="26"/>
      <c r="T300" s="25"/>
      <c r="U300" s="24"/>
      <c r="V300" s="24"/>
      <c r="W300" s="24"/>
      <c r="X300" s="26"/>
      <c r="Y300" s="26"/>
      <c r="Z300" s="24"/>
      <c r="AA300" s="26"/>
      <c r="AB300" s="25"/>
      <c r="AC300" s="24"/>
      <c r="AD300" s="24"/>
      <c r="AE300" s="24"/>
      <c r="AF300" s="26"/>
      <c r="AG300" s="26"/>
      <c r="AH300" s="24"/>
      <c r="AI300" s="24"/>
      <c r="AJ300" s="24"/>
      <c r="AK300" s="28"/>
      <c r="AL300" s="28"/>
      <c r="AM300" s="28"/>
      <c r="AN300" s="28"/>
      <c r="AO300" s="28"/>
      <c r="AP300" s="28"/>
      <c r="AQ300" s="28"/>
      <c r="AR300" s="28"/>
      <c r="AS300" s="28"/>
      <c r="AT300" s="28"/>
      <c r="AU300" s="28"/>
      <c r="AV300" s="28"/>
      <c r="AW300" s="28"/>
      <c r="AX300" s="28"/>
      <c r="AY300" s="24"/>
      <c r="AZ300" s="28"/>
      <c r="BA300" s="28"/>
      <c r="BB300" s="28"/>
      <c r="BC300" s="28"/>
      <c r="BD300" s="28"/>
      <c r="BE300" s="28"/>
      <c r="BF300" s="24"/>
      <c r="BG300" s="28"/>
      <c r="BH300" s="28"/>
      <c r="BI300" s="28"/>
      <c r="BJ300" s="24"/>
      <c r="BK300" s="28"/>
      <c r="BL300" s="28"/>
      <c r="BM300" s="28"/>
    </row>
    <row r="301" spans="1:65">
      <c r="A301" s="24"/>
      <c r="B301" s="28"/>
      <c r="C301" s="25"/>
      <c r="D301" s="26"/>
      <c r="E301" s="24"/>
      <c r="F301" s="24"/>
      <c r="G301" s="26"/>
      <c r="H301" s="26"/>
      <c r="I301" s="26"/>
      <c r="J301" s="26"/>
      <c r="K301" s="26"/>
      <c r="L301" s="26"/>
      <c r="M301" s="26"/>
      <c r="N301" s="26"/>
      <c r="O301" s="26"/>
      <c r="P301" s="26"/>
      <c r="R301" s="24"/>
      <c r="S301" s="26"/>
      <c r="T301" s="25"/>
      <c r="U301" s="24"/>
      <c r="V301" s="24"/>
      <c r="W301" s="24"/>
      <c r="X301" s="26"/>
      <c r="Y301" s="26"/>
      <c r="Z301" s="24"/>
      <c r="AA301" s="26"/>
      <c r="AB301" s="25"/>
      <c r="AC301" s="24"/>
      <c r="AD301" s="24"/>
      <c r="AE301" s="24"/>
      <c r="AF301" s="26"/>
      <c r="AG301" s="26"/>
      <c r="AH301" s="24"/>
      <c r="AI301" s="24"/>
      <c r="AJ301" s="24"/>
      <c r="AK301" s="28"/>
      <c r="AL301" s="28"/>
      <c r="AM301" s="28"/>
      <c r="AN301" s="28"/>
      <c r="AO301" s="28"/>
      <c r="AP301" s="28"/>
      <c r="AQ301" s="28"/>
      <c r="AR301" s="28"/>
      <c r="AS301" s="28"/>
      <c r="AT301" s="28"/>
      <c r="AU301" s="28"/>
      <c r="AV301" s="28"/>
      <c r="AW301" s="28"/>
      <c r="AX301" s="28"/>
      <c r="AY301" s="24"/>
      <c r="AZ301" s="28"/>
      <c r="BA301" s="28"/>
      <c r="BB301" s="28"/>
      <c r="BC301" s="28"/>
      <c r="BD301" s="28"/>
      <c r="BE301" s="28"/>
      <c r="BF301" s="24"/>
      <c r="BG301" s="28"/>
      <c r="BH301" s="28"/>
      <c r="BI301" s="28"/>
      <c r="BJ301" s="24"/>
      <c r="BK301" s="28"/>
      <c r="BL301" s="28"/>
      <c r="BM301" s="28"/>
    </row>
    <row r="302" spans="1:65">
      <c r="A302" s="24"/>
      <c r="B302" s="28"/>
      <c r="C302" s="25"/>
      <c r="D302" s="26"/>
      <c r="E302" s="24"/>
      <c r="F302" s="24"/>
      <c r="G302" s="26"/>
      <c r="H302" s="26"/>
      <c r="I302" s="26"/>
      <c r="J302" s="26"/>
      <c r="K302" s="26"/>
      <c r="L302" s="26"/>
      <c r="M302" s="26"/>
      <c r="N302" s="26"/>
      <c r="O302" s="26"/>
      <c r="P302" s="26"/>
      <c r="R302" s="24"/>
      <c r="S302" s="26"/>
      <c r="T302" s="25"/>
      <c r="U302" s="24"/>
      <c r="V302" s="24"/>
      <c r="W302" s="24"/>
      <c r="X302" s="26"/>
      <c r="Y302" s="26"/>
      <c r="Z302" s="24"/>
      <c r="AA302" s="26"/>
      <c r="AB302" s="25"/>
      <c r="AC302" s="24"/>
      <c r="AD302" s="24"/>
      <c r="AE302" s="24"/>
      <c r="AF302" s="26"/>
      <c r="AG302" s="26"/>
      <c r="AH302" s="24"/>
      <c r="AI302" s="24"/>
      <c r="AJ302" s="24"/>
      <c r="AK302" s="28"/>
      <c r="AL302" s="28"/>
      <c r="AM302" s="28"/>
      <c r="AN302" s="28"/>
      <c r="AO302" s="28"/>
      <c r="AP302" s="28"/>
      <c r="AQ302" s="28"/>
      <c r="AR302" s="28"/>
      <c r="AS302" s="28"/>
      <c r="AT302" s="28"/>
      <c r="AU302" s="28"/>
      <c r="AV302" s="28"/>
      <c r="AW302" s="28"/>
      <c r="AX302" s="28"/>
      <c r="AY302" s="24"/>
      <c r="AZ302" s="28"/>
      <c r="BA302" s="28"/>
      <c r="BB302" s="28"/>
      <c r="BC302" s="28"/>
      <c r="BD302" s="28"/>
      <c r="BE302" s="28"/>
      <c r="BF302" s="24"/>
      <c r="BG302" s="28"/>
      <c r="BH302" s="28"/>
      <c r="BI302" s="28"/>
      <c r="BJ302" s="24"/>
      <c r="BK302" s="28"/>
      <c r="BL302" s="28"/>
      <c r="BM302" s="28"/>
    </row>
    <row r="303" spans="1:65">
      <c r="A303" s="24"/>
      <c r="B303" s="28"/>
      <c r="C303" s="25"/>
      <c r="D303" s="26"/>
      <c r="E303" s="24"/>
      <c r="F303" s="24"/>
      <c r="G303" s="26"/>
      <c r="H303" s="26"/>
      <c r="I303" s="26"/>
      <c r="J303" s="26"/>
      <c r="K303" s="26"/>
      <c r="L303" s="26"/>
      <c r="M303" s="26"/>
      <c r="N303" s="26"/>
      <c r="O303" s="26"/>
      <c r="P303" s="26"/>
      <c r="R303" s="24"/>
      <c r="S303" s="26"/>
      <c r="T303" s="25"/>
      <c r="U303" s="24"/>
      <c r="V303" s="24"/>
      <c r="W303" s="24"/>
      <c r="X303" s="26"/>
      <c r="Y303" s="26"/>
      <c r="Z303" s="24"/>
      <c r="AA303" s="26"/>
      <c r="AB303" s="25"/>
      <c r="AC303" s="24"/>
      <c r="AD303" s="24"/>
      <c r="AE303" s="24"/>
      <c r="AF303" s="26"/>
      <c r="AG303" s="26"/>
      <c r="AH303" s="24"/>
      <c r="AI303" s="24"/>
      <c r="AJ303" s="24"/>
      <c r="AK303" s="28"/>
      <c r="AL303" s="28"/>
      <c r="AM303" s="28"/>
      <c r="AN303" s="28"/>
      <c r="AO303" s="28"/>
      <c r="AP303" s="28"/>
      <c r="AQ303" s="28"/>
      <c r="AR303" s="28"/>
      <c r="AS303" s="28"/>
      <c r="AT303" s="28"/>
      <c r="AU303" s="28"/>
      <c r="AV303" s="28"/>
      <c r="AW303" s="28"/>
      <c r="AX303" s="28"/>
      <c r="AY303" s="24"/>
      <c r="AZ303" s="28"/>
      <c r="BA303" s="28"/>
      <c r="BB303" s="28"/>
      <c r="BC303" s="28"/>
      <c r="BD303" s="28"/>
      <c r="BE303" s="28"/>
      <c r="BF303" s="24"/>
      <c r="BG303" s="28"/>
      <c r="BH303" s="28"/>
      <c r="BI303" s="28"/>
      <c r="BJ303" s="24"/>
      <c r="BK303" s="28"/>
      <c r="BL303" s="28"/>
      <c r="BM303" s="28"/>
    </row>
    <row r="304" spans="1:65">
      <c r="A304" s="24"/>
      <c r="B304" s="28"/>
      <c r="C304" s="25"/>
      <c r="D304" s="26"/>
      <c r="E304" s="24"/>
      <c r="F304" s="24"/>
      <c r="G304" s="26"/>
      <c r="H304" s="26"/>
      <c r="I304" s="26"/>
      <c r="J304" s="26"/>
      <c r="K304" s="26"/>
      <c r="L304" s="26"/>
      <c r="M304" s="26"/>
      <c r="N304" s="26"/>
      <c r="O304" s="26"/>
      <c r="P304" s="26"/>
      <c r="R304" s="24"/>
      <c r="S304" s="26"/>
      <c r="T304" s="25"/>
      <c r="U304" s="24"/>
      <c r="V304" s="24"/>
      <c r="W304" s="24"/>
      <c r="X304" s="26"/>
      <c r="Y304" s="26"/>
      <c r="Z304" s="24"/>
      <c r="AA304" s="26"/>
      <c r="AB304" s="25"/>
      <c r="AC304" s="24"/>
      <c r="AD304" s="24"/>
      <c r="AE304" s="24"/>
      <c r="AF304" s="26"/>
      <c r="AG304" s="26"/>
      <c r="AH304" s="24"/>
      <c r="AI304" s="24"/>
      <c r="AJ304" s="24"/>
      <c r="AK304" s="28"/>
      <c r="AL304" s="28"/>
      <c r="AM304" s="28"/>
      <c r="AN304" s="28"/>
      <c r="AO304" s="28"/>
      <c r="AP304" s="28"/>
      <c r="AQ304" s="28"/>
      <c r="AR304" s="28"/>
      <c r="AS304" s="28"/>
      <c r="AT304" s="28"/>
      <c r="AU304" s="28"/>
      <c r="AV304" s="28"/>
      <c r="AW304" s="28"/>
      <c r="AX304" s="28"/>
      <c r="AY304" s="24"/>
      <c r="AZ304" s="28"/>
      <c r="BA304" s="28"/>
      <c r="BB304" s="28"/>
      <c r="BC304" s="28"/>
      <c r="BD304" s="28"/>
      <c r="BE304" s="28"/>
      <c r="BF304" s="24"/>
      <c r="BG304" s="28"/>
      <c r="BH304" s="28"/>
      <c r="BI304" s="28"/>
      <c r="BJ304" s="24"/>
      <c r="BK304" s="28"/>
      <c r="BL304" s="28"/>
      <c r="BM304" s="28"/>
    </row>
    <row r="305" spans="1:65">
      <c r="A305" s="24"/>
      <c r="B305" s="28"/>
      <c r="C305" s="25"/>
      <c r="D305" s="26"/>
      <c r="E305" s="24"/>
      <c r="F305" s="24"/>
      <c r="G305" s="26"/>
      <c r="H305" s="26"/>
      <c r="I305" s="26"/>
      <c r="J305" s="26"/>
      <c r="K305" s="26"/>
      <c r="L305" s="26"/>
      <c r="M305" s="26"/>
      <c r="N305" s="26"/>
      <c r="O305" s="26"/>
      <c r="P305" s="26"/>
      <c r="R305" s="24"/>
      <c r="S305" s="26"/>
      <c r="T305" s="25"/>
      <c r="U305" s="24"/>
      <c r="V305" s="24"/>
      <c r="W305" s="24"/>
      <c r="X305" s="26"/>
      <c r="Y305" s="26"/>
      <c r="Z305" s="24"/>
      <c r="AA305" s="26"/>
      <c r="AB305" s="25"/>
      <c r="AC305" s="24"/>
      <c r="AD305" s="24"/>
      <c r="AE305" s="24"/>
      <c r="AF305" s="26"/>
      <c r="AG305" s="26"/>
      <c r="AH305" s="24"/>
      <c r="AI305" s="24"/>
      <c r="AJ305" s="24"/>
      <c r="AK305" s="28"/>
      <c r="AL305" s="28"/>
      <c r="AM305" s="28"/>
      <c r="AN305" s="28"/>
      <c r="AO305" s="28"/>
      <c r="AP305" s="28"/>
      <c r="AQ305" s="28"/>
      <c r="AR305" s="28"/>
      <c r="AS305" s="28"/>
      <c r="AT305" s="28"/>
      <c r="AU305" s="28"/>
      <c r="AV305" s="28"/>
      <c r="AW305" s="28"/>
      <c r="AX305" s="28"/>
      <c r="AY305" s="24"/>
      <c r="AZ305" s="28"/>
      <c r="BA305" s="28"/>
      <c r="BB305" s="28"/>
      <c r="BC305" s="28"/>
      <c r="BD305" s="28"/>
      <c r="BE305" s="28"/>
      <c r="BF305" s="24"/>
      <c r="BG305" s="28"/>
      <c r="BH305" s="28"/>
      <c r="BI305" s="28"/>
      <c r="BJ305" s="24"/>
      <c r="BK305" s="28"/>
      <c r="BL305" s="28"/>
      <c r="BM305" s="28"/>
    </row>
    <row r="306" spans="1:65">
      <c r="A306" s="24"/>
      <c r="B306" s="28"/>
      <c r="C306" s="25"/>
      <c r="D306" s="26"/>
      <c r="E306" s="24"/>
      <c r="F306" s="24"/>
      <c r="G306" s="26"/>
      <c r="H306" s="26"/>
      <c r="I306" s="26"/>
      <c r="J306" s="26"/>
      <c r="K306" s="26"/>
      <c r="L306" s="26"/>
      <c r="M306" s="26"/>
      <c r="N306" s="26"/>
      <c r="O306" s="26"/>
      <c r="P306" s="26"/>
      <c r="R306" s="24"/>
      <c r="S306" s="26"/>
      <c r="T306" s="25"/>
      <c r="U306" s="24"/>
      <c r="V306" s="24"/>
      <c r="W306" s="24"/>
      <c r="X306" s="26"/>
      <c r="Y306" s="26"/>
      <c r="Z306" s="24"/>
      <c r="AA306" s="26"/>
      <c r="AB306" s="25"/>
      <c r="AC306" s="24"/>
      <c r="AD306" s="24"/>
      <c r="AE306" s="24"/>
      <c r="AF306" s="26"/>
      <c r="AG306" s="26"/>
      <c r="AH306" s="24"/>
      <c r="AI306" s="24"/>
      <c r="AJ306" s="24"/>
      <c r="AK306" s="28"/>
      <c r="AL306" s="28"/>
      <c r="AM306" s="28"/>
      <c r="AN306" s="28"/>
      <c r="AO306" s="28"/>
      <c r="AP306" s="28"/>
      <c r="AQ306" s="28"/>
      <c r="AR306" s="28"/>
      <c r="AS306" s="28"/>
      <c r="AT306" s="28"/>
      <c r="AU306" s="28"/>
      <c r="AV306" s="28"/>
      <c r="AW306" s="28"/>
      <c r="AX306" s="28"/>
      <c r="AY306" s="24"/>
      <c r="AZ306" s="28"/>
      <c r="BA306" s="28"/>
      <c r="BB306" s="28"/>
      <c r="BC306" s="28"/>
      <c r="BD306" s="28"/>
      <c r="BE306" s="28"/>
      <c r="BF306" s="24"/>
      <c r="BG306" s="28"/>
      <c r="BH306" s="28"/>
      <c r="BI306" s="28"/>
      <c r="BJ306" s="24"/>
      <c r="BK306" s="28"/>
      <c r="BL306" s="28"/>
      <c r="BM306" s="28"/>
    </row>
    <row r="307" spans="1:65">
      <c r="A307" s="24"/>
      <c r="B307" s="28"/>
      <c r="C307" s="25"/>
      <c r="D307" s="26"/>
      <c r="E307" s="24"/>
      <c r="F307" s="24"/>
      <c r="G307" s="26"/>
      <c r="H307" s="26"/>
      <c r="I307" s="26"/>
      <c r="J307" s="26"/>
      <c r="K307" s="26"/>
      <c r="L307" s="26"/>
      <c r="M307" s="26"/>
      <c r="N307" s="26"/>
      <c r="O307" s="26"/>
      <c r="P307" s="26"/>
      <c r="R307" s="24"/>
      <c r="S307" s="26"/>
      <c r="T307" s="25"/>
      <c r="U307" s="24"/>
      <c r="V307" s="24"/>
      <c r="W307" s="24"/>
      <c r="X307" s="26"/>
      <c r="Y307" s="26"/>
      <c r="Z307" s="24"/>
      <c r="AA307" s="26"/>
      <c r="AB307" s="25"/>
      <c r="AC307" s="24"/>
      <c r="AD307" s="24"/>
      <c r="AE307" s="24"/>
      <c r="AF307" s="26"/>
      <c r="AG307" s="26"/>
      <c r="AH307" s="24"/>
      <c r="AI307" s="24"/>
      <c r="AJ307" s="24"/>
      <c r="AK307" s="28"/>
      <c r="AL307" s="28"/>
      <c r="AM307" s="28"/>
      <c r="AN307" s="28"/>
      <c r="AO307" s="28"/>
      <c r="AP307" s="28"/>
      <c r="AQ307" s="28"/>
      <c r="AR307" s="28"/>
      <c r="AS307" s="28"/>
      <c r="AT307" s="28"/>
      <c r="AU307" s="28"/>
      <c r="AV307" s="28"/>
      <c r="AW307" s="28"/>
      <c r="AX307" s="28"/>
      <c r="AY307" s="24"/>
      <c r="AZ307" s="28"/>
      <c r="BA307" s="28"/>
      <c r="BB307" s="28"/>
      <c r="BC307" s="28"/>
      <c r="BD307" s="28"/>
      <c r="BE307" s="28"/>
      <c r="BF307" s="24"/>
      <c r="BG307" s="28"/>
      <c r="BH307" s="28"/>
      <c r="BI307" s="28"/>
      <c r="BJ307" s="24"/>
      <c r="BK307" s="28"/>
      <c r="BL307" s="28"/>
      <c r="BM307" s="28"/>
    </row>
    <row r="308" spans="1:65">
      <c r="A308" s="24"/>
      <c r="B308" s="28"/>
      <c r="C308" s="25"/>
      <c r="D308" s="26"/>
      <c r="E308" s="24"/>
      <c r="F308" s="24"/>
      <c r="G308" s="26"/>
      <c r="H308" s="26"/>
      <c r="I308" s="26"/>
      <c r="J308" s="26"/>
      <c r="K308" s="26"/>
      <c r="L308" s="26"/>
      <c r="M308" s="26"/>
      <c r="N308" s="26"/>
      <c r="O308" s="26"/>
      <c r="P308" s="26"/>
      <c r="R308" s="24"/>
      <c r="S308" s="26"/>
      <c r="T308" s="25"/>
      <c r="U308" s="24"/>
      <c r="V308" s="24"/>
      <c r="W308" s="24"/>
      <c r="X308" s="26"/>
      <c r="Y308" s="26"/>
      <c r="Z308" s="24"/>
      <c r="AA308" s="26"/>
      <c r="AB308" s="25"/>
      <c r="AC308" s="24"/>
      <c r="AD308" s="24"/>
      <c r="AE308" s="24"/>
      <c r="AF308" s="26"/>
      <c r="AG308" s="26"/>
      <c r="AH308" s="24"/>
      <c r="AI308" s="24"/>
      <c r="AJ308" s="24"/>
      <c r="AK308" s="28"/>
      <c r="AL308" s="28"/>
      <c r="AM308" s="28"/>
      <c r="AN308" s="28"/>
      <c r="AO308" s="28"/>
      <c r="AP308" s="28"/>
      <c r="AQ308" s="28"/>
      <c r="AR308" s="28"/>
      <c r="AS308" s="28"/>
      <c r="AT308" s="28"/>
      <c r="AU308" s="28"/>
      <c r="AV308" s="28"/>
      <c r="AW308" s="28"/>
      <c r="AX308" s="28"/>
      <c r="AY308" s="24"/>
      <c r="AZ308" s="28"/>
      <c r="BA308" s="28"/>
      <c r="BB308" s="28"/>
      <c r="BC308" s="28"/>
      <c r="BD308" s="28"/>
      <c r="BE308" s="28"/>
      <c r="BF308" s="24"/>
      <c r="BG308" s="28"/>
      <c r="BH308" s="28"/>
      <c r="BI308" s="28"/>
      <c r="BJ308" s="24"/>
      <c r="BK308" s="28"/>
      <c r="BL308" s="28"/>
      <c r="BM308" s="28"/>
    </row>
    <row r="309" spans="1:65">
      <c r="A309" s="24"/>
      <c r="B309" s="28"/>
      <c r="C309" s="25"/>
      <c r="D309" s="26"/>
      <c r="E309" s="24"/>
      <c r="F309" s="24"/>
      <c r="G309" s="26"/>
      <c r="H309" s="26"/>
      <c r="I309" s="26"/>
      <c r="J309" s="26"/>
      <c r="K309" s="26"/>
      <c r="L309" s="26"/>
      <c r="M309" s="26"/>
      <c r="N309" s="26"/>
      <c r="O309" s="26"/>
      <c r="P309" s="26"/>
      <c r="R309" s="24"/>
      <c r="S309" s="26"/>
      <c r="T309" s="25"/>
      <c r="U309" s="24"/>
      <c r="V309" s="24"/>
      <c r="W309" s="24"/>
      <c r="X309" s="26"/>
      <c r="Y309" s="26"/>
      <c r="Z309" s="24"/>
      <c r="AA309" s="26"/>
      <c r="AB309" s="25"/>
      <c r="AC309" s="24"/>
      <c r="AD309" s="24"/>
      <c r="AE309" s="24"/>
      <c r="AF309" s="26"/>
      <c r="AG309" s="26"/>
      <c r="AH309" s="24"/>
      <c r="AI309" s="24"/>
      <c r="AJ309" s="24"/>
      <c r="AK309" s="28"/>
      <c r="AL309" s="28"/>
      <c r="AM309" s="28"/>
      <c r="AN309" s="28"/>
      <c r="AO309" s="28"/>
      <c r="AP309" s="28"/>
      <c r="AQ309" s="28"/>
      <c r="AR309" s="28"/>
      <c r="AS309" s="28"/>
      <c r="AT309" s="28"/>
      <c r="AU309" s="28"/>
      <c r="AV309" s="28"/>
      <c r="AW309" s="28"/>
      <c r="AX309" s="28"/>
      <c r="AY309" s="24"/>
      <c r="AZ309" s="28"/>
      <c r="BA309" s="28"/>
      <c r="BB309" s="28"/>
      <c r="BC309" s="28"/>
      <c r="BD309" s="28"/>
      <c r="BE309" s="28"/>
      <c r="BF309" s="24"/>
      <c r="BG309" s="28"/>
      <c r="BH309" s="28"/>
      <c r="BI309" s="28"/>
      <c r="BJ309" s="24"/>
      <c r="BK309" s="28"/>
      <c r="BL309" s="28"/>
      <c r="BM309" s="28"/>
    </row>
    <row r="310" spans="1:65">
      <c r="A310" s="24"/>
      <c r="B310" s="28"/>
      <c r="C310" s="25"/>
      <c r="D310" s="26"/>
      <c r="E310" s="24"/>
      <c r="F310" s="24"/>
      <c r="G310" s="26"/>
      <c r="H310" s="26"/>
      <c r="I310" s="26"/>
      <c r="J310" s="26"/>
      <c r="K310" s="26"/>
      <c r="L310" s="26"/>
      <c r="M310" s="26"/>
      <c r="N310" s="26"/>
      <c r="O310" s="26"/>
      <c r="P310" s="26"/>
      <c r="R310" s="24"/>
      <c r="S310" s="26"/>
      <c r="T310" s="25"/>
      <c r="U310" s="24"/>
      <c r="V310" s="24"/>
      <c r="W310" s="24"/>
      <c r="X310" s="26"/>
      <c r="Y310" s="26"/>
      <c r="Z310" s="24"/>
      <c r="AA310" s="26"/>
      <c r="AB310" s="25"/>
      <c r="AC310" s="24"/>
      <c r="AD310" s="24"/>
      <c r="AE310" s="24"/>
      <c r="AF310" s="26"/>
      <c r="AG310" s="26"/>
      <c r="AH310" s="24"/>
      <c r="AI310" s="24"/>
      <c r="AJ310" s="24"/>
      <c r="AK310" s="28"/>
      <c r="AL310" s="28"/>
      <c r="AM310" s="28"/>
      <c r="AN310" s="28"/>
      <c r="AO310" s="28"/>
      <c r="AP310" s="28"/>
      <c r="AQ310" s="28"/>
      <c r="AR310" s="28"/>
      <c r="AS310" s="28"/>
      <c r="AT310" s="28"/>
      <c r="AU310" s="28"/>
      <c r="AV310" s="28"/>
      <c r="AW310" s="28"/>
      <c r="AX310" s="28"/>
      <c r="AY310" s="24"/>
      <c r="AZ310" s="28"/>
      <c r="BA310" s="28"/>
      <c r="BB310" s="28"/>
      <c r="BC310" s="28"/>
      <c r="BD310" s="28"/>
      <c r="BE310" s="28"/>
      <c r="BF310" s="24"/>
      <c r="BG310" s="28"/>
      <c r="BH310" s="28"/>
      <c r="BI310" s="28"/>
      <c r="BJ310" s="24"/>
      <c r="BK310" s="28"/>
      <c r="BL310" s="28"/>
      <c r="BM310" s="28"/>
    </row>
    <row r="311" spans="1:65">
      <c r="A311" s="24"/>
      <c r="B311" s="28"/>
      <c r="C311" s="25"/>
      <c r="D311" s="26"/>
      <c r="E311" s="24"/>
      <c r="F311" s="24"/>
      <c r="G311" s="26"/>
      <c r="H311" s="26"/>
      <c r="I311" s="26"/>
      <c r="J311" s="26"/>
      <c r="K311" s="26"/>
      <c r="L311" s="26"/>
      <c r="M311" s="26"/>
      <c r="N311" s="26"/>
      <c r="O311" s="26"/>
      <c r="P311" s="26"/>
      <c r="R311" s="24"/>
      <c r="S311" s="26"/>
      <c r="T311" s="25"/>
      <c r="U311" s="24"/>
      <c r="V311" s="24"/>
      <c r="W311" s="24"/>
      <c r="X311" s="26"/>
      <c r="Y311" s="26"/>
      <c r="Z311" s="24"/>
      <c r="AA311" s="26"/>
      <c r="AB311" s="25"/>
      <c r="AC311" s="24"/>
      <c r="AD311" s="24"/>
      <c r="AE311" s="24"/>
      <c r="AF311" s="26"/>
      <c r="AG311" s="26"/>
      <c r="AH311" s="24"/>
      <c r="AI311" s="24"/>
      <c r="AJ311" s="24"/>
      <c r="AK311" s="28"/>
      <c r="AL311" s="28"/>
      <c r="AM311" s="28"/>
      <c r="AN311" s="28"/>
      <c r="AO311" s="28"/>
      <c r="AP311" s="28"/>
      <c r="AQ311" s="28"/>
      <c r="AR311" s="28"/>
      <c r="AS311" s="28"/>
      <c r="AT311" s="28"/>
      <c r="AU311" s="28"/>
      <c r="AV311" s="28"/>
      <c r="AW311" s="28"/>
      <c r="AX311" s="28"/>
      <c r="AY311" s="24"/>
      <c r="AZ311" s="28"/>
      <c r="BA311" s="28"/>
      <c r="BB311" s="28"/>
      <c r="BC311" s="28"/>
      <c r="BD311" s="28"/>
      <c r="BE311" s="28"/>
      <c r="BF311" s="24"/>
      <c r="BG311" s="28"/>
      <c r="BH311" s="28"/>
      <c r="BI311" s="28"/>
      <c r="BJ311" s="24"/>
      <c r="BK311" s="28"/>
      <c r="BL311" s="28"/>
      <c r="BM311" s="28"/>
    </row>
    <row r="312" spans="1:65">
      <c r="A312" s="24"/>
      <c r="B312" s="28"/>
      <c r="C312" s="25"/>
      <c r="D312" s="26"/>
      <c r="E312" s="24"/>
      <c r="F312" s="24"/>
      <c r="G312" s="26"/>
      <c r="H312" s="26"/>
      <c r="I312" s="26"/>
      <c r="J312" s="26"/>
      <c r="K312" s="26"/>
      <c r="L312" s="26"/>
      <c r="M312" s="26"/>
      <c r="N312" s="26"/>
      <c r="O312" s="26"/>
      <c r="P312" s="26"/>
      <c r="R312" s="24"/>
      <c r="S312" s="26"/>
      <c r="T312" s="25"/>
      <c r="U312" s="24"/>
      <c r="V312" s="24"/>
      <c r="W312" s="24"/>
      <c r="X312" s="26"/>
      <c r="Y312" s="26"/>
      <c r="Z312" s="24"/>
      <c r="AA312" s="26"/>
      <c r="AB312" s="25"/>
      <c r="AC312" s="24"/>
      <c r="AD312" s="24"/>
      <c r="AE312" s="24"/>
      <c r="AF312" s="26"/>
      <c r="AG312" s="26"/>
      <c r="AH312" s="24"/>
      <c r="AI312" s="24"/>
      <c r="AJ312" s="24"/>
      <c r="AK312" s="28"/>
      <c r="AL312" s="28"/>
      <c r="AM312" s="28"/>
      <c r="AN312" s="28"/>
      <c r="AO312" s="28"/>
      <c r="AP312" s="28"/>
      <c r="AQ312" s="28"/>
      <c r="AR312" s="28"/>
      <c r="AS312" s="28"/>
      <c r="AT312" s="28"/>
      <c r="AU312" s="28"/>
      <c r="AV312" s="28"/>
      <c r="AW312" s="28"/>
      <c r="AX312" s="28"/>
      <c r="AY312" s="24"/>
      <c r="AZ312" s="28"/>
      <c r="BA312" s="28"/>
      <c r="BB312" s="28"/>
      <c r="BC312" s="28"/>
      <c r="BD312" s="28"/>
      <c r="BE312" s="28"/>
      <c r="BF312" s="24"/>
      <c r="BG312" s="28"/>
      <c r="BH312" s="28"/>
      <c r="BI312" s="28"/>
      <c r="BJ312" s="24"/>
      <c r="BK312" s="28"/>
      <c r="BL312" s="28"/>
      <c r="BM312" s="28"/>
    </row>
    <row r="313" spans="1:65">
      <c r="A313" s="24"/>
      <c r="B313" s="28"/>
      <c r="C313" s="25"/>
      <c r="D313" s="26"/>
      <c r="E313" s="24"/>
      <c r="F313" s="24"/>
      <c r="G313" s="26"/>
      <c r="H313" s="26"/>
      <c r="I313" s="26"/>
      <c r="J313" s="26"/>
      <c r="K313" s="26"/>
      <c r="L313" s="26"/>
      <c r="M313" s="26"/>
      <c r="N313" s="26"/>
      <c r="O313" s="26"/>
      <c r="P313" s="26"/>
      <c r="R313" s="24"/>
      <c r="S313" s="26"/>
      <c r="T313" s="25"/>
      <c r="U313" s="24"/>
      <c r="V313" s="24"/>
      <c r="W313" s="24"/>
      <c r="X313" s="26"/>
      <c r="Y313" s="26"/>
      <c r="Z313" s="24"/>
      <c r="AA313" s="26"/>
      <c r="AB313" s="25"/>
      <c r="AC313" s="24"/>
      <c r="AD313" s="24"/>
      <c r="AE313" s="24"/>
      <c r="AF313" s="26"/>
      <c r="AG313" s="26"/>
      <c r="AH313" s="24"/>
      <c r="AI313" s="24"/>
      <c r="AJ313" s="24"/>
      <c r="AK313" s="28"/>
      <c r="AL313" s="28"/>
      <c r="AM313" s="28"/>
      <c r="AN313" s="28"/>
      <c r="AO313" s="28"/>
      <c r="AP313" s="28"/>
      <c r="AQ313" s="28"/>
      <c r="AR313" s="28"/>
      <c r="AS313" s="28"/>
      <c r="AT313" s="28"/>
      <c r="AU313" s="28"/>
      <c r="AV313" s="28"/>
      <c r="AW313" s="28"/>
      <c r="AX313" s="28"/>
      <c r="AY313" s="24"/>
      <c r="AZ313" s="28"/>
      <c r="BA313" s="28"/>
      <c r="BB313" s="28"/>
      <c r="BC313" s="28"/>
      <c r="BD313" s="28"/>
      <c r="BE313" s="28"/>
      <c r="BF313" s="24"/>
      <c r="BG313" s="28"/>
      <c r="BH313" s="28"/>
      <c r="BI313" s="28"/>
      <c r="BJ313" s="24"/>
      <c r="BK313" s="28"/>
      <c r="BL313" s="28"/>
      <c r="BM313" s="28"/>
    </row>
    <row r="314" spans="1:65">
      <c r="A314" s="24"/>
      <c r="B314" s="28"/>
      <c r="C314" s="25"/>
      <c r="D314" s="26"/>
      <c r="E314" s="24"/>
      <c r="F314" s="24"/>
      <c r="G314" s="26"/>
      <c r="H314" s="26"/>
      <c r="I314" s="26"/>
      <c r="J314" s="26"/>
      <c r="K314" s="26"/>
      <c r="L314" s="26"/>
      <c r="M314" s="26"/>
      <c r="N314" s="26"/>
      <c r="O314" s="26"/>
      <c r="P314" s="26"/>
      <c r="R314" s="24"/>
      <c r="S314" s="26"/>
      <c r="T314" s="25"/>
      <c r="U314" s="24"/>
      <c r="V314" s="24"/>
      <c r="W314" s="24"/>
      <c r="X314" s="26"/>
      <c r="Y314" s="26"/>
      <c r="Z314" s="24"/>
      <c r="AA314" s="26"/>
      <c r="AB314" s="25"/>
      <c r="AC314" s="24"/>
      <c r="AD314" s="24"/>
      <c r="AE314" s="24"/>
      <c r="AF314" s="26"/>
      <c r="AG314" s="26"/>
      <c r="AH314" s="24"/>
      <c r="AI314" s="24"/>
      <c r="AJ314" s="24"/>
      <c r="AK314" s="28"/>
      <c r="AL314" s="28"/>
      <c r="AM314" s="28"/>
      <c r="AN314" s="28"/>
      <c r="AO314" s="28"/>
      <c r="AP314" s="28"/>
      <c r="AQ314" s="28"/>
      <c r="AR314" s="28"/>
      <c r="AS314" s="28"/>
      <c r="AT314" s="28"/>
      <c r="AU314" s="28"/>
      <c r="AV314" s="28"/>
      <c r="AW314" s="28"/>
      <c r="AX314" s="28"/>
      <c r="AY314" s="24"/>
      <c r="AZ314" s="28"/>
      <c r="BA314" s="28"/>
      <c r="BB314" s="28"/>
      <c r="BC314" s="28"/>
      <c r="BD314" s="28"/>
      <c r="BE314" s="28"/>
      <c r="BF314" s="24"/>
      <c r="BG314" s="28"/>
      <c r="BH314" s="28"/>
      <c r="BI314" s="28"/>
      <c r="BJ314" s="24"/>
      <c r="BK314" s="28"/>
      <c r="BL314" s="28"/>
      <c r="BM314" s="28"/>
    </row>
    <row r="315" spans="1:65">
      <c r="A315" s="24"/>
      <c r="B315" s="28"/>
      <c r="C315" s="25"/>
      <c r="D315" s="26"/>
      <c r="E315" s="24"/>
      <c r="F315" s="24"/>
      <c r="G315" s="26"/>
      <c r="H315" s="26"/>
      <c r="I315" s="26"/>
      <c r="J315" s="26"/>
      <c r="K315" s="26"/>
      <c r="L315" s="26"/>
      <c r="M315" s="26"/>
      <c r="N315" s="26"/>
      <c r="O315" s="26"/>
      <c r="P315" s="26"/>
      <c r="R315" s="24"/>
      <c r="S315" s="26"/>
      <c r="T315" s="25"/>
      <c r="U315" s="24"/>
      <c r="V315" s="24"/>
      <c r="W315" s="24"/>
      <c r="X315" s="26"/>
      <c r="Y315" s="26"/>
      <c r="Z315" s="24"/>
      <c r="AA315" s="26"/>
      <c r="AB315" s="25"/>
      <c r="AC315" s="24"/>
      <c r="AD315" s="24"/>
      <c r="AE315" s="24"/>
      <c r="AF315" s="26"/>
      <c r="AG315" s="26"/>
      <c r="AH315" s="24"/>
      <c r="AI315" s="24"/>
      <c r="AJ315" s="24"/>
      <c r="AK315" s="28"/>
      <c r="AL315" s="28"/>
      <c r="AM315" s="28"/>
      <c r="AN315" s="28"/>
      <c r="AO315" s="28"/>
      <c r="AP315" s="28"/>
      <c r="AQ315" s="28"/>
      <c r="AR315" s="28"/>
      <c r="AS315" s="28"/>
      <c r="AT315" s="28"/>
      <c r="AU315" s="28"/>
      <c r="AV315" s="28"/>
      <c r="AW315" s="28"/>
      <c r="AX315" s="28"/>
      <c r="AY315" s="24"/>
      <c r="AZ315" s="28"/>
      <c r="BA315" s="28"/>
      <c r="BB315" s="28"/>
      <c r="BC315" s="28"/>
      <c r="BD315" s="28"/>
      <c r="BE315" s="28"/>
      <c r="BF315" s="24"/>
      <c r="BG315" s="28"/>
      <c r="BH315" s="28"/>
      <c r="BI315" s="28"/>
      <c r="BJ315" s="24"/>
      <c r="BK315" s="28"/>
      <c r="BL315" s="28"/>
      <c r="BM315" s="28"/>
    </row>
    <row r="316" spans="1:65">
      <c r="A316" s="24"/>
      <c r="B316" s="28"/>
      <c r="C316" s="25"/>
      <c r="D316" s="26"/>
      <c r="E316" s="24"/>
      <c r="F316" s="24"/>
      <c r="G316" s="26"/>
      <c r="H316" s="26"/>
      <c r="I316" s="26"/>
      <c r="J316" s="26"/>
      <c r="K316" s="26"/>
      <c r="L316" s="26"/>
      <c r="M316" s="26"/>
      <c r="N316" s="26"/>
      <c r="O316" s="26"/>
      <c r="P316" s="26"/>
      <c r="R316" s="24"/>
      <c r="S316" s="26"/>
      <c r="T316" s="25"/>
      <c r="U316" s="24"/>
      <c r="V316" s="24"/>
      <c r="W316" s="24"/>
      <c r="X316" s="26"/>
      <c r="Y316" s="26"/>
      <c r="Z316" s="24"/>
      <c r="AA316" s="26"/>
      <c r="AB316" s="25"/>
      <c r="AC316" s="24"/>
      <c r="AD316" s="24"/>
      <c r="AE316" s="24"/>
      <c r="AF316" s="26"/>
      <c r="AG316" s="26"/>
      <c r="AH316" s="24"/>
      <c r="AI316" s="24"/>
      <c r="AJ316" s="24"/>
      <c r="AK316" s="28"/>
      <c r="AL316" s="28"/>
      <c r="AM316" s="28"/>
      <c r="AN316" s="28"/>
      <c r="AO316" s="28"/>
      <c r="AP316" s="28"/>
      <c r="AQ316" s="28"/>
      <c r="AR316" s="28"/>
      <c r="AS316" s="28"/>
      <c r="AT316" s="28"/>
      <c r="AU316" s="28"/>
      <c r="AV316" s="28"/>
      <c r="AW316" s="28"/>
      <c r="AX316" s="28"/>
      <c r="AY316" s="24"/>
      <c r="AZ316" s="28"/>
      <c r="BA316" s="28"/>
      <c r="BB316" s="28"/>
      <c r="BC316" s="28"/>
      <c r="BD316" s="28"/>
      <c r="BE316" s="28"/>
      <c r="BF316" s="24"/>
      <c r="BG316" s="28"/>
      <c r="BH316" s="28"/>
      <c r="BI316" s="28"/>
      <c r="BJ316" s="24"/>
      <c r="BK316" s="28"/>
      <c r="BL316" s="28"/>
      <c r="BM316" s="28"/>
    </row>
    <row r="317" spans="1:65">
      <c r="A317" s="24"/>
      <c r="B317" s="28"/>
      <c r="C317" s="25"/>
      <c r="D317" s="26"/>
      <c r="E317" s="24"/>
      <c r="F317" s="24"/>
      <c r="G317" s="26"/>
      <c r="H317" s="26"/>
      <c r="I317" s="26"/>
      <c r="J317" s="26"/>
      <c r="K317" s="26"/>
      <c r="L317" s="26"/>
      <c r="M317" s="26"/>
      <c r="N317" s="26"/>
      <c r="O317" s="26"/>
      <c r="P317" s="26"/>
      <c r="R317" s="24"/>
      <c r="S317" s="26"/>
      <c r="T317" s="25"/>
      <c r="U317" s="24"/>
      <c r="V317" s="24"/>
      <c r="W317" s="24"/>
      <c r="X317" s="26"/>
      <c r="Y317" s="26"/>
      <c r="Z317" s="24"/>
      <c r="AA317" s="26"/>
      <c r="AB317" s="25"/>
      <c r="AC317" s="24"/>
      <c r="AD317" s="24"/>
      <c r="AE317" s="24"/>
      <c r="AF317" s="26"/>
      <c r="AG317" s="26"/>
      <c r="AH317" s="24"/>
      <c r="AI317" s="24"/>
      <c r="AJ317" s="24"/>
      <c r="AK317" s="28"/>
      <c r="AL317" s="28"/>
      <c r="AM317" s="28"/>
      <c r="AN317" s="28"/>
      <c r="AO317" s="28"/>
      <c r="AP317" s="28"/>
      <c r="AQ317" s="28"/>
      <c r="AR317" s="28"/>
      <c r="AS317" s="28"/>
      <c r="AT317" s="28"/>
      <c r="AU317" s="28"/>
      <c r="AV317" s="28"/>
      <c r="AW317" s="28"/>
      <c r="AX317" s="28"/>
      <c r="AY317" s="24"/>
      <c r="AZ317" s="28"/>
      <c r="BA317" s="28"/>
      <c r="BB317" s="28"/>
      <c r="BC317" s="28"/>
      <c r="BD317" s="28"/>
      <c r="BE317" s="28"/>
      <c r="BF317" s="24"/>
      <c r="BG317" s="28"/>
      <c r="BH317" s="28"/>
      <c r="BI317" s="28"/>
      <c r="BJ317" s="24"/>
      <c r="BK317" s="28"/>
      <c r="BL317" s="28"/>
      <c r="BM317" s="28"/>
    </row>
    <row r="318" spans="1:65">
      <c r="A318" s="24"/>
      <c r="B318" s="28"/>
      <c r="C318" s="25"/>
      <c r="D318" s="26"/>
      <c r="E318" s="24"/>
      <c r="F318" s="24"/>
      <c r="G318" s="26"/>
      <c r="H318" s="26"/>
      <c r="I318" s="26"/>
      <c r="J318" s="26"/>
      <c r="K318" s="26"/>
      <c r="L318" s="26"/>
      <c r="M318" s="26"/>
      <c r="N318" s="26"/>
      <c r="O318" s="26"/>
      <c r="P318" s="26"/>
      <c r="R318" s="24"/>
      <c r="S318" s="26"/>
      <c r="T318" s="25"/>
      <c r="U318" s="24"/>
      <c r="V318" s="24"/>
      <c r="W318" s="24"/>
      <c r="X318" s="26"/>
      <c r="Y318" s="26"/>
      <c r="Z318" s="24"/>
      <c r="AA318" s="26"/>
      <c r="AB318" s="25"/>
      <c r="AC318" s="24"/>
      <c r="AD318" s="24"/>
      <c r="AE318" s="24"/>
      <c r="AF318" s="26"/>
      <c r="AG318" s="26"/>
      <c r="AH318" s="24"/>
      <c r="AI318" s="24"/>
      <c r="AJ318" s="24"/>
      <c r="AK318" s="28"/>
      <c r="AL318" s="28"/>
      <c r="AM318" s="28"/>
      <c r="AN318" s="28"/>
      <c r="AO318" s="28"/>
      <c r="AP318" s="28"/>
      <c r="AQ318" s="28"/>
      <c r="AR318" s="28"/>
      <c r="AS318" s="28"/>
      <c r="AT318" s="28"/>
      <c r="AU318" s="28"/>
      <c r="AV318" s="28"/>
      <c r="AW318" s="28"/>
      <c r="AX318" s="28"/>
      <c r="AY318" s="24"/>
      <c r="AZ318" s="28"/>
      <c r="BA318" s="28"/>
      <c r="BB318" s="28"/>
      <c r="BC318" s="28"/>
      <c r="BD318" s="28"/>
      <c r="BE318" s="28"/>
      <c r="BF318" s="24"/>
      <c r="BG318" s="28"/>
      <c r="BH318" s="28"/>
      <c r="BI318" s="28"/>
      <c r="BJ318" s="24"/>
      <c r="BK318" s="28"/>
      <c r="BL318" s="28"/>
      <c r="BM318" s="28"/>
    </row>
    <row r="319" spans="1:65">
      <c r="A319" s="24"/>
      <c r="B319" s="28"/>
      <c r="C319" s="25"/>
      <c r="D319" s="26"/>
      <c r="E319" s="24"/>
      <c r="F319" s="24"/>
      <c r="G319" s="26"/>
      <c r="H319" s="26"/>
      <c r="I319" s="26"/>
      <c r="J319" s="26"/>
      <c r="K319" s="26"/>
      <c r="L319" s="26"/>
      <c r="M319" s="26"/>
      <c r="N319" s="26"/>
      <c r="O319" s="26"/>
      <c r="P319" s="26"/>
      <c r="R319" s="24"/>
      <c r="S319" s="26"/>
      <c r="T319" s="25"/>
      <c r="U319" s="24"/>
      <c r="V319" s="24"/>
      <c r="W319" s="24"/>
      <c r="X319" s="26"/>
      <c r="Y319" s="26"/>
      <c r="Z319" s="24"/>
      <c r="AA319" s="26"/>
      <c r="AB319" s="25"/>
      <c r="AC319" s="24"/>
      <c r="AD319" s="24"/>
      <c r="AE319" s="24"/>
      <c r="AF319" s="26"/>
      <c r="AG319" s="26"/>
      <c r="AH319" s="24"/>
      <c r="AI319" s="24"/>
      <c r="AJ319" s="24"/>
      <c r="AK319" s="28"/>
      <c r="AL319" s="28"/>
      <c r="AM319" s="28"/>
      <c r="AN319" s="28"/>
      <c r="AO319" s="28"/>
      <c r="AP319" s="28"/>
      <c r="AQ319" s="28"/>
      <c r="AR319" s="28"/>
      <c r="AS319" s="28"/>
      <c r="AT319" s="28"/>
      <c r="AU319" s="28"/>
      <c r="AV319" s="28"/>
      <c r="AW319" s="28"/>
      <c r="AX319" s="28"/>
      <c r="AY319" s="24"/>
      <c r="AZ319" s="28"/>
      <c r="BA319" s="28"/>
      <c r="BB319" s="28"/>
      <c r="BC319" s="28"/>
      <c r="BD319" s="28"/>
      <c r="BE319" s="28"/>
      <c r="BF319" s="24"/>
      <c r="BG319" s="28"/>
      <c r="BH319" s="28"/>
      <c r="BI319" s="28"/>
      <c r="BJ319" s="24"/>
      <c r="BK319" s="28"/>
      <c r="BL319" s="28"/>
      <c r="BM319" s="28"/>
    </row>
    <row r="320" spans="1:65">
      <c r="A320" s="24"/>
      <c r="B320" s="28"/>
      <c r="C320" s="25"/>
      <c r="D320" s="26"/>
      <c r="E320" s="24"/>
      <c r="F320" s="24"/>
      <c r="G320" s="26"/>
      <c r="H320" s="26"/>
      <c r="I320" s="26"/>
      <c r="J320" s="26"/>
      <c r="K320" s="26"/>
      <c r="L320" s="26"/>
      <c r="M320" s="26"/>
      <c r="N320" s="26"/>
      <c r="O320" s="26"/>
      <c r="P320" s="26"/>
      <c r="R320" s="24"/>
      <c r="S320" s="26"/>
      <c r="T320" s="25"/>
      <c r="U320" s="24"/>
      <c r="V320" s="24"/>
      <c r="W320" s="24"/>
      <c r="X320" s="26"/>
      <c r="Y320" s="26"/>
      <c r="Z320" s="24"/>
      <c r="AA320" s="26"/>
      <c r="AB320" s="25"/>
      <c r="AC320" s="24"/>
      <c r="AD320" s="24"/>
      <c r="AE320" s="24"/>
      <c r="AF320" s="26"/>
      <c r="AG320" s="26"/>
      <c r="AH320" s="24"/>
      <c r="AI320" s="24"/>
      <c r="AJ320" s="24"/>
      <c r="AK320" s="28"/>
      <c r="AL320" s="28"/>
      <c r="AM320" s="28"/>
      <c r="AN320" s="28"/>
      <c r="AO320" s="28"/>
      <c r="AP320" s="28"/>
      <c r="AQ320" s="28"/>
      <c r="AR320" s="28"/>
      <c r="AS320" s="28"/>
      <c r="AT320" s="28"/>
      <c r="AU320" s="28"/>
      <c r="AV320" s="28"/>
      <c r="AW320" s="28"/>
      <c r="AX320" s="28"/>
      <c r="AY320" s="24"/>
      <c r="AZ320" s="28"/>
      <c r="BA320" s="28"/>
      <c r="BB320" s="28"/>
      <c r="BC320" s="28"/>
      <c r="BD320" s="28"/>
      <c r="BE320" s="28"/>
      <c r="BF320" s="24"/>
      <c r="BG320" s="28"/>
      <c r="BH320" s="28"/>
      <c r="BI320" s="28"/>
      <c r="BJ320" s="24"/>
      <c r="BK320" s="28"/>
      <c r="BL320" s="28"/>
      <c r="BM320" s="28"/>
    </row>
    <row r="321" spans="1:65">
      <c r="A321" s="24"/>
      <c r="B321" s="28"/>
      <c r="C321" s="25"/>
      <c r="D321" s="26"/>
      <c r="E321" s="24"/>
      <c r="F321" s="24"/>
      <c r="G321" s="26"/>
      <c r="H321" s="26"/>
      <c r="I321" s="26"/>
      <c r="J321" s="26"/>
      <c r="K321" s="26"/>
      <c r="L321" s="26"/>
      <c r="M321" s="26"/>
      <c r="N321" s="26"/>
      <c r="O321" s="26"/>
      <c r="P321" s="26"/>
      <c r="R321" s="24"/>
      <c r="S321" s="26"/>
      <c r="T321" s="25"/>
      <c r="U321" s="24"/>
      <c r="V321" s="24"/>
      <c r="W321" s="24"/>
      <c r="X321" s="26"/>
      <c r="Y321" s="26"/>
      <c r="Z321" s="24"/>
      <c r="AA321" s="26"/>
      <c r="AB321" s="25"/>
      <c r="AC321" s="24"/>
      <c r="AD321" s="24"/>
      <c r="AE321" s="24"/>
      <c r="AF321" s="26"/>
      <c r="AG321" s="26"/>
      <c r="AH321" s="24"/>
      <c r="AI321" s="24"/>
      <c r="AJ321" s="24"/>
      <c r="AK321" s="28"/>
      <c r="AL321" s="28"/>
      <c r="AM321" s="28"/>
      <c r="AN321" s="28"/>
      <c r="AO321" s="28"/>
      <c r="AP321" s="28"/>
      <c r="AQ321" s="28"/>
      <c r="AR321" s="28"/>
      <c r="AS321" s="28"/>
      <c r="AT321" s="28"/>
      <c r="AU321" s="28"/>
      <c r="AV321" s="28"/>
      <c r="AW321" s="28"/>
      <c r="AX321" s="28"/>
      <c r="AY321" s="24"/>
      <c r="AZ321" s="28"/>
      <c r="BA321" s="28"/>
      <c r="BB321" s="28"/>
      <c r="BC321" s="28"/>
      <c r="BD321" s="28"/>
      <c r="BE321" s="28"/>
      <c r="BF321" s="24"/>
      <c r="BG321" s="28"/>
      <c r="BH321" s="28"/>
      <c r="BI321" s="28"/>
      <c r="BJ321" s="24"/>
      <c r="BK321" s="28"/>
      <c r="BL321" s="28"/>
      <c r="BM321" s="28"/>
    </row>
    <row r="322" spans="1:65">
      <c r="A322" s="24"/>
      <c r="B322" s="28"/>
      <c r="C322" s="25"/>
      <c r="D322" s="26"/>
      <c r="E322" s="24"/>
      <c r="F322" s="24"/>
      <c r="G322" s="26"/>
      <c r="H322" s="26"/>
      <c r="I322" s="26"/>
      <c r="J322" s="26"/>
      <c r="K322" s="26"/>
      <c r="L322" s="26"/>
      <c r="M322" s="26"/>
      <c r="N322" s="26"/>
      <c r="O322" s="26"/>
      <c r="P322" s="26"/>
      <c r="R322" s="24"/>
      <c r="S322" s="26"/>
      <c r="T322" s="25"/>
      <c r="U322" s="24"/>
      <c r="V322" s="24"/>
      <c r="W322" s="24"/>
      <c r="X322" s="26"/>
      <c r="Y322" s="26"/>
      <c r="Z322" s="24"/>
      <c r="AA322" s="26"/>
      <c r="AB322" s="25"/>
      <c r="AC322" s="24"/>
      <c r="AD322" s="24"/>
      <c r="AE322" s="24"/>
      <c r="AF322" s="26"/>
      <c r="AG322" s="26"/>
      <c r="AH322" s="24"/>
      <c r="AI322" s="24"/>
      <c r="AJ322" s="24"/>
      <c r="AK322" s="28"/>
      <c r="AL322" s="28"/>
      <c r="AM322" s="28"/>
      <c r="AN322" s="28"/>
      <c r="AO322" s="28"/>
      <c r="AP322" s="28"/>
      <c r="AQ322" s="28"/>
      <c r="AR322" s="28"/>
      <c r="AS322" s="28"/>
      <c r="AT322" s="28"/>
      <c r="AU322" s="28"/>
      <c r="AV322" s="28"/>
      <c r="AW322" s="28"/>
      <c r="AX322" s="28"/>
      <c r="AY322" s="24"/>
      <c r="AZ322" s="28"/>
      <c r="BA322" s="28"/>
      <c r="BB322" s="28"/>
      <c r="BC322" s="28"/>
      <c r="BD322" s="28"/>
      <c r="BE322" s="28"/>
      <c r="BF322" s="24"/>
      <c r="BG322" s="28"/>
      <c r="BH322" s="28"/>
      <c r="BI322" s="28"/>
      <c r="BJ322" s="24"/>
      <c r="BK322" s="28"/>
      <c r="BL322" s="28"/>
      <c r="BM322" s="28"/>
    </row>
    <row r="323" spans="1:65">
      <c r="A323" s="24"/>
      <c r="B323" s="28"/>
      <c r="C323" s="25"/>
      <c r="D323" s="26"/>
      <c r="E323" s="24"/>
      <c r="F323" s="24"/>
      <c r="G323" s="26"/>
      <c r="H323" s="26"/>
      <c r="I323" s="26"/>
      <c r="J323" s="26"/>
      <c r="K323" s="26"/>
      <c r="L323" s="26"/>
      <c r="M323" s="26"/>
      <c r="N323" s="26"/>
      <c r="O323" s="26"/>
      <c r="P323" s="26"/>
      <c r="R323" s="24"/>
      <c r="S323" s="26"/>
      <c r="T323" s="25"/>
      <c r="U323" s="24"/>
      <c r="V323" s="24"/>
      <c r="W323" s="24"/>
      <c r="X323" s="26"/>
      <c r="Y323" s="26"/>
      <c r="Z323" s="24"/>
      <c r="AA323" s="26"/>
      <c r="AB323" s="25"/>
      <c r="AC323" s="24"/>
      <c r="AD323" s="24"/>
      <c r="AE323" s="24"/>
      <c r="AF323" s="26"/>
      <c r="AG323" s="26"/>
      <c r="AH323" s="24"/>
      <c r="AI323" s="24"/>
      <c r="AJ323" s="24"/>
      <c r="AK323" s="28"/>
      <c r="AL323" s="28"/>
      <c r="AM323" s="28"/>
      <c r="AN323" s="28"/>
      <c r="AO323" s="28"/>
      <c r="AP323" s="28"/>
      <c r="AQ323" s="28"/>
      <c r="AR323" s="28"/>
      <c r="AS323" s="28"/>
      <c r="AT323" s="28"/>
      <c r="AU323" s="28"/>
      <c r="AV323" s="28"/>
      <c r="AW323" s="28"/>
      <c r="AX323" s="28"/>
      <c r="AY323" s="24"/>
      <c r="AZ323" s="28"/>
      <c r="BA323" s="28"/>
      <c r="BB323" s="28"/>
      <c r="BC323" s="28"/>
      <c r="BD323" s="28"/>
      <c r="BE323" s="28"/>
      <c r="BF323" s="24"/>
      <c r="BG323" s="28"/>
      <c r="BH323" s="28"/>
      <c r="BI323" s="28"/>
      <c r="BJ323" s="24"/>
      <c r="BK323" s="28"/>
      <c r="BL323" s="28"/>
      <c r="BM323" s="28"/>
    </row>
    <row r="324" spans="1:65">
      <c r="A324" s="24"/>
      <c r="B324" s="28"/>
      <c r="C324" s="25"/>
      <c r="D324" s="26"/>
      <c r="E324" s="24"/>
      <c r="F324" s="24"/>
      <c r="G324" s="26"/>
      <c r="H324" s="26"/>
      <c r="I324" s="26"/>
      <c r="J324" s="26"/>
      <c r="K324" s="26"/>
      <c r="L324" s="26"/>
      <c r="M324" s="26"/>
      <c r="N324" s="26"/>
      <c r="O324" s="26"/>
      <c r="P324" s="26"/>
      <c r="R324" s="24"/>
      <c r="S324" s="26"/>
      <c r="T324" s="25"/>
      <c r="U324" s="24"/>
      <c r="V324" s="24"/>
      <c r="W324" s="24"/>
      <c r="X324" s="26"/>
      <c r="Y324" s="26"/>
      <c r="Z324" s="24"/>
      <c r="AA324" s="26"/>
      <c r="AB324" s="25"/>
      <c r="AC324" s="24"/>
      <c r="AD324" s="24"/>
      <c r="AE324" s="24"/>
      <c r="AF324" s="26"/>
      <c r="AG324" s="26"/>
      <c r="AH324" s="24"/>
      <c r="AI324" s="24"/>
      <c r="AJ324" s="24"/>
      <c r="AK324" s="28"/>
      <c r="AL324" s="28"/>
      <c r="AM324" s="28"/>
      <c r="AN324" s="28"/>
      <c r="AO324" s="28"/>
      <c r="AP324" s="28"/>
      <c r="AQ324" s="28"/>
      <c r="AR324" s="28"/>
      <c r="AS324" s="28"/>
      <c r="AT324" s="28"/>
      <c r="AU324" s="28"/>
      <c r="AV324" s="28"/>
      <c r="AW324" s="28"/>
      <c r="AX324" s="28"/>
      <c r="AY324" s="24"/>
      <c r="AZ324" s="28"/>
      <c r="BA324" s="28"/>
      <c r="BB324" s="28"/>
      <c r="BC324" s="28"/>
      <c r="BD324" s="28"/>
      <c r="BE324" s="28"/>
      <c r="BF324" s="24"/>
      <c r="BG324" s="28"/>
      <c r="BH324" s="28"/>
      <c r="BI324" s="28"/>
      <c r="BJ324" s="24"/>
      <c r="BK324" s="28"/>
      <c r="BL324" s="28"/>
      <c r="BM324" s="28"/>
    </row>
    <row r="325" spans="1:65">
      <c r="A325" s="24"/>
      <c r="B325" s="28"/>
      <c r="C325" s="25"/>
      <c r="D325" s="26"/>
      <c r="E325" s="24"/>
      <c r="F325" s="24"/>
      <c r="G325" s="26"/>
      <c r="H325" s="26"/>
      <c r="I325" s="26"/>
      <c r="J325" s="26"/>
      <c r="K325" s="26"/>
      <c r="L325" s="26"/>
      <c r="M325" s="26"/>
      <c r="N325" s="26"/>
      <c r="O325" s="26"/>
      <c r="P325" s="26"/>
      <c r="R325" s="24"/>
      <c r="S325" s="26"/>
      <c r="T325" s="25"/>
      <c r="U325" s="24"/>
      <c r="V325" s="24"/>
      <c r="W325" s="24"/>
      <c r="X325" s="26"/>
      <c r="Y325" s="26"/>
      <c r="Z325" s="24"/>
      <c r="AA325" s="26"/>
      <c r="AB325" s="25"/>
      <c r="AC325" s="24"/>
      <c r="AD325" s="24"/>
      <c r="AE325" s="24"/>
      <c r="AF325" s="26"/>
      <c r="AG325" s="26"/>
      <c r="AH325" s="24"/>
      <c r="AI325" s="24"/>
      <c r="AJ325" s="24"/>
      <c r="AK325" s="28"/>
      <c r="AL325" s="28"/>
      <c r="AM325" s="28"/>
      <c r="AN325" s="28"/>
      <c r="AO325" s="28"/>
      <c r="AP325" s="28"/>
      <c r="AQ325" s="28"/>
      <c r="AR325" s="28"/>
      <c r="AS325" s="28"/>
      <c r="AT325" s="28"/>
      <c r="AU325" s="28"/>
      <c r="AV325" s="28"/>
      <c r="AW325" s="28"/>
      <c r="AX325" s="28"/>
      <c r="AY325" s="24"/>
      <c r="AZ325" s="28"/>
      <c r="BA325" s="28"/>
      <c r="BB325" s="28"/>
      <c r="BC325" s="28"/>
      <c r="BD325" s="28"/>
      <c r="BE325" s="28"/>
      <c r="BF325" s="24"/>
      <c r="BG325" s="28"/>
      <c r="BH325" s="28"/>
      <c r="BI325" s="28"/>
      <c r="BJ325" s="24"/>
      <c r="BK325" s="28"/>
      <c r="BL325" s="28"/>
      <c r="BM325" s="28"/>
    </row>
    <row r="326" spans="1:65">
      <c r="A326" s="24"/>
      <c r="B326" s="28"/>
      <c r="C326" s="25"/>
      <c r="D326" s="26"/>
      <c r="E326" s="24"/>
      <c r="F326" s="24"/>
      <c r="G326" s="26"/>
      <c r="H326" s="26"/>
      <c r="I326" s="26"/>
      <c r="J326" s="26"/>
      <c r="K326" s="26"/>
      <c r="L326" s="26"/>
      <c r="M326" s="26"/>
      <c r="N326" s="26"/>
      <c r="O326" s="26"/>
      <c r="P326" s="26"/>
      <c r="R326" s="24"/>
      <c r="S326" s="26"/>
      <c r="T326" s="25"/>
      <c r="U326" s="24"/>
      <c r="V326" s="24"/>
      <c r="W326" s="24"/>
      <c r="X326" s="26"/>
      <c r="Y326" s="26"/>
      <c r="Z326" s="24"/>
      <c r="AA326" s="26"/>
      <c r="AB326" s="25"/>
      <c r="AC326" s="24"/>
      <c r="AD326" s="24"/>
      <c r="AE326" s="24"/>
      <c r="AF326" s="26"/>
      <c r="AG326" s="26"/>
      <c r="AH326" s="24"/>
      <c r="AI326" s="24"/>
      <c r="AJ326" s="24"/>
      <c r="AK326" s="28"/>
      <c r="AL326" s="28"/>
      <c r="AM326" s="28"/>
      <c r="AN326" s="28"/>
      <c r="AO326" s="28"/>
      <c r="AP326" s="28"/>
      <c r="AQ326" s="28"/>
      <c r="AR326" s="28"/>
      <c r="AS326" s="28"/>
      <c r="AT326" s="28"/>
      <c r="AU326" s="28"/>
      <c r="AV326" s="28"/>
      <c r="AW326" s="28"/>
      <c r="AX326" s="28"/>
      <c r="AY326" s="24"/>
      <c r="AZ326" s="28"/>
      <c r="BA326" s="28"/>
      <c r="BB326" s="28"/>
      <c r="BC326" s="28"/>
      <c r="BD326" s="28"/>
      <c r="BE326" s="28"/>
      <c r="BF326" s="24"/>
      <c r="BG326" s="28"/>
      <c r="BH326" s="28"/>
      <c r="BI326" s="28"/>
      <c r="BJ326" s="24"/>
      <c r="BK326" s="28"/>
      <c r="BL326" s="28"/>
      <c r="BM326" s="28"/>
    </row>
    <row r="327" spans="1:65">
      <c r="A327" s="24"/>
      <c r="B327" s="28"/>
      <c r="C327" s="25"/>
      <c r="D327" s="26"/>
      <c r="E327" s="24"/>
      <c r="F327" s="24"/>
      <c r="G327" s="26"/>
      <c r="H327" s="26"/>
      <c r="I327" s="26"/>
      <c r="J327" s="26"/>
      <c r="K327" s="26"/>
      <c r="L327" s="26"/>
      <c r="M327" s="26"/>
      <c r="N327" s="26"/>
      <c r="O327" s="26"/>
      <c r="P327" s="26"/>
      <c r="R327" s="24"/>
      <c r="S327" s="26"/>
      <c r="T327" s="25"/>
      <c r="U327" s="24"/>
      <c r="V327" s="24"/>
      <c r="W327" s="24"/>
      <c r="X327" s="26"/>
      <c r="Y327" s="26"/>
      <c r="Z327" s="24"/>
      <c r="AA327" s="26"/>
      <c r="AB327" s="25"/>
      <c r="AC327" s="24"/>
      <c r="AD327" s="24"/>
      <c r="AE327" s="24"/>
      <c r="AF327" s="26"/>
      <c r="AG327" s="26"/>
      <c r="AH327" s="24"/>
      <c r="AI327" s="24"/>
      <c r="AJ327" s="24"/>
      <c r="AK327" s="28"/>
      <c r="AL327" s="28"/>
      <c r="AM327" s="28"/>
      <c r="AN327" s="28"/>
      <c r="AO327" s="28"/>
      <c r="AP327" s="28"/>
      <c r="AQ327" s="28"/>
      <c r="AR327" s="28"/>
      <c r="AS327" s="28"/>
      <c r="AT327" s="28"/>
      <c r="AU327" s="28"/>
      <c r="AV327" s="28"/>
      <c r="AW327" s="28"/>
      <c r="AX327" s="28"/>
      <c r="AY327" s="24"/>
      <c r="AZ327" s="28"/>
      <c r="BA327" s="28"/>
      <c r="BB327" s="28"/>
      <c r="BC327" s="28"/>
      <c r="BD327" s="28"/>
      <c r="BE327" s="28"/>
      <c r="BF327" s="24"/>
      <c r="BG327" s="28"/>
      <c r="BH327" s="28"/>
      <c r="BI327" s="28"/>
      <c r="BJ327" s="24"/>
      <c r="BK327" s="28"/>
      <c r="BL327" s="28"/>
      <c r="BM327" s="28"/>
    </row>
    <row r="328" spans="1:65">
      <c r="A328" s="24"/>
      <c r="B328" s="28"/>
      <c r="C328" s="25"/>
      <c r="D328" s="26"/>
      <c r="E328" s="24"/>
      <c r="F328" s="24"/>
      <c r="G328" s="26"/>
      <c r="H328" s="26"/>
      <c r="I328" s="26"/>
      <c r="J328" s="26"/>
      <c r="K328" s="26"/>
      <c r="L328" s="26"/>
      <c r="M328" s="26"/>
      <c r="N328" s="26"/>
      <c r="O328" s="26"/>
      <c r="P328" s="26"/>
      <c r="R328" s="24"/>
      <c r="S328" s="26"/>
      <c r="T328" s="25"/>
      <c r="U328" s="24"/>
      <c r="V328" s="24"/>
      <c r="W328" s="24"/>
      <c r="X328" s="26"/>
      <c r="Y328" s="26"/>
      <c r="Z328" s="24"/>
      <c r="AA328" s="26"/>
      <c r="AB328" s="25"/>
      <c r="AC328" s="24"/>
      <c r="AD328" s="24"/>
      <c r="AE328" s="24"/>
      <c r="AF328" s="26"/>
      <c r="AG328" s="26"/>
      <c r="AH328" s="24"/>
      <c r="AI328" s="24"/>
      <c r="AJ328" s="24"/>
      <c r="AK328" s="28"/>
      <c r="AL328" s="28"/>
      <c r="AM328" s="28"/>
      <c r="AN328" s="28"/>
      <c r="AO328" s="28"/>
      <c r="AP328" s="28"/>
      <c r="AQ328" s="28"/>
      <c r="AR328" s="28"/>
      <c r="AS328" s="28"/>
      <c r="AT328" s="28"/>
      <c r="AU328" s="28"/>
      <c r="AV328" s="28"/>
      <c r="AW328" s="28"/>
      <c r="AX328" s="28"/>
      <c r="AY328" s="24"/>
      <c r="AZ328" s="28"/>
      <c r="BA328" s="28"/>
      <c r="BB328" s="28"/>
      <c r="BC328" s="28"/>
      <c r="BD328" s="28"/>
      <c r="BE328" s="28"/>
      <c r="BF328" s="24"/>
      <c r="BG328" s="28"/>
      <c r="BH328" s="28"/>
      <c r="BI328" s="28"/>
      <c r="BJ328" s="24"/>
      <c r="BK328" s="28"/>
      <c r="BL328" s="28"/>
      <c r="BM328" s="28"/>
    </row>
    <row r="329" spans="1:65">
      <c r="A329" s="24"/>
      <c r="B329" s="28"/>
      <c r="C329" s="25"/>
      <c r="D329" s="26"/>
      <c r="E329" s="24"/>
      <c r="F329" s="24"/>
      <c r="G329" s="26"/>
      <c r="H329" s="26"/>
      <c r="I329" s="26"/>
      <c r="J329" s="26"/>
      <c r="K329" s="26"/>
      <c r="L329" s="26"/>
      <c r="M329" s="26"/>
      <c r="N329" s="26"/>
      <c r="O329" s="26"/>
      <c r="P329" s="26"/>
      <c r="R329" s="24"/>
      <c r="S329" s="26"/>
      <c r="T329" s="25"/>
      <c r="U329" s="24"/>
      <c r="V329" s="24"/>
      <c r="W329" s="24"/>
      <c r="X329" s="26"/>
      <c r="Y329" s="26"/>
      <c r="Z329" s="24"/>
      <c r="AA329" s="26"/>
      <c r="AB329" s="25"/>
      <c r="AC329" s="24"/>
      <c r="AD329" s="24"/>
      <c r="AE329" s="24"/>
      <c r="AF329" s="26"/>
      <c r="AG329" s="26"/>
      <c r="AH329" s="24"/>
      <c r="AI329" s="24"/>
      <c r="AJ329" s="24"/>
      <c r="AK329" s="28"/>
      <c r="AL329" s="28"/>
      <c r="AM329" s="28"/>
      <c r="AN329" s="28"/>
      <c r="AO329" s="28"/>
      <c r="AP329" s="28"/>
      <c r="AQ329" s="28"/>
      <c r="AR329" s="28"/>
      <c r="AS329" s="28"/>
      <c r="AT329" s="28"/>
      <c r="AU329" s="28"/>
      <c r="AV329" s="28"/>
      <c r="AW329" s="28"/>
      <c r="AX329" s="28"/>
      <c r="AY329" s="24"/>
      <c r="AZ329" s="28"/>
      <c r="BA329" s="28"/>
      <c r="BB329" s="28"/>
      <c r="BC329" s="28"/>
      <c r="BD329" s="28"/>
      <c r="BE329" s="28"/>
      <c r="BF329" s="24"/>
      <c r="BG329" s="28"/>
      <c r="BH329" s="28"/>
      <c r="BI329" s="28"/>
      <c r="BJ329" s="24"/>
      <c r="BK329" s="28"/>
      <c r="BL329" s="28"/>
      <c r="BM329" s="28"/>
    </row>
    <row r="330" spans="1:65">
      <c r="A330" s="24"/>
      <c r="B330" s="28"/>
      <c r="C330" s="25"/>
      <c r="D330" s="26"/>
      <c r="E330" s="24"/>
      <c r="F330" s="24"/>
      <c r="G330" s="26"/>
      <c r="H330" s="26"/>
      <c r="I330" s="26"/>
      <c r="J330" s="26"/>
      <c r="K330" s="26"/>
      <c r="L330" s="26"/>
      <c r="M330" s="26"/>
      <c r="N330" s="26"/>
      <c r="O330" s="26"/>
      <c r="P330" s="26"/>
      <c r="R330" s="24"/>
      <c r="S330" s="26"/>
      <c r="T330" s="25"/>
      <c r="U330" s="24"/>
      <c r="V330" s="24"/>
      <c r="W330" s="24"/>
      <c r="X330" s="26"/>
      <c r="Y330" s="26"/>
      <c r="Z330" s="24"/>
      <c r="AA330" s="26"/>
      <c r="AB330" s="25"/>
      <c r="AC330" s="24"/>
      <c r="AD330" s="24"/>
      <c r="AE330" s="24"/>
      <c r="AF330" s="26"/>
      <c r="AG330" s="26"/>
      <c r="AH330" s="24"/>
      <c r="AI330" s="24"/>
      <c r="AJ330" s="24"/>
      <c r="AK330" s="28"/>
      <c r="AL330" s="28"/>
      <c r="AM330" s="28"/>
      <c r="AN330" s="28"/>
      <c r="AO330" s="28"/>
      <c r="AP330" s="28"/>
      <c r="AQ330" s="28"/>
      <c r="AR330" s="28"/>
      <c r="AS330" s="28"/>
      <c r="AT330" s="28"/>
      <c r="AU330" s="28"/>
      <c r="AV330" s="28"/>
      <c r="AW330" s="28"/>
      <c r="AX330" s="28"/>
      <c r="AY330" s="24"/>
      <c r="AZ330" s="28"/>
      <c r="BA330" s="28"/>
      <c r="BB330" s="28"/>
      <c r="BC330" s="28"/>
      <c r="BD330" s="28"/>
      <c r="BE330" s="28"/>
      <c r="BF330" s="24"/>
      <c r="BG330" s="28"/>
      <c r="BH330" s="28"/>
      <c r="BI330" s="28"/>
      <c r="BJ330" s="24"/>
      <c r="BK330" s="28"/>
      <c r="BL330" s="28"/>
      <c r="BM330" s="28"/>
    </row>
    <row r="331" spans="1:65">
      <c r="A331" s="24"/>
      <c r="B331" s="28"/>
      <c r="C331" s="25"/>
      <c r="D331" s="26"/>
      <c r="E331" s="24"/>
      <c r="F331" s="24"/>
      <c r="G331" s="26"/>
      <c r="H331" s="26"/>
      <c r="I331" s="26"/>
      <c r="J331" s="26"/>
      <c r="K331" s="26"/>
      <c r="L331" s="26"/>
      <c r="M331" s="26"/>
      <c r="N331" s="26"/>
      <c r="O331" s="26"/>
      <c r="P331" s="26"/>
      <c r="R331" s="24"/>
      <c r="S331" s="26"/>
      <c r="T331" s="25"/>
      <c r="U331" s="24"/>
      <c r="V331" s="24"/>
      <c r="W331" s="24"/>
      <c r="X331" s="26"/>
      <c r="Y331" s="26"/>
      <c r="Z331" s="24"/>
      <c r="AA331" s="26"/>
      <c r="AB331" s="25"/>
      <c r="AC331" s="24"/>
      <c r="AD331" s="24"/>
      <c r="AE331" s="24"/>
      <c r="AF331" s="26"/>
      <c r="AG331" s="26"/>
      <c r="AH331" s="24"/>
      <c r="AI331" s="24"/>
      <c r="AJ331" s="24"/>
      <c r="AK331" s="28"/>
      <c r="AL331" s="28"/>
      <c r="AM331" s="28"/>
      <c r="AN331" s="28"/>
      <c r="AO331" s="28"/>
      <c r="AP331" s="28"/>
      <c r="AQ331" s="28"/>
      <c r="AR331" s="28"/>
      <c r="AS331" s="28"/>
      <c r="AT331" s="28"/>
      <c r="AU331" s="28"/>
      <c r="AV331" s="28"/>
      <c r="AW331" s="28"/>
      <c r="AX331" s="28"/>
      <c r="AY331" s="24"/>
      <c r="AZ331" s="28"/>
      <c r="BA331" s="28"/>
      <c r="BB331" s="28"/>
      <c r="BC331" s="28"/>
      <c r="BD331" s="28"/>
      <c r="BE331" s="28"/>
      <c r="BF331" s="24"/>
      <c r="BG331" s="28"/>
      <c r="BH331" s="28"/>
      <c r="BI331" s="28"/>
      <c r="BJ331" s="24"/>
      <c r="BK331" s="28"/>
      <c r="BL331" s="28"/>
      <c r="BM331" s="28"/>
    </row>
    <row r="332" spans="1:65">
      <c r="A332" s="24"/>
      <c r="B332" s="28"/>
      <c r="C332" s="25"/>
      <c r="D332" s="26"/>
      <c r="E332" s="24"/>
      <c r="F332" s="24"/>
      <c r="G332" s="26"/>
      <c r="H332" s="26"/>
      <c r="I332" s="26"/>
      <c r="J332" s="26"/>
      <c r="K332" s="26"/>
      <c r="L332" s="26"/>
      <c r="M332" s="26"/>
      <c r="N332" s="26"/>
      <c r="O332" s="26"/>
      <c r="P332" s="26"/>
      <c r="R332" s="24"/>
      <c r="S332" s="26"/>
      <c r="T332" s="25"/>
      <c r="U332" s="24"/>
      <c r="V332" s="24"/>
      <c r="W332" s="24"/>
      <c r="X332" s="26"/>
      <c r="Y332" s="26"/>
      <c r="Z332" s="24"/>
      <c r="AA332" s="26"/>
      <c r="AB332" s="25"/>
      <c r="AC332" s="24"/>
      <c r="AD332" s="24"/>
      <c r="AE332" s="24"/>
      <c r="AF332" s="26"/>
      <c r="AG332" s="26"/>
      <c r="AH332" s="24"/>
      <c r="AI332" s="24"/>
      <c r="AJ332" s="24"/>
      <c r="AK332" s="28"/>
      <c r="AL332" s="28"/>
      <c r="AM332" s="28"/>
      <c r="AN332" s="28"/>
      <c r="AO332" s="28"/>
      <c r="AP332" s="28"/>
      <c r="AQ332" s="28"/>
      <c r="AR332" s="28"/>
      <c r="AS332" s="28"/>
      <c r="AT332" s="28"/>
      <c r="AU332" s="28"/>
      <c r="AV332" s="28"/>
      <c r="AW332" s="28"/>
      <c r="AX332" s="28"/>
      <c r="AY332" s="24"/>
      <c r="AZ332" s="28"/>
      <c r="BA332" s="28"/>
      <c r="BB332" s="28"/>
      <c r="BC332" s="28"/>
      <c r="BD332" s="28"/>
      <c r="BE332" s="28"/>
      <c r="BF332" s="24"/>
      <c r="BG332" s="28"/>
      <c r="BH332" s="28"/>
      <c r="BI332" s="28"/>
      <c r="BJ332" s="24"/>
      <c r="BK332" s="28"/>
      <c r="BL332" s="28"/>
      <c r="BM332" s="28"/>
    </row>
    <row r="333" spans="1:65">
      <c r="A333" s="24"/>
      <c r="B333" s="28"/>
      <c r="C333" s="25"/>
      <c r="D333" s="26"/>
      <c r="E333" s="24"/>
      <c r="F333" s="24"/>
      <c r="G333" s="26"/>
      <c r="H333" s="26"/>
      <c r="I333" s="26"/>
      <c r="J333" s="26"/>
      <c r="K333" s="26"/>
      <c r="L333" s="26"/>
      <c r="M333" s="26"/>
      <c r="N333" s="26"/>
      <c r="O333" s="26"/>
      <c r="P333" s="26"/>
      <c r="R333" s="24"/>
      <c r="S333" s="26"/>
      <c r="T333" s="25"/>
      <c r="U333" s="24"/>
      <c r="V333" s="24"/>
      <c r="W333" s="24"/>
      <c r="X333" s="26"/>
      <c r="Y333" s="26"/>
      <c r="Z333" s="24"/>
      <c r="AA333" s="26"/>
      <c r="AB333" s="25"/>
      <c r="AC333" s="24"/>
      <c r="AD333" s="24"/>
      <c r="AE333" s="24"/>
      <c r="AF333" s="26"/>
      <c r="AG333" s="26"/>
      <c r="AH333" s="24"/>
      <c r="AI333" s="24"/>
      <c r="AJ333" s="24"/>
      <c r="AK333" s="28"/>
      <c r="AL333" s="28"/>
      <c r="AM333" s="28"/>
      <c r="AN333" s="28"/>
      <c r="AO333" s="28"/>
      <c r="AP333" s="28"/>
      <c r="AQ333" s="28"/>
      <c r="AR333" s="28"/>
      <c r="AS333" s="28"/>
      <c r="AT333" s="28"/>
      <c r="AU333" s="28"/>
      <c r="AV333" s="28"/>
      <c r="AW333" s="28"/>
      <c r="AX333" s="28"/>
      <c r="AY333" s="24"/>
      <c r="AZ333" s="28"/>
      <c r="BA333" s="28"/>
      <c r="BB333" s="28"/>
      <c r="BC333" s="28"/>
      <c r="BD333" s="28"/>
      <c r="BE333" s="28"/>
      <c r="BF333" s="24"/>
      <c r="BG333" s="28"/>
      <c r="BH333" s="28"/>
      <c r="BI333" s="28"/>
      <c r="BJ333" s="24"/>
      <c r="BK333" s="28"/>
      <c r="BL333" s="28"/>
      <c r="BM333" s="28"/>
    </row>
    <row r="334" spans="1:65">
      <c r="A334" s="24"/>
      <c r="B334" s="28"/>
      <c r="C334" s="25"/>
      <c r="D334" s="26"/>
      <c r="E334" s="24"/>
      <c r="F334" s="24"/>
      <c r="G334" s="26"/>
      <c r="H334" s="26"/>
      <c r="I334" s="26"/>
      <c r="J334" s="26"/>
      <c r="K334" s="26"/>
      <c r="L334" s="26"/>
      <c r="M334" s="26"/>
      <c r="N334" s="26"/>
      <c r="O334" s="26"/>
      <c r="P334" s="26"/>
      <c r="R334" s="24"/>
      <c r="S334" s="26"/>
      <c r="T334" s="25"/>
      <c r="U334" s="24"/>
      <c r="V334" s="24"/>
      <c r="W334" s="24"/>
      <c r="X334" s="26"/>
      <c r="Y334" s="26"/>
      <c r="Z334" s="24"/>
      <c r="AA334" s="26"/>
      <c r="AB334" s="25"/>
      <c r="AC334" s="24"/>
      <c r="AD334" s="24"/>
      <c r="AE334" s="24"/>
      <c r="AF334" s="26"/>
      <c r="AG334" s="26"/>
      <c r="AH334" s="24"/>
      <c r="AI334" s="24"/>
      <c r="AJ334" s="24"/>
      <c r="AK334" s="28"/>
      <c r="AL334" s="28"/>
      <c r="AM334" s="28"/>
      <c r="AN334" s="28"/>
      <c r="AO334" s="28"/>
      <c r="AP334" s="28"/>
      <c r="AQ334" s="28"/>
      <c r="AR334" s="28"/>
      <c r="AS334" s="28"/>
      <c r="AT334" s="28"/>
      <c r="AU334" s="28"/>
      <c r="AV334" s="28"/>
      <c r="AW334" s="28"/>
      <c r="AX334" s="28"/>
      <c r="AY334" s="24"/>
      <c r="AZ334" s="28"/>
      <c r="BA334" s="28"/>
      <c r="BB334" s="28"/>
      <c r="BC334" s="28"/>
      <c r="BD334" s="28"/>
      <c r="BE334" s="28"/>
      <c r="BF334" s="24"/>
      <c r="BG334" s="28"/>
      <c r="BH334" s="28"/>
      <c r="BI334" s="28"/>
      <c r="BJ334" s="24"/>
      <c r="BK334" s="28"/>
      <c r="BL334" s="28"/>
      <c r="BM334" s="28"/>
    </row>
    <row r="335" spans="1:65">
      <c r="A335" s="24"/>
      <c r="B335" s="28"/>
      <c r="C335" s="25"/>
      <c r="D335" s="26"/>
      <c r="E335" s="24"/>
      <c r="F335" s="24"/>
      <c r="G335" s="26"/>
      <c r="H335" s="26"/>
      <c r="I335" s="26"/>
      <c r="J335" s="26"/>
      <c r="K335" s="26"/>
      <c r="L335" s="26"/>
      <c r="M335" s="26"/>
      <c r="N335" s="26"/>
      <c r="O335" s="26"/>
      <c r="P335" s="26"/>
      <c r="R335" s="24"/>
      <c r="S335" s="26"/>
      <c r="T335" s="25"/>
      <c r="U335" s="24"/>
      <c r="V335" s="24"/>
      <c r="W335" s="24"/>
      <c r="X335" s="26"/>
      <c r="Y335" s="26"/>
      <c r="Z335" s="24"/>
      <c r="AA335" s="26"/>
      <c r="AB335" s="25"/>
      <c r="AC335" s="24"/>
      <c r="AD335" s="24"/>
      <c r="AE335" s="24"/>
      <c r="AF335" s="26"/>
      <c r="AG335" s="26"/>
      <c r="AH335" s="24"/>
      <c r="AI335" s="24"/>
      <c r="AJ335" s="24"/>
      <c r="AK335" s="28"/>
      <c r="AL335" s="28"/>
      <c r="AM335" s="28"/>
      <c r="AN335" s="28"/>
      <c r="AO335" s="28"/>
      <c r="AP335" s="28"/>
      <c r="AQ335" s="28"/>
      <c r="AR335" s="28"/>
      <c r="AS335" s="28"/>
      <c r="AT335" s="28"/>
      <c r="AU335" s="28"/>
      <c r="AV335" s="28"/>
      <c r="AW335" s="28"/>
      <c r="AX335" s="28"/>
      <c r="AY335" s="24"/>
      <c r="AZ335" s="28"/>
      <c r="BA335" s="28"/>
      <c r="BB335" s="28"/>
      <c r="BC335" s="28"/>
      <c r="BD335" s="28"/>
      <c r="BE335" s="28"/>
      <c r="BF335" s="24"/>
      <c r="BG335" s="28"/>
      <c r="BH335" s="28"/>
      <c r="BI335" s="28"/>
      <c r="BJ335" s="24"/>
      <c r="BK335" s="28"/>
      <c r="BL335" s="28"/>
      <c r="BM335" s="28"/>
    </row>
    <row r="336" spans="1:65">
      <c r="A336" s="24"/>
      <c r="B336" s="28"/>
      <c r="C336" s="25"/>
      <c r="D336" s="26"/>
      <c r="E336" s="24"/>
      <c r="F336" s="24"/>
      <c r="G336" s="26"/>
      <c r="H336" s="26"/>
      <c r="I336" s="26"/>
      <c r="J336" s="26"/>
      <c r="K336" s="26"/>
      <c r="L336" s="26"/>
      <c r="M336" s="26"/>
      <c r="N336" s="26"/>
      <c r="O336" s="26"/>
      <c r="P336" s="26"/>
      <c r="R336" s="24"/>
      <c r="S336" s="26"/>
      <c r="T336" s="25"/>
      <c r="U336" s="24"/>
      <c r="V336" s="24"/>
      <c r="W336" s="24"/>
      <c r="X336" s="26"/>
      <c r="Y336" s="26"/>
      <c r="Z336" s="24"/>
      <c r="AA336" s="26"/>
      <c r="AB336" s="25"/>
      <c r="AC336" s="24"/>
      <c r="AD336" s="24"/>
      <c r="AE336" s="24"/>
      <c r="AF336" s="26"/>
      <c r="AG336" s="26"/>
      <c r="AH336" s="24"/>
      <c r="AI336" s="24"/>
      <c r="AJ336" s="24"/>
      <c r="AK336" s="28"/>
      <c r="AL336" s="28"/>
      <c r="AM336" s="28"/>
      <c r="AN336" s="28"/>
      <c r="AO336" s="28"/>
      <c r="AP336" s="28"/>
      <c r="AQ336" s="28"/>
      <c r="AR336" s="28"/>
      <c r="AS336" s="28"/>
      <c r="AT336" s="28"/>
      <c r="AU336" s="28"/>
      <c r="AV336" s="28"/>
      <c r="AW336" s="28"/>
      <c r="AX336" s="28"/>
      <c r="AY336" s="24"/>
      <c r="AZ336" s="28"/>
      <c r="BA336" s="28"/>
      <c r="BB336" s="28"/>
      <c r="BC336" s="28"/>
      <c r="BD336" s="28"/>
      <c r="BE336" s="28"/>
      <c r="BF336" s="24"/>
      <c r="BG336" s="28"/>
      <c r="BH336" s="28"/>
      <c r="BI336" s="28"/>
      <c r="BJ336" s="24"/>
      <c r="BK336" s="28"/>
      <c r="BL336" s="28"/>
      <c r="BM336" s="28"/>
    </row>
    <row r="337" spans="1:65">
      <c r="A337" s="24"/>
      <c r="B337" s="28"/>
      <c r="C337" s="25"/>
      <c r="D337" s="26"/>
      <c r="E337" s="24"/>
      <c r="F337" s="24"/>
      <c r="G337" s="26"/>
      <c r="H337" s="26"/>
      <c r="I337" s="26"/>
      <c r="J337" s="26"/>
      <c r="K337" s="26"/>
      <c r="L337" s="26"/>
      <c r="M337" s="26"/>
      <c r="N337" s="26"/>
      <c r="O337" s="26"/>
      <c r="P337" s="26"/>
      <c r="R337" s="24"/>
      <c r="S337" s="26"/>
      <c r="T337" s="25"/>
      <c r="U337" s="24"/>
      <c r="V337" s="24"/>
      <c r="W337" s="24"/>
      <c r="X337" s="26"/>
      <c r="Y337" s="26"/>
      <c r="Z337" s="24"/>
      <c r="AA337" s="26"/>
      <c r="AB337" s="25"/>
      <c r="AC337" s="24"/>
      <c r="AD337" s="24"/>
      <c r="AE337" s="24"/>
      <c r="AF337" s="26"/>
      <c r="AG337" s="26"/>
      <c r="AH337" s="24"/>
      <c r="AI337" s="24"/>
      <c r="AJ337" s="24"/>
      <c r="AK337" s="28"/>
      <c r="AL337" s="28"/>
      <c r="AM337" s="28"/>
      <c r="AN337" s="28"/>
      <c r="AO337" s="28"/>
      <c r="AP337" s="28"/>
      <c r="AQ337" s="28"/>
      <c r="AR337" s="28"/>
      <c r="AS337" s="28"/>
      <c r="AT337" s="28"/>
      <c r="AU337" s="28"/>
      <c r="AV337" s="28"/>
      <c r="AW337" s="28"/>
      <c r="AX337" s="28"/>
      <c r="AY337" s="24"/>
      <c r="AZ337" s="28"/>
      <c r="BA337" s="28"/>
      <c r="BB337" s="28"/>
      <c r="BC337" s="28"/>
      <c r="BD337" s="28"/>
      <c r="BE337" s="28"/>
      <c r="BF337" s="24"/>
      <c r="BG337" s="28"/>
      <c r="BH337" s="28"/>
      <c r="BI337" s="28"/>
      <c r="BJ337" s="24"/>
      <c r="BK337" s="28"/>
      <c r="BL337" s="28"/>
      <c r="BM337" s="28"/>
    </row>
    <row r="338" spans="1:65">
      <c r="A338" s="24"/>
      <c r="B338" s="28"/>
      <c r="C338" s="25"/>
      <c r="D338" s="26"/>
      <c r="E338" s="24"/>
      <c r="F338" s="24"/>
      <c r="G338" s="26"/>
      <c r="H338" s="26"/>
      <c r="I338" s="26"/>
      <c r="J338" s="26"/>
      <c r="K338" s="26"/>
      <c r="L338" s="26"/>
      <c r="M338" s="26"/>
      <c r="N338" s="26"/>
      <c r="O338" s="26"/>
      <c r="P338" s="26"/>
      <c r="R338" s="24"/>
      <c r="S338" s="26"/>
      <c r="T338" s="25"/>
      <c r="U338" s="24"/>
      <c r="V338" s="24"/>
      <c r="W338" s="24"/>
      <c r="X338" s="26"/>
      <c r="Y338" s="26"/>
      <c r="Z338" s="24"/>
      <c r="AA338" s="26"/>
      <c r="AB338" s="25"/>
      <c r="AC338" s="24"/>
      <c r="AD338" s="24"/>
      <c r="AE338" s="24"/>
      <c r="AF338" s="26"/>
      <c r="AG338" s="26"/>
      <c r="AH338" s="24"/>
      <c r="AI338" s="24"/>
      <c r="AJ338" s="24"/>
      <c r="AK338" s="28"/>
      <c r="AL338" s="28"/>
      <c r="AM338" s="28"/>
      <c r="AN338" s="28"/>
      <c r="AO338" s="28"/>
      <c r="AP338" s="28"/>
      <c r="AQ338" s="28"/>
      <c r="AR338" s="28"/>
      <c r="AS338" s="28"/>
      <c r="AT338" s="28"/>
      <c r="AU338" s="28"/>
      <c r="AV338" s="28"/>
      <c r="AW338" s="28"/>
      <c r="AX338" s="28"/>
      <c r="AY338" s="24"/>
      <c r="AZ338" s="28"/>
      <c r="BA338" s="28"/>
      <c r="BB338" s="28"/>
      <c r="BC338" s="28"/>
      <c r="BD338" s="28"/>
      <c r="BE338" s="28"/>
      <c r="BF338" s="24"/>
      <c r="BG338" s="28"/>
      <c r="BH338" s="28"/>
      <c r="BI338" s="28"/>
      <c r="BJ338" s="24"/>
      <c r="BK338" s="28"/>
      <c r="BL338" s="28"/>
      <c r="BM338" s="28"/>
    </row>
    <row r="339" spans="1:65">
      <c r="A339" s="24"/>
      <c r="B339" s="28"/>
      <c r="C339" s="25"/>
      <c r="D339" s="26"/>
      <c r="E339" s="24"/>
      <c r="F339" s="24"/>
      <c r="G339" s="26"/>
      <c r="H339" s="26"/>
      <c r="I339" s="26"/>
      <c r="J339" s="26"/>
      <c r="K339" s="26"/>
      <c r="L339" s="26"/>
      <c r="M339" s="26"/>
      <c r="N339" s="26"/>
      <c r="O339" s="26"/>
      <c r="P339" s="26"/>
      <c r="R339" s="24"/>
      <c r="S339" s="26"/>
      <c r="T339" s="25"/>
      <c r="U339" s="24"/>
      <c r="V339" s="24"/>
      <c r="W339" s="24"/>
      <c r="X339" s="26"/>
      <c r="Y339" s="26"/>
      <c r="Z339" s="24"/>
      <c r="AA339" s="26"/>
      <c r="AB339" s="25"/>
      <c r="AC339" s="24"/>
      <c r="AD339" s="24"/>
      <c r="AE339" s="24"/>
      <c r="AF339" s="26"/>
      <c r="AG339" s="26"/>
      <c r="AH339" s="24"/>
      <c r="AI339" s="24"/>
      <c r="AJ339" s="24"/>
      <c r="AK339" s="28"/>
      <c r="AL339" s="28"/>
      <c r="AM339" s="28"/>
      <c r="AN339" s="28"/>
      <c r="AO339" s="28"/>
      <c r="AP339" s="28"/>
      <c r="AQ339" s="28"/>
      <c r="AR339" s="28"/>
      <c r="AS339" s="28"/>
      <c r="AT339" s="28"/>
      <c r="AU339" s="28"/>
      <c r="AV339" s="28"/>
      <c r="AW339" s="28"/>
      <c r="AX339" s="28"/>
      <c r="AY339" s="24"/>
      <c r="AZ339" s="28"/>
      <c r="BA339" s="28"/>
      <c r="BB339" s="28"/>
      <c r="BC339" s="28"/>
      <c r="BD339" s="28"/>
      <c r="BE339" s="28"/>
      <c r="BF339" s="24"/>
      <c r="BG339" s="28"/>
      <c r="BH339" s="28"/>
      <c r="BI339" s="28"/>
      <c r="BJ339" s="24"/>
      <c r="BK339" s="28"/>
      <c r="BL339" s="28"/>
      <c r="BM339" s="28"/>
    </row>
    <row r="340" spans="1:65">
      <c r="A340" s="24"/>
      <c r="B340" s="28"/>
      <c r="C340" s="25"/>
      <c r="D340" s="26"/>
      <c r="E340" s="24"/>
      <c r="F340" s="24"/>
      <c r="G340" s="26"/>
      <c r="H340" s="26"/>
      <c r="I340" s="26"/>
      <c r="J340" s="26"/>
      <c r="K340" s="26"/>
      <c r="L340" s="26"/>
      <c r="M340" s="26"/>
      <c r="N340" s="26"/>
      <c r="O340" s="26"/>
      <c r="P340" s="26"/>
      <c r="R340" s="24"/>
      <c r="S340" s="26"/>
      <c r="T340" s="25"/>
      <c r="U340" s="24"/>
      <c r="V340" s="24"/>
      <c r="W340" s="24"/>
      <c r="X340" s="26"/>
      <c r="Y340" s="26"/>
      <c r="Z340" s="24"/>
      <c r="AA340" s="26"/>
      <c r="AB340" s="25"/>
      <c r="AC340" s="24"/>
      <c r="AD340" s="24"/>
      <c r="AE340" s="24"/>
      <c r="AF340" s="26"/>
      <c r="AG340" s="26"/>
      <c r="AH340" s="24"/>
      <c r="AI340" s="24"/>
      <c r="AJ340" s="24"/>
      <c r="AK340" s="28"/>
      <c r="AL340" s="28"/>
      <c r="AM340" s="28"/>
      <c r="AN340" s="28"/>
      <c r="AO340" s="28"/>
      <c r="AP340" s="28"/>
      <c r="AQ340" s="28"/>
      <c r="AR340" s="28"/>
      <c r="AS340" s="28"/>
      <c r="AT340" s="28"/>
      <c r="AU340" s="28"/>
      <c r="AV340" s="28"/>
      <c r="AW340" s="28"/>
      <c r="AX340" s="28"/>
      <c r="AY340" s="24"/>
      <c r="AZ340" s="28"/>
      <c r="BA340" s="28"/>
      <c r="BB340" s="28"/>
      <c r="BC340" s="28"/>
      <c r="BD340" s="28"/>
      <c r="BE340" s="28"/>
      <c r="BF340" s="24"/>
      <c r="BG340" s="28"/>
      <c r="BH340" s="28"/>
      <c r="BI340" s="28"/>
      <c r="BJ340" s="24"/>
      <c r="BK340" s="28"/>
      <c r="BL340" s="28"/>
      <c r="BM340" s="28"/>
    </row>
    <row r="341" spans="1:65">
      <c r="A341" s="24"/>
      <c r="B341" s="28"/>
      <c r="C341" s="25"/>
      <c r="D341" s="26"/>
      <c r="E341" s="24"/>
      <c r="F341" s="24"/>
      <c r="G341" s="26"/>
      <c r="H341" s="26"/>
      <c r="I341" s="26"/>
      <c r="J341" s="26"/>
      <c r="K341" s="26"/>
      <c r="L341" s="26"/>
      <c r="M341" s="26"/>
      <c r="N341" s="26"/>
      <c r="O341" s="26"/>
      <c r="P341" s="26"/>
      <c r="R341" s="24"/>
      <c r="S341" s="26"/>
      <c r="T341" s="25"/>
      <c r="U341" s="24"/>
      <c r="V341" s="24"/>
      <c r="W341" s="24"/>
      <c r="X341" s="26"/>
      <c r="Y341" s="26"/>
      <c r="Z341" s="24"/>
      <c r="AA341" s="26"/>
      <c r="AB341" s="25"/>
      <c r="AC341" s="24"/>
      <c r="AD341" s="24"/>
      <c r="AE341" s="24"/>
      <c r="AF341" s="26"/>
      <c r="AG341" s="26"/>
      <c r="AH341" s="24"/>
      <c r="AI341" s="24"/>
      <c r="AJ341" s="24"/>
      <c r="AK341" s="28"/>
      <c r="AL341" s="28"/>
      <c r="AM341" s="28"/>
      <c r="AN341" s="28"/>
      <c r="AO341" s="28"/>
      <c r="AP341" s="28"/>
      <c r="AQ341" s="28"/>
      <c r="AR341" s="28"/>
      <c r="AS341" s="28"/>
      <c r="AT341" s="28"/>
      <c r="AU341" s="28"/>
      <c r="AV341" s="28"/>
      <c r="AW341" s="28"/>
      <c r="AX341" s="28"/>
      <c r="AY341" s="24"/>
      <c r="AZ341" s="28"/>
      <c r="BA341" s="28"/>
      <c r="BB341" s="28"/>
      <c r="BC341" s="28"/>
      <c r="BD341" s="28"/>
      <c r="BE341" s="28"/>
      <c r="BF341" s="24"/>
      <c r="BG341" s="28"/>
      <c r="BH341" s="28"/>
      <c r="BI341" s="28"/>
      <c r="BJ341" s="24"/>
      <c r="BK341" s="28"/>
      <c r="BL341" s="28"/>
      <c r="BM341" s="28"/>
    </row>
    <row r="342" spans="1:65">
      <c r="A342" s="24"/>
      <c r="B342" s="28"/>
      <c r="C342" s="25"/>
      <c r="D342" s="26"/>
      <c r="E342" s="24"/>
      <c r="F342" s="24"/>
      <c r="G342" s="26"/>
      <c r="H342" s="26"/>
      <c r="I342" s="26"/>
      <c r="J342" s="26"/>
      <c r="K342" s="26"/>
      <c r="L342" s="26"/>
      <c r="M342" s="26"/>
      <c r="N342" s="26"/>
      <c r="O342" s="26"/>
      <c r="P342" s="26"/>
      <c r="R342" s="24"/>
      <c r="S342" s="26"/>
      <c r="T342" s="25"/>
      <c r="U342" s="24"/>
      <c r="V342" s="24"/>
      <c r="W342" s="24"/>
      <c r="X342" s="26"/>
      <c r="Y342" s="26"/>
      <c r="Z342" s="24"/>
      <c r="AA342" s="26"/>
      <c r="AB342" s="25"/>
      <c r="AC342" s="24"/>
      <c r="AD342" s="24"/>
      <c r="AE342" s="24"/>
      <c r="AF342" s="26"/>
      <c r="AG342" s="26"/>
      <c r="AH342" s="24"/>
      <c r="AI342" s="24"/>
      <c r="AJ342" s="24"/>
      <c r="AK342" s="28"/>
      <c r="AL342" s="28"/>
      <c r="AM342" s="28"/>
      <c r="AN342" s="28"/>
      <c r="AO342" s="28"/>
      <c r="AP342" s="28"/>
      <c r="AQ342" s="28"/>
      <c r="AR342" s="28"/>
      <c r="AS342" s="28"/>
      <c r="AT342" s="28"/>
      <c r="AU342" s="28"/>
      <c r="AV342" s="28"/>
      <c r="AW342" s="28"/>
      <c r="AX342" s="28"/>
      <c r="AY342" s="24"/>
      <c r="AZ342" s="28"/>
      <c r="BA342" s="28"/>
      <c r="BB342" s="28"/>
      <c r="BC342" s="28"/>
      <c r="BD342" s="28"/>
      <c r="BE342" s="28"/>
      <c r="BF342" s="24"/>
      <c r="BG342" s="28"/>
      <c r="BH342" s="28"/>
      <c r="BI342" s="28"/>
      <c r="BJ342" s="24"/>
      <c r="BK342" s="28"/>
      <c r="BL342" s="28"/>
      <c r="BM342" s="28"/>
    </row>
    <row r="343" spans="1:65">
      <c r="A343" s="24"/>
      <c r="B343" s="28"/>
      <c r="C343" s="25"/>
      <c r="D343" s="26"/>
      <c r="E343" s="24"/>
      <c r="F343" s="24"/>
      <c r="G343" s="26"/>
      <c r="H343" s="26"/>
      <c r="I343" s="26"/>
      <c r="J343" s="26"/>
      <c r="K343" s="26"/>
      <c r="L343" s="26"/>
      <c r="M343" s="26"/>
      <c r="N343" s="26"/>
      <c r="O343" s="26"/>
      <c r="P343" s="26"/>
      <c r="R343" s="24"/>
      <c r="S343" s="26"/>
      <c r="T343" s="25"/>
      <c r="U343" s="24"/>
      <c r="V343" s="24"/>
      <c r="W343" s="24"/>
      <c r="X343" s="26"/>
      <c r="Y343" s="26"/>
      <c r="Z343" s="24"/>
      <c r="AA343" s="26"/>
      <c r="AB343" s="25"/>
      <c r="AC343" s="24"/>
      <c r="AD343" s="24"/>
      <c r="AE343" s="24"/>
      <c r="AF343" s="26"/>
      <c r="AG343" s="26"/>
      <c r="AH343" s="24"/>
      <c r="AI343" s="24"/>
      <c r="AJ343" s="24"/>
      <c r="AK343" s="28"/>
      <c r="AL343" s="28"/>
      <c r="AM343" s="28"/>
      <c r="AN343" s="28"/>
      <c r="AO343" s="28"/>
      <c r="AP343" s="28"/>
      <c r="AQ343" s="28"/>
      <c r="AR343" s="28"/>
      <c r="AS343" s="28"/>
      <c r="AT343" s="28"/>
      <c r="AU343" s="28"/>
      <c r="AV343" s="28"/>
      <c r="AW343" s="28"/>
      <c r="AX343" s="28"/>
      <c r="AY343" s="24"/>
      <c r="AZ343" s="28"/>
      <c r="BA343" s="28"/>
      <c r="BB343" s="28"/>
      <c r="BC343" s="28"/>
      <c r="BD343" s="28"/>
      <c r="BE343" s="28"/>
      <c r="BF343" s="24"/>
      <c r="BG343" s="28"/>
      <c r="BH343" s="28"/>
      <c r="BI343" s="28"/>
      <c r="BJ343" s="24"/>
      <c r="BK343" s="28"/>
      <c r="BL343" s="28"/>
      <c r="BM343" s="28"/>
    </row>
    <row r="344" spans="1:65">
      <c r="A344" s="24"/>
      <c r="B344" s="28"/>
      <c r="C344" s="25"/>
      <c r="D344" s="26"/>
      <c r="E344" s="24"/>
      <c r="F344" s="24"/>
      <c r="G344" s="26"/>
      <c r="H344" s="26"/>
      <c r="I344" s="26"/>
      <c r="J344" s="26"/>
      <c r="K344" s="26"/>
      <c r="L344" s="26"/>
      <c r="M344" s="26"/>
      <c r="N344" s="26"/>
      <c r="O344" s="26"/>
      <c r="P344" s="26"/>
      <c r="R344" s="24"/>
      <c r="S344" s="26"/>
      <c r="T344" s="25"/>
      <c r="U344" s="24"/>
      <c r="V344" s="24"/>
      <c r="W344" s="24"/>
      <c r="X344" s="26"/>
      <c r="Y344" s="26"/>
      <c r="Z344" s="24"/>
      <c r="AA344" s="26"/>
      <c r="AB344" s="25"/>
      <c r="AC344" s="24"/>
      <c r="AD344" s="24"/>
      <c r="AE344" s="24"/>
      <c r="AF344" s="26"/>
      <c r="AG344" s="26"/>
      <c r="AH344" s="24"/>
      <c r="AI344" s="24"/>
      <c r="AJ344" s="24"/>
      <c r="AK344" s="28"/>
      <c r="AL344" s="28"/>
      <c r="AM344" s="28"/>
      <c r="AN344" s="28"/>
      <c r="AO344" s="28"/>
      <c r="AP344" s="28"/>
      <c r="AQ344" s="28"/>
      <c r="AR344" s="28"/>
      <c r="AS344" s="28"/>
      <c r="AT344" s="28"/>
      <c r="AU344" s="28"/>
      <c r="AV344" s="28"/>
      <c r="AW344" s="28"/>
      <c r="AX344" s="28"/>
      <c r="AY344" s="24"/>
      <c r="AZ344" s="28"/>
      <c r="BA344" s="28"/>
      <c r="BB344" s="28"/>
      <c r="BC344" s="28"/>
      <c r="BD344" s="28"/>
      <c r="BE344" s="28"/>
      <c r="BF344" s="24"/>
      <c r="BG344" s="28"/>
      <c r="BH344" s="28"/>
      <c r="BI344" s="28"/>
      <c r="BJ344" s="24"/>
      <c r="BK344" s="28"/>
      <c r="BL344" s="28"/>
      <c r="BM344" s="28"/>
    </row>
    <row r="345" spans="1:65">
      <c r="A345" s="24"/>
      <c r="B345" s="28"/>
      <c r="C345" s="25"/>
      <c r="D345" s="26"/>
      <c r="E345" s="24"/>
      <c r="F345" s="24"/>
      <c r="G345" s="26"/>
      <c r="H345" s="26"/>
      <c r="I345" s="26"/>
      <c r="J345" s="26"/>
      <c r="K345" s="26"/>
      <c r="L345" s="26"/>
      <c r="M345" s="26"/>
      <c r="N345" s="26"/>
      <c r="O345" s="26"/>
      <c r="P345" s="26"/>
      <c r="R345" s="24"/>
      <c r="S345" s="26"/>
      <c r="T345" s="25"/>
      <c r="U345" s="24"/>
      <c r="V345" s="24"/>
      <c r="W345" s="24"/>
      <c r="X345" s="26"/>
      <c r="Y345" s="26"/>
      <c r="Z345" s="24"/>
      <c r="AA345" s="26"/>
      <c r="AB345" s="25"/>
      <c r="AC345" s="24"/>
      <c r="AD345" s="24"/>
      <c r="AE345" s="24"/>
      <c r="AF345" s="26"/>
      <c r="AG345" s="26"/>
      <c r="AH345" s="24"/>
      <c r="AI345" s="24"/>
      <c r="AJ345" s="24"/>
      <c r="AK345" s="28"/>
      <c r="AL345" s="28"/>
      <c r="AM345" s="28"/>
      <c r="AN345" s="28"/>
      <c r="AO345" s="28"/>
      <c r="AP345" s="28"/>
      <c r="AQ345" s="28"/>
      <c r="AR345" s="28"/>
      <c r="AS345" s="28"/>
      <c r="AT345" s="28"/>
      <c r="AU345" s="28"/>
      <c r="AV345" s="28"/>
      <c r="AW345" s="28"/>
      <c r="AX345" s="28"/>
      <c r="AY345" s="24"/>
      <c r="AZ345" s="28"/>
      <c r="BA345" s="28"/>
      <c r="BB345" s="28"/>
      <c r="BC345" s="28"/>
      <c r="BD345" s="28"/>
      <c r="BE345" s="28"/>
      <c r="BF345" s="24"/>
      <c r="BG345" s="28"/>
      <c r="BH345" s="28"/>
      <c r="BI345" s="28"/>
      <c r="BJ345" s="24"/>
      <c r="BK345" s="28"/>
      <c r="BL345" s="28"/>
      <c r="BM345" s="28"/>
    </row>
    <row r="346" spans="1:65">
      <c r="A346" s="24"/>
      <c r="B346" s="28"/>
      <c r="C346" s="25"/>
      <c r="D346" s="26"/>
      <c r="E346" s="24"/>
      <c r="F346" s="24"/>
      <c r="G346" s="26"/>
      <c r="H346" s="26"/>
      <c r="I346" s="26"/>
      <c r="J346" s="26"/>
      <c r="K346" s="26"/>
      <c r="L346" s="26"/>
      <c r="M346" s="26"/>
      <c r="N346" s="26"/>
      <c r="O346" s="26"/>
      <c r="P346" s="26"/>
      <c r="R346" s="24"/>
      <c r="S346" s="26"/>
      <c r="T346" s="25"/>
      <c r="U346" s="24"/>
      <c r="V346" s="24"/>
      <c r="W346" s="24"/>
      <c r="X346" s="26"/>
      <c r="Y346" s="26"/>
      <c r="Z346" s="24"/>
      <c r="AA346" s="26"/>
      <c r="AB346" s="25"/>
      <c r="AC346" s="24"/>
      <c r="AD346" s="24"/>
      <c r="AE346" s="24"/>
      <c r="AF346" s="26"/>
      <c r="AG346" s="26"/>
      <c r="AH346" s="24"/>
      <c r="AI346" s="24"/>
      <c r="AJ346" s="24"/>
      <c r="AK346" s="28"/>
      <c r="AL346" s="28"/>
      <c r="AM346" s="28"/>
      <c r="AN346" s="28"/>
      <c r="AO346" s="28"/>
      <c r="AP346" s="28"/>
      <c r="AQ346" s="28"/>
      <c r="AR346" s="28"/>
      <c r="AS346" s="28"/>
      <c r="AT346" s="28"/>
      <c r="AU346" s="28"/>
      <c r="AV346" s="28"/>
      <c r="AW346" s="28"/>
      <c r="AX346" s="28"/>
      <c r="AY346" s="24"/>
      <c r="AZ346" s="28"/>
      <c r="BA346" s="28"/>
      <c r="BB346" s="28"/>
      <c r="BC346" s="28"/>
      <c r="BD346" s="28"/>
      <c r="BE346" s="28"/>
      <c r="BF346" s="24"/>
      <c r="BG346" s="28"/>
      <c r="BH346" s="28"/>
      <c r="BI346" s="28"/>
      <c r="BJ346" s="24"/>
      <c r="BK346" s="28"/>
      <c r="BL346" s="28"/>
      <c r="BM346" s="28"/>
    </row>
    <row r="347" spans="1:65">
      <c r="A347" s="24"/>
      <c r="B347" s="28"/>
      <c r="C347" s="25"/>
      <c r="D347" s="26"/>
      <c r="E347" s="24"/>
      <c r="F347" s="24"/>
      <c r="G347" s="26"/>
      <c r="H347" s="26"/>
      <c r="I347" s="26"/>
      <c r="J347" s="26"/>
      <c r="K347" s="26"/>
      <c r="L347" s="26"/>
      <c r="M347" s="26"/>
      <c r="N347" s="26"/>
      <c r="O347" s="26"/>
      <c r="P347" s="26"/>
      <c r="R347" s="24"/>
      <c r="S347" s="26"/>
      <c r="T347" s="25"/>
      <c r="U347" s="24"/>
      <c r="V347" s="24"/>
      <c r="W347" s="24"/>
      <c r="X347" s="26"/>
      <c r="Y347" s="26"/>
      <c r="Z347" s="24"/>
      <c r="AA347" s="26"/>
      <c r="AB347" s="25"/>
      <c r="AC347" s="24"/>
      <c r="AD347" s="24"/>
      <c r="AE347" s="24"/>
      <c r="AF347" s="26"/>
      <c r="AG347" s="26"/>
      <c r="AH347" s="24"/>
      <c r="AI347" s="24"/>
      <c r="AJ347" s="24"/>
      <c r="AK347" s="28"/>
      <c r="AL347" s="28"/>
      <c r="AM347" s="28"/>
      <c r="AN347" s="28"/>
      <c r="AO347" s="28"/>
      <c r="AP347" s="28"/>
      <c r="AQ347" s="28"/>
      <c r="AR347" s="28"/>
      <c r="AS347" s="28"/>
      <c r="AT347" s="28"/>
      <c r="AU347" s="28"/>
      <c r="AV347" s="28"/>
      <c r="AW347" s="28"/>
      <c r="AX347" s="28"/>
      <c r="AY347" s="24"/>
      <c r="AZ347" s="28"/>
      <c r="BA347" s="28"/>
      <c r="BB347" s="28"/>
      <c r="BC347" s="28"/>
      <c r="BD347" s="28"/>
      <c r="BE347" s="28"/>
      <c r="BF347" s="24"/>
      <c r="BG347" s="28"/>
      <c r="BH347" s="28"/>
      <c r="BI347" s="28"/>
      <c r="BJ347" s="24"/>
      <c r="BK347" s="28"/>
      <c r="BL347" s="28"/>
      <c r="BM347" s="28"/>
    </row>
    <row r="348" spans="1:65">
      <c r="A348" s="24"/>
      <c r="B348" s="28"/>
      <c r="C348" s="25"/>
      <c r="D348" s="26"/>
      <c r="E348" s="24"/>
      <c r="F348" s="24"/>
      <c r="G348" s="26"/>
      <c r="H348" s="26"/>
      <c r="I348" s="26"/>
      <c r="J348" s="26"/>
      <c r="K348" s="26"/>
      <c r="L348" s="26"/>
      <c r="M348" s="26"/>
      <c r="N348" s="26"/>
      <c r="O348" s="26"/>
      <c r="P348" s="26"/>
      <c r="R348" s="24"/>
      <c r="S348" s="26"/>
      <c r="T348" s="25"/>
      <c r="U348" s="24"/>
      <c r="V348" s="24"/>
      <c r="W348" s="24"/>
      <c r="X348" s="26"/>
      <c r="Y348" s="26"/>
      <c r="Z348" s="24"/>
      <c r="AA348" s="26"/>
      <c r="AB348" s="25"/>
      <c r="AC348" s="24"/>
      <c r="AD348" s="24"/>
      <c r="AE348" s="24"/>
      <c r="AF348" s="26"/>
      <c r="AG348" s="26"/>
      <c r="AH348" s="24"/>
      <c r="AI348" s="24"/>
      <c r="AJ348" s="24"/>
      <c r="AK348" s="28"/>
      <c r="AL348" s="28"/>
      <c r="AM348" s="28"/>
      <c r="AN348" s="28"/>
      <c r="AO348" s="28"/>
      <c r="AP348" s="28"/>
      <c r="AQ348" s="28"/>
      <c r="AR348" s="28"/>
      <c r="AS348" s="28"/>
      <c r="AT348" s="28"/>
      <c r="AU348" s="28"/>
      <c r="AV348" s="28"/>
      <c r="AW348" s="28"/>
      <c r="AX348" s="28"/>
      <c r="AY348" s="24"/>
      <c r="AZ348" s="28"/>
      <c r="BA348" s="28"/>
      <c r="BB348" s="28"/>
      <c r="BC348" s="28"/>
      <c r="BD348" s="28"/>
      <c r="BE348" s="28"/>
      <c r="BF348" s="24"/>
      <c r="BG348" s="28"/>
      <c r="BH348" s="28"/>
      <c r="BI348" s="28"/>
      <c r="BJ348" s="24"/>
      <c r="BK348" s="28"/>
      <c r="BL348" s="28"/>
      <c r="BM348" s="28"/>
    </row>
    <row r="349" spans="1:65">
      <c r="A349" s="24"/>
      <c r="B349" s="28"/>
      <c r="C349" s="25"/>
      <c r="D349" s="26"/>
      <c r="E349" s="24"/>
      <c r="F349" s="24"/>
      <c r="G349" s="26"/>
      <c r="H349" s="26"/>
      <c r="I349" s="26"/>
      <c r="J349" s="26"/>
      <c r="K349" s="26"/>
      <c r="L349" s="26"/>
      <c r="M349" s="26"/>
      <c r="N349" s="26"/>
      <c r="O349" s="26"/>
      <c r="P349" s="26"/>
      <c r="R349" s="24"/>
      <c r="S349" s="26"/>
      <c r="T349" s="25"/>
      <c r="U349" s="24"/>
      <c r="V349" s="24"/>
      <c r="W349" s="24"/>
      <c r="X349" s="26"/>
      <c r="Y349" s="26"/>
      <c r="Z349" s="24"/>
      <c r="AA349" s="26"/>
      <c r="AB349" s="25"/>
      <c r="AC349" s="24"/>
      <c r="AD349" s="24"/>
      <c r="AE349" s="24"/>
      <c r="AF349" s="26"/>
      <c r="AG349" s="26"/>
      <c r="AH349" s="24"/>
      <c r="AI349" s="24"/>
      <c r="AJ349" s="24"/>
      <c r="AK349" s="28"/>
      <c r="AL349" s="28"/>
      <c r="AM349" s="28"/>
      <c r="AN349" s="28"/>
      <c r="AO349" s="28"/>
      <c r="AP349" s="28"/>
      <c r="AQ349" s="28"/>
      <c r="AR349" s="28"/>
      <c r="AS349" s="28"/>
      <c r="AT349" s="28"/>
      <c r="AU349" s="28"/>
      <c r="AV349" s="28"/>
      <c r="AW349" s="28"/>
      <c r="AX349" s="28"/>
      <c r="AY349" s="24"/>
      <c r="AZ349" s="28"/>
      <c r="BA349" s="28"/>
      <c r="BB349" s="28"/>
      <c r="BC349" s="28"/>
      <c r="BD349" s="28"/>
      <c r="BE349" s="28"/>
      <c r="BF349" s="24"/>
      <c r="BG349" s="28"/>
      <c r="BH349" s="28"/>
      <c r="BI349" s="28"/>
      <c r="BJ349" s="24"/>
      <c r="BK349" s="28"/>
      <c r="BL349" s="28"/>
      <c r="BM349" s="28"/>
    </row>
    <row r="350" spans="1:65">
      <c r="A350" s="24"/>
      <c r="B350" s="28"/>
      <c r="C350" s="25"/>
      <c r="D350" s="26"/>
      <c r="E350" s="24"/>
      <c r="F350" s="24"/>
      <c r="G350" s="26"/>
      <c r="H350" s="26"/>
      <c r="I350" s="26"/>
      <c r="J350" s="26"/>
      <c r="K350" s="26"/>
      <c r="L350" s="26"/>
      <c r="M350" s="26"/>
      <c r="N350" s="26"/>
      <c r="O350" s="26"/>
      <c r="P350" s="26"/>
      <c r="R350" s="24"/>
      <c r="S350" s="26"/>
      <c r="T350" s="25"/>
      <c r="U350" s="24"/>
      <c r="V350" s="24"/>
      <c r="W350" s="24"/>
      <c r="X350" s="26"/>
      <c r="Y350" s="26"/>
      <c r="Z350" s="24"/>
      <c r="AA350" s="26"/>
      <c r="AB350" s="25"/>
      <c r="AC350" s="24"/>
      <c r="AD350" s="24"/>
      <c r="AE350" s="24"/>
      <c r="AF350" s="26"/>
      <c r="AG350" s="26"/>
      <c r="AH350" s="24"/>
      <c r="AI350" s="24"/>
      <c r="AJ350" s="24"/>
      <c r="AK350" s="28"/>
      <c r="AL350" s="28"/>
      <c r="AM350" s="28"/>
      <c r="AN350" s="28"/>
      <c r="AO350" s="28"/>
      <c r="AP350" s="28"/>
      <c r="AQ350" s="28"/>
      <c r="AR350" s="28"/>
      <c r="AS350" s="28"/>
      <c r="AT350" s="28"/>
      <c r="AU350" s="28"/>
      <c r="AV350" s="28"/>
      <c r="AW350" s="28"/>
      <c r="AX350" s="28"/>
      <c r="AY350" s="24"/>
      <c r="AZ350" s="28"/>
      <c r="BA350" s="28"/>
      <c r="BB350" s="28"/>
      <c r="BC350" s="28"/>
      <c r="BD350" s="28"/>
      <c r="BE350" s="28"/>
      <c r="BF350" s="24"/>
      <c r="BG350" s="28"/>
      <c r="BH350" s="28"/>
      <c r="BI350" s="28"/>
      <c r="BJ350" s="24"/>
      <c r="BK350" s="28"/>
      <c r="BL350" s="28"/>
      <c r="BM350" s="28"/>
    </row>
    <row r="351" spans="1:65">
      <c r="A351" s="24"/>
      <c r="B351" s="28"/>
      <c r="C351" s="25"/>
      <c r="D351" s="26"/>
      <c r="E351" s="24"/>
      <c r="F351" s="24"/>
      <c r="G351" s="26"/>
      <c r="H351" s="26"/>
      <c r="I351" s="26"/>
      <c r="J351" s="26"/>
      <c r="K351" s="26"/>
      <c r="L351" s="26"/>
      <c r="M351" s="26"/>
      <c r="N351" s="26"/>
      <c r="O351" s="26"/>
      <c r="P351" s="26"/>
      <c r="R351" s="24"/>
      <c r="S351" s="26"/>
      <c r="T351" s="25"/>
      <c r="U351" s="24"/>
      <c r="V351" s="24"/>
      <c r="W351" s="24"/>
      <c r="X351" s="26"/>
      <c r="Y351" s="26"/>
      <c r="Z351" s="24"/>
      <c r="AA351" s="26"/>
      <c r="AB351" s="25"/>
      <c r="AC351" s="24"/>
      <c r="AD351" s="24"/>
      <c r="AE351" s="24"/>
      <c r="AF351" s="26"/>
      <c r="AG351" s="26"/>
      <c r="AH351" s="24"/>
      <c r="AI351" s="24"/>
      <c r="AJ351" s="24"/>
      <c r="AK351" s="28"/>
      <c r="AL351" s="28"/>
      <c r="AM351" s="28"/>
      <c r="AN351" s="28"/>
      <c r="AO351" s="28"/>
      <c r="AP351" s="28"/>
      <c r="AQ351" s="28"/>
      <c r="AR351" s="28"/>
      <c r="AS351" s="28"/>
      <c r="AT351" s="28"/>
      <c r="AU351" s="28"/>
      <c r="AV351" s="28"/>
      <c r="AW351" s="28"/>
      <c r="AX351" s="28"/>
      <c r="AY351" s="24"/>
      <c r="AZ351" s="28"/>
      <c r="BA351" s="28"/>
      <c r="BB351" s="28"/>
      <c r="BC351" s="28"/>
      <c r="BD351" s="28"/>
      <c r="BE351" s="28"/>
      <c r="BF351" s="24"/>
      <c r="BG351" s="28"/>
      <c r="BH351" s="28"/>
      <c r="BI351" s="28"/>
      <c r="BJ351" s="24"/>
      <c r="BK351" s="28"/>
      <c r="BL351" s="28"/>
      <c r="BM351" s="28"/>
    </row>
    <row r="352" spans="1:65">
      <c r="A352" s="24"/>
      <c r="B352" s="28"/>
      <c r="C352" s="25"/>
      <c r="D352" s="26"/>
      <c r="E352" s="24"/>
      <c r="F352" s="24"/>
      <c r="G352" s="26"/>
      <c r="H352" s="26"/>
      <c r="I352" s="26"/>
      <c r="J352" s="26"/>
      <c r="K352" s="26"/>
      <c r="L352" s="26"/>
      <c r="M352" s="26"/>
      <c r="N352" s="26"/>
      <c r="O352" s="26"/>
      <c r="P352" s="26"/>
      <c r="R352" s="24"/>
      <c r="S352" s="26"/>
      <c r="T352" s="25"/>
      <c r="U352" s="24"/>
      <c r="V352" s="24"/>
      <c r="W352" s="24"/>
      <c r="X352" s="26"/>
      <c r="Y352" s="26"/>
      <c r="Z352" s="24"/>
      <c r="AA352" s="26"/>
      <c r="AB352" s="25"/>
      <c r="AC352" s="24"/>
      <c r="AD352" s="24"/>
      <c r="AE352" s="24"/>
      <c r="AF352" s="26"/>
      <c r="AG352" s="26"/>
      <c r="AH352" s="24"/>
      <c r="AI352" s="24"/>
      <c r="AJ352" s="24"/>
      <c r="AK352" s="28"/>
      <c r="AL352" s="28"/>
      <c r="AM352" s="28"/>
      <c r="AN352" s="28"/>
      <c r="AO352" s="28"/>
      <c r="AP352" s="28"/>
      <c r="AQ352" s="28"/>
      <c r="AR352" s="28"/>
      <c r="AS352" s="28"/>
      <c r="AT352" s="28"/>
      <c r="AU352" s="28"/>
      <c r="AV352" s="28"/>
      <c r="AW352" s="28"/>
      <c r="AX352" s="28"/>
      <c r="AY352" s="24"/>
      <c r="AZ352" s="28"/>
      <c r="BA352" s="28"/>
      <c r="BB352" s="28"/>
      <c r="BC352" s="28"/>
      <c r="BD352" s="28"/>
      <c r="BE352" s="28"/>
      <c r="BF352" s="24"/>
      <c r="BG352" s="28"/>
      <c r="BH352" s="28"/>
      <c r="BI352" s="28"/>
      <c r="BJ352" s="24"/>
      <c r="BK352" s="28"/>
      <c r="BL352" s="28"/>
      <c r="BM352" s="28"/>
    </row>
    <row r="353" spans="1:65">
      <c r="A353" s="24"/>
      <c r="B353" s="28"/>
      <c r="C353" s="25"/>
      <c r="D353" s="26"/>
      <c r="E353" s="24"/>
      <c r="F353" s="24"/>
      <c r="G353" s="26"/>
      <c r="H353" s="26"/>
      <c r="I353" s="26"/>
      <c r="J353" s="26"/>
      <c r="K353" s="26"/>
      <c r="L353" s="26"/>
      <c r="M353" s="26"/>
      <c r="N353" s="26"/>
      <c r="O353" s="26"/>
      <c r="P353" s="26"/>
      <c r="R353" s="24"/>
      <c r="S353" s="26"/>
      <c r="T353" s="25"/>
      <c r="U353" s="24"/>
      <c r="V353" s="24"/>
      <c r="W353" s="24"/>
      <c r="X353" s="26"/>
      <c r="Y353" s="26"/>
      <c r="Z353" s="24"/>
      <c r="AA353" s="26"/>
      <c r="AB353" s="25"/>
      <c r="AC353" s="24"/>
      <c r="AD353" s="24"/>
      <c r="AE353" s="24"/>
      <c r="AF353" s="26"/>
      <c r="AG353" s="26"/>
      <c r="AH353" s="24"/>
      <c r="AI353" s="24"/>
      <c r="AJ353" s="24"/>
      <c r="AK353" s="28"/>
      <c r="AL353" s="28"/>
      <c r="AM353" s="28"/>
      <c r="AN353" s="28"/>
      <c r="AO353" s="28"/>
      <c r="AP353" s="28"/>
      <c r="AQ353" s="28"/>
      <c r="AR353" s="28"/>
      <c r="AS353" s="28"/>
      <c r="AT353" s="28"/>
      <c r="AU353" s="28"/>
      <c r="AV353" s="28"/>
      <c r="AW353" s="28"/>
      <c r="AX353" s="28"/>
      <c r="AY353" s="24"/>
      <c r="AZ353" s="28"/>
      <c r="BA353" s="28"/>
      <c r="BB353" s="28"/>
      <c r="BC353" s="28"/>
      <c r="BD353" s="28"/>
      <c r="BE353" s="28"/>
      <c r="BF353" s="24"/>
      <c r="BG353" s="28"/>
      <c r="BH353" s="28"/>
      <c r="BI353" s="28"/>
      <c r="BJ353" s="24"/>
      <c r="BK353" s="28"/>
      <c r="BL353" s="28"/>
      <c r="BM353" s="28"/>
    </row>
    <row r="354" spans="1:65">
      <c r="A354" s="24"/>
      <c r="B354" s="28"/>
      <c r="C354" s="25"/>
      <c r="D354" s="26"/>
      <c r="E354" s="24"/>
      <c r="F354" s="24"/>
      <c r="G354" s="26"/>
      <c r="H354" s="26"/>
      <c r="I354" s="26"/>
      <c r="J354" s="26"/>
      <c r="K354" s="26"/>
      <c r="L354" s="26"/>
      <c r="M354" s="26"/>
      <c r="N354" s="26"/>
      <c r="O354" s="26"/>
      <c r="P354" s="26"/>
      <c r="R354" s="24"/>
      <c r="S354" s="26"/>
      <c r="T354" s="25"/>
      <c r="U354" s="24"/>
      <c r="V354" s="24"/>
      <c r="W354" s="24"/>
      <c r="X354" s="26"/>
      <c r="Y354" s="26"/>
      <c r="Z354" s="24"/>
      <c r="AA354" s="26"/>
      <c r="AB354" s="25"/>
      <c r="AC354" s="24"/>
      <c r="AD354" s="24"/>
      <c r="AE354" s="24"/>
      <c r="AF354" s="26"/>
      <c r="AG354" s="26"/>
      <c r="AH354" s="24"/>
      <c r="AI354" s="24"/>
      <c r="AJ354" s="24"/>
      <c r="AK354" s="28"/>
      <c r="AL354" s="28"/>
      <c r="AM354" s="28"/>
      <c r="AN354" s="28"/>
      <c r="AO354" s="28"/>
      <c r="AP354" s="28"/>
      <c r="AQ354" s="28"/>
      <c r="AR354" s="28"/>
      <c r="AS354" s="28"/>
      <c r="AT354" s="28"/>
      <c r="AU354" s="28"/>
      <c r="AV354" s="28"/>
      <c r="AW354" s="28"/>
      <c r="AX354" s="28"/>
      <c r="AY354" s="24"/>
      <c r="AZ354" s="28"/>
      <c r="BA354" s="28"/>
      <c r="BB354" s="28"/>
      <c r="BC354" s="28"/>
      <c r="BD354" s="28"/>
      <c r="BE354" s="28"/>
      <c r="BF354" s="24"/>
      <c r="BG354" s="28"/>
      <c r="BH354" s="28"/>
      <c r="BI354" s="28"/>
      <c r="BJ354" s="24"/>
      <c r="BK354" s="28"/>
      <c r="BL354" s="28"/>
      <c r="BM354" s="28"/>
    </row>
    <row r="355" spans="1:65">
      <c r="A355" s="24"/>
      <c r="B355" s="28"/>
      <c r="C355" s="25"/>
      <c r="D355" s="26"/>
      <c r="E355" s="24"/>
      <c r="F355" s="24"/>
      <c r="G355" s="26"/>
      <c r="H355" s="26"/>
      <c r="I355" s="26"/>
      <c r="J355" s="26"/>
      <c r="K355" s="26"/>
      <c r="L355" s="26"/>
      <c r="M355" s="26"/>
      <c r="N355" s="26"/>
      <c r="O355" s="26"/>
      <c r="P355" s="26"/>
      <c r="R355" s="24"/>
      <c r="S355" s="26"/>
      <c r="T355" s="25"/>
      <c r="U355" s="24"/>
      <c r="V355" s="24"/>
      <c r="W355" s="24"/>
      <c r="X355" s="26"/>
      <c r="Y355" s="26"/>
      <c r="Z355" s="24"/>
      <c r="AA355" s="26"/>
      <c r="AB355" s="25"/>
      <c r="AC355" s="24"/>
      <c r="AD355" s="24"/>
      <c r="AE355" s="24"/>
      <c r="AF355" s="26"/>
      <c r="AG355" s="26"/>
      <c r="AH355" s="24"/>
      <c r="AI355" s="24"/>
      <c r="AJ355" s="24"/>
      <c r="AK355" s="28"/>
      <c r="AL355" s="28"/>
      <c r="AM355" s="28"/>
      <c r="AN355" s="28"/>
      <c r="AO355" s="28"/>
      <c r="AP355" s="28"/>
      <c r="AQ355" s="28"/>
      <c r="AR355" s="28"/>
      <c r="AS355" s="28"/>
      <c r="AT355" s="28"/>
      <c r="AU355" s="28"/>
      <c r="AV355" s="28"/>
      <c r="AW355" s="28"/>
      <c r="AX355" s="28"/>
      <c r="AY355" s="24"/>
      <c r="AZ355" s="28"/>
      <c r="BA355" s="28"/>
      <c r="BB355" s="28"/>
      <c r="BC355" s="28"/>
      <c r="BD355" s="28"/>
      <c r="BE355" s="28"/>
      <c r="BF355" s="24"/>
      <c r="BG355" s="28"/>
      <c r="BH355" s="28"/>
      <c r="BI355" s="28"/>
      <c r="BJ355" s="24"/>
      <c r="BK355" s="28"/>
      <c r="BL355" s="28"/>
      <c r="BM355" s="28"/>
    </row>
    <row r="356" spans="1:65">
      <c r="A356" s="24"/>
      <c r="B356" s="28"/>
      <c r="C356" s="25"/>
      <c r="D356" s="26"/>
      <c r="E356" s="24"/>
      <c r="F356" s="24"/>
      <c r="G356" s="26"/>
      <c r="H356" s="26"/>
      <c r="I356" s="26"/>
      <c r="J356" s="26"/>
      <c r="K356" s="26"/>
      <c r="L356" s="26"/>
      <c r="M356" s="26"/>
      <c r="N356" s="26"/>
      <c r="O356" s="26"/>
      <c r="P356" s="26"/>
      <c r="R356" s="24"/>
      <c r="S356" s="26"/>
      <c r="T356" s="25"/>
      <c r="U356" s="24"/>
      <c r="V356" s="24"/>
      <c r="W356" s="24"/>
      <c r="X356" s="26"/>
      <c r="Y356" s="26"/>
      <c r="Z356" s="24"/>
      <c r="AA356" s="26"/>
      <c r="AB356" s="25"/>
      <c r="AC356" s="24"/>
      <c r="AD356" s="24"/>
      <c r="AE356" s="24"/>
      <c r="AF356" s="26"/>
      <c r="AG356" s="26"/>
      <c r="AH356" s="24"/>
      <c r="AI356" s="24"/>
      <c r="AJ356" s="24"/>
      <c r="AK356" s="28"/>
      <c r="AL356" s="28"/>
      <c r="AM356" s="28"/>
      <c r="AN356" s="28"/>
      <c r="AO356" s="28"/>
      <c r="AP356" s="28"/>
      <c r="AQ356" s="28"/>
      <c r="AR356" s="28"/>
      <c r="AS356" s="28"/>
      <c r="AT356" s="28"/>
      <c r="AU356" s="28"/>
      <c r="AV356" s="28"/>
      <c r="AW356" s="28"/>
      <c r="AX356" s="28"/>
      <c r="AY356" s="24"/>
      <c r="AZ356" s="28"/>
      <c r="BA356" s="28"/>
      <c r="BB356" s="28"/>
      <c r="BC356" s="28"/>
      <c r="BD356" s="28"/>
      <c r="BE356" s="28"/>
      <c r="BF356" s="24"/>
      <c r="BG356" s="28"/>
      <c r="BH356" s="28"/>
      <c r="BI356" s="28"/>
      <c r="BJ356" s="24"/>
      <c r="BK356" s="28"/>
      <c r="BL356" s="28"/>
      <c r="BM356" s="28"/>
    </row>
    <row r="357" spans="1:65">
      <c r="A357" s="24"/>
      <c r="B357" s="28"/>
      <c r="C357" s="25"/>
      <c r="D357" s="26"/>
      <c r="E357" s="24"/>
      <c r="F357" s="24"/>
      <c r="G357" s="26"/>
      <c r="H357" s="26"/>
      <c r="I357" s="26"/>
      <c r="J357" s="26"/>
      <c r="K357" s="26"/>
      <c r="L357" s="26"/>
      <c r="M357" s="26"/>
      <c r="N357" s="26"/>
      <c r="O357" s="26"/>
      <c r="P357" s="26"/>
      <c r="R357" s="24"/>
      <c r="S357" s="26"/>
      <c r="T357" s="25"/>
      <c r="U357" s="24"/>
      <c r="V357" s="24"/>
      <c r="W357" s="24"/>
      <c r="X357" s="26"/>
      <c r="Y357" s="26"/>
      <c r="Z357" s="24"/>
      <c r="AA357" s="26"/>
      <c r="AB357" s="25"/>
      <c r="AC357" s="24"/>
      <c r="AD357" s="24"/>
      <c r="AE357" s="24"/>
      <c r="AF357" s="26"/>
      <c r="AG357" s="26"/>
      <c r="AH357" s="24"/>
      <c r="AI357" s="24"/>
      <c r="AJ357" s="24"/>
      <c r="AK357" s="28"/>
      <c r="AL357" s="28"/>
      <c r="AM357" s="28"/>
      <c r="AN357" s="28"/>
      <c r="AO357" s="28"/>
      <c r="AP357" s="28"/>
      <c r="AQ357" s="28"/>
      <c r="AR357" s="28"/>
      <c r="AS357" s="28"/>
      <c r="AT357" s="28"/>
      <c r="AU357" s="28"/>
      <c r="AV357" s="28"/>
      <c r="AW357" s="28"/>
      <c r="AX357" s="28"/>
      <c r="AY357" s="24"/>
      <c r="AZ357" s="28"/>
      <c r="BA357" s="28"/>
      <c r="BB357" s="28"/>
      <c r="BC357" s="28"/>
      <c r="BD357" s="28"/>
      <c r="BE357" s="28"/>
      <c r="BF357" s="24"/>
      <c r="BG357" s="28"/>
      <c r="BH357" s="28"/>
      <c r="BI357" s="28"/>
      <c r="BJ357" s="24"/>
      <c r="BK357" s="28"/>
      <c r="BL357" s="28"/>
      <c r="BM357" s="28"/>
    </row>
    <row r="358" spans="1:65">
      <c r="A358" s="24"/>
      <c r="B358" s="28"/>
      <c r="C358" s="25"/>
      <c r="D358" s="26"/>
      <c r="E358" s="24"/>
      <c r="F358" s="24"/>
      <c r="G358" s="26"/>
      <c r="H358" s="26"/>
      <c r="I358" s="26"/>
      <c r="J358" s="26"/>
      <c r="K358" s="26"/>
      <c r="L358" s="26"/>
      <c r="M358" s="26"/>
      <c r="N358" s="26"/>
      <c r="O358" s="26"/>
      <c r="P358" s="26"/>
      <c r="R358" s="24"/>
      <c r="S358" s="26"/>
      <c r="T358" s="25"/>
      <c r="U358" s="24"/>
      <c r="V358" s="24"/>
      <c r="W358" s="24"/>
      <c r="X358" s="26"/>
      <c r="Y358" s="26"/>
      <c r="Z358" s="24"/>
      <c r="AA358" s="26"/>
      <c r="AB358" s="25"/>
      <c r="AC358" s="24"/>
      <c r="AD358" s="24"/>
      <c r="AE358" s="24"/>
      <c r="AF358" s="26"/>
      <c r="AG358" s="26"/>
      <c r="AH358" s="24"/>
      <c r="AI358" s="24"/>
      <c r="AJ358" s="24"/>
      <c r="AK358" s="28"/>
      <c r="AL358" s="28"/>
      <c r="AM358" s="28"/>
      <c r="AN358" s="28"/>
      <c r="AO358" s="28"/>
      <c r="AP358" s="28"/>
      <c r="AQ358" s="28"/>
      <c r="AR358" s="28"/>
      <c r="AS358" s="28"/>
      <c r="AT358" s="28"/>
      <c r="AU358" s="28"/>
      <c r="AV358" s="28"/>
      <c r="AW358" s="28"/>
      <c r="AX358" s="28"/>
      <c r="AY358" s="24"/>
      <c r="AZ358" s="28"/>
      <c r="BA358" s="28"/>
      <c r="BB358" s="28"/>
      <c r="BC358" s="28"/>
      <c r="BD358" s="28"/>
      <c r="BE358" s="28"/>
      <c r="BF358" s="24"/>
      <c r="BG358" s="28"/>
      <c r="BH358" s="28"/>
      <c r="BI358" s="28"/>
      <c r="BJ358" s="24"/>
      <c r="BK358" s="28"/>
      <c r="BL358" s="28"/>
      <c r="BM358" s="28"/>
    </row>
    <row r="359" spans="1:65">
      <c r="A359" s="24"/>
      <c r="B359" s="28"/>
      <c r="C359" s="25"/>
      <c r="D359" s="26"/>
      <c r="E359" s="24"/>
      <c r="F359" s="24"/>
      <c r="G359" s="26"/>
      <c r="H359" s="26"/>
      <c r="I359" s="26"/>
      <c r="J359" s="26"/>
      <c r="K359" s="26"/>
      <c r="L359" s="26"/>
      <c r="M359" s="26"/>
      <c r="N359" s="26"/>
      <c r="O359" s="26"/>
      <c r="P359" s="26"/>
      <c r="R359" s="24"/>
      <c r="S359" s="26"/>
      <c r="T359" s="25"/>
      <c r="U359" s="24"/>
      <c r="V359" s="24"/>
      <c r="W359" s="24"/>
      <c r="X359" s="26"/>
      <c r="Y359" s="26"/>
      <c r="Z359" s="24"/>
      <c r="AA359" s="26"/>
      <c r="AB359" s="25"/>
      <c r="AC359" s="24"/>
      <c r="AD359" s="24"/>
      <c r="AE359" s="24"/>
      <c r="AF359" s="26"/>
      <c r="AG359" s="26"/>
      <c r="AH359" s="24"/>
      <c r="AI359" s="24"/>
      <c r="AJ359" s="24"/>
      <c r="AK359" s="28"/>
      <c r="AL359" s="28"/>
      <c r="AM359" s="28"/>
      <c r="AN359" s="28"/>
      <c r="AO359" s="28"/>
      <c r="AP359" s="28"/>
      <c r="AQ359" s="28"/>
      <c r="AR359" s="28"/>
      <c r="AS359" s="28"/>
      <c r="AT359" s="28"/>
      <c r="AU359" s="28"/>
      <c r="AV359" s="28"/>
      <c r="AW359" s="28"/>
      <c r="AX359" s="28"/>
      <c r="AY359" s="24"/>
      <c r="AZ359" s="28"/>
      <c r="BA359" s="28"/>
      <c r="BB359" s="28"/>
      <c r="BC359" s="28"/>
      <c r="BD359" s="28"/>
      <c r="BE359" s="28"/>
      <c r="BF359" s="24"/>
      <c r="BG359" s="28"/>
      <c r="BH359" s="28"/>
      <c r="BI359" s="28"/>
      <c r="BJ359" s="24"/>
      <c r="BK359" s="28"/>
      <c r="BL359" s="28"/>
      <c r="BM359" s="28"/>
    </row>
    <row r="360" spans="1:65">
      <c r="A360" s="24"/>
      <c r="B360" s="28"/>
      <c r="C360" s="25"/>
      <c r="D360" s="26"/>
      <c r="E360" s="24"/>
      <c r="F360" s="24"/>
      <c r="G360" s="26"/>
      <c r="H360" s="26"/>
      <c r="I360" s="26"/>
      <c r="J360" s="26"/>
      <c r="K360" s="26"/>
      <c r="L360" s="26"/>
      <c r="M360" s="26"/>
      <c r="N360" s="26"/>
      <c r="O360" s="26"/>
      <c r="P360" s="26"/>
      <c r="R360" s="24"/>
      <c r="S360" s="26"/>
      <c r="T360" s="25"/>
      <c r="U360" s="24"/>
      <c r="V360" s="24"/>
      <c r="W360" s="24"/>
      <c r="X360" s="26"/>
      <c r="Y360" s="26"/>
      <c r="Z360" s="24"/>
      <c r="AA360" s="26"/>
      <c r="AB360" s="25"/>
      <c r="AC360" s="24"/>
      <c r="AD360" s="24"/>
      <c r="AE360" s="24"/>
      <c r="AF360" s="26"/>
      <c r="AG360" s="26"/>
      <c r="AH360" s="24"/>
      <c r="AI360" s="24"/>
      <c r="AJ360" s="24"/>
      <c r="AK360" s="28"/>
      <c r="AL360" s="28"/>
      <c r="AM360" s="28"/>
      <c r="AN360" s="28"/>
      <c r="AO360" s="28"/>
      <c r="AP360" s="28"/>
      <c r="AQ360" s="28"/>
      <c r="AR360" s="28"/>
      <c r="AS360" s="28"/>
      <c r="AT360" s="28"/>
      <c r="AU360" s="28"/>
      <c r="AV360" s="28"/>
      <c r="AW360" s="28"/>
      <c r="AX360" s="28"/>
      <c r="AY360" s="24"/>
      <c r="AZ360" s="28"/>
      <c r="BA360" s="28"/>
      <c r="BB360" s="28"/>
      <c r="BC360" s="28"/>
      <c r="BD360" s="28"/>
      <c r="BE360" s="28"/>
      <c r="BF360" s="24"/>
      <c r="BG360" s="28"/>
      <c r="BH360" s="28"/>
      <c r="BI360" s="28"/>
      <c r="BJ360" s="24"/>
      <c r="BK360" s="28"/>
      <c r="BL360" s="28"/>
      <c r="BM360" s="28"/>
    </row>
    <row r="361" spans="1:65">
      <c r="A361" s="24"/>
      <c r="B361" s="28"/>
      <c r="C361" s="25"/>
      <c r="D361" s="26"/>
      <c r="E361" s="24"/>
      <c r="F361" s="24"/>
      <c r="G361" s="26"/>
      <c r="H361" s="26"/>
      <c r="I361" s="26"/>
      <c r="J361" s="26"/>
      <c r="K361" s="26"/>
      <c r="L361" s="26"/>
      <c r="M361" s="26"/>
      <c r="N361" s="26"/>
      <c r="O361" s="26"/>
      <c r="P361" s="26"/>
      <c r="R361" s="24"/>
      <c r="S361" s="26"/>
      <c r="T361" s="25"/>
      <c r="U361" s="24"/>
      <c r="V361" s="24"/>
      <c r="W361" s="24"/>
      <c r="X361" s="26"/>
      <c r="Y361" s="26"/>
      <c r="Z361" s="24"/>
      <c r="AA361" s="26"/>
      <c r="AB361" s="25"/>
      <c r="AC361" s="24"/>
      <c r="AD361" s="24"/>
      <c r="AE361" s="24"/>
      <c r="AF361" s="26"/>
      <c r="AG361" s="26"/>
      <c r="AH361" s="24"/>
      <c r="AI361" s="24"/>
      <c r="AJ361" s="24"/>
      <c r="AK361" s="28"/>
      <c r="AL361" s="28"/>
      <c r="AM361" s="28"/>
      <c r="AN361" s="28"/>
      <c r="AO361" s="28"/>
      <c r="AP361" s="28"/>
      <c r="AQ361" s="28"/>
      <c r="AR361" s="28"/>
      <c r="AS361" s="28"/>
      <c r="AT361" s="28"/>
      <c r="AU361" s="28"/>
      <c r="AV361" s="28"/>
      <c r="AW361" s="28"/>
      <c r="AX361" s="28"/>
      <c r="AY361" s="24"/>
      <c r="AZ361" s="28"/>
      <c r="BA361" s="28"/>
      <c r="BB361" s="28"/>
      <c r="BC361" s="28"/>
      <c r="BD361" s="28"/>
      <c r="BE361" s="28"/>
      <c r="BF361" s="24"/>
      <c r="BG361" s="28"/>
      <c r="BH361" s="28"/>
      <c r="BI361" s="28"/>
      <c r="BJ361" s="24"/>
      <c r="BK361" s="28"/>
      <c r="BL361" s="28"/>
      <c r="BM361" s="28"/>
    </row>
    <row r="362" spans="1:65">
      <c r="A362" s="24"/>
      <c r="B362" s="28"/>
      <c r="C362" s="25"/>
      <c r="D362" s="26"/>
      <c r="E362" s="24"/>
      <c r="F362" s="24"/>
      <c r="G362" s="26"/>
      <c r="H362" s="26"/>
      <c r="I362" s="26"/>
      <c r="J362" s="26"/>
      <c r="K362" s="26"/>
      <c r="L362" s="26"/>
      <c r="M362" s="26"/>
      <c r="N362" s="26"/>
      <c r="O362" s="26"/>
      <c r="P362" s="26"/>
      <c r="R362" s="24"/>
      <c r="S362" s="26"/>
      <c r="T362" s="25"/>
      <c r="U362" s="24"/>
      <c r="V362" s="24"/>
      <c r="W362" s="24"/>
      <c r="X362" s="26"/>
      <c r="Y362" s="26"/>
      <c r="Z362" s="24"/>
      <c r="AA362" s="26"/>
      <c r="AB362" s="25"/>
      <c r="AC362" s="24"/>
      <c r="AD362" s="24"/>
      <c r="AE362" s="24"/>
      <c r="AF362" s="26"/>
      <c r="AG362" s="26"/>
      <c r="AH362" s="24"/>
      <c r="AI362" s="24"/>
      <c r="AJ362" s="24"/>
      <c r="AK362" s="28"/>
      <c r="AL362" s="28"/>
      <c r="AM362" s="28"/>
      <c r="AN362" s="28"/>
      <c r="AO362" s="28"/>
      <c r="AP362" s="28"/>
      <c r="AQ362" s="28"/>
      <c r="AR362" s="28"/>
      <c r="AS362" s="28"/>
      <c r="AT362" s="28"/>
      <c r="AU362" s="28"/>
      <c r="AV362" s="28"/>
      <c r="AW362" s="28"/>
      <c r="AX362" s="28"/>
      <c r="AY362" s="24"/>
      <c r="AZ362" s="28"/>
      <c r="BA362" s="28"/>
      <c r="BB362" s="28"/>
      <c r="BC362" s="28"/>
      <c r="BD362" s="28"/>
      <c r="BE362" s="28"/>
      <c r="BF362" s="24"/>
      <c r="BG362" s="28"/>
      <c r="BH362" s="28"/>
      <c r="BI362" s="28"/>
      <c r="BJ362" s="24"/>
      <c r="BK362" s="28"/>
      <c r="BL362" s="28"/>
      <c r="BM362" s="28"/>
    </row>
    <row r="363" spans="1:65">
      <c r="A363" s="24"/>
      <c r="B363" s="28"/>
      <c r="C363" s="25"/>
      <c r="D363" s="26"/>
      <c r="E363" s="24"/>
      <c r="F363" s="24"/>
      <c r="G363" s="26"/>
      <c r="H363" s="26"/>
      <c r="I363" s="26"/>
      <c r="J363" s="26"/>
      <c r="K363" s="26"/>
      <c r="L363" s="26"/>
      <c r="M363" s="26"/>
      <c r="N363" s="26"/>
      <c r="O363" s="26"/>
      <c r="P363" s="26"/>
      <c r="R363" s="24"/>
      <c r="S363" s="26"/>
      <c r="T363" s="25"/>
      <c r="U363" s="24"/>
      <c r="V363" s="24"/>
      <c r="W363" s="24"/>
      <c r="X363" s="26"/>
      <c r="Y363" s="26"/>
      <c r="Z363" s="24"/>
      <c r="AA363" s="26"/>
      <c r="AB363" s="25"/>
      <c r="AC363" s="24"/>
      <c r="AD363" s="24"/>
      <c r="AE363" s="24"/>
      <c r="AF363" s="26"/>
      <c r="AG363" s="26"/>
      <c r="AH363" s="24"/>
      <c r="AI363" s="24"/>
      <c r="AJ363" s="24"/>
      <c r="AK363" s="28"/>
      <c r="AL363" s="28"/>
      <c r="AM363" s="28"/>
      <c r="AN363" s="28"/>
      <c r="AO363" s="28"/>
      <c r="AP363" s="28"/>
      <c r="AQ363" s="28"/>
      <c r="AR363" s="28"/>
      <c r="AS363" s="28"/>
      <c r="AT363" s="28"/>
      <c r="AU363" s="28"/>
      <c r="AV363" s="28"/>
      <c r="AW363" s="28"/>
      <c r="AX363" s="28"/>
      <c r="AY363" s="24"/>
      <c r="AZ363" s="28"/>
      <c r="BA363" s="28"/>
      <c r="BB363" s="28"/>
      <c r="BC363" s="28"/>
      <c r="BD363" s="28"/>
      <c r="BE363" s="28"/>
      <c r="BF363" s="24"/>
      <c r="BG363" s="28"/>
      <c r="BH363" s="28"/>
      <c r="BI363" s="28"/>
      <c r="BJ363" s="24"/>
      <c r="BK363" s="28"/>
      <c r="BL363" s="28"/>
      <c r="BM363" s="28"/>
    </row>
    <row r="364" spans="1:65">
      <c r="A364" s="24"/>
      <c r="B364" s="28"/>
      <c r="C364" s="25"/>
      <c r="D364" s="26"/>
      <c r="E364" s="24"/>
      <c r="F364" s="24"/>
      <c r="G364" s="26"/>
      <c r="H364" s="26"/>
      <c r="I364" s="26"/>
      <c r="J364" s="26"/>
      <c r="K364" s="26"/>
      <c r="L364" s="26"/>
      <c r="M364" s="26"/>
      <c r="N364" s="26"/>
      <c r="O364" s="26"/>
      <c r="P364" s="26"/>
      <c r="R364" s="24"/>
      <c r="S364" s="26"/>
      <c r="T364" s="25"/>
      <c r="U364" s="24"/>
      <c r="V364" s="24"/>
      <c r="W364" s="24"/>
      <c r="X364" s="26"/>
      <c r="Y364" s="26"/>
      <c r="Z364" s="24"/>
      <c r="AA364" s="26"/>
      <c r="AB364" s="25"/>
      <c r="AC364" s="24"/>
      <c r="AD364" s="24"/>
      <c r="AE364" s="24"/>
      <c r="AF364" s="26"/>
      <c r="AG364" s="26"/>
      <c r="AH364" s="24"/>
      <c r="AI364" s="24"/>
      <c r="AJ364" s="24"/>
      <c r="AK364" s="28"/>
      <c r="AL364" s="28"/>
      <c r="AM364" s="28"/>
      <c r="AN364" s="28"/>
      <c r="AO364" s="28"/>
      <c r="AP364" s="28"/>
      <c r="AQ364" s="28"/>
      <c r="AR364" s="28"/>
      <c r="AS364" s="28"/>
      <c r="AT364" s="28"/>
      <c r="AU364" s="28"/>
      <c r="AV364" s="28"/>
      <c r="AW364" s="28"/>
      <c r="AX364" s="28"/>
      <c r="AY364" s="24"/>
      <c r="AZ364" s="28"/>
      <c r="BA364" s="28"/>
      <c r="BB364" s="28"/>
      <c r="BC364" s="28"/>
      <c r="BD364" s="28"/>
      <c r="BE364" s="28"/>
      <c r="BF364" s="24"/>
      <c r="BG364" s="28"/>
      <c r="BH364" s="28"/>
      <c r="BI364" s="28"/>
      <c r="BJ364" s="24"/>
      <c r="BK364" s="28"/>
      <c r="BL364" s="28"/>
      <c r="BM364" s="28"/>
    </row>
    <row r="365" spans="1:65">
      <c r="A365" s="24"/>
      <c r="B365" s="28"/>
      <c r="C365" s="25"/>
      <c r="D365" s="26"/>
      <c r="E365" s="24"/>
      <c r="F365" s="24"/>
      <c r="G365" s="26"/>
      <c r="H365" s="26"/>
      <c r="I365" s="26"/>
      <c r="J365" s="26"/>
      <c r="K365" s="26"/>
      <c r="L365" s="26"/>
      <c r="M365" s="26"/>
      <c r="N365" s="26"/>
      <c r="O365" s="26"/>
      <c r="P365" s="26"/>
      <c r="R365" s="24"/>
      <c r="S365" s="26"/>
      <c r="T365" s="25"/>
      <c r="U365" s="24"/>
      <c r="V365" s="24"/>
      <c r="W365" s="24"/>
      <c r="X365" s="26"/>
      <c r="Y365" s="26"/>
      <c r="Z365" s="24"/>
      <c r="AA365" s="26"/>
      <c r="AB365" s="25"/>
      <c r="AC365" s="24"/>
      <c r="AD365" s="24"/>
      <c r="AE365" s="24"/>
      <c r="AF365" s="26"/>
      <c r="AG365" s="26"/>
      <c r="AH365" s="24"/>
      <c r="AI365" s="24"/>
      <c r="AJ365" s="24"/>
      <c r="AK365" s="28"/>
      <c r="AL365" s="28"/>
      <c r="AM365" s="28"/>
      <c r="AN365" s="28"/>
      <c r="AO365" s="28"/>
      <c r="AP365" s="28"/>
      <c r="AQ365" s="28"/>
      <c r="AR365" s="28"/>
      <c r="AS365" s="28"/>
      <c r="AT365" s="28"/>
      <c r="AU365" s="28"/>
      <c r="AV365" s="28"/>
      <c r="AW365" s="28"/>
      <c r="AX365" s="28"/>
      <c r="AY365" s="24"/>
      <c r="AZ365" s="28"/>
      <c r="BA365" s="28"/>
      <c r="BB365" s="28"/>
      <c r="BC365" s="28"/>
      <c r="BD365" s="28"/>
      <c r="BE365" s="28"/>
      <c r="BF365" s="24"/>
      <c r="BG365" s="28"/>
      <c r="BH365" s="28"/>
      <c r="BI365" s="28"/>
      <c r="BJ365" s="24"/>
      <c r="BK365" s="28"/>
      <c r="BL365" s="28"/>
      <c r="BM365" s="28"/>
    </row>
    <row r="366" spans="1:65">
      <c r="A366" s="24"/>
      <c r="B366" s="28"/>
      <c r="C366" s="25"/>
      <c r="D366" s="26"/>
      <c r="E366" s="24"/>
      <c r="F366" s="24"/>
      <c r="G366" s="26"/>
      <c r="H366" s="26"/>
      <c r="I366" s="26"/>
      <c r="J366" s="26"/>
      <c r="K366" s="26"/>
      <c r="L366" s="26"/>
      <c r="M366" s="26"/>
      <c r="N366" s="26"/>
      <c r="O366" s="26"/>
      <c r="P366" s="26"/>
      <c r="R366" s="24"/>
      <c r="S366" s="26"/>
      <c r="T366" s="25"/>
      <c r="U366" s="24"/>
      <c r="V366" s="24"/>
      <c r="W366" s="24"/>
      <c r="X366" s="26"/>
      <c r="Y366" s="26"/>
      <c r="Z366" s="24"/>
      <c r="AA366" s="26"/>
      <c r="AB366" s="25"/>
      <c r="AC366" s="24"/>
      <c r="AD366" s="24"/>
      <c r="AE366" s="24"/>
      <c r="AF366" s="26"/>
      <c r="AG366" s="26"/>
      <c r="AH366" s="24"/>
      <c r="AI366" s="24"/>
      <c r="AJ366" s="24"/>
      <c r="AK366" s="28"/>
      <c r="AL366" s="28"/>
      <c r="AM366" s="28"/>
      <c r="AN366" s="28"/>
      <c r="AO366" s="28"/>
      <c r="AP366" s="28"/>
      <c r="AQ366" s="28"/>
      <c r="AR366" s="28"/>
      <c r="AS366" s="28"/>
      <c r="AT366" s="28"/>
      <c r="AU366" s="28"/>
      <c r="AV366" s="28"/>
      <c r="AW366" s="28"/>
      <c r="AX366" s="28"/>
      <c r="AY366" s="24"/>
      <c r="AZ366" s="28"/>
      <c r="BA366" s="28"/>
      <c r="BB366" s="28"/>
      <c r="BC366" s="28"/>
      <c r="BD366" s="28"/>
      <c r="BE366" s="28"/>
      <c r="BF366" s="24"/>
      <c r="BG366" s="28"/>
      <c r="BH366" s="28"/>
      <c r="BI366" s="28"/>
      <c r="BJ366" s="24"/>
      <c r="BK366" s="28"/>
      <c r="BL366" s="28"/>
      <c r="BM366" s="28"/>
    </row>
    <row r="367" spans="1:65">
      <c r="A367" s="24"/>
      <c r="B367" s="28"/>
      <c r="C367" s="25"/>
      <c r="D367" s="26"/>
      <c r="E367" s="24"/>
      <c r="F367" s="24"/>
      <c r="G367" s="26"/>
      <c r="H367" s="26"/>
      <c r="I367" s="26"/>
      <c r="J367" s="26"/>
      <c r="K367" s="26"/>
      <c r="L367" s="26"/>
      <c r="M367" s="26"/>
      <c r="N367" s="26"/>
      <c r="O367" s="26"/>
      <c r="P367" s="26"/>
      <c r="R367" s="24"/>
      <c r="S367" s="26"/>
      <c r="T367" s="25"/>
      <c r="U367" s="24"/>
      <c r="V367" s="24"/>
      <c r="W367" s="24"/>
      <c r="X367" s="26"/>
      <c r="Y367" s="26"/>
      <c r="Z367" s="24"/>
      <c r="AA367" s="26"/>
      <c r="AB367" s="25"/>
      <c r="AC367" s="24"/>
      <c r="AD367" s="24"/>
      <c r="AE367" s="24"/>
      <c r="AF367" s="26"/>
      <c r="AG367" s="26"/>
      <c r="AH367" s="24"/>
      <c r="AI367" s="24"/>
      <c r="AJ367" s="24"/>
      <c r="AK367" s="28"/>
      <c r="AL367" s="28"/>
      <c r="AM367" s="28"/>
      <c r="AN367" s="28"/>
      <c r="AO367" s="28"/>
      <c r="AP367" s="28"/>
      <c r="AQ367" s="28"/>
      <c r="AR367" s="28"/>
      <c r="AS367" s="28"/>
      <c r="AT367" s="28"/>
      <c r="AU367" s="28"/>
      <c r="AV367" s="28"/>
      <c r="AW367" s="28"/>
      <c r="AX367" s="28"/>
      <c r="AY367" s="24"/>
      <c r="AZ367" s="28"/>
      <c r="BA367" s="28"/>
      <c r="BB367" s="28"/>
      <c r="BC367" s="28"/>
      <c r="BD367" s="28"/>
      <c r="BE367" s="28"/>
      <c r="BF367" s="24"/>
      <c r="BG367" s="28"/>
      <c r="BH367" s="28"/>
      <c r="BI367" s="28"/>
      <c r="BJ367" s="24"/>
      <c r="BK367" s="28"/>
      <c r="BL367" s="28"/>
      <c r="BM367" s="28"/>
    </row>
    <row r="368" spans="1:65">
      <c r="A368" s="24"/>
      <c r="B368" s="28"/>
      <c r="C368" s="25"/>
      <c r="D368" s="26"/>
      <c r="E368" s="24"/>
      <c r="F368" s="24"/>
      <c r="G368" s="26"/>
      <c r="H368" s="26"/>
      <c r="I368" s="26"/>
      <c r="J368" s="26"/>
      <c r="K368" s="26"/>
      <c r="L368" s="26"/>
      <c r="M368" s="26"/>
      <c r="N368" s="26"/>
      <c r="O368" s="26"/>
      <c r="P368" s="26"/>
      <c r="R368" s="24"/>
      <c r="S368" s="26"/>
      <c r="T368" s="25"/>
      <c r="U368" s="24"/>
      <c r="V368" s="24"/>
      <c r="W368" s="24"/>
      <c r="X368" s="26"/>
      <c r="Y368" s="26"/>
      <c r="Z368" s="24"/>
      <c r="AA368" s="26"/>
      <c r="AB368" s="25"/>
      <c r="AC368" s="24"/>
      <c r="AD368" s="24"/>
      <c r="AE368" s="24"/>
      <c r="AF368" s="26"/>
      <c r="AG368" s="26"/>
      <c r="AH368" s="24"/>
      <c r="AI368" s="24"/>
      <c r="AJ368" s="24"/>
      <c r="AK368" s="28"/>
      <c r="AL368" s="28"/>
      <c r="AM368" s="28"/>
      <c r="AN368" s="28"/>
      <c r="AO368" s="28"/>
      <c r="AP368" s="28"/>
      <c r="AQ368" s="28"/>
      <c r="AR368" s="28"/>
      <c r="AS368" s="28"/>
      <c r="AT368" s="28"/>
      <c r="AU368" s="28"/>
      <c r="AV368" s="28"/>
      <c r="AW368" s="28"/>
      <c r="AX368" s="28"/>
      <c r="AY368" s="24"/>
      <c r="AZ368" s="28"/>
      <c r="BA368" s="28"/>
      <c r="BB368" s="28"/>
      <c r="BC368" s="28"/>
      <c r="BD368" s="28"/>
      <c r="BE368" s="28"/>
      <c r="BF368" s="24"/>
      <c r="BG368" s="28"/>
      <c r="BH368" s="28"/>
      <c r="BI368" s="28"/>
      <c r="BJ368" s="24"/>
      <c r="BK368" s="28"/>
      <c r="BL368" s="28"/>
      <c r="BM368" s="28"/>
    </row>
    <row r="369" spans="1:65">
      <c r="A369" s="24"/>
      <c r="B369" s="28"/>
      <c r="C369" s="25"/>
      <c r="D369" s="26"/>
      <c r="E369" s="24"/>
      <c r="F369" s="24"/>
      <c r="G369" s="26"/>
      <c r="H369" s="26"/>
      <c r="I369" s="26"/>
      <c r="J369" s="26"/>
      <c r="K369" s="26"/>
      <c r="L369" s="26"/>
      <c r="M369" s="26"/>
      <c r="N369" s="26"/>
      <c r="O369" s="26"/>
      <c r="P369" s="26"/>
      <c r="R369" s="24"/>
      <c r="S369" s="26"/>
      <c r="T369" s="25"/>
      <c r="U369" s="24"/>
      <c r="V369" s="24"/>
      <c r="W369" s="24"/>
      <c r="X369" s="26"/>
      <c r="Y369" s="26"/>
      <c r="Z369" s="24"/>
      <c r="AA369" s="26"/>
      <c r="AB369" s="25"/>
      <c r="AC369" s="24"/>
      <c r="AD369" s="24"/>
      <c r="AE369" s="24"/>
      <c r="AF369" s="26"/>
      <c r="AG369" s="26"/>
      <c r="AH369" s="24"/>
      <c r="AI369" s="24"/>
      <c r="AJ369" s="24"/>
      <c r="AK369" s="28"/>
      <c r="AL369" s="28"/>
      <c r="AM369" s="28"/>
      <c r="AN369" s="28"/>
      <c r="AO369" s="28"/>
      <c r="AP369" s="28"/>
      <c r="AQ369" s="28"/>
      <c r="AR369" s="28"/>
      <c r="AS369" s="28"/>
      <c r="AT369" s="28"/>
      <c r="AU369" s="28"/>
      <c r="AV369" s="28"/>
      <c r="AW369" s="28"/>
      <c r="AX369" s="28"/>
      <c r="AY369" s="24"/>
      <c r="AZ369" s="28"/>
      <c r="BA369" s="28"/>
      <c r="BB369" s="28"/>
      <c r="BC369" s="28"/>
      <c r="BD369" s="28"/>
      <c r="BE369" s="28"/>
      <c r="BF369" s="24"/>
      <c r="BG369" s="28"/>
      <c r="BH369" s="28"/>
      <c r="BI369" s="28"/>
      <c r="BJ369" s="24"/>
      <c r="BK369" s="28"/>
      <c r="BL369" s="28"/>
      <c r="BM369" s="28"/>
    </row>
    <row r="370" spans="1:65">
      <c r="A370" s="24"/>
      <c r="B370" s="28"/>
      <c r="C370" s="25"/>
      <c r="D370" s="26"/>
      <c r="E370" s="24"/>
      <c r="F370" s="24"/>
      <c r="G370" s="26"/>
      <c r="H370" s="26"/>
      <c r="I370" s="26"/>
      <c r="J370" s="26"/>
      <c r="K370" s="26"/>
      <c r="L370" s="26"/>
      <c r="M370" s="26"/>
      <c r="N370" s="26"/>
      <c r="O370" s="26"/>
      <c r="P370" s="26"/>
      <c r="R370" s="24"/>
      <c r="S370" s="26"/>
      <c r="T370" s="25"/>
      <c r="U370" s="24"/>
      <c r="V370" s="24"/>
      <c r="W370" s="24"/>
      <c r="X370" s="26"/>
      <c r="Y370" s="26"/>
      <c r="Z370" s="24"/>
      <c r="AA370" s="26"/>
      <c r="AB370" s="25"/>
      <c r="AC370" s="24"/>
      <c r="AD370" s="24"/>
      <c r="AE370" s="24"/>
      <c r="AF370" s="26"/>
      <c r="AG370" s="26"/>
      <c r="AH370" s="24"/>
      <c r="AI370" s="24"/>
      <c r="AJ370" s="24"/>
      <c r="AK370" s="28"/>
      <c r="AL370" s="28"/>
      <c r="AM370" s="28"/>
      <c r="AN370" s="28"/>
      <c r="AO370" s="28"/>
      <c r="AP370" s="28"/>
      <c r="AQ370" s="28"/>
      <c r="AR370" s="28"/>
      <c r="AS370" s="28"/>
      <c r="AT370" s="28"/>
      <c r="AU370" s="28"/>
      <c r="AV370" s="28"/>
      <c r="AW370" s="28"/>
      <c r="AX370" s="28"/>
      <c r="AY370" s="24"/>
      <c r="AZ370" s="28"/>
      <c r="BA370" s="28"/>
      <c r="BB370" s="28"/>
      <c r="BC370" s="28"/>
      <c r="BD370" s="28"/>
      <c r="BE370" s="28"/>
      <c r="BF370" s="24"/>
      <c r="BG370" s="28"/>
      <c r="BH370" s="28"/>
      <c r="BI370" s="28"/>
      <c r="BJ370" s="24"/>
      <c r="BK370" s="28"/>
      <c r="BL370" s="28"/>
      <c r="BM370" s="28"/>
    </row>
    <row r="371" spans="1:65">
      <c r="A371" s="24"/>
      <c r="B371" s="28"/>
      <c r="C371" s="25"/>
      <c r="D371" s="26"/>
      <c r="E371" s="24"/>
      <c r="F371" s="24"/>
      <c r="G371" s="26"/>
      <c r="H371" s="26"/>
      <c r="I371" s="26"/>
      <c r="J371" s="26"/>
      <c r="K371" s="26"/>
      <c r="L371" s="26"/>
      <c r="M371" s="26"/>
      <c r="N371" s="26"/>
      <c r="O371" s="26"/>
      <c r="P371" s="26"/>
      <c r="R371" s="24"/>
      <c r="S371" s="26"/>
      <c r="T371" s="25"/>
      <c r="U371" s="24"/>
      <c r="V371" s="24"/>
      <c r="W371" s="24"/>
      <c r="X371" s="26"/>
      <c r="Y371" s="26"/>
      <c r="Z371" s="24"/>
      <c r="AA371" s="26"/>
      <c r="AB371" s="25"/>
      <c r="AC371" s="24"/>
      <c r="AD371" s="24"/>
      <c r="AE371" s="24"/>
      <c r="AF371" s="26"/>
      <c r="AG371" s="26"/>
      <c r="AH371" s="24"/>
      <c r="AI371" s="24"/>
      <c r="AJ371" s="24"/>
      <c r="AK371" s="28"/>
      <c r="AL371" s="28"/>
      <c r="AM371" s="28"/>
      <c r="AN371" s="28"/>
      <c r="AO371" s="28"/>
      <c r="AP371" s="28"/>
      <c r="AQ371" s="28"/>
      <c r="AR371" s="28"/>
      <c r="AS371" s="28"/>
      <c r="AT371" s="28"/>
      <c r="AU371" s="28"/>
      <c r="AV371" s="28"/>
      <c r="AW371" s="28"/>
      <c r="AX371" s="28"/>
      <c r="AY371" s="24"/>
      <c r="AZ371" s="28"/>
      <c r="BA371" s="28"/>
      <c r="BB371" s="28"/>
      <c r="BC371" s="28"/>
      <c r="BD371" s="28"/>
      <c r="BE371" s="28"/>
      <c r="BF371" s="24"/>
      <c r="BG371" s="28"/>
      <c r="BH371" s="28"/>
      <c r="BI371" s="28"/>
      <c r="BJ371" s="24"/>
      <c r="BK371" s="28"/>
      <c r="BL371" s="28"/>
      <c r="BM371" s="28"/>
    </row>
    <row r="372" spans="1:65">
      <c r="A372" s="24"/>
      <c r="B372" s="28"/>
      <c r="C372" s="25"/>
      <c r="D372" s="26"/>
      <c r="E372" s="24"/>
      <c r="F372" s="24"/>
      <c r="G372" s="26"/>
      <c r="H372" s="26"/>
      <c r="I372" s="26"/>
      <c r="J372" s="26"/>
      <c r="K372" s="26"/>
      <c r="L372" s="26"/>
      <c r="M372" s="26"/>
      <c r="N372" s="26"/>
      <c r="O372" s="26"/>
      <c r="P372" s="26"/>
      <c r="R372" s="24"/>
      <c r="S372" s="26"/>
      <c r="T372" s="25"/>
      <c r="U372" s="24"/>
      <c r="V372" s="24"/>
      <c r="W372" s="24"/>
      <c r="X372" s="26"/>
      <c r="Y372" s="26"/>
      <c r="Z372" s="24"/>
      <c r="AA372" s="26"/>
      <c r="AB372" s="25"/>
      <c r="AC372" s="24"/>
      <c r="AD372" s="24"/>
      <c r="AE372" s="24"/>
      <c r="AF372" s="26"/>
      <c r="AG372" s="26"/>
      <c r="AH372" s="24"/>
      <c r="AI372" s="24"/>
      <c r="AJ372" s="24"/>
      <c r="AK372" s="28"/>
      <c r="AL372" s="28"/>
      <c r="AM372" s="28"/>
      <c r="AN372" s="28"/>
      <c r="AO372" s="28"/>
      <c r="AP372" s="28"/>
      <c r="AQ372" s="28"/>
      <c r="AR372" s="28"/>
      <c r="AS372" s="28"/>
      <c r="AT372" s="28"/>
      <c r="AU372" s="28"/>
      <c r="AV372" s="28"/>
      <c r="AW372" s="28"/>
      <c r="AX372" s="28"/>
      <c r="AY372" s="24"/>
      <c r="AZ372" s="28"/>
      <c r="BA372" s="28"/>
      <c r="BB372" s="28"/>
      <c r="BC372" s="28"/>
      <c r="BD372" s="28"/>
      <c r="BE372" s="28"/>
      <c r="BF372" s="24"/>
      <c r="BG372" s="28"/>
      <c r="BH372" s="28"/>
      <c r="BI372" s="28"/>
      <c r="BJ372" s="24"/>
      <c r="BK372" s="28"/>
      <c r="BL372" s="28"/>
      <c r="BM372" s="28"/>
    </row>
    <row r="373" spans="1:65">
      <c r="A373" s="24"/>
      <c r="B373" s="28"/>
      <c r="C373" s="25"/>
      <c r="D373" s="26"/>
      <c r="E373" s="24"/>
      <c r="F373" s="24"/>
      <c r="G373" s="26"/>
      <c r="H373" s="26"/>
      <c r="I373" s="26"/>
      <c r="J373" s="26"/>
      <c r="K373" s="26"/>
      <c r="L373" s="26"/>
      <c r="M373" s="26"/>
      <c r="N373" s="26"/>
      <c r="O373" s="26"/>
      <c r="P373" s="26"/>
      <c r="R373" s="24"/>
      <c r="S373" s="26"/>
      <c r="T373" s="25"/>
      <c r="U373" s="24"/>
      <c r="V373" s="24"/>
      <c r="W373" s="24"/>
      <c r="X373" s="26"/>
      <c r="Y373" s="26"/>
      <c r="Z373" s="24"/>
      <c r="AA373" s="26"/>
      <c r="AB373" s="25"/>
      <c r="AC373" s="24"/>
      <c r="AD373" s="24"/>
      <c r="AE373" s="24"/>
      <c r="AF373" s="26"/>
      <c r="AG373" s="26"/>
      <c r="AH373" s="24"/>
      <c r="AI373" s="24"/>
      <c r="AJ373" s="24"/>
      <c r="AK373" s="28"/>
      <c r="AL373" s="28"/>
      <c r="AM373" s="28"/>
      <c r="AN373" s="28"/>
      <c r="AO373" s="28"/>
      <c r="AP373" s="28"/>
      <c r="AQ373" s="28"/>
      <c r="AR373" s="28"/>
      <c r="AS373" s="28"/>
      <c r="AT373" s="28"/>
      <c r="AU373" s="28"/>
      <c r="AV373" s="28"/>
      <c r="AW373" s="28"/>
      <c r="AX373" s="28"/>
      <c r="AY373" s="24"/>
      <c r="AZ373" s="28"/>
      <c r="BA373" s="28"/>
      <c r="BB373" s="28"/>
      <c r="BC373" s="28"/>
      <c r="BD373" s="28"/>
      <c r="BE373" s="28"/>
      <c r="BF373" s="24"/>
      <c r="BG373" s="28"/>
      <c r="BH373" s="28"/>
      <c r="BI373" s="28"/>
      <c r="BJ373" s="24"/>
      <c r="BK373" s="28"/>
      <c r="BL373" s="28"/>
      <c r="BM373" s="28"/>
    </row>
    <row r="374" spans="1:65">
      <c r="A374" s="24"/>
      <c r="B374" s="28"/>
      <c r="C374" s="25"/>
      <c r="D374" s="26"/>
      <c r="E374" s="24"/>
      <c r="F374" s="24"/>
      <c r="G374" s="26"/>
      <c r="H374" s="26"/>
      <c r="I374" s="26"/>
      <c r="J374" s="26"/>
      <c r="K374" s="26"/>
      <c r="L374" s="26"/>
      <c r="M374" s="26"/>
      <c r="N374" s="26"/>
      <c r="O374" s="26"/>
      <c r="P374" s="26"/>
      <c r="R374" s="24"/>
      <c r="S374" s="26"/>
      <c r="T374" s="25"/>
      <c r="U374" s="24"/>
      <c r="V374" s="24"/>
      <c r="W374" s="24"/>
      <c r="X374" s="26"/>
      <c r="Y374" s="26"/>
      <c r="Z374" s="24"/>
      <c r="AA374" s="26"/>
      <c r="AB374" s="25"/>
      <c r="AC374" s="24"/>
      <c r="AD374" s="24"/>
      <c r="AE374" s="24"/>
      <c r="AF374" s="26"/>
      <c r="AG374" s="26"/>
      <c r="AH374" s="24"/>
      <c r="AI374" s="24"/>
      <c r="AJ374" s="24"/>
      <c r="AK374" s="28"/>
      <c r="AL374" s="28"/>
      <c r="AM374" s="28"/>
      <c r="AN374" s="28"/>
      <c r="AO374" s="28"/>
      <c r="AP374" s="28"/>
      <c r="AQ374" s="28"/>
      <c r="AR374" s="28"/>
      <c r="AS374" s="28"/>
      <c r="AT374" s="28"/>
      <c r="AU374" s="28"/>
      <c r="AV374" s="28"/>
      <c r="AW374" s="28"/>
      <c r="AX374" s="28"/>
      <c r="AY374" s="24"/>
      <c r="AZ374" s="28"/>
      <c r="BA374" s="28"/>
      <c r="BB374" s="28"/>
      <c r="BC374" s="28"/>
      <c r="BD374" s="28"/>
      <c r="BE374" s="28"/>
      <c r="BF374" s="24"/>
      <c r="BG374" s="28"/>
      <c r="BH374" s="28"/>
      <c r="BI374" s="28"/>
      <c r="BJ374" s="24"/>
      <c r="BK374" s="28"/>
      <c r="BL374" s="28"/>
      <c r="BM374" s="28"/>
    </row>
    <row r="375" spans="1:65">
      <c r="A375" s="24"/>
      <c r="B375" s="28"/>
      <c r="C375" s="25"/>
      <c r="D375" s="26"/>
      <c r="E375" s="24"/>
      <c r="F375" s="24"/>
      <c r="G375" s="26"/>
      <c r="H375" s="26"/>
      <c r="I375" s="26"/>
      <c r="J375" s="26"/>
      <c r="K375" s="26"/>
      <c r="L375" s="26"/>
      <c r="M375" s="26"/>
      <c r="N375" s="26"/>
      <c r="O375" s="26"/>
      <c r="P375" s="26"/>
      <c r="R375" s="24"/>
      <c r="S375" s="26"/>
      <c r="T375" s="25"/>
      <c r="U375" s="24"/>
      <c r="V375" s="24"/>
      <c r="W375" s="24"/>
      <c r="X375" s="26"/>
      <c r="Y375" s="26"/>
      <c r="Z375" s="24"/>
      <c r="AA375" s="26"/>
      <c r="AB375" s="25"/>
      <c r="AC375" s="24"/>
      <c r="AD375" s="24"/>
      <c r="AE375" s="24"/>
      <c r="AF375" s="26"/>
      <c r="AG375" s="26"/>
      <c r="AH375" s="24"/>
      <c r="AI375" s="24"/>
      <c r="AJ375" s="24"/>
      <c r="AK375" s="28"/>
      <c r="AL375" s="28"/>
      <c r="AM375" s="28"/>
      <c r="AN375" s="28"/>
      <c r="AO375" s="28"/>
      <c r="AP375" s="28"/>
      <c r="AQ375" s="28"/>
      <c r="AR375" s="28"/>
      <c r="AS375" s="28"/>
      <c r="AT375" s="28"/>
      <c r="AU375" s="28"/>
      <c r="AV375" s="28"/>
      <c r="AW375" s="28"/>
      <c r="AX375" s="28"/>
      <c r="AY375" s="24"/>
      <c r="AZ375" s="28"/>
      <c r="BA375" s="28"/>
      <c r="BB375" s="28"/>
      <c r="BC375" s="28"/>
      <c r="BD375" s="28"/>
      <c r="BE375" s="28"/>
      <c r="BF375" s="24"/>
      <c r="BG375" s="28"/>
      <c r="BH375" s="28"/>
      <c r="BI375" s="28"/>
      <c r="BJ375" s="24"/>
      <c r="BK375" s="28"/>
      <c r="BL375" s="28"/>
      <c r="BM375" s="28"/>
    </row>
    <row r="376" spans="1:65">
      <c r="A376" s="24"/>
      <c r="B376" s="28"/>
      <c r="C376" s="25"/>
      <c r="D376" s="26"/>
      <c r="E376" s="24"/>
      <c r="F376" s="24"/>
      <c r="G376" s="26"/>
      <c r="H376" s="26"/>
      <c r="I376" s="26"/>
      <c r="J376" s="26"/>
      <c r="K376" s="26"/>
      <c r="L376" s="26"/>
      <c r="M376" s="26"/>
      <c r="N376" s="26"/>
      <c r="O376" s="26"/>
      <c r="P376" s="26"/>
      <c r="R376" s="24"/>
      <c r="S376" s="26"/>
      <c r="T376" s="25"/>
      <c r="U376" s="24"/>
      <c r="V376" s="24"/>
      <c r="W376" s="24"/>
      <c r="X376" s="26"/>
      <c r="Y376" s="26"/>
      <c r="Z376" s="24"/>
      <c r="AA376" s="26"/>
      <c r="AB376" s="25"/>
      <c r="AC376" s="24"/>
      <c r="AD376" s="24"/>
      <c r="AE376" s="24"/>
      <c r="AF376" s="26"/>
      <c r="AG376" s="26"/>
      <c r="AH376" s="24"/>
      <c r="AI376" s="24"/>
      <c r="AJ376" s="24"/>
      <c r="AK376" s="28"/>
      <c r="AL376" s="28"/>
      <c r="AM376" s="28"/>
      <c r="AN376" s="28"/>
      <c r="AO376" s="28"/>
      <c r="AP376" s="28"/>
      <c r="AQ376" s="28"/>
      <c r="AR376" s="28"/>
      <c r="AS376" s="28"/>
      <c r="AT376" s="28"/>
      <c r="AU376" s="28"/>
      <c r="AV376" s="28"/>
      <c r="AW376" s="28"/>
      <c r="AX376" s="28"/>
      <c r="AY376" s="24"/>
      <c r="AZ376" s="28"/>
      <c r="BA376" s="28"/>
      <c r="BB376" s="28"/>
      <c r="BC376" s="28"/>
      <c r="BD376" s="28"/>
      <c r="BE376" s="28"/>
      <c r="BF376" s="24"/>
      <c r="BG376" s="28"/>
      <c r="BH376" s="28"/>
      <c r="BI376" s="28"/>
      <c r="BJ376" s="24"/>
      <c r="BK376" s="28"/>
      <c r="BL376" s="28"/>
      <c r="BM376" s="28"/>
    </row>
    <row r="377" spans="1:65">
      <c r="A377" s="24"/>
      <c r="B377" s="28"/>
      <c r="C377" s="25"/>
      <c r="D377" s="26"/>
      <c r="E377" s="24"/>
      <c r="F377" s="24"/>
      <c r="G377" s="26"/>
      <c r="H377" s="26"/>
      <c r="I377" s="26"/>
      <c r="J377" s="26"/>
      <c r="K377" s="26"/>
      <c r="L377" s="26"/>
      <c r="M377" s="26"/>
      <c r="N377" s="26"/>
      <c r="O377" s="26"/>
      <c r="P377" s="26"/>
      <c r="R377" s="24"/>
      <c r="S377" s="26"/>
      <c r="T377" s="25"/>
      <c r="U377" s="24"/>
      <c r="V377" s="24"/>
      <c r="W377" s="24"/>
      <c r="X377" s="26"/>
      <c r="Y377" s="26"/>
      <c r="Z377" s="24"/>
      <c r="AA377" s="26"/>
      <c r="AB377" s="25"/>
      <c r="AC377" s="24"/>
      <c r="AD377" s="24"/>
      <c r="AE377" s="24"/>
      <c r="AF377" s="26"/>
      <c r="AG377" s="26"/>
      <c r="AH377" s="24"/>
      <c r="AI377" s="24"/>
      <c r="AJ377" s="24"/>
      <c r="AK377" s="28"/>
      <c r="AL377" s="28"/>
      <c r="AM377" s="28"/>
      <c r="AN377" s="28"/>
      <c r="AO377" s="28"/>
      <c r="AP377" s="28"/>
      <c r="AQ377" s="28"/>
      <c r="AR377" s="28"/>
      <c r="AS377" s="28"/>
      <c r="AT377" s="28"/>
      <c r="AU377" s="28"/>
      <c r="AV377" s="28"/>
      <c r="AW377" s="28"/>
      <c r="AX377" s="28"/>
      <c r="AY377" s="24"/>
      <c r="AZ377" s="28"/>
      <c r="BA377" s="28"/>
      <c r="BB377" s="28"/>
      <c r="BC377" s="28"/>
      <c r="BD377" s="28"/>
      <c r="BE377" s="28"/>
      <c r="BF377" s="24"/>
      <c r="BG377" s="28"/>
      <c r="BH377" s="28"/>
      <c r="BI377" s="28"/>
      <c r="BJ377" s="24"/>
      <c r="BK377" s="28"/>
      <c r="BL377" s="28"/>
      <c r="BM377" s="28"/>
    </row>
    <row r="378" spans="1:65">
      <c r="A378" s="24"/>
      <c r="B378" s="28"/>
      <c r="C378" s="25"/>
      <c r="D378" s="26"/>
      <c r="E378" s="24"/>
      <c r="F378" s="24"/>
      <c r="G378" s="26"/>
      <c r="H378" s="26"/>
      <c r="I378" s="26"/>
      <c r="J378" s="26"/>
      <c r="K378" s="26"/>
      <c r="L378" s="26"/>
      <c r="M378" s="26"/>
      <c r="N378" s="26"/>
      <c r="O378" s="26"/>
      <c r="P378" s="26"/>
      <c r="R378" s="24"/>
      <c r="S378" s="26"/>
      <c r="T378" s="25"/>
      <c r="U378" s="24"/>
      <c r="V378" s="24"/>
      <c r="W378" s="24"/>
      <c r="X378" s="26"/>
      <c r="Y378" s="26"/>
      <c r="Z378" s="24"/>
      <c r="AA378" s="26"/>
      <c r="AB378" s="25"/>
      <c r="AC378" s="24"/>
      <c r="AD378" s="24"/>
      <c r="AE378" s="24"/>
      <c r="AF378" s="26"/>
      <c r="AG378" s="26"/>
      <c r="AH378" s="24"/>
      <c r="AI378" s="24"/>
      <c r="AJ378" s="24"/>
      <c r="AK378" s="28"/>
      <c r="AL378" s="28"/>
      <c r="AM378" s="28"/>
      <c r="AN378" s="28"/>
      <c r="AO378" s="28"/>
      <c r="AP378" s="28"/>
      <c r="AQ378" s="28"/>
      <c r="AR378" s="28"/>
      <c r="AS378" s="28"/>
      <c r="AT378" s="28"/>
      <c r="AU378" s="28"/>
      <c r="AV378" s="28"/>
      <c r="AW378" s="28"/>
      <c r="AX378" s="28"/>
      <c r="AY378" s="24"/>
      <c r="AZ378" s="28"/>
      <c r="BA378" s="28"/>
      <c r="BB378" s="28"/>
      <c r="BC378" s="28"/>
      <c r="BD378" s="28"/>
      <c r="BE378" s="28"/>
      <c r="BF378" s="24"/>
      <c r="BG378" s="28"/>
      <c r="BH378" s="28"/>
      <c r="BI378" s="28"/>
      <c r="BJ378" s="24"/>
      <c r="BK378" s="28"/>
      <c r="BL378" s="28"/>
      <c r="BM378" s="28"/>
    </row>
    <row r="379" spans="1:65">
      <c r="A379" s="24"/>
      <c r="B379" s="28"/>
      <c r="C379" s="25"/>
      <c r="D379" s="26"/>
      <c r="E379" s="24"/>
      <c r="F379" s="24"/>
      <c r="G379" s="26"/>
      <c r="H379" s="26"/>
      <c r="I379" s="26"/>
      <c r="J379" s="26"/>
      <c r="K379" s="26"/>
      <c r="L379" s="26"/>
      <c r="M379" s="26"/>
      <c r="N379" s="26"/>
      <c r="O379" s="26"/>
      <c r="P379" s="26"/>
      <c r="R379" s="24"/>
      <c r="S379" s="26"/>
      <c r="T379" s="25"/>
      <c r="U379" s="24"/>
      <c r="V379" s="24"/>
      <c r="W379" s="24"/>
      <c r="X379" s="26"/>
      <c r="Y379" s="26"/>
      <c r="Z379" s="24"/>
      <c r="AA379" s="26"/>
      <c r="AB379" s="25"/>
      <c r="AC379" s="24"/>
      <c r="AD379" s="24"/>
      <c r="AE379" s="24"/>
      <c r="AF379" s="26"/>
      <c r="AG379" s="26"/>
      <c r="AH379" s="24"/>
      <c r="AI379" s="24"/>
      <c r="AJ379" s="24"/>
      <c r="AK379" s="28"/>
      <c r="AL379" s="28"/>
      <c r="AM379" s="28"/>
      <c r="AN379" s="28"/>
      <c r="AO379" s="28"/>
      <c r="AP379" s="28"/>
      <c r="AQ379" s="28"/>
      <c r="AR379" s="28"/>
      <c r="AS379" s="28"/>
      <c r="AT379" s="28"/>
      <c r="AU379" s="28"/>
      <c r="AV379" s="28"/>
      <c r="AW379" s="28"/>
      <c r="AX379" s="28"/>
      <c r="AY379" s="24"/>
      <c r="AZ379" s="28"/>
      <c r="BA379" s="28"/>
      <c r="BB379" s="28"/>
      <c r="BC379" s="28"/>
      <c r="BD379" s="28"/>
      <c r="BE379" s="28"/>
      <c r="BF379" s="24"/>
      <c r="BG379" s="28"/>
      <c r="BH379" s="28"/>
      <c r="BI379" s="28"/>
      <c r="BJ379" s="24"/>
      <c r="BK379" s="28"/>
      <c r="BL379" s="28"/>
      <c r="BM379" s="28"/>
    </row>
    <row r="380" spans="1:65">
      <c r="A380" s="24"/>
      <c r="B380" s="28"/>
      <c r="C380" s="25"/>
      <c r="D380" s="26"/>
      <c r="E380" s="24"/>
      <c r="F380" s="24"/>
      <c r="G380" s="26"/>
      <c r="H380" s="26"/>
      <c r="I380" s="26"/>
      <c r="J380" s="26"/>
      <c r="K380" s="26"/>
      <c r="L380" s="26"/>
      <c r="M380" s="26"/>
      <c r="N380" s="26"/>
      <c r="O380" s="26"/>
      <c r="P380" s="26"/>
      <c r="R380" s="24"/>
      <c r="S380" s="26"/>
      <c r="T380" s="25"/>
      <c r="U380" s="24"/>
      <c r="V380" s="24"/>
      <c r="W380" s="24"/>
      <c r="X380" s="26"/>
      <c r="Y380" s="26"/>
      <c r="Z380" s="24"/>
      <c r="AA380" s="26"/>
      <c r="AB380" s="25"/>
      <c r="AC380" s="24"/>
      <c r="AD380" s="24"/>
      <c r="AE380" s="24"/>
      <c r="AF380" s="26"/>
      <c r="AG380" s="26"/>
      <c r="AH380" s="24"/>
      <c r="AI380" s="24"/>
      <c r="AJ380" s="24"/>
      <c r="AK380" s="28"/>
      <c r="AL380" s="28"/>
      <c r="AM380" s="28"/>
      <c r="AN380" s="28"/>
      <c r="AO380" s="28"/>
      <c r="AP380" s="28"/>
      <c r="AQ380" s="28"/>
      <c r="AR380" s="28"/>
      <c r="AS380" s="28"/>
      <c r="AT380" s="28"/>
      <c r="AU380" s="28"/>
      <c r="AV380" s="28"/>
      <c r="AW380" s="28"/>
      <c r="AX380" s="28"/>
      <c r="AY380" s="24"/>
      <c r="AZ380" s="28"/>
      <c r="BA380" s="28"/>
      <c r="BB380" s="28"/>
      <c r="BC380" s="28"/>
      <c r="BD380" s="28"/>
      <c r="BE380" s="28"/>
      <c r="BF380" s="24"/>
      <c r="BG380" s="28"/>
      <c r="BH380" s="28"/>
      <c r="BI380" s="28"/>
      <c r="BJ380" s="24"/>
      <c r="BK380" s="28"/>
      <c r="BL380" s="28"/>
      <c r="BM380" s="28"/>
    </row>
    <row r="381" spans="1:65">
      <c r="A381" s="24"/>
      <c r="B381" s="28"/>
      <c r="C381" s="25"/>
      <c r="D381" s="26"/>
      <c r="E381" s="24"/>
      <c r="F381" s="24"/>
      <c r="G381" s="26"/>
      <c r="H381" s="26"/>
      <c r="I381" s="26"/>
      <c r="J381" s="26"/>
      <c r="K381" s="26"/>
      <c r="L381" s="26"/>
      <c r="M381" s="26"/>
      <c r="N381" s="26"/>
      <c r="O381" s="26"/>
      <c r="P381" s="26"/>
      <c r="R381" s="24"/>
      <c r="S381" s="26"/>
      <c r="T381" s="25"/>
      <c r="U381" s="24"/>
      <c r="V381" s="24"/>
      <c r="W381" s="24"/>
      <c r="X381" s="26"/>
      <c r="Y381" s="26"/>
      <c r="Z381" s="24"/>
      <c r="AA381" s="26"/>
      <c r="AB381" s="25"/>
      <c r="AC381" s="24"/>
      <c r="AD381" s="24"/>
      <c r="AE381" s="24"/>
      <c r="AF381" s="26"/>
      <c r="AG381" s="26"/>
      <c r="AH381" s="24"/>
      <c r="AI381" s="24"/>
      <c r="AJ381" s="24"/>
      <c r="AK381" s="28"/>
      <c r="AL381" s="28"/>
      <c r="AM381" s="28"/>
      <c r="AN381" s="28"/>
      <c r="AO381" s="28"/>
      <c r="AP381" s="28"/>
      <c r="AQ381" s="28"/>
      <c r="AR381" s="28"/>
      <c r="AS381" s="28"/>
      <c r="AT381" s="28"/>
      <c r="AU381" s="28"/>
      <c r="AV381" s="28"/>
      <c r="AW381" s="28"/>
      <c r="AX381" s="28"/>
      <c r="AY381" s="24"/>
      <c r="AZ381" s="28"/>
      <c r="BA381" s="28"/>
      <c r="BB381" s="28"/>
      <c r="BC381" s="28"/>
      <c r="BD381" s="28"/>
      <c r="BE381" s="28"/>
      <c r="BF381" s="24"/>
      <c r="BG381" s="28"/>
      <c r="BH381" s="28"/>
      <c r="BI381" s="28"/>
      <c r="BJ381" s="24"/>
      <c r="BK381" s="28"/>
      <c r="BL381" s="28"/>
      <c r="BM381" s="28"/>
    </row>
    <row r="382" spans="1:65">
      <c r="A382" s="24"/>
      <c r="B382" s="28"/>
      <c r="C382" s="25"/>
      <c r="D382" s="26"/>
      <c r="E382" s="24"/>
      <c r="F382" s="24"/>
      <c r="G382" s="26"/>
      <c r="H382" s="26"/>
      <c r="I382" s="26"/>
      <c r="J382" s="26"/>
      <c r="K382" s="26"/>
      <c r="L382" s="26"/>
      <c r="M382" s="26"/>
      <c r="N382" s="26"/>
      <c r="O382" s="26"/>
      <c r="P382" s="26"/>
      <c r="R382" s="24"/>
      <c r="S382" s="26"/>
      <c r="T382" s="25"/>
      <c r="U382" s="24"/>
      <c r="V382" s="24"/>
      <c r="W382" s="24"/>
      <c r="X382" s="26"/>
      <c r="Y382" s="26"/>
      <c r="Z382" s="24"/>
      <c r="AA382" s="26"/>
      <c r="AB382" s="25"/>
      <c r="AC382" s="24"/>
      <c r="AD382" s="24"/>
      <c r="AE382" s="24"/>
      <c r="AF382" s="26"/>
      <c r="AG382" s="26"/>
      <c r="AH382" s="24"/>
      <c r="AI382" s="24"/>
      <c r="AJ382" s="24"/>
      <c r="AK382" s="28"/>
      <c r="AL382" s="28"/>
      <c r="AM382" s="28"/>
      <c r="AN382" s="28"/>
      <c r="AO382" s="28"/>
      <c r="AP382" s="28"/>
      <c r="AQ382" s="28"/>
      <c r="AR382" s="28"/>
      <c r="AS382" s="28"/>
      <c r="AT382" s="28"/>
      <c r="AU382" s="28"/>
      <c r="AV382" s="28"/>
      <c r="AW382" s="28"/>
      <c r="AX382" s="28"/>
      <c r="AY382" s="24"/>
      <c r="AZ382" s="28"/>
      <c r="BA382" s="28"/>
      <c r="BB382" s="28"/>
      <c r="BC382" s="28"/>
      <c r="BD382" s="28"/>
      <c r="BE382" s="28"/>
      <c r="BF382" s="24"/>
      <c r="BG382" s="28"/>
      <c r="BH382" s="28"/>
      <c r="BI382" s="28"/>
      <c r="BJ382" s="24"/>
      <c r="BK382" s="28"/>
      <c r="BL382" s="28"/>
      <c r="BM382" s="28"/>
    </row>
    <row r="383" spans="1:65">
      <c r="A383" s="24"/>
      <c r="B383" s="28"/>
      <c r="C383" s="25"/>
      <c r="D383" s="26"/>
      <c r="E383" s="24"/>
      <c r="F383" s="24"/>
      <c r="G383" s="26"/>
      <c r="H383" s="26"/>
      <c r="I383" s="26"/>
      <c r="J383" s="26"/>
      <c r="K383" s="26"/>
      <c r="L383" s="26"/>
      <c r="M383" s="26"/>
      <c r="N383" s="26"/>
      <c r="O383" s="26"/>
      <c r="P383" s="26"/>
      <c r="R383" s="24"/>
      <c r="S383" s="26"/>
      <c r="T383" s="25"/>
      <c r="U383" s="24"/>
      <c r="V383" s="24"/>
      <c r="W383" s="24"/>
      <c r="X383" s="26"/>
      <c r="Y383" s="26"/>
      <c r="Z383" s="24"/>
      <c r="AA383" s="26"/>
      <c r="AB383" s="25"/>
      <c r="AC383" s="24"/>
      <c r="AD383" s="24"/>
      <c r="AE383" s="24"/>
      <c r="AF383" s="26"/>
      <c r="AG383" s="26"/>
      <c r="AH383" s="24"/>
      <c r="AI383" s="24"/>
      <c r="AJ383" s="24"/>
      <c r="AK383" s="28"/>
      <c r="AL383" s="28"/>
      <c r="AM383" s="28"/>
      <c r="AN383" s="28"/>
      <c r="AO383" s="28"/>
      <c r="AP383" s="28"/>
      <c r="AQ383" s="28"/>
      <c r="AR383" s="28"/>
      <c r="AS383" s="28"/>
      <c r="AT383" s="28"/>
      <c r="AU383" s="28"/>
      <c r="AV383" s="28"/>
      <c r="AW383" s="28"/>
      <c r="AX383" s="28"/>
      <c r="AY383" s="24"/>
      <c r="AZ383" s="28"/>
      <c r="BA383" s="28"/>
      <c r="BB383" s="28"/>
      <c r="BC383" s="28"/>
      <c r="BD383" s="28"/>
      <c r="BE383" s="28"/>
      <c r="BF383" s="24"/>
      <c r="BG383" s="28"/>
      <c r="BH383" s="28"/>
      <c r="BI383" s="28"/>
      <c r="BJ383" s="24"/>
      <c r="BK383" s="28"/>
      <c r="BL383" s="28"/>
      <c r="BM383" s="28"/>
    </row>
    <row r="384" spans="1:65">
      <c r="A384" s="24"/>
      <c r="B384" s="28"/>
      <c r="C384" s="25"/>
      <c r="D384" s="26"/>
      <c r="E384" s="24"/>
      <c r="F384" s="24"/>
      <c r="G384" s="26"/>
      <c r="H384" s="26"/>
      <c r="I384" s="26"/>
      <c r="J384" s="26"/>
      <c r="K384" s="26"/>
      <c r="L384" s="26"/>
      <c r="M384" s="26"/>
      <c r="N384" s="26"/>
      <c r="O384" s="26"/>
      <c r="P384" s="26"/>
      <c r="R384" s="24"/>
      <c r="S384" s="26"/>
      <c r="T384" s="25"/>
      <c r="U384" s="24"/>
      <c r="V384" s="24"/>
      <c r="W384" s="24"/>
      <c r="X384" s="26"/>
      <c r="Y384" s="26"/>
      <c r="Z384" s="24"/>
      <c r="AA384" s="26"/>
      <c r="AB384" s="25"/>
      <c r="AC384" s="24"/>
      <c r="AD384" s="24"/>
      <c r="AE384" s="24"/>
      <c r="AF384" s="26"/>
      <c r="AG384" s="26"/>
      <c r="AH384" s="24"/>
      <c r="AI384" s="24"/>
      <c r="AJ384" s="24"/>
      <c r="AK384" s="28"/>
      <c r="AL384" s="28"/>
      <c r="AM384" s="28"/>
      <c r="AN384" s="28"/>
      <c r="AO384" s="28"/>
      <c r="AP384" s="28"/>
      <c r="AQ384" s="28"/>
      <c r="AR384" s="28"/>
      <c r="AS384" s="28"/>
      <c r="AT384" s="28"/>
      <c r="AU384" s="28"/>
      <c r="AV384" s="28"/>
      <c r="AW384" s="28"/>
      <c r="AX384" s="28"/>
      <c r="AY384" s="24"/>
      <c r="AZ384" s="28"/>
      <c r="BA384" s="28"/>
      <c r="BB384" s="28"/>
      <c r="BC384" s="28"/>
      <c r="BD384" s="28"/>
      <c r="BE384" s="28"/>
      <c r="BF384" s="24"/>
      <c r="BG384" s="28"/>
      <c r="BH384" s="28"/>
      <c r="BI384" s="28"/>
      <c r="BJ384" s="24"/>
      <c r="BK384" s="28"/>
      <c r="BL384" s="28"/>
      <c r="BM384" s="28"/>
    </row>
    <row r="385" spans="1:65">
      <c r="A385" s="24"/>
      <c r="B385" s="28"/>
      <c r="C385" s="25"/>
      <c r="D385" s="26"/>
      <c r="E385" s="24"/>
      <c r="F385" s="24"/>
      <c r="G385" s="26"/>
      <c r="H385" s="26"/>
      <c r="I385" s="26"/>
      <c r="J385" s="26"/>
      <c r="K385" s="26"/>
      <c r="L385" s="26"/>
      <c r="M385" s="26"/>
      <c r="N385" s="26"/>
      <c r="O385" s="26"/>
      <c r="P385" s="26"/>
      <c r="R385" s="24"/>
      <c r="S385" s="26"/>
      <c r="T385" s="25"/>
      <c r="U385" s="24"/>
      <c r="V385" s="24"/>
      <c r="W385" s="24"/>
      <c r="X385" s="26"/>
      <c r="Y385" s="26"/>
      <c r="Z385" s="24"/>
      <c r="AA385" s="26"/>
      <c r="AB385" s="25"/>
      <c r="AC385" s="24"/>
      <c r="AD385" s="24"/>
      <c r="AE385" s="24"/>
      <c r="AF385" s="26"/>
      <c r="AG385" s="26"/>
      <c r="AH385" s="24"/>
      <c r="AI385" s="24"/>
      <c r="AJ385" s="24"/>
      <c r="AK385" s="28"/>
      <c r="AL385" s="28"/>
      <c r="AM385" s="28"/>
      <c r="AN385" s="28"/>
      <c r="AO385" s="28"/>
      <c r="AP385" s="28"/>
      <c r="AQ385" s="28"/>
      <c r="AR385" s="28"/>
      <c r="AS385" s="28"/>
      <c r="AT385" s="28"/>
      <c r="AU385" s="28"/>
      <c r="AV385" s="28"/>
      <c r="AW385" s="28"/>
      <c r="AX385" s="28"/>
      <c r="AY385" s="24"/>
      <c r="AZ385" s="28"/>
      <c r="BA385" s="28"/>
      <c r="BB385" s="28"/>
      <c r="BC385" s="28"/>
      <c r="BD385" s="28"/>
      <c r="BE385" s="28"/>
      <c r="BF385" s="24"/>
      <c r="BG385" s="28"/>
      <c r="BH385" s="28"/>
      <c r="BI385" s="28"/>
      <c r="BJ385" s="24"/>
      <c r="BK385" s="28"/>
      <c r="BL385" s="28"/>
      <c r="BM385" s="28"/>
    </row>
    <row r="386" spans="1:65">
      <c r="A386" s="24"/>
      <c r="B386" s="28"/>
      <c r="C386" s="25"/>
      <c r="D386" s="26"/>
      <c r="E386" s="24"/>
      <c r="F386" s="24"/>
      <c r="G386" s="26"/>
      <c r="H386" s="26"/>
      <c r="I386" s="26"/>
      <c r="J386" s="26"/>
      <c r="K386" s="26"/>
      <c r="L386" s="26"/>
      <c r="M386" s="26"/>
      <c r="N386" s="26"/>
      <c r="O386" s="26"/>
      <c r="P386" s="26"/>
      <c r="R386" s="24"/>
      <c r="S386" s="26"/>
      <c r="T386" s="25"/>
      <c r="U386" s="24"/>
      <c r="V386" s="24"/>
      <c r="W386" s="24"/>
      <c r="X386" s="26"/>
      <c r="Y386" s="26"/>
      <c r="Z386" s="24"/>
      <c r="AA386" s="26"/>
      <c r="AB386" s="25"/>
      <c r="AC386" s="24"/>
      <c r="AD386" s="24"/>
      <c r="AE386" s="24"/>
      <c r="AF386" s="26"/>
      <c r="AG386" s="26"/>
      <c r="AH386" s="24"/>
      <c r="AI386" s="24"/>
      <c r="AJ386" s="24"/>
      <c r="AK386" s="28"/>
      <c r="AL386" s="28"/>
      <c r="AM386" s="28"/>
      <c r="AN386" s="28"/>
      <c r="AO386" s="28"/>
      <c r="AP386" s="28"/>
      <c r="AQ386" s="28"/>
      <c r="AR386" s="28"/>
      <c r="AS386" s="28"/>
      <c r="AT386" s="28"/>
      <c r="AU386" s="28"/>
      <c r="AV386" s="28"/>
      <c r="AW386" s="28"/>
      <c r="AX386" s="28"/>
      <c r="AY386" s="24"/>
      <c r="AZ386" s="28"/>
      <c r="BA386" s="28"/>
      <c r="BB386" s="28"/>
      <c r="BC386" s="28"/>
      <c r="BD386" s="28"/>
      <c r="BE386" s="28"/>
      <c r="BF386" s="24"/>
      <c r="BG386" s="28"/>
      <c r="BH386" s="28"/>
      <c r="BI386" s="28"/>
      <c r="BJ386" s="24"/>
      <c r="BK386" s="28"/>
      <c r="BL386" s="28"/>
      <c r="BM386" s="28"/>
    </row>
    <row r="387" spans="1:65">
      <c r="A387" s="24"/>
      <c r="B387" s="28"/>
      <c r="C387" s="25"/>
      <c r="D387" s="26"/>
      <c r="E387" s="24"/>
      <c r="F387" s="24"/>
      <c r="G387" s="26"/>
      <c r="H387" s="26"/>
      <c r="I387" s="26"/>
      <c r="J387" s="26"/>
      <c r="K387" s="26"/>
      <c r="L387" s="26"/>
      <c r="M387" s="26"/>
      <c r="N387" s="26"/>
      <c r="O387" s="26"/>
      <c r="P387" s="26"/>
      <c r="R387" s="24"/>
      <c r="S387" s="26"/>
      <c r="T387" s="25"/>
      <c r="U387" s="24"/>
      <c r="V387" s="24"/>
      <c r="W387" s="24"/>
      <c r="X387" s="26"/>
      <c r="Y387" s="26"/>
      <c r="Z387" s="24"/>
      <c r="AA387" s="26"/>
      <c r="AB387" s="25"/>
      <c r="AC387" s="24"/>
      <c r="AD387" s="24"/>
      <c r="AE387" s="24"/>
      <c r="AF387" s="26"/>
      <c r="AG387" s="26"/>
      <c r="AH387" s="24"/>
      <c r="AI387" s="24"/>
      <c r="AJ387" s="24"/>
      <c r="AK387" s="28"/>
      <c r="AL387" s="28"/>
      <c r="AM387" s="28"/>
      <c r="AN387" s="28"/>
      <c r="AO387" s="28"/>
      <c r="AP387" s="28"/>
      <c r="AQ387" s="28"/>
      <c r="AR387" s="28"/>
      <c r="AS387" s="28"/>
      <c r="AT387" s="28"/>
      <c r="AU387" s="28"/>
      <c r="AV387" s="28"/>
      <c r="AW387" s="28"/>
      <c r="AX387" s="28"/>
      <c r="AY387" s="24"/>
      <c r="AZ387" s="28"/>
      <c r="BA387" s="28"/>
      <c r="BB387" s="28"/>
      <c r="BC387" s="28"/>
      <c r="BD387" s="28"/>
      <c r="BE387" s="28"/>
      <c r="BF387" s="24"/>
      <c r="BG387" s="28"/>
      <c r="BH387" s="28"/>
      <c r="BI387" s="28"/>
      <c r="BJ387" s="24"/>
      <c r="BK387" s="28"/>
      <c r="BL387" s="28"/>
      <c r="BM387" s="28"/>
    </row>
    <row r="388" spans="1:65">
      <c r="A388" s="24"/>
      <c r="B388" s="28"/>
      <c r="C388" s="25"/>
      <c r="D388" s="26"/>
      <c r="E388" s="24"/>
      <c r="F388" s="24"/>
      <c r="G388" s="26"/>
      <c r="H388" s="26"/>
      <c r="I388" s="26"/>
      <c r="J388" s="26"/>
      <c r="K388" s="26"/>
      <c r="L388" s="26"/>
      <c r="M388" s="26"/>
      <c r="N388" s="26"/>
      <c r="O388" s="26"/>
      <c r="P388" s="26"/>
      <c r="R388" s="24"/>
      <c r="S388" s="26"/>
      <c r="T388" s="25"/>
      <c r="U388" s="24"/>
      <c r="V388" s="24"/>
      <c r="W388" s="24"/>
      <c r="X388" s="26"/>
      <c r="Y388" s="26"/>
      <c r="Z388" s="24"/>
      <c r="AA388" s="26"/>
      <c r="AB388" s="25"/>
      <c r="AC388" s="24"/>
      <c r="AD388" s="24"/>
      <c r="AE388" s="24"/>
      <c r="AF388" s="26"/>
      <c r="AG388" s="26"/>
      <c r="AH388" s="24"/>
      <c r="AI388" s="24"/>
      <c r="AJ388" s="24"/>
      <c r="AK388" s="28"/>
      <c r="AL388" s="28"/>
      <c r="AM388" s="28"/>
      <c r="AN388" s="28"/>
      <c r="AO388" s="28"/>
      <c r="AP388" s="28"/>
      <c r="AQ388" s="28"/>
      <c r="AR388" s="28"/>
      <c r="AS388" s="28"/>
      <c r="AT388" s="28"/>
      <c r="AU388" s="28"/>
      <c r="AV388" s="28"/>
      <c r="AW388" s="28"/>
      <c r="AX388" s="28"/>
      <c r="AY388" s="24"/>
      <c r="AZ388" s="28"/>
      <c r="BA388" s="28"/>
      <c r="BB388" s="28"/>
      <c r="BC388" s="28"/>
      <c r="BD388" s="28"/>
      <c r="BE388" s="28"/>
      <c r="BF388" s="24"/>
      <c r="BG388" s="28"/>
      <c r="BH388" s="28"/>
      <c r="BI388" s="28"/>
      <c r="BJ388" s="24"/>
      <c r="BK388" s="28"/>
      <c r="BL388" s="28"/>
      <c r="BM388" s="28"/>
    </row>
    <row r="389" spans="1:65">
      <c r="A389" s="24"/>
      <c r="B389" s="28"/>
      <c r="C389" s="25"/>
      <c r="D389" s="26"/>
      <c r="E389" s="24"/>
      <c r="F389" s="24"/>
      <c r="G389" s="26"/>
      <c r="H389" s="26"/>
      <c r="I389" s="26"/>
      <c r="J389" s="26"/>
      <c r="K389" s="26"/>
      <c r="L389" s="26"/>
      <c r="M389" s="26"/>
      <c r="N389" s="26"/>
      <c r="O389" s="26"/>
      <c r="P389" s="26"/>
      <c r="R389" s="24"/>
      <c r="S389" s="26"/>
      <c r="T389" s="25"/>
      <c r="U389" s="24"/>
      <c r="V389" s="24"/>
      <c r="W389" s="24"/>
      <c r="X389" s="26"/>
      <c r="Y389" s="26"/>
      <c r="Z389" s="24"/>
      <c r="AA389" s="26"/>
      <c r="AB389" s="25"/>
      <c r="AC389" s="24"/>
      <c r="AD389" s="24"/>
      <c r="AE389" s="24"/>
      <c r="AF389" s="26"/>
      <c r="AG389" s="26"/>
      <c r="AH389" s="24"/>
      <c r="AI389" s="24"/>
      <c r="AJ389" s="24"/>
      <c r="AK389" s="28"/>
      <c r="AL389" s="28"/>
      <c r="AM389" s="28"/>
      <c r="AN389" s="28"/>
      <c r="AO389" s="28"/>
      <c r="AP389" s="28"/>
      <c r="AQ389" s="28"/>
      <c r="AR389" s="28"/>
      <c r="AS389" s="28"/>
      <c r="AT389" s="28"/>
      <c r="AU389" s="28"/>
      <c r="AV389" s="28"/>
      <c r="AW389" s="28"/>
      <c r="AX389" s="28"/>
      <c r="AY389" s="24"/>
      <c r="AZ389" s="28"/>
      <c r="BA389" s="28"/>
      <c r="BB389" s="28"/>
      <c r="BC389" s="28"/>
      <c r="BD389" s="28"/>
      <c r="BE389" s="28"/>
      <c r="BF389" s="24"/>
      <c r="BG389" s="28"/>
      <c r="BH389" s="28"/>
      <c r="BI389" s="28"/>
      <c r="BJ389" s="24"/>
      <c r="BK389" s="28"/>
      <c r="BL389" s="28"/>
      <c r="BM389" s="28"/>
    </row>
    <row r="390" spans="1:65">
      <c r="A390" s="24"/>
      <c r="B390" s="28"/>
      <c r="C390" s="25"/>
      <c r="D390" s="26"/>
      <c r="E390" s="24"/>
      <c r="F390" s="24"/>
      <c r="G390" s="26"/>
      <c r="H390" s="26"/>
      <c r="I390" s="26"/>
      <c r="J390" s="26"/>
      <c r="K390" s="26"/>
      <c r="L390" s="26"/>
      <c r="M390" s="26"/>
      <c r="N390" s="26"/>
      <c r="O390" s="26"/>
      <c r="P390" s="26"/>
      <c r="R390" s="24"/>
      <c r="S390" s="26"/>
      <c r="T390" s="25"/>
      <c r="U390" s="24"/>
      <c r="V390" s="24"/>
      <c r="W390" s="24"/>
      <c r="X390" s="26"/>
      <c r="Y390" s="26"/>
      <c r="Z390" s="24"/>
      <c r="AA390" s="26"/>
      <c r="AB390" s="25"/>
      <c r="AC390" s="24"/>
      <c r="AD390" s="24"/>
      <c r="AE390" s="24"/>
      <c r="AF390" s="26"/>
      <c r="AG390" s="26"/>
      <c r="AH390" s="24"/>
      <c r="AI390" s="24"/>
      <c r="AJ390" s="24"/>
      <c r="AK390" s="28"/>
      <c r="AL390" s="28"/>
      <c r="AM390" s="28"/>
      <c r="AN390" s="28"/>
      <c r="AO390" s="28"/>
      <c r="AP390" s="28"/>
      <c r="AQ390" s="28"/>
      <c r="AR390" s="28"/>
      <c r="AS390" s="28"/>
      <c r="AT390" s="28"/>
      <c r="AU390" s="28"/>
      <c r="AV390" s="28"/>
      <c r="AW390" s="28"/>
      <c r="AX390" s="28"/>
      <c r="AY390" s="24"/>
      <c r="AZ390" s="28"/>
      <c r="BA390" s="28"/>
      <c r="BB390" s="28"/>
      <c r="BC390" s="28"/>
      <c r="BD390" s="28"/>
      <c r="BE390" s="28"/>
      <c r="BF390" s="24"/>
      <c r="BG390" s="28"/>
      <c r="BH390" s="28"/>
      <c r="BI390" s="28"/>
      <c r="BJ390" s="24"/>
      <c r="BK390" s="28"/>
      <c r="BL390" s="28"/>
      <c r="BM390" s="28"/>
    </row>
    <row r="391" spans="1:65">
      <c r="A391" s="24"/>
      <c r="B391" s="28"/>
      <c r="C391" s="25"/>
      <c r="D391" s="26"/>
      <c r="E391" s="24"/>
      <c r="F391" s="24"/>
      <c r="G391" s="26"/>
      <c r="H391" s="26"/>
      <c r="I391" s="26"/>
      <c r="J391" s="26"/>
      <c r="K391" s="26"/>
      <c r="L391" s="26"/>
      <c r="M391" s="26"/>
      <c r="N391" s="26"/>
      <c r="O391" s="26"/>
      <c r="P391" s="26"/>
      <c r="R391" s="24"/>
      <c r="S391" s="26"/>
      <c r="T391" s="25"/>
      <c r="U391" s="24"/>
      <c r="V391" s="24"/>
      <c r="W391" s="24"/>
      <c r="X391" s="26"/>
      <c r="Y391" s="26"/>
      <c r="Z391" s="24"/>
      <c r="AA391" s="26"/>
      <c r="AB391" s="25"/>
      <c r="AC391" s="24"/>
      <c r="AD391" s="24"/>
      <c r="AE391" s="24"/>
      <c r="AF391" s="26"/>
      <c r="AG391" s="26"/>
      <c r="AH391" s="24"/>
      <c r="AI391" s="24"/>
      <c r="AJ391" s="24"/>
      <c r="AK391" s="28"/>
      <c r="AL391" s="28"/>
      <c r="AM391" s="28"/>
      <c r="AN391" s="28"/>
      <c r="AO391" s="28"/>
      <c r="AP391" s="28"/>
      <c r="AQ391" s="28"/>
      <c r="AR391" s="28"/>
      <c r="AS391" s="28"/>
      <c r="AT391" s="28"/>
      <c r="AU391" s="28"/>
      <c r="AV391" s="28"/>
      <c r="AW391" s="28"/>
      <c r="AX391" s="28"/>
      <c r="AY391" s="24"/>
      <c r="AZ391" s="28"/>
      <c r="BA391" s="28"/>
      <c r="BB391" s="28"/>
      <c r="BC391" s="28"/>
      <c r="BD391" s="28"/>
      <c r="BE391" s="28"/>
      <c r="BF391" s="24"/>
      <c r="BG391" s="28"/>
      <c r="BH391" s="28"/>
      <c r="BI391" s="28"/>
      <c r="BJ391" s="24"/>
      <c r="BK391" s="28"/>
      <c r="BL391" s="28"/>
      <c r="BM391" s="28"/>
    </row>
    <row r="392" spans="1:65">
      <c r="A392" s="24"/>
      <c r="B392" s="28"/>
      <c r="C392" s="25"/>
      <c r="D392" s="26"/>
      <c r="E392" s="24"/>
      <c r="F392" s="24"/>
      <c r="G392" s="26"/>
      <c r="H392" s="26"/>
      <c r="I392" s="26"/>
      <c r="J392" s="26"/>
      <c r="K392" s="26"/>
      <c r="L392" s="26"/>
      <c r="M392" s="26"/>
      <c r="N392" s="26"/>
      <c r="O392" s="26"/>
      <c r="P392" s="26"/>
      <c r="R392" s="24"/>
      <c r="S392" s="26"/>
      <c r="T392" s="25"/>
      <c r="U392" s="24"/>
      <c r="V392" s="24"/>
      <c r="W392" s="24"/>
      <c r="X392" s="26"/>
      <c r="Y392" s="26"/>
      <c r="Z392" s="24"/>
      <c r="AA392" s="26"/>
      <c r="AB392" s="25"/>
      <c r="AC392" s="24"/>
      <c r="AD392" s="24"/>
      <c r="AE392" s="24"/>
      <c r="AF392" s="26"/>
      <c r="AG392" s="26"/>
      <c r="AH392" s="24"/>
      <c r="AI392" s="24"/>
      <c r="AJ392" s="24"/>
      <c r="AK392" s="28"/>
      <c r="AL392" s="28"/>
      <c r="AM392" s="28"/>
      <c r="AN392" s="28"/>
      <c r="AO392" s="28"/>
      <c r="AP392" s="28"/>
      <c r="AQ392" s="28"/>
      <c r="AR392" s="28"/>
      <c r="AS392" s="28"/>
      <c r="AT392" s="28"/>
      <c r="AU392" s="28"/>
      <c r="AV392" s="28"/>
      <c r="AW392" s="28"/>
      <c r="AX392" s="28"/>
      <c r="AY392" s="24"/>
      <c r="AZ392" s="28"/>
      <c r="BA392" s="28"/>
      <c r="BB392" s="28"/>
      <c r="BC392" s="28"/>
      <c r="BD392" s="28"/>
      <c r="BE392" s="28"/>
      <c r="BF392" s="24"/>
      <c r="BG392" s="28"/>
      <c r="BH392" s="28"/>
      <c r="BI392" s="28"/>
      <c r="BJ392" s="24"/>
      <c r="BK392" s="28"/>
      <c r="BL392" s="28"/>
      <c r="BM392" s="28"/>
    </row>
    <row r="393" spans="1:65">
      <c r="A393" s="24"/>
      <c r="B393" s="28"/>
      <c r="C393" s="25"/>
      <c r="D393" s="26"/>
      <c r="E393" s="24"/>
      <c r="F393" s="24"/>
      <c r="G393" s="26"/>
      <c r="H393" s="26"/>
      <c r="I393" s="26"/>
      <c r="J393" s="26"/>
      <c r="K393" s="26"/>
      <c r="L393" s="26"/>
      <c r="M393" s="26"/>
      <c r="N393" s="26"/>
      <c r="O393" s="26"/>
      <c r="P393" s="26"/>
      <c r="R393" s="24"/>
      <c r="S393" s="26"/>
      <c r="T393" s="25"/>
      <c r="U393" s="24"/>
      <c r="V393" s="24"/>
      <c r="W393" s="24"/>
      <c r="X393" s="26"/>
      <c r="Y393" s="26"/>
      <c r="Z393" s="24"/>
      <c r="AA393" s="26"/>
      <c r="AB393" s="25"/>
      <c r="AC393" s="24"/>
      <c r="AD393" s="24"/>
      <c r="AE393" s="24"/>
      <c r="AF393" s="26"/>
      <c r="AG393" s="26"/>
      <c r="AH393" s="24"/>
      <c r="AI393" s="24"/>
      <c r="AJ393" s="24"/>
      <c r="AK393" s="28"/>
      <c r="AL393" s="28"/>
      <c r="AM393" s="28"/>
      <c r="AN393" s="28"/>
      <c r="AO393" s="28"/>
      <c r="AP393" s="28"/>
      <c r="AQ393" s="28"/>
      <c r="AR393" s="28"/>
      <c r="AS393" s="28"/>
      <c r="AT393" s="28"/>
      <c r="AU393" s="28"/>
      <c r="AV393" s="28"/>
      <c r="AW393" s="28"/>
      <c r="AX393" s="28"/>
      <c r="AY393" s="24"/>
      <c r="AZ393" s="28"/>
      <c r="BA393" s="28"/>
      <c r="BB393" s="28"/>
      <c r="BC393" s="28"/>
      <c r="BD393" s="28"/>
      <c r="BE393" s="28"/>
      <c r="BF393" s="24"/>
      <c r="BG393" s="28"/>
      <c r="BH393" s="28"/>
      <c r="BI393" s="28"/>
      <c r="BJ393" s="24"/>
      <c r="BK393" s="28"/>
      <c r="BL393" s="28"/>
      <c r="BM393" s="28"/>
    </row>
    <row r="394" spans="1:65">
      <c r="A394" s="24"/>
      <c r="B394" s="28"/>
      <c r="C394" s="25"/>
      <c r="D394" s="26"/>
      <c r="E394" s="24"/>
      <c r="F394" s="24"/>
      <c r="G394" s="26"/>
      <c r="H394" s="26"/>
      <c r="I394" s="26"/>
      <c r="J394" s="26"/>
      <c r="K394" s="26"/>
      <c r="L394" s="26"/>
      <c r="M394" s="26"/>
      <c r="N394" s="26"/>
      <c r="O394" s="26"/>
      <c r="P394" s="26"/>
      <c r="R394" s="24"/>
      <c r="S394" s="26"/>
      <c r="T394" s="25"/>
      <c r="U394" s="24"/>
      <c r="V394" s="24"/>
      <c r="W394" s="24"/>
      <c r="X394" s="26"/>
      <c r="Y394" s="26"/>
      <c r="Z394" s="24"/>
      <c r="AA394" s="26"/>
      <c r="AB394" s="25"/>
      <c r="AC394" s="24"/>
      <c r="AD394" s="24"/>
      <c r="AE394" s="24"/>
      <c r="AF394" s="26"/>
      <c r="AG394" s="26"/>
      <c r="AH394" s="24"/>
      <c r="AI394" s="24"/>
      <c r="AJ394" s="24"/>
      <c r="AK394" s="28"/>
      <c r="AL394" s="28"/>
      <c r="AM394" s="28"/>
      <c r="AN394" s="28"/>
      <c r="AO394" s="28"/>
      <c r="AP394" s="28"/>
      <c r="AQ394" s="28"/>
      <c r="AR394" s="28"/>
      <c r="AS394" s="28"/>
      <c r="AT394" s="28"/>
      <c r="AU394" s="28"/>
      <c r="AV394" s="28"/>
      <c r="AW394" s="28"/>
      <c r="AX394" s="28"/>
      <c r="AY394" s="24"/>
      <c r="AZ394" s="28"/>
      <c r="BA394" s="28"/>
      <c r="BB394" s="28"/>
      <c r="BC394" s="28"/>
      <c r="BD394" s="28"/>
      <c r="BE394" s="28"/>
      <c r="BF394" s="24"/>
      <c r="BG394" s="28"/>
      <c r="BH394" s="28"/>
      <c r="BI394" s="28"/>
      <c r="BJ394" s="24"/>
      <c r="BK394" s="28"/>
      <c r="BL394" s="28"/>
      <c r="BM394" s="28"/>
    </row>
    <row r="395" spans="1:65">
      <c r="A395" s="24"/>
      <c r="B395" s="28"/>
      <c r="C395" s="25"/>
      <c r="D395" s="26"/>
      <c r="E395" s="24"/>
      <c r="F395" s="24"/>
      <c r="G395" s="26"/>
      <c r="H395" s="26"/>
      <c r="I395" s="26"/>
      <c r="J395" s="26"/>
      <c r="K395" s="26"/>
      <c r="L395" s="26"/>
      <c r="M395" s="26"/>
      <c r="N395" s="26"/>
      <c r="O395" s="26"/>
      <c r="P395" s="26"/>
      <c r="R395" s="24"/>
      <c r="S395" s="26"/>
      <c r="T395" s="25"/>
      <c r="U395" s="24"/>
      <c r="V395" s="24"/>
      <c r="W395" s="24"/>
      <c r="X395" s="26"/>
      <c r="Y395" s="26"/>
      <c r="Z395" s="24"/>
      <c r="AA395" s="26"/>
      <c r="AB395" s="25"/>
      <c r="AC395" s="24"/>
      <c r="AD395" s="24"/>
      <c r="AE395" s="24"/>
      <c r="AF395" s="26"/>
      <c r="AG395" s="26"/>
      <c r="AH395" s="24"/>
      <c r="AI395" s="24"/>
      <c r="AJ395" s="24"/>
      <c r="AK395" s="28"/>
      <c r="AL395" s="28"/>
      <c r="AM395" s="28"/>
      <c r="AN395" s="28"/>
      <c r="AO395" s="28"/>
      <c r="AP395" s="28"/>
      <c r="AQ395" s="28"/>
      <c r="AR395" s="28"/>
      <c r="AS395" s="28"/>
      <c r="AT395" s="28"/>
      <c r="AU395" s="28"/>
      <c r="AV395" s="28"/>
      <c r="AW395" s="28"/>
      <c r="AX395" s="28"/>
      <c r="AY395" s="24"/>
      <c r="AZ395" s="28"/>
      <c r="BA395" s="28"/>
      <c r="BB395" s="28"/>
      <c r="BC395" s="28"/>
      <c r="BD395" s="28"/>
      <c r="BE395" s="28"/>
      <c r="BF395" s="24"/>
      <c r="BG395" s="28"/>
      <c r="BH395" s="28"/>
      <c r="BI395" s="28"/>
      <c r="BJ395" s="24"/>
      <c r="BK395" s="28"/>
      <c r="BL395" s="28"/>
      <c r="BM395" s="28"/>
    </row>
    <row r="396" spans="1:65">
      <c r="A396" s="24"/>
      <c r="B396" s="28"/>
      <c r="C396" s="25"/>
      <c r="D396" s="26"/>
      <c r="E396" s="24"/>
      <c r="F396" s="24"/>
      <c r="G396" s="26"/>
      <c r="H396" s="26"/>
      <c r="I396" s="26"/>
      <c r="J396" s="26"/>
      <c r="K396" s="26"/>
      <c r="L396" s="26"/>
      <c r="M396" s="26"/>
      <c r="N396" s="26"/>
      <c r="O396" s="26"/>
      <c r="P396" s="26"/>
      <c r="R396" s="24"/>
      <c r="S396" s="26"/>
      <c r="T396" s="25"/>
      <c r="U396" s="24"/>
      <c r="V396" s="24"/>
      <c r="W396" s="24"/>
      <c r="X396" s="26"/>
      <c r="Y396" s="26"/>
      <c r="Z396" s="24"/>
      <c r="AA396" s="26"/>
      <c r="AB396" s="25"/>
      <c r="AC396" s="24"/>
      <c r="AD396" s="24"/>
      <c r="AE396" s="24"/>
      <c r="AF396" s="26"/>
      <c r="AG396" s="26"/>
      <c r="AH396" s="24"/>
      <c r="AI396" s="24"/>
      <c r="AJ396" s="24"/>
      <c r="AK396" s="28"/>
      <c r="AL396" s="28"/>
      <c r="AM396" s="28"/>
      <c r="AN396" s="28"/>
      <c r="AO396" s="28"/>
      <c r="AP396" s="28"/>
      <c r="AQ396" s="28"/>
      <c r="AR396" s="28"/>
      <c r="AS396" s="28"/>
      <c r="AT396" s="28"/>
      <c r="AU396" s="28"/>
      <c r="AV396" s="28"/>
      <c r="AW396" s="28"/>
      <c r="AX396" s="28"/>
      <c r="AY396" s="24"/>
      <c r="AZ396" s="28"/>
      <c r="BA396" s="28"/>
      <c r="BB396" s="28"/>
      <c r="BC396" s="28"/>
      <c r="BD396" s="28"/>
      <c r="BE396" s="28"/>
      <c r="BF396" s="24"/>
      <c r="BG396" s="28"/>
      <c r="BH396" s="28"/>
      <c r="BI396" s="28"/>
      <c r="BJ396" s="24"/>
      <c r="BK396" s="28"/>
      <c r="BL396" s="28"/>
      <c r="BM396" s="28"/>
    </row>
    <row r="397" spans="1:65">
      <c r="A397" s="24"/>
      <c r="B397" s="28"/>
      <c r="C397" s="25"/>
      <c r="D397" s="26"/>
      <c r="E397" s="24"/>
      <c r="F397" s="24"/>
      <c r="G397" s="26"/>
      <c r="H397" s="26"/>
      <c r="I397" s="26"/>
      <c r="J397" s="26"/>
      <c r="K397" s="26"/>
      <c r="L397" s="26"/>
      <c r="M397" s="26"/>
      <c r="N397" s="26"/>
      <c r="O397" s="26"/>
      <c r="P397" s="26"/>
      <c r="R397" s="24"/>
      <c r="S397" s="26"/>
      <c r="T397" s="25"/>
      <c r="U397" s="24"/>
      <c r="V397" s="24"/>
      <c r="W397" s="24"/>
      <c r="X397" s="26"/>
      <c r="Y397" s="26"/>
      <c r="Z397" s="24"/>
      <c r="AA397" s="26"/>
      <c r="AB397" s="25"/>
      <c r="AC397" s="24"/>
      <c r="AD397" s="24"/>
      <c r="AE397" s="24"/>
      <c r="AF397" s="26"/>
      <c r="AG397" s="26"/>
      <c r="AH397" s="24"/>
      <c r="AI397" s="24"/>
      <c r="AJ397" s="24"/>
      <c r="AK397" s="28"/>
      <c r="AL397" s="28"/>
      <c r="AM397" s="28"/>
      <c r="AN397" s="28"/>
      <c r="AO397" s="28"/>
      <c r="AP397" s="28"/>
      <c r="AQ397" s="28"/>
      <c r="AR397" s="28"/>
      <c r="AS397" s="28"/>
      <c r="AT397" s="28"/>
      <c r="AU397" s="28"/>
      <c r="AV397" s="28"/>
      <c r="AW397" s="28"/>
      <c r="AX397" s="28"/>
      <c r="AY397" s="24"/>
      <c r="AZ397" s="28"/>
      <c r="BA397" s="28"/>
      <c r="BB397" s="28"/>
      <c r="BC397" s="28"/>
      <c r="BD397" s="28"/>
      <c r="BE397" s="28"/>
      <c r="BF397" s="24"/>
      <c r="BG397" s="28"/>
      <c r="BH397" s="28"/>
      <c r="BI397" s="28"/>
      <c r="BJ397" s="24"/>
      <c r="BK397" s="28"/>
      <c r="BL397" s="28"/>
      <c r="BM397" s="28"/>
    </row>
    <row r="398" spans="1:65">
      <c r="A398" s="24"/>
      <c r="B398" s="28"/>
      <c r="C398" s="25"/>
      <c r="D398" s="26"/>
      <c r="E398" s="24"/>
      <c r="F398" s="24"/>
      <c r="G398" s="26"/>
      <c r="H398" s="26"/>
      <c r="I398" s="26"/>
      <c r="J398" s="26"/>
      <c r="K398" s="26"/>
      <c r="L398" s="26"/>
      <c r="M398" s="26"/>
      <c r="N398" s="26"/>
      <c r="O398" s="26"/>
      <c r="P398" s="26"/>
      <c r="R398" s="24"/>
      <c r="S398" s="26"/>
      <c r="T398" s="25"/>
      <c r="U398" s="24"/>
      <c r="V398" s="24"/>
      <c r="W398" s="24"/>
      <c r="X398" s="26"/>
      <c r="Y398" s="26"/>
      <c r="Z398" s="24"/>
      <c r="AA398" s="26"/>
      <c r="AB398" s="25"/>
      <c r="AC398" s="24"/>
      <c r="AD398" s="24"/>
      <c r="AE398" s="24"/>
      <c r="AF398" s="26"/>
      <c r="AG398" s="26"/>
      <c r="AH398" s="24"/>
      <c r="AI398" s="24"/>
      <c r="AJ398" s="24"/>
      <c r="AK398" s="28"/>
      <c r="AL398" s="28"/>
      <c r="AM398" s="28"/>
      <c r="AN398" s="28"/>
      <c r="AO398" s="28"/>
      <c r="AP398" s="28"/>
      <c r="AQ398" s="28"/>
      <c r="AR398" s="28"/>
      <c r="AS398" s="28"/>
      <c r="AT398" s="28"/>
      <c r="AU398" s="28"/>
      <c r="AV398" s="28"/>
      <c r="AW398" s="28"/>
      <c r="AX398" s="28"/>
      <c r="AY398" s="24"/>
      <c r="AZ398" s="28"/>
      <c r="BA398" s="28"/>
      <c r="BB398" s="28"/>
      <c r="BC398" s="28"/>
      <c r="BD398" s="28"/>
      <c r="BE398" s="28"/>
      <c r="BF398" s="24"/>
      <c r="BG398" s="28"/>
      <c r="BH398" s="28"/>
      <c r="BI398" s="28"/>
      <c r="BJ398" s="24"/>
      <c r="BK398" s="28"/>
      <c r="BL398" s="28"/>
      <c r="BM398" s="28"/>
    </row>
    <row r="399" spans="1:65">
      <c r="A399" s="24"/>
      <c r="B399" s="28"/>
      <c r="C399" s="25"/>
      <c r="D399" s="26"/>
      <c r="E399" s="24"/>
      <c r="F399" s="24"/>
      <c r="G399" s="26"/>
      <c r="H399" s="26"/>
      <c r="I399" s="26"/>
      <c r="J399" s="26"/>
      <c r="K399" s="26"/>
      <c r="L399" s="26"/>
      <c r="M399" s="26"/>
      <c r="N399" s="26"/>
      <c r="O399" s="26"/>
      <c r="P399" s="26"/>
      <c r="R399" s="24"/>
      <c r="S399" s="26"/>
      <c r="T399" s="25"/>
      <c r="U399" s="24"/>
      <c r="V399" s="24"/>
      <c r="W399" s="24"/>
      <c r="X399" s="26"/>
      <c r="Y399" s="26"/>
      <c r="Z399" s="24"/>
      <c r="AA399" s="26"/>
      <c r="AB399" s="25"/>
      <c r="AC399" s="24"/>
      <c r="AD399" s="24"/>
      <c r="AE399" s="24"/>
      <c r="AF399" s="26"/>
      <c r="AG399" s="26"/>
      <c r="AH399" s="24"/>
      <c r="AI399" s="24"/>
      <c r="AJ399" s="24"/>
      <c r="AK399" s="28"/>
      <c r="AL399" s="28"/>
      <c r="AM399" s="28"/>
      <c r="AN399" s="28"/>
      <c r="AO399" s="28"/>
      <c r="AP399" s="28"/>
      <c r="AQ399" s="28"/>
      <c r="AR399" s="28"/>
      <c r="AS399" s="28"/>
      <c r="AT399" s="28"/>
      <c r="AU399" s="28"/>
      <c r="AV399" s="28"/>
      <c r="AW399" s="28"/>
      <c r="AX399" s="28"/>
      <c r="AY399" s="24"/>
      <c r="AZ399" s="28"/>
      <c r="BA399" s="28"/>
      <c r="BB399" s="28"/>
      <c r="BC399" s="28"/>
      <c r="BD399" s="28"/>
      <c r="BE399" s="28"/>
      <c r="BF399" s="24"/>
      <c r="BG399" s="28"/>
      <c r="BH399" s="28"/>
      <c r="BI399" s="28"/>
      <c r="BJ399" s="24"/>
      <c r="BK399" s="28"/>
      <c r="BL399" s="28"/>
      <c r="BM399" s="28"/>
    </row>
    <row r="400" spans="1:65">
      <c r="A400" s="24"/>
      <c r="B400" s="28"/>
      <c r="C400" s="25"/>
      <c r="D400" s="26"/>
      <c r="E400" s="24"/>
      <c r="F400" s="24"/>
      <c r="G400" s="26"/>
      <c r="H400" s="26"/>
      <c r="I400" s="26"/>
      <c r="J400" s="26"/>
      <c r="K400" s="26"/>
      <c r="L400" s="26"/>
      <c r="M400" s="26"/>
      <c r="N400" s="26"/>
      <c r="O400" s="26"/>
      <c r="P400" s="26"/>
      <c r="R400" s="24"/>
      <c r="S400" s="26"/>
      <c r="T400" s="25"/>
      <c r="U400" s="24"/>
      <c r="V400" s="24"/>
      <c r="W400" s="24"/>
      <c r="X400" s="26"/>
      <c r="Y400" s="26"/>
      <c r="Z400" s="24"/>
      <c r="AA400" s="26"/>
      <c r="AB400" s="25"/>
      <c r="AC400" s="24"/>
      <c r="AD400" s="24"/>
      <c r="AE400" s="24"/>
      <c r="AF400" s="26"/>
      <c r="AG400" s="26"/>
      <c r="AH400" s="24"/>
      <c r="AI400" s="24"/>
      <c r="AJ400" s="24"/>
      <c r="AK400" s="28"/>
      <c r="AL400" s="28"/>
      <c r="AM400" s="28"/>
      <c r="AN400" s="28"/>
      <c r="AO400" s="28"/>
      <c r="AP400" s="28"/>
      <c r="AQ400" s="28"/>
      <c r="AR400" s="28"/>
      <c r="AS400" s="28"/>
      <c r="AT400" s="28"/>
      <c r="AU400" s="28"/>
      <c r="AV400" s="28"/>
      <c r="AW400" s="28"/>
      <c r="AX400" s="28"/>
      <c r="AY400" s="24"/>
      <c r="AZ400" s="28"/>
      <c r="BA400" s="28"/>
      <c r="BB400" s="28"/>
      <c r="BC400" s="28"/>
      <c r="BD400" s="28"/>
      <c r="BE400" s="28"/>
      <c r="BF400" s="24"/>
      <c r="BG400" s="28"/>
      <c r="BH400" s="28"/>
      <c r="BI400" s="28"/>
      <c r="BJ400" s="24"/>
      <c r="BK400" s="28"/>
      <c r="BL400" s="28"/>
      <c r="BM400" s="28"/>
    </row>
    <row r="401" spans="1:65">
      <c r="A401" s="24"/>
      <c r="B401" s="28"/>
      <c r="C401" s="25"/>
      <c r="D401" s="26"/>
      <c r="E401" s="24"/>
      <c r="F401" s="24"/>
      <c r="G401" s="26"/>
      <c r="H401" s="26"/>
      <c r="I401" s="26"/>
      <c r="J401" s="26"/>
      <c r="K401" s="26"/>
      <c r="L401" s="26"/>
      <c r="M401" s="26"/>
      <c r="N401" s="26"/>
      <c r="O401" s="26"/>
      <c r="P401" s="26"/>
      <c r="R401" s="24"/>
      <c r="S401" s="26"/>
      <c r="T401" s="25"/>
      <c r="U401" s="24"/>
      <c r="V401" s="24"/>
      <c r="W401" s="24"/>
      <c r="X401" s="26"/>
      <c r="Y401" s="26"/>
      <c r="Z401" s="24"/>
      <c r="AA401" s="26"/>
      <c r="AB401" s="25"/>
      <c r="AC401" s="24"/>
      <c r="AD401" s="24"/>
      <c r="AE401" s="24"/>
      <c r="AF401" s="26"/>
      <c r="AG401" s="26"/>
      <c r="AH401" s="24"/>
      <c r="AI401" s="24"/>
      <c r="AJ401" s="24"/>
      <c r="AK401" s="28"/>
      <c r="AL401" s="28"/>
      <c r="AM401" s="28"/>
      <c r="AN401" s="28"/>
      <c r="AO401" s="28"/>
      <c r="AP401" s="28"/>
      <c r="AQ401" s="28"/>
      <c r="AR401" s="28"/>
      <c r="AS401" s="28"/>
      <c r="AT401" s="28"/>
      <c r="AU401" s="28"/>
      <c r="AV401" s="28"/>
      <c r="AW401" s="28"/>
      <c r="AX401" s="28"/>
      <c r="AY401" s="24"/>
      <c r="AZ401" s="28"/>
      <c r="BA401" s="28"/>
      <c r="BB401" s="28"/>
      <c r="BC401" s="28"/>
      <c r="BD401" s="28"/>
      <c r="BE401" s="28"/>
      <c r="BF401" s="24"/>
      <c r="BG401" s="28"/>
      <c r="BH401" s="28"/>
      <c r="BI401" s="28"/>
      <c r="BJ401" s="24"/>
      <c r="BK401" s="28"/>
      <c r="BL401" s="28"/>
      <c r="BM401" s="28"/>
    </row>
    <row r="402" spans="1:65">
      <c r="A402" s="24"/>
      <c r="B402" s="28"/>
      <c r="C402" s="25"/>
      <c r="D402" s="26"/>
      <c r="E402" s="24"/>
      <c r="F402" s="24"/>
      <c r="G402" s="26"/>
      <c r="H402" s="26"/>
      <c r="I402" s="26"/>
      <c r="J402" s="26"/>
      <c r="K402" s="26"/>
      <c r="L402" s="26"/>
      <c r="M402" s="26"/>
      <c r="N402" s="26"/>
      <c r="O402" s="26"/>
      <c r="P402" s="26"/>
      <c r="R402" s="24"/>
      <c r="S402" s="26"/>
      <c r="T402" s="25"/>
      <c r="U402" s="24"/>
      <c r="V402" s="24"/>
      <c r="W402" s="24"/>
      <c r="X402" s="26"/>
      <c r="Y402" s="26"/>
      <c r="Z402" s="24"/>
      <c r="AA402" s="26"/>
      <c r="AB402" s="25"/>
      <c r="AC402" s="24"/>
      <c r="AD402" s="24"/>
      <c r="AE402" s="24"/>
      <c r="AF402" s="26"/>
      <c r="AG402" s="26"/>
      <c r="AH402" s="24"/>
      <c r="AI402" s="24"/>
      <c r="AJ402" s="24"/>
      <c r="AK402" s="28"/>
      <c r="AL402" s="28"/>
      <c r="AM402" s="28"/>
      <c r="AN402" s="28"/>
      <c r="AO402" s="28"/>
      <c r="AP402" s="28"/>
      <c r="AQ402" s="28"/>
      <c r="AR402" s="28"/>
      <c r="AS402" s="28"/>
      <c r="AT402" s="28"/>
      <c r="AU402" s="28"/>
      <c r="AV402" s="28"/>
      <c r="AW402" s="28"/>
      <c r="AX402" s="28"/>
      <c r="AY402" s="24"/>
      <c r="AZ402" s="28"/>
      <c r="BA402" s="28"/>
      <c r="BB402" s="28"/>
      <c r="BC402" s="28"/>
      <c r="BD402" s="28"/>
      <c r="BE402" s="28"/>
      <c r="BF402" s="24"/>
      <c r="BG402" s="28"/>
      <c r="BH402" s="28"/>
      <c r="BI402" s="28"/>
      <c r="BJ402" s="24"/>
      <c r="BK402" s="28"/>
      <c r="BL402" s="28"/>
      <c r="BM402" s="28"/>
    </row>
    <row r="403" spans="1:65">
      <c r="A403" s="24"/>
      <c r="B403" s="28"/>
      <c r="C403" s="25"/>
      <c r="D403" s="26"/>
      <c r="E403" s="24"/>
      <c r="F403" s="24"/>
      <c r="G403" s="26"/>
      <c r="H403" s="26"/>
      <c r="I403" s="26"/>
      <c r="J403" s="26"/>
      <c r="K403" s="26"/>
      <c r="L403" s="26"/>
      <c r="M403" s="26"/>
      <c r="N403" s="26"/>
      <c r="O403" s="26"/>
      <c r="P403" s="26"/>
      <c r="R403" s="24"/>
      <c r="S403" s="26"/>
      <c r="T403" s="25"/>
      <c r="U403" s="24"/>
      <c r="V403" s="24"/>
      <c r="W403" s="24"/>
      <c r="X403" s="26"/>
      <c r="Y403" s="26"/>
      <c r="Z403" s="24"/>
      <c r="AA403" s="26"/>
      <c r="AB403" s="25"/>
      <c r="AC403" s="24"/>
      <c r="AD403" s="24"/>
      <c r="AE403" s="24"/>
      <c r="AF403" s="26"/>
      <c r="AG403" s="26"/>
      <c r="AH403" s="24"/>
      <c r="AI403" s="24"/>
      <c r="AJ403" s="24"/>
      <c r="AK403" s="28"/>
      <c r="AL403" s="28"/>
      <c r="AM403" s="28"/>
      <c r="AN403" s="28"/>
      <c r="AO403" s="28"/>
      <c r="AP403" s="28"/>
      <c r="AQ403" s="28"/>
      <c r="AR403" s="28"/>
      <c r="AS403" s="28"/>
      <c r="AT403" s="28"/>
      <c r="AU403" s="28"/>
      <c r="AV403" s="28"/>
      <c r="AW403" s="28"/>
      <c r="AX403" s="28"/>
      <c r="AY403" s="24"/>
      <c r="AZ403" s="28"/>
      <c r="BA403" s="28"/>
      <c r="BB403" s="28"/>
      <c r="BC403" s="28"/>
      <c r="BD403" s="28"/>
      <c r="BE403" s="28"/>
      <c r="BF403" s="24"/>
      <c r="BG403" s="28"/>
      <c r="BH403" s="28"/>
      <c r="BI403" s="28"/>
      <c r="BJ403" s="24"/>
      <c r="BK403" s="28"/>
      <c r="BL403" s="28"/>
      <c r="BM403" s="28"/>
    </row>
    <row r="404" spans="1:65">
      <c r="A404" s="24"/>
      <c r="B404" s="28"/>
      <c r="C404" s="25"/>
      <c r="D404" s="26"/>
      <c r="E404" s="24"/>
      <c r="F404" s="24"/>
      <c r="G404" s="26"/>
      <c r="H404" s="26"/>
      <c r="I404" s="26"/>
      <c r="J404" s="26"/>
      <c r="K404" s="26"/>
      <c r="L404" s="26"/>
      <c r="M404" s="26"/>
      <c r="N404" s="26"/>
      <c r="O404" s="26"/>
      <c r="P404" s="26"/>
      <c r="R404" s="24"/>
      <c r="S404" s="26"/>
      <c r="T404" s="25"/>
      <c r="U404" s="24"/>
      <c r="V404" s="24"/>
      <c r="W404" s="24"/>
      <c r="X404" s="26"/>
      <c r="Y404" s="26"/>
      <c r="Z404" s="24"/>
      <c r="AA404" s="26"/>
      <c r="AB404" s="25"/>
      <c r="AC404" s="24"/>
      <c r="AD404" s="24"/>
      <c r="AE404" s="24"/>
      <c r="AF404" s="26"/>
      <c r="AG404" s="26"/>
      <c r="AH404" s="24"/>
      <c r="AI404" s="24"/>
      <c r="AJ404" s="24"/>
      <c r="AK404" s="28"/>
      <c r="AL404" s="28"/>
      <c r="AM404" s="28"/>
      <c r="AN404" s="28"/>
      <c r="AO404" s="28"/>
      <c r="AP404" s="28"/>
      <c r="AQ404" s="28"/>
      <c r="AR404" s="28"/>
      <c r="AS404" s="28"/>
      <c r="AT404" s="28"/>
      <c r="AU404" s="28"/>
      <c r="AV404" s="28"/>
      <c r="AW404" s="28"/>
      <c r="AX404" s="28"/>
      <c r="AY404" s="24"/>
      <c r="AZ404" s="28"/>
      <c r="BA404" s="28"/>
      <c r="BB404" s="28"/>
      <c r="BC404" s="28"/>
      <c r="BD404" s="28"/>
      <c r="BE404" s="28"/>
      <c r="BF404" s="24"/>
      <c r="BG404" s="28"/>
      <c r="BH404" s="28"/>
      <c r="BI404" s="28"/>
      <c r="BJ404" s="24"/>
      <c r="BK404" s="28"/>
      <c r="BL404" s="28"/>
      <c r="BM404" s="28"/>
    </row>
    <row r="405" spans="1:65">
      <c r="A405" s="24"/>
      <c r="B405" s="28"/>
      <c r="C405" s="25"/>
      <c r="D405" s="26"/>
      <c r="E405" s="24"/>
      <c r="F405" s="24"/>
      <c r="G405" s="26"/>
      <c r="H405" s="26"/>
      <c r="I405" s="26"/>
      <c r="J405" s="26"/>
      <c r="K405" s="26"/>
      <c r="L405" s="26"/>
      <c r="M405" s="26"/>
      <c r="N405" s="26"/>
      <c r="O405" s="26"/>
      <c r="P405" s="26"/>
      <c r="R405" s="24"/>
      <c r="S405" s="26"/>
      <c r="T405" s="25"/>
      <c r="U405" s="24"/>
      <c r="V405" s="24"/>
      <c r="W405" s="24"/>
      <c r="X405" s="26"/>
      <c r="Y405" s="26"/>
      <c r="Z405" s="24"/>
      <c r="AA405" s="26"/>
      <c r="AB405" s="25"/>
      <c r="AC405" s="24"/>
      <c r="AD405" s="24"/>
      <c r="AE405" s="24"/>
      <c r="AF405" s="26"/>
      <c r="AG405" s="26"/>
      <c r="AH405" s="24"/>
      <c r="AI405" s="24"/>
      <c r="AJ405" s="24"/>
      <c r="AK405" s="28"/>
      <c r="AL405" s="28"/>
      <c r="AM405" s="28"/>
      <c r="AN405" s="28"/>
      <c r="AO405" s="28"/>
      <c r="AP405" s="28"/>
      <c r="AQ405" s="28"/>
      <c r="AR405" s="28"/>
      <c r="AS405" s="28"/>
      <c r="AT405" s="28"/>
      <c r="AU405" s="28"/>
      <c r="AV405" s="28"/>
      <c r="AW405" s="28"/>
      <c r="AX405" s="28"/>
      <c r="AY405" s="24"/>
      <c r="AZ405" s="28"/>
      <c r="BA405" s="28"/>
      <c r="BB405" s="28"/>
      <c r="BC405" s="28"/>
      <c r="BD405" s="28"/>
      <c r="BE405" s="28"/>
      <c r="BF405" s="24"/>
      <c r="BG405" s="28"/>
      <c r="BH405" s="28"/>
      <c r="BI405" s="28"/>
      <c r="BJ405" s="24"/>
      <c r="BK405" s="28"/>
      <c r="BL405" s="28"/>
      <c r="BM405" s="28"/>
    </row>
    <row r="406" spans="1:65">
      <c r="A406" s="24"/>
      <c r="B406" s="28"/>
      <c r="C406" s="25"/>
      <c r="D406" s="26"/>
      <c r="E406" s="24"/>
      <c r="F406" s="24"/>
      <c r="G406" s="26"/>
      <c r="H406" s="26"/>
      <c r="I406" s="26"/>
      <c r="J406" s="26"/>
      <c r="K406" s="26"/>
      <c r="L406" s="26"/>
      <c r="M406" s="26"/>
      <c r="N406" s="26"/>
      <c r="O406" s="26"/>
      <c r="P406" s="26"/>
      <c r="R406" s="24"/>
      <c r="S406" s="26"/>
      <c r="T406" s="25"/>
      <c r="U406" s="24"/>
      <c r="V406" s="24"/>
      <c r="W406" s="24"/>
      <c r="X406" s="26"/>
      <c r="Y406" s="26"/>
      <c r="Z406" s="24"/>
      <c r="AA406" s="26"/>
      <c r="AB406" s="25"/>
      <c r="AC406" s="24"/>
      <c r="AD406" s="24"/>
      <c r="AE406" s="24"/>
      <c r="AF406" s="26"/>
      <c r="AG406" s="26"/>
      <c r="AH406" s="24"/>
      <c r="AI406" s="24"/>
      <c r="AJ406" s="24"/>
      <c r="AK406" s="28"/>
      <c r="AL406" s="28"/>
      <c r="AM406" s="28"/>
      <c r="AN406" s="28"/>
      <c r="AO406" s="28"/>
      <c r="AP406" s="28"/>
      <c r="AQ406" s="28"/>
      <c r="AR406" s="28"/>
      <c r="AS406" s="28"/>
      <c r="AT406" s="28"/>
      <c r="AU406" s="28"/>
      <c r="AV406" s="28"/>
      <c r="AW406" s="28"/>
      <c r="AX406" s="28"/>
      <c r="AY406" s="24"/>
      <c r="AZ406" s="28"/>
      <c r="BA406" s="28"/>
      <c r="BB406" s="28"/>
      <c r="BC406" s="28"/>
      <c r="BD406" s="28"/>
      <c r="BE406" s="28"/>
      <c r="BF406" s="24"/>
      <c r="BG406" s="28"/>
      <c r="BH406" s="28"/>
      <c r="BI406" s="28"/>
      <c r="BJ406" s="24"/>
      <c r="BK406" s="28"/>
      <c r="BL406" s="28"/>
      <c r="BM406" s="28"/>
    </row>
    <row r="407" spans="1:65">
      <c r="A407" s="24"/>
      <c r="B407" s="28"/>
      <c r="C407" s="25"/>
      <c r="D407" s="26"/>
      <c r="E407" s="24"/>
      <c r="F407" s="24"/>
      <c r="G407" s="26"/>
      <c r="H407" s="26"/>
      <c r="I407" s="26"/>
      <c r="J407" s="26"/>
      <c r="K407" s="26"/>
      <c r="L407" s="26"/>
      <c r="M407" s="26"/>
      <c r="N407" s="26"/>
      <c r="O407" s="26"/>
      <c r="P407" s="26"/>
      <c r="R407" s="24"/>
      <c r="S407" s="26"/>
      <c r="T407" s="25"/>
      <c r="U407" s="24"/>
      <c r="V407" s="24"/>
      <c r="W407" s="24"/>
      <c r="X407" s="26"/>
      <c r="Y407" s="26"/>
      <c r="Z407" s="24"/>
      <c r="AA407" s="26"/>
      <c r="AB407" s="25"/>
      <c r="AC407" s="24"/>
      <c r="AD407" s="24"/>
      <c r="AE407" s="24"/>
      <c r="AF407" s="26"/>
      <c r="AG407" s="26"/>
      <c r="AH407" s="24"/>
      <c r="AI407" s="24"/>
      <c r="AJ407" s="24"/>
      <c r="AK407" s="28"/>
      <c r="AL407" s="28"/>
      <c r="AM407" s="28"/>
      <c r="AN407" s="28"/>
      <c r="AO407" s="28"/>
      <c r="AP407" s="28"/>
      <c r="AQ407" s="28"/>
      <c r="AR407" s="28"/>
      <c r="AS407" s="28"/>
      <c r="AT407" s="28"/>
      <c r="AU407" s="28"/>
      <c r="AV407" s="28"/>
      <c r="AW407" s="28"/>
      <c r="AX407" s="28"/>
      <c r="AY407" s="24"/>
      <c r="AZ407" s="28"/>
      <c r="BA407" s="28"/>
      <c r="BB407" s="28"/>
      <c r="BC407" s="28"/>
      <c r="BD407" s="28"/>
      <c r="BE407" s="28"/>
      <c r="BF407" s="24"/>
      <c r="BG407" s="28"/>
      <c r="BH407" s="28"/>
      <c r="BI407" s="28"/>
      <c r="BJ407" s="24"/>
      <c r="BK407" s="28"/>
      <c r="BL407" s="28"/>
      <c r="BM407" s="28"/>
    </row>
    <row r="408" spans="1:65">
      <c r="A408" s="24"/>
      <c r="B408" s="28"/>
      <c r="C408" s="25"/>
      <c r="D408" s="26"/>
      <c r="E408" s="24"/>
      <c r="F408" s="24"/>
      <c r="G408" s="26"/>
      <c r="H408" s="26"/>
      <c r="I408" s="26"/>
      <c r="J408" s="26"/>
      <c r="K408" s="26"/>
      <c r="L408" s="26"/>
      <c r="M408" s="26"/>
      <c r="N408" s="26"/>
      <c r="O408" s="26"/>
      <c r="P408" s="26"/>
      <c r="R408" s="24"/>
      <c r="S408" s="26"/>
      <c r="T408" s="25"/>
      <c r="U408" s="24"/>
      <c r="V408" s="24"/>
      <c r="W408" s="24"/>
      <c r="X408" s="26"/>
      <c r="Y408" s="26"/>
      <c r="Z408" s="24"/>
      <c r="AA408" s="26"/>
      <c r="AB408" s="25"/>
      <c r="AC408" s="24"/>
      <c r="AD408" s="24"/>
      <c r="AE408" s="24"/>
      <c r="AF408" s="26"/>
      <c r="AG408" s="26"/>
      <c r="AH408" s="24"/>
      <c r="AI408" s="24"/>
      <c r="AJ408" s="24"/>
      <c r="AK408" s="28"/>
      <c r="AL408" s="28"/>
      <c r="AM408" s="28"/>
      <c r="AN408" s="28"/>
      <c r="AO408" s="28"/>
      <c r="AP408" s="28"/>
      <c r="AQ408" s="28"/>
      <c r="AR408" s="28"/>
      <c r="AS408" s="28"/>
      <c r="AT408" s="28"/>
      <c r="AU408" s="28"/>
      <c r="AV408" s="28"/>
      <c r="AW408" s="28"/>
      <c r="AX408" s="28"/>
      <c r="AY408" s="24"/>
      <c r="AZ408" s="28"/>
      <c r="BA408" s="28"/>
      <c r="BB408" s="28"/>
      <c r="BC408" s="28"/>
      <c r="BD408" s="28"/>
      <c r="BE408" s="28"/>
      <c r="BF408" s="24"/>
      <c r="BG408" s="28"/>
      <c r="BH408" s="28"/>
      <c r="BI408" s="28"/>
      <c r="BJ408" s="24"/>
      <c r="BK408" s="28"/>
      <c r="BL408" s="28"/>
      <c r="BM408" s="28"/>
    </row>
    <row r="409" spans="1:65">
      <c r="A409" s="24"/>
      <c r="B409" s="28"/>
      <c r="C409" s="25"/>
      <c r="D409" s="26"/>
      <c r="E409" s="24"/>
      <c r="F409" s="24"/>
      <c r="G409" s="26"/>
      <c r="H409" s="26"/>
      <c r="I409" s="26"/>
      <c r="J409" s="26"/>
      <c r="K409" s="26"/>
      <c r="L409" s="26"/>
      <c r="M409" s="26"/>
      <c r="N409" s="26"/>
      <c r="O409" s="26"/>
      <c r="P409" s="26"/>
      <c r="R409" s="24"/>
      <c r="S409" s="26"/>
      <c r="T409" s="25"/>
      <c r="U409" s="24"/>
      <c r="V409" s="24"/>
      <c r="W409" s="24"/>
      <c r="X409" s="26"/>
      <c r="Y409" s="26"/>
      <c r="Z409" s="24"/>
      <c r="AA409" s="26"/>
      <c r="AB409" s="25"/>
      <c r="AC409" s="24"/>
      <c r="AD409" s="24"/>
      <c r="AE409" s="24"/>
      <c r="AF409" s="26"/>
      <c r="AG409" s="26"/>
      <c r="AH409" s="24"/>
      <c r="AI409" s="24"/>
      <c r="AJ409" s="24"/>
      <c r="AK409" s="28"/>
      <c r="AL409" s="28"/>
      <c r="AM409" s="28"/>
      <c r="AN409" s="28"/>
      <c r="AO409" s="28"/>
      <c r="AP409" s="28"/>
      <c r="AQ409" s="28"/>
      <c r="AR409" s="28"/>
      <c r="AS409" s="28"/>
      <c r="AT409" s="28"/>
      <c r="AU409" s="28"/>
      <c r="AV409" s="28"/>
      <c r="AW409" s="28"/>
      <c r="AX409" s="28"/>
      <c r="AY409" s="24"/>
      <c r="AZ409" s="28"/>
      <c r="BA409" s="28"/>
      <c r="BB409" s="28"/>
      <c r="BC409" s="28"/>
      <c r="BD409" s="28"/>
      <c r="BE409" s="28"/>
      <c r="BF409" s="24"/>
      <c r="BG409" s="28"/>
      <c r="BH409" s="28"/>
      <c r="BI409" s="28"/>
      <c r="BJ409" s="24"/>
      <c r="BK409" s="28"/>
      <c r="BL409" s="28"/>
      <c r="BM409" s="28"/>
    </row>
    <row r="410" spans="1:65">
      <c r="A410" s="24"/>
      <c r="B410" s="28"/>
      <c r="C410" s="25"/>
      <c r="D410" s="26"/>
      <c r="E410" s="24"/>
      <c r="F410" s="24"/>
      <c r="G410" s="26"/>
      <c r="H410" s="26"/>
      <c r="I410" s="26"/>
      <c r="J410" s="26"/>
      <c r="K410" s="26"/>
      <c r="L410" s="26"/>
      <c r="M410" s="26"/>
      <c r="N410" s="26"/>
      <c r="O410" s="26"/>
      <c r="P410" s="26"/>
      <c r="R410" s="24"/>
      <c r="S410" s="26"/>
      <c r="T410" s="25"/>
      <c r="U410" s="24"/>
      <c r="V410" s="24"/>
      <c r="W410" s="24"/>
      <c r="X410" s="26"/>
      <c r="Y410" s="26"/>
      <c r="Z410" s="24"/>
      <c r="AA410" s="26"/>
      <c r="AB410" s="25"/>
      <c r="AC410" s="24"/>
      <c r="AD410" s="24"/>
      <c r="AE410" s="24"/>
      <c r="AF410" s="26"/>
      <c r="AG410" s="26"/>
      <c r="AH410" s="24"/>
      <c r="AI410" s="24"/>
      <c r="AJ410" s="24"/>
      <c r="AK410" s="28"/>
      <c r="AL410" s="28"/>
      <c r="AM410" s="28"/>
      <c r="AN410" s="28"/>
      <c r="AO410" s="28"/>
      <c r="AP410" s="28"/>
      <c r="AQ410" s="28"/>
      <c r="AR410" s="28"/>
      <c r="AS410" s="28"/>
      <c r="AT410" s="28"/>
      <c r="AU410" s="28"/>
      <c r="AV410" s="28"/>
      <c r="AW410" s="28"/>
      <c r="AX410" s="28"/>
      <c r="AY410" s="24"/>
      <c r="AZ410" s="28"/>
      <c r="BA410" s="28"/>
      <c r="BB410" s="28"/>
      <c r="BC410" s="28"/>
      <c r="BD410" s="28"/>
      <c r="BE410" s="28"/>
      <c r="BF410" s="24"/>
      <c r="BG410" s="28"/>
      <c r="BH410" s="28"/>
      <c r="BI410" s="28"/>
      <c r="BJ410" s="24"/>
      <c r="BK410" s="28"/>
      <c r="BL410" s="28"/>
      <c r="BM410" s="28"/>
    </row>
    <row r="411" spans="1:65">
      <c r="A411" s="24"/>
      <c r="B411" s="28"/>
      <c r="C411" s="25"/>
      <c r="D411" s="26"/>
      <c r="E411" s="24"/>
      <c r="F411" s="24"/>
      <c r="G411" s="26"/>
      <c r="H411" s="26"/>
      <c r="I411" s="26"/>
      <c r="J411" s="26"/>
      <c r="K411" s="26"/>
      <c r="L411" s="26"/>
      <c r="M411" s="26"/>
      <c r="N411" s="26"/>
      <c r="O411" s="26"/>
      <c r="P411" s="26"/>
      <c r="R411" s="24"/>
      <c r="S411" s="26"/>
      <c r="T411" s="25"/>
      <c r="U411" s="24"/>
      <c r="V411" s="24"/>
      <c r="W411" s="24"/>
      <c r="X411" s="26"/>
      <c r="Y411" s="26"/>
      <c r="Z411" s="24"/>
      <c r="AA411" s="26"/>
      <c r="AB411" s="25"/>
      <c r="AC411" s="24"/>
      <c r="AD411" s="24"/>
      <c r="AE411" s="24"/>
      <c r="AF411" s="26"/>
      <c r="AG411" s="26"/>
      <c r="AH411" s="24"/>
      <c r="AI411" s="24"/>
      <c r="AJ411" s="24"/>
      <c r="AK411" s="28"/>
      <c r="AL411" s="28"/>
      <c r="AM411" s="28"/>
      <c r="AN411" s="28"/>
      <c r="AO411" s="28"/>
      <c r="AP411" s="28"/>
      <c r="AQ411" s="28"/>
      <c r="AR411" s="28"/>
      <c r="AS411" s="28"/>
      <c r="AT411" s="28"/>
      <c r="AU411" s="28"/>
      <c r="AV411" s="28"/>
      <c r="AW411" s="28"/>
      <c r="AX411" s="28"/>
      <c r="AY411" s="24"/>
      <c r="AZ411" s="28"/>
      <c r="BA411" s="28"/>
      <c r="BB411" s="28"/>
      <c r="BC411" s="28"/>
      <c r="BD411" s="28"/>
      <c r="BE411" s="28"/>
      <c r="BF411" s="24"/>
      <c r="BG411" s="28"/>
      <c r="BH411" s="28"/>
      <c r="BI411" s="28"/>
      <c r="BJ411" s="24"/>
      <c r="BK411" s="28"/>
      <c r="BL411" s="28"/>
      <c r="BM411" s="28"/>
    </row>
    <row r="412" spans="1:65">
      <c r="A412" s="24"/>
      <c r="B412" s="28"/>
      <c r="C412" s="25"/>
      <c r="D412" s="26"/>
      <c r="E412" s="24"/>
      <c r="F412" s="24"/>
      <c r="G412" s="26"/>
      <c r="H412" s="26"/>
      <c r="I412" s="26"/>
      <c r="J412" s="26"/>
      <c r="K412" s="26"/>
      <c r="L412" s="26"/>
      <c r="M412" s="26"/>
      <c r="N412" s="26"/>
      <c r="O412" s="26"/>
      <c r="P412" s="26"/>
      <c r="R412" s="24"/>
      <c r="S412" s="26"/>
      <c r="T412" s="25"/>
      <c r="U412" s="24"/>
      <c r="V412" s="24"/>
      <c r="W412" s="24"/>
      <c r="X412" s="26"/>
      <c r="Y412" s="26"/>
      <c r="Z412" s="24"/>
      <c r="AA412" s="26"/>
      <c r="AB412" s="25"/>
      <c r="AC412" s="24"/>
      <c r="AD412" s="24"/>
      <c r="AE412" s="24"/>
      <c r="AF412" s="26"/>
      <c r="AG412" s="26"/>
      <c r="AH412" s="24"/>
      <c r="AI412" s="24"/>
      <c r="AJ412" s="24"/>
      <c r="AK412" s="28"/>
      <c r="AL412" s="28"/>
      <c r="AM412" s="28"/>
      <c r="AN412" s="28"/>
      <c r="AO412" s="28"/>
      <c r="AP412" s="28"/>
      <c r="AQ412" s="28"/>
      <c r="AR412" s="28"/>
      <c r="AS412" s="28"/>
      <c r="AT412" s="28"/>
      <c r="AU412" s="28"/>
      <c r="AV412" s="28"/>
      <c r="AW412" s="28"/>
      <c r="AX412" s="28"/>
      <c r="AY412" s="24"/>
      <c r="AZ412" s="28"/>
      <c r="BA412" s="28"/>
      <c r="BB412" s="28"/>
      <c r="BC412" s="28"/>
      <c r="BD412" s="28"/>
      <c r="BE412" s="28"/>
      <c r="BF412" s="24"/>
      <c r="BG412" s="28"/>
      <c r="BH412" s="28"/>
      <c r="BI412" s="28"/>
      <c r="BJ412" s="24"/>
      <c r="BK412" s="28"/>
      <c r="BL412" s="28"/>
      <c r="BM412" s="28"/>
    </row>
    <row r="413" spans="1:65">
      <c r="A413" s="24"/>
      <c r="B413" s="28"/>
      <c r="C413" s="25"/>
      <c r="D413" s="26"/>
      <c r="E413" s="24"/>
      <c r="F413" s="24"/>
      <c r="G413" s="26"/>
      <c r="H413" s="26"/>
      <c r="I413" s="26"/>
      <c r="J413" s="26"/>
      <c r="K413" s="26"/>
      <c r="L413" s="26"/>
      <c r="M413" s="26"/>
      <c r="N413" s="26"/>
      <c r="O413" s="26"/>
      <c r="P413" s="26"/>
      <c r="R413" s="24"/>
      <c r="S413" s="26"/>
      <c r="T413" s="25"/>
      <c r="U413" s="24"/>
      <c r="V413" s="24"/>
      <c r="W413" s="24"/>
      <c r="X413" s="26"/>
      <c r="Y413" s="26"/>
      <c r="Z413" s="24"/>
      <c r="AA413" s="26"/>
      <c r="AB413" s="25"/>
      <c r="AC413" s="24"/>
      <c r="AD413" s="24"/>
      <c r="AE413" s="24"/>
      <c r="AF413" s="26"/>
      <c r="AG413" s="26"/>
      <c r="AH413" s="24"/>
      <c r="AI413" s="24"/>
      <c r="AJ413" s="24"/>
      <c r="AK413" s="28"/>
      <c r="AL413" s="28"/>
      <c r="AM413" s="28"/>
      <c r="AN413" s="28"/>
      <c r="AO413" s="28"/>
      <c r="AP413" s="28"/>
      <c r="AQ413" s="28"/>
      <c r="AR413" s="28"/>
      <c r="AS413" s="28"/>
      <c r="AT413" s="28"/>
      <c r="AU413" s="28"/>
      <c r="AV413" s="28"/>
      <c r="AW413" s="28"/>
      <c r="AX413" s="28"/>
      <c r="AY413" s="24"/>
      <c r="AZ413" s="28"/>
      <c r="BA413" s="28"/>
      <c r="BB413" s="28"/>
      <c r="BC413" s="28"/>
      <c r="BD413" s="28"/>
      <c r="BE413" s="28"/>
      <c r="BF413" s="24"/>
      <c r="BG413" s="28"/>
      <c r="BH413" s="28"/>
      <c r="BI413" s="28"/>
      <c r="BJ413" s="24"/>
      <c r="BK413" s="28"/>
      <c r="BL413" s="28"/>
      <c r="BM413" s="28"/>
    </row>
    <row r="414" spans="1:65">
      <c r="A414" s="24"/>
      <c r="B414" s="28"/>
      <c r="C414" s="25"/>
      <c r="D414" s="26"/>
      <c r="E414" s="24"/>
      <c r="F414" s="24"/>
      <c r="G414" s="26"/>
      <c r="H414" s="26"/>
      <c r="I414" s="26"/>
      <c r="J414" s="26"/>
      <c r="K414" s="26"/>
      <c r="L414" s="26"/>
      <c r="M414" s="26"/>
      <c r="N414" s="26"/>
      <c r="O414" s="26"/>
      <c r="P414" s="26"/>
      <c r="R414" s="24"/>
      <c r="S414" s="26"/>
      <c r="T414" s="25"/>
      <c r="U414" s="24"/>
      <c r="V414" s="24"/>
      <c r="W414" s="24"/>
      <c r="X414" s="26"/>
      <c r="Y414" s="26"/>
      <c r="Z414" s="24"/>
      <c r="AA414" s="26"/>
      <c r="AB414" s="25"/>
      <c r="AC414" s="24"/>
      <c r="AD414" s="24"/>
      <c r="AE414" s="24"/>
      <c r="AF414" s="26"/>
      <c r="AG414" s="26"/>
      <c r="AH414" s="24"/>
      <c r="AI414" s="24"/>
      <c r="AJ414" s="24"/>
      <c r="AK414" s="28"/>
      <c r="AL414" s="28"/>
      <c r="AM414" s="28"/>
      <c r="AN414" s="28"/>
      <c r="AO414" s="28"/>
      <c r="AP414" s="28"/>
      <c r="AQ414" s="28"/>
      <c r="AR414" s="28"/>
      <c r="AS414" s="28"/>
      <c r="AT414" s="28"/>
      <c r="AU414" s="28"/>
      <c r="AV414" s="28"/>
      <c r="AW414" s="28"/>
      <c r="AX414" s="28"/>
      <c r="AY414" s="24"/>
      <c r="AZ414" s="28"/>
      <c r="BA414" s="28"/>
      <c r="BB414" s="28"/>
      <c r="BC414" s="28"/>
      <c r="BD414" s="28"/>
      <c r="BE414" s="28"/>
      <c r="BF414" s="24"/>
      <c r="BG414" s="28"/>
      <c r="BH414" s="28"/>
      <c r="BI414" s="28"/>
      <c r="BJ414" s="24"/>
      <c r="BK414" s="28"/>
      <c r="BL414" s="28"/>
      <c r="BM414" s="28"/>
    </row>
    <row r="415" spans="1:65">
      <c r="A415" s="24"/>
      <c r="B415" s="28"/>
      <c r="C415" s="25"/>
      <c r="D415" s="26"/>
      <c r="E415" s="24"/>
      <c r="F415" s="24"/>
      <c r="G415" s="26"/>
      <c r="H415" s="26"/>
      <c r="I415" s="26"/>
      <c r="J415" s="26"/>
      <c r="K415" s="26"/>
      <c r="L415" s="26"/>
      <c r="M415" s="26"/>
      <c r="N415" s="26"/>
      <c r="O415" s="26"/>
      <c r="P415" s="26"/>
      <c r="R415" s="24"/>
      <c r="S415" s="26"/>
      <c r="T415" s="25"/>
      <c r="U415" s="24"/>
      <c r="V415" s="24"/>
      <c r="W415" s="24"/>
      <c r="X415" s="26"/>
      <c r="Y415" s="26"/>
      <c r="Z415" s="24"/>
      <c r="AA415" s="26"/>
      <c r="AB415" s="25"/>
      <c r="AC415" s="24"/>
      <c r="AD415" s="24"/>
      <c r="AE415" s="24"/>
      <c r="AF415" s="26"/>
      <c r="AG415" s="26"/>
      <c r="AH415" s="24"/>
      <c r="AI415" s="24"/>
      <c r="AJ415" s="24"/>
      <c r="AK415" s="28"/>
      <c r="AL415" s="28"/>
      <c r="AM415" s="28"/>
      <c r="AN415" s="28"/>
      <c r="AO415" s="28"/>
      <c r="AP415" s="28"/>
      <c r="AQ415" s="28"/>
      <c r="AR415" s="28"/>
      <c r="AS415" s="28"/>
      <c r="AT415" s="28"/>
      <c r="AU415" s="28"/>
      <c r="AV415" s="28"/>
      <c r="AW415" s="28"/>
      <c r="AX415" s="28"/>
      <c r="AY415" s="24"/>
      <c r="AZ415" s="28"/>
      <c r="BA415" s="28"/>
      <c r="BB415" s="28"/>
      <c r="BC415" s="28"/>
      <c r="BD415" s="28"/>
      <c r="BE415" s="28"/>
      <c r="BF415" s="24"/>
      <c r="BG415" s="28"/>
      <c r="BH415" s="28"/>
      <c r="BI415" s="28"/>
      <c r="BJ415" s="24"/>
      <c r="BK415" s="28"/>
      <c r="BL415" s="28"/>
      <c r="BM415" s="28"/>
    </row>
    <row r="416" spans="1:65">
      <c r="A416" s="24"/>
      <c r="B416" s="28"/>
      <c r="C416" s="25"/>
      <c r="D416" s="26"/>
      <c r="E416" s="24"/>
      <c r="F416" s="24"/>
      <c r="G416" s="26"/>
      <c r="H416" s="26"/>
      <c r="I416" s="26"/>
      <c r="J416" s="26"/>
      <c r="K416" s="26"/>
      <c r="L416" s="26"/>
      <c r="M416" s="26"/>
      <c r="N416" s="26"/>
      <c r="O416" s="26"/>
      <c r="P416" s="26"/>
      <c r="R416" s="24"/>
      <c r="S416" s="26"/>
      <c r="T416" s="25"/>
      <c r="U416" s="24"/>
      <c r="V416" s="24"/>
      <c r="W416" s="24"/>
      <c r="X416" s="26"/>
      <c r="Y416" s="26"/>
      <c r="Z416" s="24"/>
      <c r="AA416" s="26"/>
      <c r="AB416" s="25"/>
      <c r="AC416" s="24"/>
      <c r="AD416" s="24"/>
      <c r="AE416" s="24"/>
      <c r="AF416" s="26"/>
      <c r="AG416" s="26"/>
      <c r="AH416" s="24"/>
      <c r="AI416" s="24"/>
      <c r="AJ416" s="24"/>
      <c r="AK416" s="28"/>
      <c r="AL416" s="28"/>
      <c r="AM416" s="28"/>
      <c r="AN416" s="28"/>
      <c r="AO416" s="28"/>
      <c r="AP416" s="28"/>
      <c r="AQ416" s="28"/>
      <c r="AR416" s="28"/>
      <c r="AS416" s="28"/>
      <c r="AT416" s="28"/>
      <c r="AU416" s="28"/>
      <c r="AV416" s="28"/>
      <c r="AW416" s="28"/>
      <c r="AX416" s="28"/>
      <c r="AY416" s="24"/>
      <c r="AZ416" s="28"/>
      <c r="BA416" s="28"/>
      <c r="BB416" s="28"/>
      <c r="BC416" s="28"/>
      <c r="BD416" s="28"/>
      <c r="BE416" s="28"/>
      <c r="BF416" s="24"/>
      <c r="BG416" s="28"/>
      <c r="BH416" s="28"/>
      <c r="BI416" s="28"/>
      <c r="BJ416" s="24"/>
      <c r="BK416" s="28"/>
      <c r="BL416" s="28"/>
      <c r="BM416" s="28"/>
    </row>
    <row r="417" spans="1:65">
      <c r="A417" s="24"/>
      <c r="B417" s="28"/>
      <c r="C417" s="25"/>
      <c r="D417" s="26"/>
      <c r="E417" s="24"/>
      <c r="F417" s="24"/>
      <c r="G417" s="26"/>
      <c r="H417" s="26"/>
      <c r="I417" s="26"/>
      <c r="J417" s="26"/>
      <c r="K417" s="26"/>
      <c r="L417" s="26"/>
      <c r="M417" s="26"/>
      <c r="N417" s="26"/>
      <c r="O417" s="26"/>
      <c r="P417" s="26"/>
      <c r="R417" s="24"/>
      <c r="S417" s="26"/>
      <c r="T417" s="25"/>
      <c r="U417" s="24"/>
      <c r="V417" s="24"/>
      <c r="W417" s="24"/>
      <c r="X417" s="26"/>
      <c r="Y417" s="26"/>
      <c r="Z417" s="24"/>
      <c r="AA417" s="26"/>
      <c r="AB417" s="25"/>
      <c r="AC417" s="24"/>
      <c r="AD417" s="24"/>
      <c r="AE417" s="24"/>
      <c r="AF417" s="26"/>
      <c r="AG417" s="26"/>
      <c r="AH417" s="24"/>
      <c r="AI417" s="24"/>
      <c r="AJ417" s="24"/>
      <c r="AK417" s="28"/>
      <c r="AL417" s="28"/>
      <c r="AM417" s="28"/>
      <c r="AN417" s="28"/>
      <c r="AO417" s="28"/>
      <c r="AP417" s="28"/>
      <c r="AQ417" s="28"/>
      <c r="AR417" s="28"/>
      <c r="AS417" s="28"/>
      <c r="AT417" s="28"/>
      <c r="AU417" s="28"/>
      <c r="AV417" s="28"/>
      <c r="AW417" s="28"/>
      <c r="AX417" s="28"/>
      <c r="AY417" s="24"/>
      <c r="AZ417" s="28"/>
      <c r="BA417" s="28"/>
      <c r="BB417" s="28"/>
      <c r="BC417" s="28"/>
      <c r="BD417" s="28"/>
      <c r="BE417" s="28"/>
      <c r="BF417" s="24"/>
      <c r="BG417" s="28"/>
      <c r="BH417" s="28"/>
      <c r="BI417" s="28"/>
      <c r="BJ417" s="24"/>
      <c r="BK417" s="28"/>
      <c r="BL417" s="28"/>
      <c r="BM417" s="28"/>
    </row>
    <row r="418" spans="1:65">
      <c r="A418" s="24"/>
      <c r="B418" s="28"/>
      <c r="C418" s="25"/>
      <c r="D418" s="26"/>
      <c r="E418" s="24"/>
      <c r="F418" s="24"/>
      <c r="G418" s="26"/>
      <c r="H418" s="26"/>
      <c r="I418" s="26"/>
      <c r="J418" s="26"/>
      <c r="K418" s="26"/>
      <c r="L418" s="26"/>
      <c r="M418" s="26"/>
      <c r="N418" s="26"/>
      <c r="O418" s="26"/>
      <c r="P418" s="26"/>
      <c r="R418" s="24"/>
      <c r="S418" s="26"/>
      <c r="T418" s="25"/>
      <c r="U418" s="24"/>
      <c r="V418" s="24"/>
      <c r="W418" s="24"/>
      <c r="X418" s="26"/>
      <c r="Y418" s="26"/>
      <c r="Z418" s="24"/>
      <c r="AA418" s="26"/>
      <c r="AB418" s="25"/>
      <c r="AC418" s="24"/>
      <c r="AD418" s="24"/>
      <c r="AE418" s="24"/>
      <c r="AF418" s="26"/>
      <c r="AG418" s="26"/>
      <c r="AH418" s="24"/>
      <c r="AI418" s="24"/>
      <c r="AJ418" s="24"/>
      <c r="AK418" s="28"/>
      <c r="AL418" s="28"/>
      <c r="AM418" s="28"/>
      <c r="AN418" s="28"/>
      <c r="AO418" s="28"/>
      <c r="AP418" s="28"/>
      <c r="AQ418" s="28"/>
      <c r="AR418" s="28"/>
      <c r="AS418" s="28"/>
      <c r="AT418" s="28"/>
      <c r="AU418" s="28"/>
      <c r="AV418" s="28"/>
      <c r="AW418" s="28"/>
      <c r="AX418" s="28"/>
      <c r="AY418" s="24"/>
      <c r="AZ418" s="28"/>
      <c r="BA418" s="28"/>
      <c r="BB418" s="28"/>
      <c r="BC418" s="28"/>
      <c r="BD418" s="28"/>
      <c r="BE418" s="28"/>
      <c r="BF418" s="24"/>
      <c r="BG418" s="28"/>
      <c r="BH418" s="28"/>
      <c r="BI418" s="28"/>
      <c r="BJ418" s="24"/>
      <c r="BK418" s="28"/>
      <c r="BL418" s="28"/>
      <c r="BM418" s="28"/>
    </row>
    <row r="419" spans="1:65">
      <c r="A419" s="24"/>
      <c r="B419" s="28"/>
      <c r="C419" s="25"/>
      <c r="D419" s="26"/>
      <c r="E419" s="24"/>
      <c r="F419" s="24"/>
      <c r="G419" s="26"/>
      <c r="H419" s="26"/>
      <c r="I419" s="26"/>
      <c r="J419" s="26"/>
      <c r="K419" s="26"/>
      <c r="L419" s="26"/>
      <c r="M419" s="26"/>
      <c r="N419" s="26"/>
      <c r="O419" s="26"/>
      <c r="P419" s="26"/>
      <c r="R419" s="24"/>
      <c r="S419" s="26"/>
      <c r="T419" s="25"/>
      <c r="U419" s="24"/>
      <c r="V419" s="24"/>
      <c r="W419" s="24"/>
      <c r="X419" s="26"/>
      <c r="Y419" s="26"/>
      <c r="Z419" s="24"/>
      <c r="AA419" s="26"/>
      <c r="AB419" s="25"/>
      <c r="AC419" s="24"/>
      <c r="AD419" s="24"/>
      <c r="AE419" s="24"/>
      <c r="AF419" s="26"/>
      <c r="AG419" s="26"/>
      <c r="AH419" s="24"/>
      <c r="AI419" s="24"/>
      <c r="AJ419" s="24"/>
      <c r="AK419" s="28"/>
      <c r="AL419" s="28"/>
      <c r="AM419" s="28"/>
      <c r="AN419" s="28"/>
      <c r="AO419" s="28"/>
      <c r="AP419" s="28"/>
      <c r="AQ419" s="28"/>
      <c r="AR419" s="28"/>
      <c r="AS419" s="28"/>
      <c r="AT419" s="28"/>
      <c r="AU419" s="28"/>
      <c r="AV419" s="28"/>
      <c r="AW419" s="28"/>
      <c r="AX419" s="28"/>
      <c r="AY419" s="24"/>
      <c r="AZ419" s="28"/>
      <c r="BA419" s="28"/>
      <c r="BB419" s="28"/>
      <c r="BC419" s="28"/>
      <c r="BD419" s="28"/>
      <c r="BE419" s="28"/>
      <c r="BF419" s="24"/>
      <c r="BG419" s="28"/>
      <c r="BH419" s="28"/>
      <c r="BI419" s="28"/>
      <c r="BJ419" s="24"/>
      <c r="BK419" s="28"/>
      <c r="BL419" s="28"/>
      <c r="BM419" s="28"/>
    </row>
    <row r="420" spans="1:65">
      <c r="A420" s="24"/>
      <c r="B420" s="28"/>
      <c r="C420" s="25"/>
      <c r="D420" s="26"/>
      <c r="E420" s="24"/>
      <c r="F420" s="24"/>
      <c r="G420" s="26"/>
      <c r="H420" s="26"/>
      <c r="I420" s="26"/>
      <c r="J420" s="26"/>
      <c r="K420" s="26"/>
      <c r="L420" s="26"/>
      <c r="M420" s="26"/>
      <c r="N420" s="26"/>
      <c r="O420" s="26"/>
      <c r="P420" s="26"/>
      <c r="R420" s="24"/>
      <c r="S420" s="26"/>
      <c r="T420" s="25"/>
      <c r="U420" s="24"/>
      <c r="V420" s="24"/>
      <c r="W420" s="24"/>
      <c r="X420" s="26"/>
      <c r="Y420" s="26"/>
      <c r="Z420" s="24"/>
      <c r="AA420" s="26"/>
      <c r="AB420" s="25"/>
      <c r="AC420" s="24"/>
      <c r="AD420" s="24"/>
      <c r="AE420" s="24"/>
      <c r="AF420" s="26"/>
      <c r="AG420" s="26"/>
      <c r="AH420" s="24"/>
      <c r="AI420" s="24"/>
      <c r="AJ420" s="24"/>
      <c r="AK420" s="28"/>
      <c r="AL420" s="28"/>
      <c r="AM420" s="28"/>
      <c r="AN420" s="28"/>
      <c r="AO420" s="28"/>
      <c r="AP420" s="28"/>
      <c r="AQ420" s="28"/>
      <c r="AR420" s="28"/>
      <c r="AS420" s="28"/>
      <c r="AT420" s="28"/>
      <c r="AU420" s="28"/>
      <c r="AV420" s="28"/>
      <c r="AW420" s="28"/>
      <c r="AX420" s="28"/>
      <c r="AY420" s="24"/>
      <c r="AZ420" s="28"/>
      <c r="BA420" s="28"/>
      <c r="BB420" s="28"/>
      <c r="BC420" s="28"/>
      <c r="BD420" s="28"/>
      <c r="BE420" s="28"/>
      <c r="BF420" s="24"/>
      <c r="BG420" s="28"/>
      <c r="BH420" s="28"/>
      <c r="BI420" s="28"/>
      <c r="BJ420" s="24"/>
      <c r="BK420" s="28"/>
      <c r="BL420" s="28"/>
      <c r="BM420" s="28"/>
    </row>
    <row r="421" spans="1:65">
      <c r="A421" s="24"/>
      <c r="B421" s="28"/>
      <c r="C421" s="25"/>
      <c r="D421" s="26"/>
      <c r="E421" s="24"/>
      <c r="F421" s="24"/>
      <c r="G421" s="26"/>
      <c r="H421" s="26"/>
      <c r="I421" s="26"/>
      <c r="J421" s="26"/>
      <c r="K421" s="26"/>
      <c r="L421" s="26"/>
      <c r="M421" s="26"/>
      <c r="N421" s="26"/>
      <c r="O421" s="26"/>
      <c r="P421" s="26"/>
      <c r="R421" s="24"/>
      <c r="S421" s="26"/>
      <c r="T421" s="25"/>
      <c r="U421" s="24"/>
      <c r="V421" s="24"/>
      <c r="W421" s="24"/>
      <c r="X421" s="26"/>
      <c r="Y421" s="26"/>
      <c r="Z421" s="24"/>
      <c r="AA421" s="26"/>
      <c r="AB421" s="25"/>
      <c r="AC421" s="24"/>
      <c r="AD421" s="24"/>
      <c r="AE421" s="24"/>
      <c r="AF421" s="26"/>
      <c r="AG421" s="26"/>
      <c r="AH421" s="24"/>
      <c r="AI421" s="24"/>
      <c r="AJ421" s="24"/>
      <c r="AK421" s="28"/>
      <c r="AL421" s="28"/>
      <c r="AM421" s="28"/>
      <c r="AN421" s="28"/>
      <c r="AO421" s="28"/>
      <c r="AP421" s="28"/>
      <c r="AQ421" s="28"/>
      <c r="AR421" s="28"/>
      <c r="AS421" s="28"/>
      <c r="AT421" s="28"/>
      <c r="AU421" s="28"/>
      <c r="AV421" s="28"/>
      <c r="AW421" s="28"/>
      <c r="AX421" s="28"/>
      <c r="AY421" s="24"/>
      <c r="AZ421" s="28"/>
      <c r="BA421" s="28"/>
      <c r="BB421" s="28"/>
      <c r="BC421" s="28"/>
      <c r="BD421" s="28"/>
      <c r="BE421" s="28"/>
      <c r="BF421" s="24"/>
      <c r="BG421" s="28"/>
      <c r="BH421" s="28"/>
      <c r="BI421" s="28"/>
      <c r="BJ421" s="24"/>
      <c r="BK421" s="28"/>
      <c r="BL421" s="28"/>
      <c r="BM421" s="28"/>
    </row>
    <row r="422" spans="1:65">
      <c r="A422" s="24"/>
      <c r="B422" s="28"/>
      <c r="C422" s="25"/>
      <c r="D422" s="26"/>
      <c r="E422" s="24"/>
      <c r="F422" s="24"/>
      <c r="G422" s="26"/>
      <c r="H422" s="26"/>
      <c r="I422" s="26"/>
      <c r="J422" s="26"/>
      <c r="K422" s="26"/>
      <c r="L422" s="26"/>
      <c r="M422" s="26"/>
      <c r="N422" s="26"/>
      <c r="O422" s="26"/>
      <c r="P422" s="26"/>
      <c r="R422" s="24"/>
      <c r="S422" s="26"/>
      <c r="T422" s="25"/>
      <c r="U422" s="24"/>
      <c r="V422" s="24"/>
      <c r="W422" s="24"/>
      <c r="X422" s="26"/>
      <c r="Y422" s="26"/>
      <c r="Z422" s="24"/>
      <c r="AA422" s="26"/>
      <c r="AB422" s="25"/>
      <c r="AC422" s="24"/>
      <c r="AD422" s="24"/>
      <c r="AE422" s="24"/>
      <c r="AF422" s="26"/>
      <c r="AG422" s="26"/>
      <c r="AH422" s="24"/>
      <c r="AI422" s="24"/>
      <c r="AJ422" s="24"/>
      <c r="AK422" s="28"/>
      <c r="AL422" s="28"/>
      <c r="AM422" s="28"/>
      <c r="AN422" s="28"/>
      <c r="AO422" s="28"/>
      <c r="AP422" s="28"/>
      <c r="AQ422" s="28"/>
      <c r="AR422" s="28"/>
      <c r="AS422" s="28"/>
      <c r="AT422" s="28"/>
      <c r="AU422" s="28"/>
      <c r="AV422" s="28"/>
      <c r="AW422" s="28"/>
      <c r="AX422" s="28"/>
      <c r="AY422" s="24"/>
      <c r="AZ422" s="28"/>
      <c r="BA422" s="28"/>
      <c r="BB422" s="28"/>
      <c r="BC422" s="28"/>
      <c r="BD422" s="28"/>
      <c r="BE422" s="28"/>
      <c r="BF422" s="24"/>
      <c r="BG422" s="28"/>
      <c r="BH422" s="28"/>
      <c r="BI422" s="28"/>
      <c r="BJ422" s="24"/>
      <c r="BK422" s="28"/>
      <c r="BL422" s="28"/>
      <c r="BM422" s="28"/>
    </row>
    <row r="423" spans="1:65">
      <c r="A423" s="24"/>
      <c r="B423" s="28"/>
      <c r="C423" s="25"/>
      <c r="D423" s="26"/>
      <c r="E423" s="24"/>
      <c r="F423" s="24"/>
      <c r="G423" s="26"/>
      <c r="H423" s="26"/>
      <c r="I423" s="26"/>
      <c r="J423" s="26"/>
      <c r="K423" s="26"/>
      <c r="L423" s="26"/>
      <c r="M423" s="26"/>
      <c r="N423" s="26"/>
      <c r="O423" s="26"/>
      <c r="P423" s="26"/>
      <c r="R423" s="24"/>
      <c r="S423" s="26"/>
      <c r="T423" s="25"/>
      <c r="U423" s="24"/>
      <c r="V423" s="24"/>
      <c r="W423" s="24"/>
      <c r="X423" s="26"/>
      <c r="Y423" s="26"/>
      <c r="Z423" s="24"/>
      <c r="AA423" s="26"/>
      <c r="AB423" s="25"/>
      <c r="AC423" s="24"/>
      <c r="AD423" s="24"/>
      <c r="AE423" s="24"/>
      <c r="AF423" s="26"/>
      <c r="AG423" s="26"/>
      <c r="AH423" s="24"/>
      <c r="AI423" s="24"/>
      <c r="AJ423" s="24"/>
      <c r="AK423" s="28"/>
      <c r="AL423" s="28"/>
      <c r="AM423" s="28"/>
      <c r="AN423" s="28"/>
      <c r="AO423" s="28"/>
      <c r="AP423" s="28"/>
      <c r="AQ423" s="28"/>
      <c r="AR423" s="28"/>
      <c r="AS423" s="28"/>
      <c r="AT423" s="28"/>
      <c r="AU423" s="28"/>
      <c r="AV423" s="28"/>
      <c r="AW423" s="28"/>
      <c r="AX423" s="28"/>
      <c r="AY423" s="24"/>
      <c r="AZ423" s="28"/>
      <c r="BA423" s="28"/>
      <c r="BB423" s="28"/>
      <c r="BC423" s="28"/>
      <c r="BD423" s="28"/>
      <c r="BE423" s="28"/>
      <c r="BF423" s="24"/>
      <c r="BG423" s="28"/>
      <c r="BH423" s="28"/>
      <c r="BI423" s="28"/>
      <c r="BJ423" s="24"/>
      <c r="BK423" s="28"/>
      <c r="BL423" s="28"/>
      <c r="BM423" s="28"/>
    </row>
    <row r="424" spans="1:65">
      <c r="A424" s="24"/>
      <c r="B424" s="28"/>
      <c r="C424" s="25"/>
      <c r="D424" s="26"/>
      <c r="E424" s="24"/>
      <c r="F424" s="24"/>
      <c r="G424" s="26"/>
      <c r="H424" s="26"/>
      <c r="I424" s="26"/>
      <c r="J424" s="26"/>
      <c r="K424" s="26"/>
      <c r="L424" s="26"/>
      <c r="M424" s="26"/>
      <c r="N424" s="26"/>
      <c r="O424" s="26"/>
      <c r="P424" s="26"/>
      <c r="R424" s="24"/>
      <c r="S424" s="26"/>
      <c r="T424" s="25"/>
      <c r="U424" s="24"/>
      <c r="V424" s="24"/>
      <c r="W424" s="24"/>
      <c r="X424" s="26"/>
      <c r="Y424" s="26"/>
      <c r="Z424" s="24"/>
      <c r="AA424" s="26"/>
      <c r="AB424" s="25"/>
      <c r="AC424" s="24"/>
      <c r="AD424" s="24"/>
      <c r="AE424" s="24"/>
      <c r="AF424" s="26"/>
      <c r="AG424" s="26"/>
      <c r="AH424" s="24"/>
      <c r="AI424" s="24"/>
      <c r="AJ424" s="24"/>
      <c r="AK424" s="28"/>
      <c r="AL424" s="28"/>
      <c r="AM424" s="28"/>
      <c r="AN424" s="28"/>
      <c r="AO424" s="28"/>
      <c r="AP424" s="28"/>
      <c r="AQ424" s="28"/>
      <c r="AR424" s="28"/>
      <c r="AS424" s="28"/>
      <c r="AT424" s="28"/>
      <c r="AU424" s="28"/>
      <c r="AV424" s="28"/>
      <c r="AW424" s="28"/>
      <c r="AX424" s="28"/>
      <c r="AY424" s="24"/>
      <c r="AZ424" s="28"/>
      <c r="BA424" s="28"/>
      <c r="BB424" s="28"/>
      <c r="BC424" s="28"/>
      <c r="BD424" s="28"/>
      <c r="BE424" s="28"/>
      <c r="BF424" s="24"/>
      <c r="BG424" s="28"/>
      <c r="BH424" s="28"/>
      <c r="BI424" s="28"/>
      <c r="BJ424" s="24"/>
      <c r="BK424" s="28"/>
      <c r="BL424" s="28"/>
      <c r="BM424" s="28"/>
    </row>
    <row r="425" spans="1:65">
      <c r="A425" s="24"/>
      <c r="B425" s="28"/>
      <c r="C425" s="25"/>
      <c r="D425" s="26"/>
      <c r="E425" s="24"/>
      <c r="F425" s="24"/>
      <c r="G425" s="26"/>
      <c r="H425" s="26"/>
      <c r="I425" s="26"/>
      <c r="J425" s="26"/>
      <c r="K425" s="26"/>
      <c r="L425" s="26"/>
      <c r="M425" s="26"/>
      <c r="N425" s="26"/>
      <c r="O425" s="26"/>
      <c r="P425" s="26"/>
      <c r="R425" s="24"/>
      <c r="S425" s="26"/>
      <c r="T425" s="25"/>
      <c r="U425" s="24"/>
      <c r="V425" s="24"/>
      <c r="W425" s="24"/>
      <c r="X425" s="26"/>
      <c r="Y425" s="26"/>
      <c r="Z425" s="24"/>
      <c r="AA425" s="26"/>
      <c r="AB425" s="25"/>
      <c r="AC425" s="24"/>
      <c r="AD425" s="24"/>
      <c r="AE425" s="24"/>
      <c r="AF425" s="26"/>
      <c r="AG425" s="26"/>
      <c r="AH425" s="24"/>
      <c r="AI425" s="24"/>
      <c r="AJ425" s="24"/>
      <c r="AK425" s="28"/>
      <c r="AL425" s="28"/>
      <c r="AM425" s="28"/>
      <c r="AN425" s="28"/>
      <c r="AO425" s="28"/>
      <c r="AP425" s="28"/>
      <c r="AQ425" s="28"/>
      <c r="AR425" s="28"/>
      <c r="AS425" s="28"/>
      <c r="AT425" s="28"/>
      <c r="AU425" s="28"/>
      <c r="AV425" s="28"/>
      <c r="AW425" s="28"/>
      <c r="AX425" s="28"/>
      <c r="AY425" s="24"/>
      <c r="AZ425" s="28"/>
      <c r="BA425" s="28"/>
      <c r="BB425" s="28"/>
      <c r="BC425" s="28"/>
      <c r="BD425" s="28"/>
      <c r="BE425" s="28"/>
      <c r="BF425" s="24"/>
      <c r="BG425" s="28"/>
      <c r="BH425" s="28"/>
      <c r="BI425" s="28"/>
      <c r="BJ425" s="24"/>
      <c r="BK425" s="28"/>
      <c r="BL425" s="28"/>
      <c r="BM425" s="28"/>
    </row>
    <row r="426" spans="1:65">
      <c r="A426" s="24"/>
      <c r="B426" s="28"/>
      <c r="C426" s="25"/>
      <c r="D426" s="26"/>
      <c r="E426" s="24"/>
      <c r="F426" s="24"/>
      <c r="G426" s="26"/>
      <c r="H426" s="26"/>
      <c r="I426" s="26"/>
      <c r="J426" s="26"/>
      <c r="K426" s="26"/>
      <c r="L426" s="26"/>
      <c r="M426" s="26"/>
      <c r="N426" s="26"/>
      <c r="O426" s="26"/>
      <c r="P426" s="26"/>
      <c r="R426" s="24"/>
      <c r="S426" s="26"/>
      <c r="T426" s="25"/>
      <c r="U426" s="24"/>
      <c r="V426" s="24"/>
      <c r="W426" s="24"/>
      <c r="X426" s="26"/>
      <c r="Y426" s="26"/>
      <c r="Z426" s="24"/>
      <c r="AA426" s="26"/>
      <c r="AB426" s="25"/>
      <c r="AC426" s="24"/>
      <c r="AD426" s="24"/>
      <c r="AE426" s="24"/>
      <c r="AF426" s="26"/>
      <c r="AG426" s="26"/>
      <c r="AH426" s="24"/>
      <c r="AI426" s="24"/>
      <c r="AJ426" s="24"/>
      <c r="AK426" s="28"/>
      <c r="AL426" s="28"/>
      <c r="AM426" s="28"/>
      <c r="AN426" s="28"/>
      <c r="AO426" s="28"/>
      <c r="AP426" s="28"/>
      <c r="AQ426" s="28"/>
      <c r="AR426" s="28"/>
      <c r="AS426" s="28"/>
      <c r="AT426" s="28"/>
      <c r="AU426" s="28"/>
      <c r="AV426" s="28"/>
      <c r="AW426" s="28"/>
      <c r="AX426" s="28"/>
      <c r="AY426" s="24"/>
      <c r="AZ426" s="28"/>
      <c r="BA426" s="28"/>
      <c r="BB426" s="28"/>
      <c r="BC426" s="28"/>
      <c r="BD426" s="28"/>
      <c r="BE426" s="28"/>
      <c r="BF426" s="24"/>
      <c r="BG426" s="28"/>
      <c r="BH426" s="28"/>
      <c r="BI426" s="28"/>
      <c r="BJ426" s="24"/>
      <c r="BK426" s="28"/>
      <c r="BL426" s="28"/>
      <c r="BM426" s="28"/>
    </row>
    <row r="427" spans="1:65">
      <c r="A427" s="24"/>
      <c r="B427" s="28"/>
      <c r="C427" s="25"/>
      <c r="D427" s="26"/>
      <c r="E427" s="24"/>
      <c r="F427" s="24"/>
      <c r="G427" s="26"/>
      <c r="H427" s="26"/>
      <c r="I427" s="26"/>
      <c r="J427" s="26"/>
      <c r="K427" s="26"/>
      <c r="L427" s="26"/>
      <c r="M427" s="26"/>
      <c r="N427" s="26"/>
      <c r="O427" s="26"/>
      <c r="P427" s="26"/>
      <c r="R427" s="24"/>
      <c r="S427" s="26"/>
      <c r="T427" s="25"/>
      <c r="U427" s="24"/>
      <c r="V427" s="24"/>
      <c r="W427" s="24"/>
      <c r="X427" s="26"/>
      <c r="Y427" s="26"/>
      <c r="Z427" s="24"/>
      <c r="AA427" s="26"/>
      <c r="AB427" s="25"/>
      <c r="AC427" s="24"/>
      <c r="AD427" s="24"/>
      <c r="AE427" s="24"/>
      <c r="AF427" s="26"/>
      <c r="AG427" s="26"/>
      <c r="AH427" s="24"/>
      <c r="AI427" s="24"/>
      <c r="AJ427" s="24"/>
      <c r="AK427" s="28"/>
      <c r="AL427" s="28"/>
      <c r="AM427" s="28"/>
      <c r="AN427" s="28"/>
      <c r="AO427" s="28"/>
      <c r="AP427" s="28"/>
      <c r="AQ427" s="28"/>
      <c r="AR427" s="28"/>
      <c r="AS427" s="28"/>
      <c r="AT427" s="28"/>
      <c r="AU427" s="28"/>
      <c r="AV427" s="28"/>
      <c r="AW427" s="28"/>
      <c r="AX427" s="28"/>
      <c r="AY427" s="24"/>
      <c r="AZ427" s="28"/>
      <c r="BA427" s="28"/>
      <c r="BB427" s="28"/>
      <c r="BC427" s="28"/>
      <c r="BD427" s="28"/>
      <c r="BE427" s="28"/>
      <c r="BF427" s="24"/>
      <c r="BG427" s="28"/>
      <c r="BH427" s="28"/>
      <c r="BI427" s="28"/>
      <c r="BJ427" s="24"/>
      <c r="BK427" s="28"/>
      <c r="BL427" s="28"/>
      <c r="BM427" s="28"/>
    </row>
    <row r="428" spans="1:65">
      <c r="A428" s="24"/>
      <c r="B428" s="28"/>
      <c r="C428" s="25"/>
      <c r="D428" s="26"/>
      <c r="E428" s="24"/>
      <c r="F428" s="24"/>
      <c r="G428" s="26"/>
      <c r="H428" s="26"/>
      <c r="I428" s="26"/>
      <c r="J428" s="26"/>
      <c r="K428" s="26"/>
      <c r="L428" s="26"/>
      <c r="M428" s="26"/>
      <c r="N428" s="26"/>
      <c r="O428" s="26"/>
      <c r="P428" s="26"/>
      <c r="R428" s="24"/>
      <c r="S428" s="26"/>
      <c r="T428" s="25"/>
      <c r="U428" s="24"/>
      <c r="V428" s="24"/>
      <c r="W428" s="24"/>
      <c r="X428" s="26"/>
      <c r="Y428" s="26"/>
      <c r="Z428" s="24"/>
      <c r="AA428" s="26"/>
      <c r="AB428" s="25"/>
      <c r="AC428" s="24"/>
      <c r="AD428" s="24"/>
      <c r="AE428" s="24"/>
      <c r="AF428" s="26"/>
      <c r="AG428" s="26"/>
      <c r="AH428" s="24"/>
      <c r="AI428" s="24"/>
      <c r="AJ428" s="24"/>
      <c r="AK428" s="28"/>
      <c r="AL428" s="28"/>
      <c r="AM428" s="28"/>
      <c r="AN428" s="28"/>
      <c r="AO428" s="28"/>
      <c r="AP428" s="28"/>
      <c r="AQ428" s="28"/>
      <c r="AR428" s="28"/>
      <c r="AS428" s="28"/>
      <c r="AT428" s="28"/>
      <c r="AU428" s="28"/>
      <c r="AV428" s="28"/>
      <c r="AW428" s="28"/>
      <c r="AX428" s="28"/>
      <c r="AY428" s="24"/>
      <c r="AZ428" s="28"/>
      <c r="BA428" s="28"/>
      <c r="BB428" s="28"/>
      <c r="BC428" s="28"/>
      <c r="BD428" s="28"/>
      <c r="BE428" s="28"/>
      <c r="BF428" s="24"/>
      <c r="BG428" s="28"/>
      <c r="BH428" s="28"/>
      <c r="BI428" s="28"/>
      <c r="BJ428" s="24"/>
      <c r="BK428" s="28"/>
      <c r="BL428" s="28"/>
      <c r="BM428" s="28"/>
    </row>
    <row r="429" spans="1:65">
      <c r="A429" s="24"/>
      <c r="B429" s="28"/>
      <c r="C429" s="25"/>
      <c r="D429" s="26"/>
      <c r="E429" s="24"/>
      <c r="F429" s="24"/>
      <c r="G429" s="26"/>
      <c r="H429" s="26"/>
      <c r="I429" s="26"/>
      <c r="J429" s="26"/>
      <c r="K429" s="26"/>
      <c r="L429" s="26"/>
      <c r="M429" s="26"/>
      <c r="N429" s="26"/>
      <c r="O429" s="26"/>
      <c r="P429" s="26"/>
      <c r="R429" s="24"/>
      <c r="S429" s="26"/>
      <c r="T429" s="25"/>
      <c r="U429" s="24"/>
      <c r="V429" s="24"/>
      <c r="W429" s="24"/>
      <c r="X429" s="26"/>
      <c r="Y429" s="26"/>
      <c r="Z429" s="24"/>
      <c r="AA429" s="26"/>
      <c r="AB429" s="25"/>
      <c r="AC429" s="24"/>
      <c r="AD429" s="24"/>
      <c r="AE429" s="24"/>
      <c r="AF429" s="26"/>
      <c r="AG429" s="26"/>
      <c r="AH429" s="24"/>
      <c r="AI429" s="24"/>
      <c r="AJ429" s="24"/>
      <c r="AK429" s="28"/>
      <c r="AL429" s="28"/>
      <c r="AM429" s="28"/>
      <c r="AN429" s="28"/>
      <c r="AO429" s="28"/>
      <c r="AP429" s="28"/>
      <c r="AQ429" s="28"/>
      <c r="AR429" s="28"/>
      <c r="AS429" s="28"/>
      <c r="AT429" s="28"/>
      <c r="AU429" s="28"/>
      <c r="AV429" s="28"/>
      <c r="AW429" s="28"/>
      <c r="AX429" s="28"/>
      <c r="AY429" s="24"/>
      <c r="AZ429" s="28"/>
      <c r="BA429" s="28"/>
      <c r="BB429" s="28"/>
      <c r="BC429" s="28"/>
      <c r="BD429" s="28"/>
      <c r="BE429" s="28"/>
      <c r="BF429" s="24"/>
      <c r="BG429" s="28"/>
      <c r="BH429" s="28"/>
      <c r="BI429" s="28"/>
      <c r="BJ429" s="24"/>
      <c r="BK429" s="28"/>
      <c r="BL429" s="28"/>
      <c r="BM429" s="28"/>
    </row>
    <row r="430" spans="1:65">
      <c r="A430" s="24"/>
      <c r="B430" s="28"/>
      <c r="C430" s="25"/>
      <c r="D430" s="26"/>
      <c r="E430" s="24"/>
      <c r="F430" s="24"/>
      <c r="G430" s="26"/>
      <c r="H430" s="26"/>
      <c r="I430" s="26"/>
      <c r="J430" s="26"/>
      <c r="K430" s="26"/>
      <c r="L430" s="26"/>
      <c r="M430" s="26"/>
      <c r="N430" s="26"/>
      <c r="O430" s="26"/>
      <c r="P430" s="26"/>
      <c r="R430" s="24"/>
      <c r="S430" s="26"/>
      <c r="T430" s="25"/>
      <c r="U430" s="24"/>
      <c r="V430" s="24"/>
      <c r="W430" s="24"/>
      <c r="X430" s="26"/>
      <c r="Y430" s="26"/>
      <c r="Z430" s="24"/>
      <c r="AA430" s="26"/>
      <c r="AB430" s="25"/>
      <c r="AC430" s="24"/>
      <c r="AD430" s="24"/>
      <c r="AE430" s="24"/>
      <c r="AF430" s="26"/>
      <c r="AG430" s="26"/>
      <c r="AH430" s="24"/>
      <c r="AI430" s="24"/>
      <c r="AJ430" s="24"/>
      <c r="AK430" s="28"/>
      <c r="AL430" s="28"/>
      <c r="AM430" s="28"/>
      <c r="AN430" s="28"/>
      <c r="AO430" s="28"/>
      <c r="AP430" s="28"/>
      <c r="AQ430" s="28"/>
      <c r="AR430" s="28"/>
      <c r="AS430" s="28"/>
      <c r="AT430" s="28"/>
      <c r="AU430" s="28"/>
      <c r="AV430" s="28"/>
      <c r="AW430" s="28"/>
      <c r="AX430" s="28"/>
      <c r="AY430" s="24"/>
      <c r="AZ430" s="28"/>
      <c r="BA430" s="28"/>
      <c r="BB430" s="28"/>
      <c r="BC430" s="28"/>
      <c r="BD430" s="28"/>
      <c r="BE430" s="28"/>
      <c r="BF430" s="24"/>
      <c r="BG430" s="28"/>
      <c r="BH430" s="28"/>
      <c r="BI430" s="28"/>
      <c r="BJ430" s="24"/>
      <c r="BK430" s="28"/>
      <c r="BL430" s="28"/>
      <c r="BM430" s="28"/>
    </row>
    <row r="431" spans="1:65">
      <c r="A431" s="24"/>
      <c r="B431" s="28"/>
      <c r="C431" s="25"/>
      <c r="D431" s="26"/>
      <c r="E431" s="24"/>
      <c r="F431" s="24"/>
      <c r="G431" s="26"/>
      <c r="H431" s="26"/>
      <c r="I431" s="26"/>
      <c r="J431" s="26"/>
      <c r="K431" s="26"/>
      <c r="L431" s="26"/>
      <c r="M431" s="26"/>
      <c r="N431" s="26"/>
      <c r="O431" s="26"/>
      <c r="P431" s="26"/>
      <c r="R431" s="24"/>
      <c r="S431" s="26"/>
      <c r="T431" s="25"/>
      <c r="U431" s="24"/>
      <c r="V431" s="24"/>
      <c r="W431" s="24"/>
      <c r="X431" s="26"/>
      <c r="Y431" s="26"/>
      <c r="Z431" s="24"/>
      <c r="AA431" s="26"/>
      <c r="AB431" s="25"/>
      <c r="AC431" s="24"/>
      <c r="AD431" s="24"/>
      <c r="AE431" s="24"/>
      <c r="AF431" s="26"/>
      <c r="AG431" s="26"/>
      <c r="AH431" s="24"/>
      <c r="AI431" s="24"/>
      <c r="AJ431" s="24"/>
      <c r="AK431" s="28"/>
      <c r="AL431" s="28"/>
      <c r="AM431" s="28"/>
      <c r="AN431" s="28"/>
      <c r="AO431" s="28"/>
      <c r="AP431" s="28"/>
      <c r="AQ431" s="28"/>
      <c r="AR431" s="28"/>
      <c r="AS431" s="28"/>
      <c r="AT431" s="28"/>
      <c r="AU431" s="28"/>
      <c r="AV431" s="28"/>
      <c r="AW431" s="28"/>
      <c r="AX431" s="28"/>
      <c r="AY431" s="24"/>
      <c r="AZ431" s="28"/>
      <c r="BA431" s="28"/>
      <c r="BB431" s="28"/>
      <c r="BC431" s="28"/>
      <c r="BD431" s="28"/>
      <c r="BE431" s="28"/>
      <c r="BF431" s="24"/>
      <c r="BG431" s="28"/>
      <c r="BH431" s="28"/>
      <c r="BI431" s="28"/>
      <c r="BJ431" s="24"/>
      <c r="BK431" s="28"/>
      <c r="BL431" s="28"/>
      <c r="BM431" s="28"/>
    </row>
    <row r="432" spans="1:65">
      <c r="A432" s="24"/>
      <c r="B432" s="28"/>
      <c r="C432" s="25"/>
      <c r="D432" s="26"/>
      <c r="E432" s="24"/>
      <c r="F432" s="24"/>
      <c r="G432" s="26"/>
      <c r="H432" s="26"/>
      <c r="I432" s="26"/>
      <c r="J432" s="26"/>
      <c r="K432" s="26"/>
      <c r="L432" s="26"/>
      <c r="M432" s="26"/>
      <c r="N432" s="26"/>
      <c r="O432" s="26"/>
      <c r="P432" s="26"/>
      <c r="R432" s="24"/>
      <c r="S432" s="26"/>
      <c r="T432" s="25"/>
      <c r="U432" s="24"/>
      <c r="V432" s="24"/>
      <c r="W432" s="24"/>
      <c r="X432" s="26"/>
      <c r="Y432" s="26"/>
      <c r="Z432" s="24"/>
      <c r="AA432" s="26"/>
      <c r="AB432" s="25"/>
      <c r="AC432" s="24"/>
      <c r="AD432" s="24"/>
      <c r="AE432" s="24"/>
      <c r="AF432" s="26"/>
      <c r="AG432" s="26"/>
      <c r="AH432" s="24"/>
      <c r="AI432" s="24"/>
      <c r="AJ432" s="24"/>
      <c r="AK432" s="28"/>
      <c r="AL432" s="28"/>
      <c r="AM432" s="28"/>
      <c r="AN432" s="28"/>
      <c r="AO432" s="28"/>
      <c r="AP432" s="28"/>
      <c r="AQ432" s="28"/>
      <c r="AR432" s="28"/>
      <c r="AS432" s="28"/>
      <c r="AT432" s="28"/>
      <c r="AU432" s="28"/>
      <c r="AV432" s="28"/>
      <c r="AW432" s="28"/>
      <c r="AX432" s="28"/>
      <c r="AY432" s="24"/>
      <c r="AZ432" s="28"/>
      <c r="BA432" s="28"/>
      <c r="BB432" s="28"/>
      <c r="BC432" s="28"/>
      <c r="BD432" s="28"/>
      <c r="BE432" s="28"/>
      <c r="BF432" s="24"/>
      <c r="BG432" s="28"/>
      <c r="BH432" s="28"/>
      <c r="BI432" s="28"/>
      <c r="BJ432" s="24"/>
      <c r="BK432" s="28"/>
      <c r="BL432" s="28"/>
      <c r="BM432" s="28"/>
    </row>
    <row r="433" spans="1:65">
      <c r="A433" s="24"/>
      <c r="B433" s="28"/>
      <c r="C433" s="25"/>
      <c r="D433" s="26"/>
      <c r="E433" s="24"/>
      <c r="F433" s="24"/>
      <c r="G433" s="26"/>
      <c r="H433" s="26"/>
      <c r="I433" s="26"/>
      <c r="J433" s="26"/>
      <c r="K433" s="26"/>
      <c r="L433" s="26"/>
      <c r="M433" s="26"/>
      <c r="N433" s="26"/>
      <c r="O433" s="26"/>
      <c r="P433" s="26"/>
      <c r="R433" s="24"/>
      <c r="S433" s="26"/>
      <c r="T433" s="25"/>
      <c r="U433" s="24"/>
      <c r="V433" s="24"/>
      <c r="W433" s="24"/>
      <c r="X433" s="26"/>
      <c r="Y433" s="26"/>
      <c r="Z433" s="24"/>
      <c r="AA433" s="26"/>
      <c r="AB433" s="25"/>
      <c r="AC433" s="24"/>
      <c r="AD433" s="24"/>
      <c r="AE433" s="24"/>
      <c r="AF433" s="26"/>
      <c r="AG433" s="26"/>
      <c r="AH433" s="24"/>
      <c r="AI433" s="24"/>
      <c r="AJ433" s="24"/>
      <c r="AK433" s="28"/>
      <c r="AL433" s="28"/>
      <c r="AM433" s="28"/>
      <c r="AN433" s="28"/>
      <c r="AO433" s="28"/>
      <c r="AP433" s="28"/>
      <c r="AQ433" s="28"/>
      <c r="AR433" s="28"/>
      <c r="AS433" s="28"/>
      <c r="AT433" s="28"/>
      <c r="AU433" s="28"/>
      <c r="AV433" s="28"/>
      <c r="AW433" s="28"/>
      <c r="AX433" s="28"/>
      <c r="AY433" s="24"/>
      <c r="AZ433" s="28"/>
      <c r="BA433" s="28"/>
      <c r="BB433" s="28"/>
      <c r="BC433" s="28"/>
      <c r="BD433" s="28"/>
      <c r="BE433" s="28"/>
      <c r="BF433" s="24"/>
      <c r="BG433" s="28"/>
      <c r="BH433" s="28"/>
      <c r="BI433" s="28"/>
      <c r="BJ433" s="24"/>
      <c r="BK433" s="28"/>
      <c r="BL433" s="28"/>
      <c r="BM433" s="28"/>
    </row>
    <row r="434" spans="1:65">
      <c r="A434" s="24"/>
      <c r="B434" s="28"/>
      <c r="C434" s="25"/>
      <c r="D434" s="26"/>
      <c r="E434" s="24"/>
      <c r="F434" s="24"/>
      <c r="G434" s="26"/>
      <c r="H434" s="26"/>
      <c r="I434" s="26"/>
      <c r="J434" s="26"/>
      <c r="K434" s="26"/>
      <c r="L434" s="26"/>
      <c r="M434" s="26"/>
      <c r="N434" s="26"/>
      <c r="O434" s="26"/>
      <c r="P434" s="26"/>
      <c r="R434" s="24"/>
      <c r="S434" s="26"/>
      <c r="T434" s="25"/>
      <c r="U434" s="24"/>
      <c r="V434" s="24"/>
      <c r="W434" s="24"/>
      <c r="X434" s="26"/>
      <c r="Y434" s="26"/>
      <c r="Z434" s="24"/>
      <c r="AA434" s="26"/>
      <c r="AB434" s="25"/>
      <c r="AC434" s="24"/>
      <c r="AD434" s="24"/>
      <c r="AE434" s="24"/>
      <c r="AF434" s="26"/>
      <c r="AG434" s="26"/>
      <c r="AH434" s="24"/>
      <c r="AI434" s="24"/>
      <c r="AJ434" s="24"/>
      <c r="AK434" s="28"/>
      <c r="AL434" s="28"/>
      <c r="AM434" s="28"/>
      <c r="AN434" s="28"/>
      <c r="AO434" s="28"/>
      <c r="AP434" s="28"/>
      <c r="AQ434" s="28"/>
      <c r="AR434" s="28"/>
      <c r="AS434" s="28"/>
      <c r="AT434" s="28"/>
      <c r="AU434" s="28"/>
      <c r="AV434" s="28"/>
      <c r="AW434" s="28"/>
      <c r="AX434" s="28"/>
      <c r="AY434" s="24"/>
      <c r="AZ434" s="28"/>
      <c r="BA434" s="28"/>
      <c r="BB434" s="28"/>
      <c r="BC434" s="28"/>
      <c r="BD434" s="28"/>
      <c r="BE434" s="28"/>
      <c r="BF434" s="24"/>
      <c r="BG434" s="28"/>
      <c r="BH434" s="28"/>
      <c r="BI434" s="28"/>
      <c r="BJ434" s="24"/>
      <c r="BK434" s="28"/>
      <c r="BL434" s="28"/>
      <c r="BM434" s="28"/>
    </row>
    <row r="435" spans="1:65">
      <c r="A435" s="24"/>
      <c r="B435" s="28"/>
      <c r="C435" s="25"/>
      <c r="D435" s="26"/>
      <c r="E435" s="24"/>
      <c r="F435" s="24"/>
      <c r="G435" s="26"/>
      <c r="H435" s="26"/>
      <c r="I435" s="26"/>
      <c r="J435" s="26"/>
      <c r="K435" s="26"/>
      <c r="L435" s="26"/>
      <c r="M435" s="26"/>
      <c r="N435" s="26"/>
      <c r="O435" s="26"/>
      <c r="P435" s="26"/>
      <c r="R435" s="24"/>
      <c r="S435" s="26"/>
      <c r="T435" s="25"/>
      <c r="U435" s="24"/>
      <c r="V435" s="24"/>
      <c r="W435" s="24"/>
      <c r="X435" s="26"/>
      <c r="Y435" s="26"/>
      <c r="Z435" s="24"/>
      <c r="AA435" s="26"/>
      <c r="AB435" s="25"/>
      <c r="AC435" s="24"/>
      <c r="AD435" s="24"/>
      <c r="AE435" s="24"/>
      <c r="AF435" s="26"/>
      <c r="AG435" s="26"/>
      <c r="AH435" s="24"/>
      <c r="AI435" s="24"/>
      <c r="AJ435" s="24"/>
      <c r="AK435" s="28"/>
      <c r="AL435" s="28"/>
      <c r="AM435" s="28"/>
      <c r="AN435" s="28"/>
      <c r="AO435" s="28"/>
      <c r="AP435" s="28"/>
      <c r="AQ435" s="28"/>
      <c r="AR435" s="28"/>
      <c r="AS435" s="28"/>
      <c r="AT435" s="28"/>
      <c r="AU435" s="28"/>
      <c r="AV435" s="28"/>
      <c r="AW435" s="28"/>
      <c r="AX435" s="28"/>
      <c r="AY435" s="24"/>
      <c r="AZ435" s="28"/>
      <c r="BA435" s="28"/>
      <c r="BB435" s="28"/>
      <c r="BC435" s="28"/>
      <c r="BD435" s="28"/>
      <c r="BE435" s="28"/>
      <c r="BF435" s="24"/>
      <c r="BG435" s="28"/>
      <c r="BH435" s="28"/>
      <c r="BI435" s="28"/>
      <c r="BJ435" s="24"/>
      <c r="BK435" s="28"/>
      <c r="BL435" s="28"/>
      <c r="BM435" s="28"/>
    </row>
    <row r="436" spans="1:65">
      <c r="A436" s="24"/>
      <c r="B436" s="28"/>
      <c r="C436" s="25"/>
      <c r="D436" s="26"/>
      <c r="E436" s="24"/>
      <c r="F436" s="24"/>
      <c r="G436" s="26"/>
      <c r="H436" s="26"/>
      <c r="I436" s="26"/>
      <c r="J436" s="26"/>
      <c r="K436" s="26"/>
      <c r="L436" s="26"/>
      <c r="M436" s="26"/>
      <c r="N436" s="26"/>
      <c r="O436" s="26"/>
      <c r="P436" s="26"/>
      <c r="R436" s="24"/>
      <c r="S436" s="26"/>
      <c r="T436" s="25"/>
      <c r="U436" s="24"/>
      <c r="V436" s="24"/>
      <c r="W436" s="24"/>
      <c r="X436" s="26"/>
      <c r="Y436" s="26"/>
      <c r="Z436" s="24"/>
      <c r="AA436" s="26"/>
      <c r="AB436" s="25"/>
      <c r="AC436" s="24"/>
      <c r="AD436" s="24"/>
      <c r="AE436" s="24"/>
      <c r="AF436" s="26"/>
      <c r="AG436" s="26"/>
      <c r="AH436" s="24"/>
      <c r="AI436" s="24"/>
      <c r="AJ436" s="24"/>
      <c r="AK436" s="28"/>
      <c r="AL436" s="28"/>
      <c r="AM436" s="28"/>
      <c r="AN436" s="28"/>
      <c r="AO436" s="28"/>
      <c r="AP436" s="28"/>
      <c r="AQ436" s="28"/>
      <c r="AR436" s="28"/>
      <c r="AS436" s="28"/>
      <c r="AT436" s="28"/>
      <c r="AU436" s="28"/>
      <c r="AV436" s="28"/>
      <c r="AW436" s="28"/>
      <c r="AX436" s="28"/>
      <c r="AY436" s="24"/>
      <c r="AZ436" s="28"/>
      <c r="BA436" s="28"/>
      <c r="BB436" s="28"/>
      <c r="BC436" s="28"/>
      <c r="BD436" s="28"/>
      <c r="BE436" s="28"/>
      <c r="BF436" s="24"/>
      <c r="BG436" s="28"/>
      <c r="BH436" s="28"/>
      <c r="BI436" s="28"/>
      <c r="BJ436" s="24"/>
      <c r="BK436" s="28"/>
      <c r="BL436" s="28"/>
      <c r="BM436" s="28"/>
    </row>
    <row r="437" spans="1:65">
      <c r="A437" s="24"/>
      <c r="B437" s="28"/>
      <c r="C437" s="25"/>
      <c r="D437" s="26"/>
      <c r="E437" s="24"/>
      <c r="F437" s="24"/>
      <c r="G437" s="26"/>
      <c r="H437" s="26"/>
      <c r="I437" s="26"/>
      <c r="J437" s="26"/>
      <c r="K437" s="26"/>
      <c r="L437" s="26"/>
      <c r="M437" s="26"/>
      <c r="N437" s="26"/>
      <c r="O437" s="26"/>
      <c r="P437" s="26"/>
      <c r="R437" s="24"/>
      <c r="S437" s="26"/>
      <c r="T437" s="25"/>
      <c r="U437" s="24"/>
      <c r="V437" s="24"/>
      <c r="W437" s="24"/>
      <c r="X437" s="26"/>
      <c r="Y437" s="26"/>
      <c r="Z437" s="24"/>
      <c r="AA437" s="26"/>
      <c r="AB437" s="25"/>
      <c r="AC437" s="24"/>
      <c r="AD437" s="24"/>
      <c r="AE437" s="24"/>
      <c r="AF437" s="26"/>
      <c r="AG437" s="26"/>
      <c r="AH437" s="24"/>
      <c r="AI437" s="24"/>
      <c r="AJ437" s="24"/>
      <c r="AK437" s="28"/>
      <c r="AL437" s="28"/>
      <c r="AM437" s="28"/>
      <c r="AN437" s="28"/>
      <c r="AO437" s="28"/>
      <c r="AP437" s="28"/>
      <c r="AQ437" s="28"/>
      <c r="AR437" s="28"/>
      <c r="AS437" s="28"/>
      <c r="AT437" s="28"/>
      <c r="AU437" s="28"/>
      <c r="AV437" s="28"/>
      <c r="AW437" s="28"/>
      <c r="AX437" s="28"/>
      <c r="AY437" s="24"/>
      <c r="AZ437" s="28"/>
      <c r="BA437" s="28"/>
      <c r="BB437" s="28"/>
      <c r="BC437" s="28"/>
      <c r="BD437" s="28"/>
      <c r="BE437" s="28"/>
      <c r="BF437" s="24"/>
      <c r="BG437" s="28"/>
      <c r="BH437" s="28"/>
      <c r="BI437" s="28"/>
      <c r="BJ437" s="24"/>
      <c r="BK437" s="28"/>
      <c r="BL437" s="28"/>
      <c r="BM437" s="28"/>
    </row>
    <row r="438" spans="1:65">
      <c r="A438" s="24"/>
      <c r="B438" s="28"/>
      <c r="C438" s="25"/>
      <c r="D438" s="26"/>
      <c r="E438" s="24"/>
      <c r="F438" s="24"/>
      <c r="G438" s="26"/>
      <c r="H438" s="26"/>
      <c r="I438" s="26"/>
      <c r="J438" s="26"/>
      <c r="K438" s="26"/>
      <c r="L438" s="26"/>
      <c r="M438" s="26"/>
      <c r="N438" s="26"/>
      <c r="O438" s="26"/>
      <c r="P438" s="26"/>
      <c r="R438" s="24"/>
      <c r="S438" s="26"/>
      <c r="T438" s="25"/>
      <c r="U438" s="24"/>
      <c r="V438" s="24"/>
      <c r="W438" s="24"/>
      <c r="X438" s="26"/>
      <c r="Y438" s="26"/>
      <c r="Z438" s="24"/>
      <c r="AA438" s="26"/>
      <c r="AB438" s="25"/>
      <c r="AC438" s="24"/>
      <c r="AD438" s="24"/>
      <c r="AE438" s="24"/>
      <c r="AF438" s="26"/>
      <c r="AG438" s="26"/>
      <c r="AH438" s="24"/>
      <c r="AI438" s="24"/>
      <c r="AJ438" s="24"/>
      <c r="AK438" s="28"/>
      <c r="AL438" s="28"/>
      <c r="AM438" s="28"/>
      <c r="AN438" s="28"/>
      <c r="AO438" s="28"/>
      <c r="AP438" s="28"/>
      <c r="AQ438" s="28"/>
      <c r="AR438" s="28"/>
      <c r="AS438" s="28"/>
      <c r="AT438" s="28"/>
      <c r="AU438" s="28"/>
      <c r="AV438" s="28"/>
      <c r="AW438" s="28"/>
      <c r="AX438" s="28"/>
      <c r="AY438" s="24"/>
      <c r="AZ438" s="28"/>
      <c r="BA438" s="28"/>
      <c r="BB438" s="28"/>
      <c r="BC438" s="28"/>
      <c r="BD438" s="28"/>
      <c r="BE438" s="28"/>
      <c r="BF438" s="24"/>
      <c r="BG438" s="28"/>
      <c r="BH438" s="28"/>
      <c r="BI438" s="28"/>
      <c r="BJ438" s="24"/>
      <c r="BK438" s="28"/>
      <c r="BL438" s="28"/>
      <c r="BM438" s="28"/>
    </row>
    <row r="439" spans="1:65">
      <c r="A439" s="24"/>
      <c r="B439" s="28"/>
      <c r="C439" s="25"/>
      <c r="D439" s="26"/>
      <c r="E439" s="24"/>
      <c r="F439" s="24"/>
      <c r="G439" s="26"/>
      <c r="H439" s="26"/>
      <c r="I439" s="26"/>
      <c r="J439" s="26"/>
      <c r="K439" s="26"/>
      <c r="L439" s="26"/>
      <c r="M439" s="26"/>
      <c r="N439" s="26"/>
      <c r="O439" s="26"/>
      <c r="P439" s="26"/>
      <c r="R439" s="24"/>
      <c r="S439" s="26"/>
      <c r="T439" s="25"/>
      <c r="U439" s="24"/>
      <c r="V439" s="24"/>
      <c r="W439" s="24"/>
      <c r="X439" s="26"/>
      <c r="Y439" s="26"/>
      <c r="Z439" s="24"/>
      <c r="AA439" s="26"/>
      <c r="AB439" s="25"/>
      <c r="AC439" s="24"/>
      <c r="AD439" s="24"/>
      <c r="AE439" s="24"/>
      <c r="AF439" s="26"/>
      <c r="AG439" s="26"/>
      <c r="AH439" s="24"/>
      <c r="AI439" s="24"/>
      <c r="AJ439" s="24"/>
      <c r="AK439" s="28"/>
      <c r="AL439" s="28"/>
      <c r="AM439" s="28"/>
      <c r="AN439" s="28"/>
      <c r="AO439" s="28"/>
      <c r="AP439" s="28"/>
      <c r="AQ439" s="28"/>
      <c r="AR439" s="28"/>
      <c r="AS439" s="28"/>
      <c r="AT439" s="28"/>
      <c r="AU439" s="28"/>
      <c r="AV439" s="28"/>
      <c r="AW439" s="28"/>
      <c r="AX439" s="28"/>
      <c r="AY439" s="24"/>
      <c r="AZ439" s="28"/>
      <c r="BA439" s="28"/>
      <c r="BB439" s="28"/>
      <c r="BC439" s="28"/>
      <c r="BD439" s="28"/>
      <c r="BE439" s="28"/>
      <c r="BF439" s="24"/>
      <c r="BG439" s="28"/>
      <c r="BH439" s="28"/>
      <c r="BI439" s="28"/>
      <c r="BJ439" s="24"/>
      <c r="BK439" s="28"/>
      <c r="BL439" s="28"/>
      <c r="BM439" s="28"/>
    </row>
    <row r="440" spans="1:65">
      <c r="A440" s="24"/>
      <c r="B440" s="28"/>
      <c r="C440" s="25"/>
      <c r="D440" s="26"/>
      <c r="E440" s="24"/>
      <c r="F440" s="24"/>
      <c r="G440" s="26"/>
      <c r="H440" s="26"/>
      <c r="I440" s="26"/>
      <c r="J440" s="26"/>
      <c r="K440" s="26"/>
      <c r="L440" s="26"/>
      <c r="M440" s="26"/>
      <c r="N440" s="26"/>
      <c r="O440" s="26"/>
      <c r="P440" s="26"/>
      <c r="R440" s="24"/>
      <c r="S440" s="26"/>
      <c r="T440" s="25"/>
      <c r="U440" s="24"/>
      <c r="V440" s="24"/>
      <c r="W440" s="24"/>
      <c r="X440" s="26"/>
      <c r="Y440" s="26"/>
      <c r="Z440" s="24"/>
      <c r="AA440" s="26"/>
      <c r="AB440" s="25"/>
      <c r="AC440" s="24"/>
      <c r="AD440" s="24"/>
      <c r="AE440" s="24"/>
      <c r="AF440" s="26"/>
      <c r="AG440" s="26"/>
      <c r="AH440" s="24"/>
      <c r="AI440" s="24"/>
      <c r="AJ440" s="24"/>
      <c r="AK440" s="28"/>
      <c r="AL440" s="28"/>
      <c r="AM440" s="28"/>
      <c r="AN440" s="28"/>
      <c r="AO440" s="28"/>
      <c r="AP440" s="28"/>
      <c r="AQ440" s="28"/>
      <c r="AR440" s="28"/>
      <c r="AS440" s="28"/>
      <c r="AT440" s="28"/>
      <c r="AU440" s="28"/>
      <c r="AV440" s="28"/>
      <c r="AW440" s="28"/>
      <c r="AX440" s="28"/>
      <c r="AY440" s="24"/>
      <c r="AZ440" s="28"/>
      <c r="BA440" s="28"/>
      <c r="BB440" s="28"/>
      <c r="BC440" s="28"/>
      <c r="BD440" s="28"/>
      <c r="BE440" s="28"/>
      <c r="BF440" s="24"/>
      <c r="BG440" s="28"/>
      <c r="BH440" s="28"/>
      <c r="BI440" s="28"/>
      <c r="BJ440" s="24"/>
      <c r="BK440" s="28"/>
      <c r="BL440" s="28"/>
      <c r="BM440" s="28"/>
    </row>
    <row r="441" spans="1:65">
      <c r="A441" s="24"/>
      <c r="B441" s="28"/>
      <c r="C441" s="25"/>
      <c r="D441" s="26"/>
      <c r="E441" s="24"/>
      <c r="F441" s="24"/>
      <c r="G441" s="26"/>
      <c r="H441" s="26"/>
      <c r="I441" s="26"/>
      <c r="J441" s="26"/>
      <c r="K441" s="26"/>
      <c r="L441" s="26"/>
      <c r="M441" s="26"/>
      <c r="N441" s="26"/>
      <c r="O441" s="26"/>
      <c r="P441" s="26"/>
      <c r="R441" s="24"/>
      <c r="S441" s="26"/>
      <c r="T441" s="25"/>
      <c r="U441" s="24"/>
      <c r="V441" s="24"/>
      <c r="W441" s="24"/>
      <c r="X441" s="26"/>
      <c r="Y441" s="26"/>
      <c r="Z441" s="24"/>
      <c r="AA441" s="26"/>
      <c r="AB441" s="25"/>
      <c r="AC441" s="24"/>
      <c r="AD441" s="24"/>
      <c r="AE441" s="24"/>
      <c r="AF441" s="26"/>
      <c r="AG441" s="26"/>
      <c r="AH441" s="24"/>
      <c r="AI441" s="24"/>
      <c r="AJ441" s="24"/>
      <c r="AK441" s="28"/>
      <c r="AL441" s="28"/>
      <c r="AM441" s="28"/>
      <c r="AN441" s="28"/>
      <c r="AO441" s="28"/>
      <c r="AP441" s="28"/>
      <c r="AQ441" s="28"/>
      <c r="AR441" s="28"/>
      <c r="AS441" s="28"/>
      <c r="AT441" s="28"/>
      <c r="AU441" s="28"/>
      <c r="AV441" s="28"/>
      <c r="AW441" s="28"/>
      <c r="AX441" s="28"/>
      <c r="AY441" s="24"/>
      <c r="AZ441" s="28"/>
      <c r="BA441" s="28"/>
      <c r="BB441" s="28"/>
      <c r="BC441" s="28"/>
      <c r="BD441" s="28"/>
      <c r="BE441" s="28"/>
      <c r="BF441" s="24"/>
      <c r="BG441" s="28"/>
      <c r="BH441" s="28"/>
      <c r="BI441" s="28"/>
      <c r="BJ441" s="24"/>
      <c r="BK441" s="28"/>
      <c r="BL441" s="28"/>
      <c r="BM441" s="28"/>
    </row>
    <row r="442" spans="1:65">
      <c r="A442" s="24"/>
      <c r="B442" s="28"/>
      <c r="C442" s="25"/>
      <c r="D442" s="26"/>
      <c r="E442" s="24"/>
      <c r="F442" s="24"/>
      <c r="G442" s="26"/>
      <c r="H442" s="26"/>
      <c r="I442" s="26"/>
      <c r="J442" s="26"/>
      <c r="K442" s="26"/>
      <c r="L442" s="26"/>
      <c r="M442" s="26"/>
      <c r="N442" s="26"/>
      <c r="O442" s="26"/>
      <c r="P442" s="26"/>
      <c r="R442" s="24"/>
      <c r="S442" s="26"/>
      <c r="T442" s="25"/>
      <c r="U442" s="24"/>
      <c r="V442" s="24"/>
      <c r="W442" s="24"/>
      <c r="X442" s="26"/>
      <c r="Y442" s="26"/>
      <c r="Z442" s="24"/>
      <c r="AA442" s="26"/>
      <c r="AB442" s="25"/>
      <c r="AC442" s="24"/>
      <c r="AD442" s="24"/>
      <c r="AE442" s="24"/>
      <c r="AF442" s="26"/>
      <c r="AG442" s="26"/>
      <c r="AH442" s="24"/>
      <c r="AI442" s="24"/>
      <c r="AJ442" s="24"/>
      <c r="AK442" s="28"/>
      <c r="AL442" s="28"/>
      <c r="AM442" s="28"/>
      <c r="AN442" s="28"/>
      <c r="AO442" s="28"/>
      <c r="AP442" s="28"/>
      <c r="AQ442" s="28"/>
      <c r="AR442" s="28"/>
      <c r="AS442" s="28"/>
      <c r="AT442" s="28"/>
      <c r="AU442" s="28"/>
      <c r="AV442" s="28"/>
      <c r="AW442" s="28"/>
      <c r="AX442" s="28"/>
      <c r="AY442" s="24"/>
      <c r="AZ442" s="28"/>
      <c r="BA442" s="28"/>
      <c r="BB442" s="28"/>
      <c r="BC442" s="28"/>
      <c r="BD442" s="28"/>
      <c r="BE442" s="28"/>
      <c r="BF442" s="24"/>
      <c r="BG442" s="28"/>
      <c r="BH442" s="28"/>
      <c r="BI442" s="28"/>
      <c r="BJ442" s="24"/>
      <c r="BK442" s="28"/>
      <c r="BL442" s="28"/>
      <c r="BM442" s="28"/>
    </row>
    <row r="443" spans="1:65">
      <c r="A443" s="24"/>
      <c r="B443" s="28"/>
      <c r="C443" s="25"/>
      <c r="D443" s="26"/>
      <c r="E443" s="24"/>
      <c r="F443" s="24"/>
      <c r="G443" s="26"/>
      <c r="H443" s="26"/>
      <c r="I443" s="26"/>
      <c r="J443" s="26"/>
      <c r="K443" s="26"/>
      <c r="L443" s="26"/>
      <c r="M443" s="26"/>
      <c r="N443" s="26"/>
      <c r="O443" s="26"/>
      <c r="P443" s="26"/>
      <c r="R443" s="24"/>
      <c r="S443" s="26"/>
      <c r="T443" s="25"/>
      <c r="U443" s="24"/>
      <c r="V443" s="24"/>
      <c r="W443" s="24"/>
      <c r="X443" s="26"/>
      <c r="Y443" s="26"/>
      <c r="Z443" s="24"/>
      <c r="AA443" s="26"/>
      <c r="AB443" s="25"/>
      <c r="AC443" s="24"/>
      <c r="AD443" s="24"/>
      <c r="AE443" s="24"/>
      <c r="AF443" s="26"/>
      <c r="AG443" s="26"/>
      <c r="AH443" s="24"/>
      <c r="AI443" s="24"/>
      <c r="AJ443" s="24"/>
      <c r="AK443" s="28"/>
      <c r="AL443" s="28"/>
      <c r="AM443" s="28"/>
      <c r="AN443" s="28"/>
      <c r="AO443" s="28"/>
      <c r="AP443" s="28"/>
      <c r="AQ443" s="28"/>
      <c r="AR443" s="28"/>
      <c r="AS443" s="28"/>
      <c r="AT443" s="28"/>
      <c r="AU443" s="28"/>
      <c r="AV443" s="28"/>
      <c r="AW443" s="28"/>
      <c r="AX443" s="28"/>
      <c r="AY443" s="24"/>
      <c r="AZ443" s="28"/>
      <c r="BA443" s="28"/>
      <c r="BB443" s="28"/>
      <c r="BC443" s="28"/>
      <c r="BD443" s="28"/>
      <c r="BE443" s="28"/>
      <c r="BF443" s="24"/>
      <c r="BG443" s="28"/>
      <c r="BH443" s="28"/>
      <c r="BI443" s="28"/>
      <c r="BJ443" s="24"/>
      <c r="BK443" s="28"/>
      <c r="BL443" s="28"/>
      <c r="BM443" s="28"/>
    </row>
    <row r="444" spans="1:65">
      <c r="A444" s="24"/>
      <c r="B444" s="28"/>
      <c r="C444" s="25"/>
      <c r="D444" s="26"/>
      <c r="E444" s="24"/>
      <c r="F444" s="24"/>
      <c r="G444" s="26"/>
      <c r="H444" s="26"/>
      <c r="I444" s="26"/>
      <c r="J444" s="26"/>
      <c r="K444" s="26"/>
      <c r="L444" s="26"/>
      <c r="M444" s="26"/>
      <c r="N444" s="26"/>
      <c r="O444" s="26"/>
      <c r="P444" s="26"/>
      <c r="R444" s="24"/>
      <c r="S444" s="26"/>
      <c r="T444" s="25"/>
      <c r="U444" s="24"/>
      <c r="V444" s="24"/>
      <c r="W444" s="24"/>
      <c r="X444" s="26"/>
      <c r="Y444" s="26"/>
      <c r="Z444" s="24"/>
      <c r="AA444" s="26"/>
      <c r="AB444" s="25"/>
      <c r="AC444" s="24"/>
      <c r="AD444" s="24"/>
      <c r="AE444" s="24"/>
      <c r="AF444" s="26"/>
      <c r="AG444" s="26"/>
      <c r="AH444" s="24"/>
      <c r="AI444" s="24"/>
      <c r="AJ444" s="24"/>
      <c r="AK444" s="28"/>
      <c r="AL444" s="28"/>
      <c r="AM444" s="28"/>
      <c r="AN444" s="28"/>
      <c r="AO444" s="28"/>
      <c r="AP444" s="28"/>
      <c r="AQ444" s="28"/>
      <c r="AR444" s="28"/>
      <c r="AS444" s="28"/>
      <c r="AT444" s="28"/>
      <c r="AU444" s="28"/>
      <c r="AV444" s="28"/>
      <c r="AW444" s="28"/>
      <c r="AX444" s="28"/>
      <c r="AY444" s="24"/>
      <c r="AZ444" s="28"/>
      <c r="BA444" s="28"/>
      <c r="BB444" s="28"/>
      <c r="BC444" s="28"/>
      <c r="BD444" s="28"/>
      <c r="BE444" s="28"/>
      <c r="BF444" s="24"/>
      <c r="BG444" s="28"/>
      <c r="BH444" s="28"/>
      <c r="BI444" s="28"/>
      <c r="BJ444" s="24"/>
      <c r="BK444" s="28"/>
      <c r="BL444" s="28"/>
      <c r="BM444" s="28"/>
    </row>
    <row r="445" spans="1:65">
      <c r="A445" s="24"/>
      <c r="B445" s="28"/>
      <c r="C445" s="25"/>
      <c r="D445" s="26"/>
      <c r="E445" s="24"/>
      <c r="F445" s="24"/>
      <c r="G445" s="26"/>
      <c r="H445" s="26"/>
      <c r="I445" s="26"/>
      <c r="J445" s="26"/>
      <c r="K445" s="26"/>
      <c r="L445" s="26"/>
      <c r="M445" s="26"/>
      <c r="N445" s="26"/>
      <c r="O445" s="26"/>
      <c r="P445" s="26"/>
      <c r="R445" s="24"/>
      <c r="S445" s="26"/>
      <c r="T445" s="25"/>
      <c r="U445" s="24"/>
      <c r="V445" s="24"/>
      <c r="W445" s="24"/>
      <c r="X445" s="26"/>
      <c r="Y445" s="26"/>
      <c r="Z445" s="24"/>
      <c r="AA445" s="26"/>
      <c r="AB445" s="25"/>
      <c r="AC445" s="24"/>
      <c r="AD445" s="24"/>
      <c r="AE445" s="24"/>
      <c r="AF445" s="26"/>
      <c r="AG445" s="26"/>
      <c r="AH445" s="24"/>
      <c r="AI445" s="24"/>
      <c r="AJ445" s="24"/>
      <c r="AK445" s="28"/>
      <c r="AL445" s="28"/>
      <c r="AM445" s="28"/>
      <c r="AN445" s="28"/>
      <c r="AO445" s="28"/>
      <c r="AP445" s="28"/>
      <c r="AQ445" s="28"/>
      <c r="AR445" s="28"/>
      <c r="AS445" s="28"/>
      <c r="AT445" s="28"/>
      <c r="AU445" s="28"/>
      <c r="AV445" s="28"/>
      <c r="AW445" s="28"/>
      <c r="AX445" s="28"/>
      <c r="AY445" s="24"/>
      <c r="AZ445" s="28"/>
      <c r="BA445" s="28"/>
      <c r="BB445" s="28"/>
      <c r="BC445" s="28"/>
      <c r="BD445" s="28"/>
      <c r="BE445" s="28"/>
      <c r="BF445" s="24"/>
      <c r="BG445" s="28"/>
      <c r="BH445" s="28"/>
      <c r="BI445" s="28"/>
      <c r="BJ445" s="24"/>
      <c r="BK445" s="28"/>
      <c r="BL445" s="28"/>
      <c r="BM445" s="28"/>
    </row>
    <row r="446" spans="1:65">
      <c r="A446" s="24"/>
      <c r="B446" s="28"/>
      <c r="C446" s="25"/>
      <c r="D446" s="26"/>
      <c r="E446" s="24"/>
      <c r="F446" s="24"/>
      <c r="G446" s="26"/>
      <c r="H446" s="26"/>
      <c r="I446" s="26"/>
      <c r="J446" s="26"/>
      <c r="K446" s="26"/>
      <c r="L446" s="26"/>
      <c r="M446" s="26"/>
      <c r="N446" s="26"/>
      <c r="O446" s="26"/>
      <c r="P446" s="26"/>
      <c r="R446" s="24"/>
      <c r="S446" s="26"/>
      <c r="T446" s="25"/>
      <c r="U446" s="24"/>
      <c r="V446" s="24"/>
      <c r="W446" s="24"/>
      <c r="X446" s="26"/>
      <c r="Y446" s="26"/>
      <c r="Z446" s="24"/>
      <c r="AA446" s="26"/>
      <c r="AB446" s="25"/>
      <c r="AC446" s="24"/>
      <c r="AD446" s="24"/>
      <c r="AE446" s="24"/>
      <c r="AF446" s="26"/>
      <c r="AG446" s="26"/>
      <c r="AH446" s="24"/>
      <c r="AI446" s="24"/>
      <c r="AJ446" s="24"/>
      <c r="AK446" s="28"/>
      <c r="AL446" s="28"/>
      <c r="AM446" s="28"/>
      <c r="AN446" s="28"/>
      <c r="AO446" s="28"/>
      <c r="AP446" s="28"/>
      <c r="AQ446" s="28"/>
      <c r="AR446" s="28"/>
      <c r="AS446" s="28"/>
      <c r="AT446" s="28"/>
      <c r="AU446" s="28"/>
      <c r="AV446" s="28"/>
      <c r="AW446" s="28"/>
      <c r="AX446" s="28"/>
      <c r="AY446" s="24"/>
      <c r="AZ446" s="28"/>
      <c r="BA446" s="28"/>
      <c r="BB446" s="28"/>
      <c r="BC446" s="28"/>
      <c r="BD446" s="28"/>
      <c r="BE446" s="28"/>
      <c r="BF446" s="24"/>
      <c r="BG446" s="28"/>
      <c r="BH446" s="28"/>
      <c r="BI446" s="28"/>
      <c r="BJ446" s="24"/>
      <c r="BK446" s="28"/>
      <c r="BL446" s="28"/>
      <c r="BM446" s="28"/>
    </row>
    <row r="447" spans="1:65">
      <c r="A447" s="24"/>
      <c r="B447" s="28"/>
      <c r="C447" s="25"/>
      <c r="D447" s="26"/>
      <c r="E447" s="24"/>
      <c r="F447" s="24"/>
      <c r="G447" s="26"/>
      <c r="H447" s="26"/>
      <c r="I447" s="26"/>
      <c r="J447" s="26"/>
      <c r="K447" s="26"/>
      <c r="L447" s="26"/>
      <c r="M447" s="26"/>
      <c r="N447" s="26"/>
      <c r="O447" s="26"/>
      <c r="P447" s="26"/>
      <c r="R447" s="24"/>
      <c r="S447" s="26"/>
      <c r="T447" s="25"/>
      <c r="U447" s="24"/>
      <c r="V447" s="24"/>
      <c r="W447" s="24"/>
      <c r="X447" s="26"/>
      <c r="Y447" s="26"/>
      <c r="Z447" s="24"/>
      <c r="AA447" s="26"/>
      <c r="AB447" s="25"/>
      <c r="AC447" s="24"/>
      <c r="AD447" s="24"/>
      <c r="AE447" s="24"/>
      <c r="AF447" s="26"/>
      <c r="AG447" s="26"/>
      <c r="AH447" s="24"/>
      <c r="AI447" s="24"/>
      <c r="AJ447" s="24"/>
      <c r="AK447" s="28"/>
      <c r="AL447" s="28"/>
      <c r="AM447" s="28"/>
      <c r="AN447" s="28"/>
      <c r="AO447" s="28"/>
      <c r="AP447" s="28"/>
      <c r="AQ447" s="28"/>
      <c r="AR447" s="28"/>
      <c r="AS447" s="28"/>
      <c r="AT447" s="28"/>
      <c r="AU447" s="28"/>
      <c r="AV447" s="28"/>
      <c r="AW447" s="28"/>
      <c r="AX447" s="28"/>
      <c r="AY447" s="24"/>
      <c r="AZ447" s="28"/>
      <c r="BA447" s="28"/>
      <c r="BB447" s="28"/>
      <c r="BC447" s="28"/>
      <c r="BD447" s="28"/>
      <c r="BE447" s="28"/>
      <c r="BF447" s="24"/>
      <c r="BG447" s="28"/>
      <c r="BH447" s="28"/>
      <c r="BI447" s="28"/>
      <c r="BJ447" s="24"/>
      <c r="BK447" s="28"/>
      <c r="BL447" s="28"/>
      <c r="BM447" s="28"/>
    </row>
    <row r="448" spans="1:65">
      <c r="A448" s="24"/>
      <c r="B448" s="28"/>
      <c r="C448" s="25"/>
      <c r="D448" s="26"/>
      <c r="E448" s="24"/>
      <c r="F448" s="24"/>
      <c r="G448" s="26"/>
      <c r="H448" s="26"/>
      <c r="I448" s="26"/>
      <c r="J448" s="26"/>
      <c r="K448" s="26"/>
      <c r="L448" s="26"/>
      <c r="M448" s="26"/>
      <c r="N448" s="26"/>
      <c r="O448" s="26"/>
      <c r="P448" s="26"/>
      <c r="R448" s="24"/>
      <c r="S448" s="26"/>
      <c r="T448" s="25"/>
      <c r="U448" s="24"/>
      <c r="V448" s="24"/>
      <c r="W448" s="24"/>
      <c r="X448" s="26"/>
      <c r="Y448" s="26"/>
      <c r="Z448" s="24"/>
      <c r="AC448" s="24"/>
      <c r="AD448" s="24"/>
      <c r="AE448" s="24"/>
      <c r="AF448" s="26"/>
      <c r="AG448" s="26"/>
      <c r="AH448" s="24"/>
      <c r="AI448" s="24"/>
      <c r="AJ448" s="24"/>
      <c r="AK448" s="28"/>
      <c r="AL448" s="28"/>
      <c r="AM448" s="28"/>
      <c r="AN448" s="28"/>
      <c r="AO448" s="28"/>
      <c r="AP448" s="28"/>
      <c r="AQ448" s="28"/>
      <c r="AR448" s="28"/>
      <c r="AS448" s="28"/>
      <c r="AT448" s="28"/>
      <c r="AU448" s="28"/>
      <c r="AV448" s="28"/>
      <c r="AW448" s="28"/>
      <c r="AX448" s="28"/>
      <c r="AY448" s="24"/>
      <c r="AZ448" s="28"/>
      <c r="BA448" s="28"/>
      <c r="BB448" s="28"/>
      <c r="BC448" s="28"/>
      <c r="BD448" s="28"/>
      <c r="BE448" s="28"/>
      <c r="BF448" s="24"/>
      <c r="BG448" s="28"/>
      <c r="BH448" s="28"/>
      <c r="BI448" s="28"/>
      <c r="BJ448" s="24"/>
      <c r="BK448" s="28"/>
      <c r="BL448" s="28"/>
      <c r="BM448" s="28"/>
    </row>
    <row r="449" spans="1:65">
      <c r="A449" s="24"/>
      <c r="B449" s="28"/>
      <c r="C449" s="25"/>
      <c r="D449" s="26"/>
      <c r="E449" s="24"/>
      <c r="F449" s="24"/>
      <c r="G449" s="26"/>
      <c r="H449" s="26"/>
      <c r="I449" s="26"/>
      <c r="J449" s="26"/>
      <c r="K449" s="26"/>
      <c r="L449" s="26"/>
      <c r="M449" s="26"/>
      <c r="N449" s="26"/>
      <c r="O449" s="26"/>
      <c r="P449" s="26"/>
      <c r="R449" s="24"/>
      <c r="S449" s="26"/>
      <c r="T449" s="25"/>
      <c r="U449" s="24"/>
      <c r="V449" s="24"/>
      <c r="W449" s="24"/>
      <c r="X449" s="26"/>
      <c r="Y449" s="26"/>
      <c r="Z449" s="24"/>
      <c r="AC449" s="24"/>
      <c r="AD449" s="24"/>
      <c r="AE449" s="24"/>
      <c r="AF449" s="26"/>
      <c r="AG449" s="26"/>
      <c r="AH449" s="24"/>
      <c r="AI449" s="24"/>
      <c r="AJ449" s="24"/>
      <c r="AK449" s="28"/>
      <c r="AL449" s="28"/>
      <c r="AM449" s="28"/>
      <c r="AN449" s="28"/>
      <c r="AO449" s="28"/>
      <c r="AP449" s="28"/>
      <c r="AQ449" s="28"/>
      <c r="AR449" s="28"/>
      <c r="AS449" s="28"/>
      <c r="AT449" s="28"/>
      <c r="AU449" s="28"/>
      <c r="AV449" s="28"/>
      <c r="AW449" s="28"/>
      <c r="AX449" s="28"/>
      <c r="AY449" s="24"/>
      <c r="AZ449" s="28"/>
      <c r="BA449" s="28"/>
      <c r="BB449" s="28"/>
      <c r="BC449" s="28"/>
      <c r="BD449" s="28"/>
      <c r="BE449" s="28"/>
      <c r="BF449" s="24"/>
      <c r="BG449" s="28"/>
      <c r="BH449" s="28"/>
      <c r="BI449" s="28"/>
      <c r="BJ449" s="24"/>
      <c r="BK449" s="28"/>
      <c r="BL449" s="28"/>
      <c r="BM449" s="28"/>
    </row>
    <row r="450" spans="1:65">
      <c r="Y450" s="26"/>
      <c r="AG450" s="26"/>
      <c r="AI450" s="24"/>
      <c r="AJ450" s="24"/>
      <c r="AK450" s="28"/>
      <c r="AL450" s="28"/>
      <c r="AM450" s="28"/>
      <c r="AN450" s="28"/>
      <c r="AO450" s="28"/>
      <c r="AP450" s="28"/>
      <c r="AQ450" s="28"/>
      <c r="AR450" s="28"/>
      <c r="AS450" s="28"/>
      <c r="AT450" s="28"/>
      <c r="AU450" s="28"/>
      <c r="AV450" s="28"/>
      <c r="AW450" s="28"/>
      <c r="AX450" s="28"/>
      <c r="AY450" s="24"/>
      <c r="AZ450" s="28"/>
      <c r="BA450" s="28"/>
      <c r="BB450" s="28"/>
      <c r="BC450" s="28"/>
      <c r="BD450" s="28"/>
      <c r="BE450" s="28"/>
      <c r="BF450" s="24"/>
      <c r="BG450" s="28"/>
      <c r="BH450" s="28"/>
      <c r="BI450" s="28"/>
      <c r="BJ450" s="24"/>
      <c r="BK450" s="28"/>
      <c r="BL450" s="28"/>
      <c r="BM450" s="28"/>
    </row>
    <row r="451" spans="1:65">
      <c r="Y451" s="26"/>
      <c r="AG451" s="26"/>
      <c r="AI451" s="24"/>
      <c r="AJ451" s="24"/>
      <c r="AK451" s="28"/>
      <c r="AL451" s="28"/>
      <c r="AM451" s="28"/>
      <c r="AN451" s="28"/>
      <c r="AO451" s="28"/>
      <c r="AP451" s="28"/>
      <c r="AQ451" s="28"/>
      <c r="AR451" s="28"/>
      <c r="AS451" s="28"/>
      <c r="AT451" s="28"/>
      <c r="AU451" s="28"/>
      <c r="AV451" s="28"/>
      <c r="AW451" s="28"/>
      <c r="AX451" s="28"/>
      <c r="AY451" s="24"/>
      <c r="AZ451" s="28"/>
      <c r="BA451" s="28"/>
      <c r="BB451" s="28"/>
      <c r="BC451" s="28"/>
      <c r="BD451" s="28"/>
      <c r="BE451" s="28"/>
      <c r="BF451" s="24"/>
      <c r="BG451" s="28"/>
      <c r="BH451" s="28"/>
      <c r="BI451" s="28"/>
      <c r="BJ451" s="24"/>
      <c r="BK451" s="28"/>
      <c r="BL451" s="28"/>
      <c r="BM451" s="28"/>
    </row>
    <row r="452" spans="1:65">
      <c r="Y452" s="26"/>
      <c r="AG452" s="26"/>
      <c r="AI452" s="24"/>
      <c r="AJ452" s="24"/>
      <c r="AK452" s="28"/>
      <c r="AL452" s="28"/>
      <c r="AM452" s="28"/>
      <c r="AN452" s="28"/>
      <c r="AO452" s="28"/>
      <c r="AP452" s="28"/>
      <c r="AQ452" s="28"/>
      <c r="AR452" s="28"/>
      <c r="AS452" s="28"/>
      <c r="AT452" s="28"/>
      <c r="AU452" s="28"/>
      <c r="AV452" s="28"/>
      <c r="AW452" s="28"/>
      <c r="AX452" s="28"/>
      <c r="AY452" s="24"/>
      <c r="AZ452" s="28"/>
      <c r="BA452" s="28"/>
      <c r="BB452" s="28"/>
      <c r="BC452" s="28"/>
      <c r="BD452" s="28"/>
      <c r="BE452" s="28"/>
      <c r="BF452" s="24"/>
      <c r="BG452" s="28"/>
      <c r="BH452" s="28"/>
      <c r="BI452" s="28"/>
      <c r="BJ452" s="24"/>
      <c r="BK452" s="28"/>
      <c r="BL452" s="28"/>
      <c r="BM452" s="28"/>
    </row>
    <row r="453" spans="1:65">
      <c r="Y453" s="26"/>
      <c r="AG453" s="26"/>
      <c r="AI453" s="24"/>
      <c r="AJ453" s="24"/>
      <c r="AK453" s="28"/>
      <c r="AL453" s="28"/>
      <c r="AM453" s="28"/>
      <c r="AN453" s="28"/>
      <c r="AO453" s="28"/>
      <c r="AP453" s="28"/>
      <c r="AQ453" s="28"/>
      <c r="AR453" s="28"/>
      <c r="AS453" s="28"/>
      <c r="AT453" s="28"/>
      <c r="AU453" s="28"/>
      <c r="AV453" s="28"/>
      <c r="AW453" s="28"/>
      <c r="AX453" s="28"/>
      <c r="AY453" s="24"/>
      <c r="AZ453" s="28"/>
      <c r="BA453" s="28"/>
      <c r="BB453" s="28"/>
      <c r="BC453" s="28"/>
      <c r="BD453" s="28"/>
      <c r="BE453" s="28"/>
      <c r="BF453" s="24"/>
      <c r="BG453" s="28"/>
      <c r="BH453" s="28"/>
      <c r="BI453" s="28"/>
      <c r="BJ453" s="24"/>
      <c r="BK453" s="28"/>
      <c r="BL453" s="28"/>
      <c r="BM453" s="28"/>
    </row>
    <row r="454" spans="1:65">
      <c r="Y454" s="26"/>
      <c r="AG454" s="26"/>
      <c r="AI454" s="24"/>
      <c r="AJ454" s="24"/>
      <c r="AK454" s="28"/>
      <c r="AL454" s="28"/>
      <c r="AM454" s="28"/>
      <c r="AN454" s="28"/>
      <c r="AO454" s="28"/>
      <c r="AP454" s="28"/>
      <c r="AQ454" s="28"/>
      <c r="AR454" s="28"/>
      <c r="AS454" s="28"/>
      <c r="AT454" s="28"/>
      <c r="AU454" s="28"/>
      <c r="AV454" s="28"/>
      <c r="AW454" s="28"/>
      <c r="AX454" s="28"/>
      <c r="AY454" s="24"/>
      <c r="AZ454" s="28"/>
      <c r="BA454" s="28"/>
      <c r="BB454" s="28"/>
      <c r="BC454" s="28"/>
      <c r="BD454" s="28"/>
      <c r="BE454" s="28"/>
      <c r="BF454" s="24"/>
      <c r="BG454" s="28"/>
      <c r="BH454" s="28"/>
      <c r="BI454" s="28"/>
      <c r="BJ454" s="24"/>
      <c r="BK454" s="28"/>
      <c r="BL454" s="28"/>
      <c r="BM454" s="28"/>
    </row>
    <row r="455" spans="1:65">
      <c r="Y455" s="26"/>
      <c r="AG455" s="26"/>
      <c r="AI455" s="24"/>
      <c r="AJ455" s="24"/>
      <c r="AK455" s="28"/>
      <c r="AL455" s="28"/>
      <c r="AM455" s="28"/>
      <c r="AN455" s="28"/>
      <c r="AO455" s="28"/>
      <c r="AP455" s="28"/>
      <c r="AQ455" s="28"/>
      <c r="AR455" s="28"/>
      <c r="AS455" s="28"/>
      <c r="AT455" s="28"/>
      <c r="AU455" s="28"/>
      <c r="AV455" s="28"/>
      <c r="AW455" s="28"/>
      <c r="AX455" s="28"/>
      <c r="AY455" s="24"/>
      <c r="AZ455" s="28"/>
      <c r="BA455" s="28"/>
      <c r="BB455" s="28"/>
      <c r="BC455" s="28"/>
      <c r="BD455" s="28"/>
      <c r="BE455" s="28"/>
      <c r="BF455" s="24"/>
      <c r="BG455" s="28"/>
      <c r="BH455" s="28"/>
      <c r="BI455" s="28"/>
      <c r="BJ455" s="24"/>
      <c r="BK455" s="28"/>
      <c r="BL455" s="28"/>
      <c r="BM455" s="28"/>
    </row>
    <row r="456" spans="1:65">
      <c r="Y456" s="26"/>
      <c r="AG456" s="26"/>
      <c r="AI456" s="24"/>
      <c r="AJ456" s="24"/>
      <c r="AK456" s="28"/>
      <c r="AL456" s="28"/>
      <c r="AM456" s="28"/>
      <c r="AN456" s="28"/>
      <c r="AO456" s="28"/>
      <c r="AP456" s="28"/>
      <c r="AQ456" s="28"/>
      <c r="AR456" s="28"/>
      <c r="AS456" s="28"/>
      <c r="AT456" s="28"/>
      <c r="AU456" s="28"/>
      <c r="AV456" s="28"/>
      <c r="AW456" s="28"/>
      <c r="AX456" s="28"/>
      <c r="AY456" s="24"/>
      <c r="AZ456" s="28"/>
      <c r="BA456" s="28"/>
      <c r="BB456" s="28"/>
      <c r="BC456" s="28"/>
      <c r="BD456" s="28"/>
      <c r="BE456" s="28"/>
      <c r="BF456" s="24"/>
      <c r="BG456" s="28"/>
      <c r="BH456" s="28"/>
      <c r="BI456" s="28"/>
      <c r="BJ456" s="24"/>
      <c r="BK456" s="28"/>
      <c r="BL456" s="28"/>
      <c r="BM456" s="28"/>
    </row>
    <row r="457" spans="1:65">
      <c r="Y457" s="26"/>
      <c r="AG457" s="26"/>
      <c r="AI457" s="24"/>
      <c r="AJ457" s="24"/>
      <c r="AK457" s="28"/>
      <c r="AL457" s="28"/>
      <c r="AM457" s="28"/>
      <c r="AN457" s="28"/>
      <c r="AO457" s="28"/>
      <c r="AP457" s="28"/>
      <c r="AQ457" s="28"/>
      <c r="AR457" s="28"/>
      <c r="AS457" s="28"/>
      <c r="AT457" s="28"/>
      <c r="AU457" s="28"/>
      <c r="AV457" s="28"/>
      <c r="AW457" s="28"/>
      <c r="AX457" s="28"/>
      <c r="AY457" s="24"/>
      <c r="AZ457" s="28"/>
      <c r="BA457" s="28"/>
      <c r="BB457" s="28"/>
      <c r="BC457" s="28"/>
      <c r="BD457" s="28"/>
      <c r="BE457" s="28"/>
      <c r="BF457" s="24"/>
      <c r="BG457" s="28"/>
      <c r="BH457" s="28"/>
      <c r="BI457" s="28"/>
      <c r="BJ457" s="24"/>
      <c r="BK457" s="28"/>
      <c r="BL457" s="28"/>
      <c r="BM457" s="28"/>
    </row>
  </sheetData>
  <protectedRanges>
    <protectedRange sqref="E79:P87 E91:P99 E43:P51 E55:P63 E19:P27 E31:P39 E67:P75 E7:P15" name="DDR2Data"/>
  </protectedRanges>
  <mergeCells count="2">
    <mergeCell ref="A1:D1"/>
    <mergeCell ref="E1:F1"/>
  </mergeCells>
  <phoneticPr fontId="25" type="noConversion"/>
  <conditionalFormatting sqref="AR67:AU75 AR43:AU51 AR55:AU63 AR79:AU87 AR7:AU15 AR19:AU27 AR31:AU39 AR91:AU99 AI91:AP99 AI19:AP27 AI7:AP15 AI79:AP87 AI55:AP63 AI43:AP51 AI31:AP39 AI67:AP75">
    <cfRule type="cellIs" dxfId="15" priority="1" stopIfTrue="1" operator="equal">
      <formula>"Pass"</formula>
    </cfRule>
    <cfRule type="cellIs" dxfId="14" priority="2" stopIfTrue="1" operator="notEqual">
      <formula>"Pass"</formula>
    </cfRule>
  </conditionalFormatting>
  <conditionalFormatting sqref="AQ7:AQ15 AQ19:AQ27 AQ31:AQ39 AQ43:AQ51 AQ55:AQ63 AQ67:AQ75 AQ79:AQ87 AQ91:AQ99">
    <cfRule type="cellIs" dxfId="13" priority="3" stopIfTrue="1" operator="equal">
      <formula>"Pass"</formula>
    </cfRule>
    <cfRule type="cellIs" dxfId="12" priority="4" stopIfTrue="1" operator="notEqual">
      <formula>"pass"</formula>
    </cfRule>
  </conditionalFormatting>
  <conditionalFormatting sqref="AB91:AB99 AB79:AB87 AB67:AB75 AB55:AB63 AB43:AB51 AB31:AB39 AB19:AB27 T91:T99 T7:T15 T79:T87 T67:T75 T55:T63 T43:T51 T31:T39 T19:T27 AB7:AB15">
    <cfRule type="cellIs" dxfId="11" priority="5" stopIfTrue="1" operator="greaterThan">
      <formula>6250</formula>
    </cfRule>
    <cfRule type="cellIs" dxfId="10" priority="6" stopIfTrue="1" operator="lessThan">
      <formula>6250</formula>
    </cfRule>
  </conditionalFormatting>
  <conditionalFormatting sqref="AF55:AG63 AF19:AG27 AF43:AG51 AF67:AG75 AF79:AG87 AF7:AG15 AF91:AG99 AF31:AG39 X91:Y99 X67:Y75 X79:Y87 X7:Y15 X19:Y27 X31:Y39 X55:Y63 X43:Y51">
    <cfRule type="cellIs" priority="7" stopIfTrue="1" operator="equal">
      <formula>"Pass"</formula>
    </cfRule>
    <cfRule type="cellIs" dxfId="9" priority="8" stopIfTrue="1" operator="notEqual">
      <formula>"Pass"</formula>
    </cfRule>
  </conditionalFormatting>
  <conditionalFormatting sqref="A1:AV1">
    <cfRule type="expression" dxfId="8" priority="9" stopIfTrue="1">
      <formula>$E$1 = "Fail"</formula>
    </cfRule>
    <cfRule type="expression" dxfId="7" priority="10"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19577" r:id="rId4">
          <objectPr defaultSize="0" autoPict="0" r:id="rId5">
            <anchor moveWithCells="1">
              <from>
                <xdr:col>4</xdr:col>
                <xdr:colOff>476250</xdr:colOff>
                <xdr:row>102</xdr:row>
                <xdr:rowOff>0</xdr:rowOff>
              </from>
              <to>
                <xdr:col>15</xdr:col>
                <xdr:colOff>476250</xdr:colOff>
                <xdr:row>114</xdr:row>
                <xdr:rowOff>9525</xdr:rowOff>
              </to>
            </anchor>
          </objectPr>
        </oleObject>
      </mc:Choice>
      <mc:Fallback>
        <oleObject progId="Visio.Drawing.11" shapeId="19577" r:id="rId4"/>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BJ457"/>
  <sheetViews>
    <sheetView topLeftCell="Q1" zoomScale="75" workbookViewId="0">
      <selection activeCell="AS27" sqref="AS27"/>
    </sheetView>
  </sheetViews>
  <sheetFormatPr defaultColWidth="9.140625"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4" width="11.140625" style="5" customWidth="1"/>
    <col min="15" max="15" width="0.85546875" style="6" customWidth="1"/>
    <col min="16" max="16" width="15.5703125" style="5" customWidth="1"/>
    <col min="17" max="17" width="17.42578125" style="5" customWidth="1"/>
    <col min="18" max="18" width="0.85546875" style="31" customWidth="1"/>
    <col min="19" max="20" width="18.140625" style="31" customWidth="1"/>
    <col min="21" max="21" width="0.85546875" style="31" customWidth="1"/>
    <col min="22" max="22" width="11.85546875" style="6" customWidth="1"/>
    <col min="23" max="23" width="12.140625" style="6" customWidth="1"/>
    <col min="24" max="24" width="1" style="6" customWidth="1"/>
    <col min="25" max="25" width="13.7109375" style="5" customWidth="1"/>
    <col min="26" max="26" width="12.28515625" style="5" customWidth="1"/>
    <col min="27" max="27" width="2" style="6" customWidth="1"/>
    <col min="28" max="28" width="11.140625" style="6" customWidth="1"/>
    <col min="29" max="29" width="13.5703125" style="6" customWidth="1"/>
    <col min="30" max="30" width="1" style="6" customWidth="1"/>
    <col min="31" max="31" width="13.7109375" style="5" customWidth="1"/>
    <col min="32" max="32" width="14.28515625" style="5" customWidth="1"/>
    <col min="33" max="33" width="14.28515625" style="6" customWidth="1"/>
    <col min="34" max="34" width="13.7109375" style="6" customWidth="1"/>
    <col min="35" max="40" width="14.28515625" style="79" customWidth="1"/>
    <col min="41" max="41" width="19" style="79" customWidth="1"/>
    <col min="42" max="44" width="19.42578125" style="79" customWidth="1"/>
    <col min="45" max="45" width="0.85546875" style="79" customWidth="1"/>
    <col min="46" max="46" width="17.85546875" style="79" customWidth="1"/>
    <col min="47" max="47" width="21.140625" style="79" customWidth="1"/>
    <col min="48" max="48" width="2.140625" style="6" customWidth="1"/>
    <col min="49" max="49" width="11.42578125" style="79" customWidth="1"/>
    <col min="50" max="50" width="11.28515625" style="79" customWidth="1"/>
    <col min="51" max="51" width="16.28515625" style="79" customWidth="1"/>
    <col min="52" max="52" width="11.42578125" style="79" customWidth="1"/>
    <col min="53" max="53" width="11.28515625" style="79" customWidth="1"/>
    <col min="54" max="54" width="16.28515625" style="79" customWidth="1"/>
    <col min="55" max="55" width="11.85546875" style="6" customWidth="1"/>
    <col min="56" max="56" width="11.28515625" style="79" customWidth="1"/>
    <col min="57" max="57" width="11.42578125" style="79" customWidth="1"/>
    <col min="58" max="58" width="16.28515625" style="79" customWidth="1"/>
    <col min="59" max="59" width="12.85546875" style="6" customWidth="1"/>
    <col min="60" max="60" width="11.28515625" style="79" customWidth="1"/>
    <col min="61" max="61" width="11.42578125" style="79" customWidth="1"/>
    <col min="62" max="62" width="16.28515625" style="79" customWidth="1"/>
    <col min="63" max="16384" width="9.140625" style="3"/>
  </cols>
  <sheetData>
    <row r="1" spans="1:62" ht="26.25">
      <c r="A1" s="1322" t="s">
        <v>108</v>
      </c>
      <c r="B1" s="1324"/>
      <c r="C1" s="1324"/>
      <c r="D1" s="1324"/>
      <c r="E1" s="1323" t="e">
        <f ca="1">IF(AND(AU7="Pass",AU19="Pass",AU31="Pass",AU43="Pass",AU55="Pass",AU67="Pass",AU79="Pass",AU91="Pass"),"Pass","Fail")</f>
        <v>#REF!</v>
      </c>
      <c r="F1" s="1323"/>
      <c r="G1" s="3"/>
      <c r="H1" s="3"/>
      <c r="I1" s="3"/>
      <c r="J1" s="3"/>
      <c r="K1" s="3"/>
      <c r="L1" s="3"/>
      <c r="M1" s="3"/>
      <c r="N1" s="3"/>
      <c r="O1" s="3"/>
      <c r="AV1" s="79"/>
      <c r="AW1" s="3"/>
      <c r="AX1" s="3"/>
      <c r="AY1" s="3"/>
      <c r="AZ1" s="3"/>
      <c r="BA1" s="3"/>
      <c r="BB1" s="3"/>
      <c r="BC1" s="3"/>
      <c r="BD1" s="3"/>
      <c r="BE1" s="3"/>
      <c r="BF1" s="3"/>
      <c r="BG1" s="3"/>
      <c r="BH1" s="3"/>
      <c r="BI1" s="3"/>
      <c r="BJ1" s="3"/>
    </row>
    <row r="2" spans="1:62" customFormat="1" ht="18">
      <c r="A2" s="96" t="s">
        <v>10</v>
      </c>
      <c r="B2" s="299" t="e">
        <f>'DDR2 Clocks - 2L'!B2</f>
        <v>#REF!</v>
      </c>
      <c r="C2" s="100"/>
      <c r="D2" s="100"/>
      <c r="E2" s="100"/>
      <c r="F2" s="100"/>
      <c r="G2" s="100"/>
      <c r="H2" s="100"/>
      <c r="I2" s="100"/>
      <c r="J2" s="100"/>
      <c r="K2" s="100"/>
      <c r="L2" s="100"/>
      <c r="M2" s="100"/>
      <c r="N2" s="100"/>
      <c r="O2" s="1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row>
    <row r="3" spans="1:62" s="50" customFormat="1" ht="87.75" customHeight="1">
      <c r="A3" s="101" t="s">
        <v>457</v>
      </c>
      <c r="B3" s="101" t="s">
        <v>474</v>
      </c>
      <c r="C3" s="103" t="s">
        <v>475</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SODIMM["&amp;$B$2&amp;"]"</f>
        <v>#REF!</v>
      </c>
      <c r="W3" s="7" t="e">
        <f>"Target Max Length to SODIMM ["&amp;$B$2&amp;"]"</f>
        <v>#REF!</v>
      </c>
      <c r="X3" s="7"/>
      <c r="Y3" s="7" t="e">
        <f>"Length to SODIMM Routed Too Short  ["&amp;$B$2&amp;"]"</f>
        <v>#REF!</v>
      </c>
      <c r="Z3" s="7" t="e">
        <f>"Length to SODIMM Routed Too Long  ["&amp;$B$2&amp;"]"</f>
        <v>#REF!</v>
      </c>
      <c r="AA3" s="7"/>
      <c r="AB3" s="7" t="e">
        <f>"Target Min Length to SDRAM["&amp;$B$2&amp;"]"</f>
        <v>#REF!</v>
      </c>
      <c r="AC3" s="7" t="e">
        <f>"Target Max Length to SDRAM ["&amp;$B$2&amp;"]"</f>
        <v>#REF!</v>
      </c>
      <c r="AD3" s="7"/>
      <c r="AE3" s="7" t="e">
        <f>"Length to SDRAM Routed Too Short  ["&amp;$B$2&amp;"]"</f>
        <v>#REF!</v>
      </c>
      <c r="AF3" s="7" t="e">
        <f>"Length to SDRAM Routed Too Long  ["&amp;$B$2&amp;"]"</f>
        <v>#REF!</v>
      </c>
      <c r="AG3" s="7" t="e">
        <f>"L0 Length Test (&lt;="&amp;IF($B$2="mil",1,0.0254)*50&amp;$B$2&amp;")"</f>
        <v>#REF!</v>
      </c>
      <c r="AH3" s="7" t="e">
        <f>"L1 Length Test (&lt;="&amp;IF($B$2="mil",1,0.0254)*500&amp;$B$2&amp;")"</f>
        <v>#REF!</v>
      </c>
      <c r="AI3" s="7" t="e">
        <f>"S1 Length Test (&lt;="&amp;IF($B$2="mil",1,0.0254)*250&amp;$B$2&amp;")"</f>
        <v>#REF!</v>
      </c>
      <c r="AJ3" s="7" t="e">
        <f>"L3 Length Test (&lt;="&amp;IF($B$2="mil",1,0.0254)*1000&amp;$B$2&amp;" or L3 + L4 &lt;="&amp; IF($B$2="mil",1,0.0254)*1125&amp;$B$2&amp;")"</f>
        <v>#REF!</v>
      </c>
      <c r="AK3" s="7" t="e">
        <f>"L4 Length Test (&lt;="&amp;IF($B$2="mil",1,0.0254)*125&amp;$B$2&amp;")"</f>
        <v>#REF!</v>
      </c>
      <c r="AL3" s="7" t="e">
        <f>"L5 Length Test (&lt;="&amp;IF($B$2="mil",1,0.0254)*125&amp;$B$2&amp;")"</f>
        <v>#REF!</v>
      </c>
      <c r="AM3" s="7" t="e">
        <f>"L6 Length Test (&lt;="&amp;IF($B$2="mil",1,0.0254)*1250&amp;$B$2&amp;" or L5+L6+L7 &lt;= "&amp;IF($B$2="mil",1,0.0254)*1525&amp;$B$2&amp;")"</f>
        <v>#REF!</v>
      </c>
      <c r="AN3" s="7" t="e">
        <f>"L7 Length Test (&lt;="&amp;IF($B$2="mil",1,0.0254)*150&amp;$B$2&amp;") or (L6+L7 &lt;= "&amp;IF($B$2="mil",1,0.0254)*1400&amp;$B$2&amp;")"</f>
        <v>#REF!</v>
      </c>
      <c r="AO3" s="7" t="e">
        <f>"Total MB Length to SODIMM (L0+L1+L2+S1) Test "&amp;IF($B$2="mil","(500-4000mil)","(12.7-114.3mm)")</f>
        <v>#REF!</v>
      </c>
      <c r="AP3" s="7" t="e">
        <f>"Total Length to SODIMM (P0+L0+L1+L2+S1) Test (&lt;="&amp; IF($B$2="mil","4500mil","127mm")&amp;")"</f>
        <v>#REF!</v>
      </c>
      <c r="AQ3" s="7" t="e">
        <f>"Total MB Length to SDRAM (L0+L1+L2+L3+L4+Rs+L5+L6+L7) Test "&amp;IF($B$2="mil","(500-5500mil)","(12.7-114.3mm)")</f>
        <v>#REF!</v>
      </c>
      <c r="AR3" s="7" t="e">
        <f>"Total Length to SDRAM (P0+L0+L1+L2+L3+L4+Rs+L5+L6+L7) Test (&lt;="&amp; IF($B$2="mil","6000mil","127mm")&amp;")"</f>
        <v>#REF!</v>
      </c>
      <c r="AS3" s="7"/>
    </row>
    <row r="4" spans="1:62">
      <c r="A4" s="109" t="s">
        <v>197</v>
      </c>
      <c r="B4" s="485"/>
      <c r="C4" s="126"/>
      <c r="D4" s="10"/>
      <c r="E4" s="10"/>
      <c r="F4" s="23"/>
      <c r="G4" s="9"/>
      <c r="H4" s="9"/>
      <c r="I4" s="9"/>
      <c r="J4" s="9"/>
      <c r="K4" s="9"/>
      <c r="L4" s="9"/>
      <c r="M4" s="9"/>
      <c r="N4" s="10"/>
      <c r="O4" s="10"/>
      <c r="P4" s="9"/>
      <c r="Q4" s="9"/>
      <c r="R4" s="10"/>
      <c r="S4" s="10"/>
      <c r="T4" s="10"/>
      <c r="U4" s="10"/>
      <c r="V4" s="51"/>
      <c r="W4" s="10"/>
      <c r="X4" s="10"/>
      <c r="Y4" s="15"/>
      <c r="Z4" s="17"/>
      <c r="AA4" s="10"/>
      <c r="AB4" s="51"/>
      <c r="AC4" s="10"/>
      <c r="AD4" s="10"/>
      <c r="AE4" s="15"/>
      <c r="AF4" s="17"/>
      <c r="AG4" s="17"/>
      <c r="AH4" s="17"/>
      <c r="AI4" s="16"/>
      <c r="AJ4" s="16"/>
      <c r="AK4" s="16"/>
      <c r="AL4" s="16"/>
      <c r="AM4" s="16"/>
      <c r="AN4" s="16"/>
      <c r="AO4" s="16"/>
      <c r="AP4" s="16"/>
      <c r="AQ4" s="16"/>
      <c r="AR4" s="16"/>
      <c r="AS4" s="12"/>
      <c r="AT4" s="3"/>
      <c r="AU4" s="3"/>
      <c r="AV4" s="3"/>
      <c r="AW4" s="3"/>
      <c r="AX4" s="3"/>
      <c r="AY4" s="3"/>
      <c r="AZ4" s="3"/>
      <c r="BA4" s="3"/>
      <c r="BB4" s="3"/>
      <c r="BC4" s="3"/>
      <c r="BD4" s="3"/>
      <c r="BE4" s="3"/>
      <c r="BF4" s="3"/>
      <c r="BG4" s="3"/>
      <c r="BH4" s="3"/>
      <c r="BI4" s="3"/>
      <c r="BJ4" s="3"/>
    </row>
    <row r="5" spans="1:62">
      <c r="A5" s="52" t="str">
        <f>'DDR2 Strobes - 1x16'!$A$7</f>
        <v>SA_DQS0</v>
      </c>
      <c r="B5" s="608" t="str">
        <f>'DDR2 Strobes - 1x16'!$B$7</f>
        <v>Y25</v>
      </c>
      <c r="C5" s="673"/>
      <c r="D5" s="53"/>
      <c r="E5" s="80"/>
      <c r="F5" s="80"/>
      <c r="G5" s="81"/>
      <c r="H5" s="81"/>
      <c r="I5" s="81"/>
      <c r="J5" s="81"/>
      <c r="K5" s="81"/>
      <c r="L5" s="81"/>
      <c r="M5" s="81"/>
      <c r="N5" s="81"/>
      <c r="O5" s="81"/>
      <c r="P5" s="81"/>
      <c r="Q5" s="81"/>
      <c r="R5" s="81"/>
      <c r="S5" s="58"/>
      <c r="T5" s="58"/>
      <c r="U5" s="58"/>
      <c r="V5" s="58" t="e">
        <f ca="1">GetSODIMMStrbLen($A5)</f>
        <v>#NAME?</v>
      </c>
      <c r="W5" s="58"/>
      <c r="X5" s="58"/>
      <c r="Y5" s="58"/>
      <c r="Z5" s="601"/>
      <c r="AA5" s="617" t="e">
        <f>"Strobe Pair to " &amp;#REF!</f>
        <v>#REF!</v>
      </c>
      <c r="AB5" s="58" t="e">
        <f ca="1">GetStrbLen(#REF!, "P")</f>
        <v>#NAME?</v>
      </c>
      <c r="AC5" s="58"/>
      <c r="AD5" s="58"/>
      <c r="AE5" s="58"/>
      <c r="AF5" s="601"/>
      <c r="AG5" s="601"/>
      <c r="AH5" s="601"/>
      <c r="AI5" s="601"/>
      <c r="AJ5" s="601"/>
      <c r="AK5" s="601"/>
      <c r="AL5" s="601"/>
      <c r="AM5" s="601"/>
      <c r="AN5" s="601"/>
      <c r="AO5" s="601"/>
      <c r="AP5" s="601"/>
      <c r="AQ5" s="601"/>
      <c r="AR5" s="601"/>
      <c r="AS5" s="58"/>
      <c r="AT5" s="3"/>
      <c r="AU5" s="3"/>
      <c r="AV5" s="3"/>
      <c r="AW5" s="3"/>
      <c r="AX5" s="3"/>
      <c r="AY5" s="3"/>
      <c r="AZ5" s="3"/>
      <c r="BA5" s="3"/>
      <c r="BB5" s="3"/>
      <c r="BC5" s="3"/>
      <c r="BD5" s="3"/>
      <c r="BE5" s="3"/>
      <c r="BF5" s="3"/>
      <c r="BG5" s="3"/>
      <c r="BH5" s="3"/>
      <c r="BI5" s="3"/>
      <c r="BJ5" s="3"/>
    </row>
    <row r="6" spans="1:62">
      <c r="A6" s="52" t="str">
        <f>'DDR2 Strobes - 1x16'!$A$8</f>
        <v>SA_DQS0#</v>
      </c>
      <c r="B6" s="608" t="str">
        <f>'DDR2 Strobes - 1x16'!$B$8</f>
        <v>W24</v>
      </c>
      <c r="C6" s="673"/>
      <c r="D6" s="53"/>
      <c r="E6" s="80"/>
      <c r="F6" s="80"/>
      <c r="G6" s="291"/>
      <c r="H6" s="291"/>
      <c r="I6" s="81"/>
      <c r="J6" s="81"/>
      <c r="K6" s="81"/>
      <c r="L6" s="81"/>
      <c r="M6" s="81"/>
      <c r="N6" s="81"/>
      <c r="O6" s="81"/>
      <c r="P6" s="81"/>
      <c r="Q6" s="602"/>
      <c r="R6" s="602"/>
      <c r="S6" s="603"/>
      <c r="T6" s="603"/>
      <c r="U6" s="58"/>
      <c r="V6" s="58" t="e">
        <f ca="1">GetSODIMMStrbLen($A6)</f>
        <v>#NAME?</v>
      </c>
      <c r="W6" s="58"/>
      <c r="X6" s="58"/>
      <c r="Y6" s="58"/>
      <c r="Z6" s="601"/>
      <c r="AA6" s="618" t="e">
        <f>"Strobe Pair to " &amp;#REF!</f>
        <v>#REF!</v>
      </c>
      <c r="AB6" s="58" t="e">
        <f ca="1">GetStrbLen(#REF!, "N")</f>
        <v>#NAME?</v>
      </c>
      <c r="AC6" s="58"/>
      <c r="AD6" s="58"/>
      <c r="AE6" s="58"/>
      <c r="AF6" s="601"/>
      <c r="AG6" s="601"/>
      <c r="AH6" s="601"/>
      <c r="AI6" s="604"/>
      <c r="AJ6" s="604"/>
      <c r="AK6" s="604"/>
      <c r="AL6" s="604"/>
      <c r="AM6" s="604"/>
      <c r="AN6" s="604"/>
      <c r="AO6" s="604"/>
      <c r="AP6" s="604"/>
      <c r="AQ6" s="604"/>
      <c r="AR6" s="604"/>
      <c r="AS6" s="58"/>
      <c r="AT6" s="3"/>
      <c r="AU6" s="3"/>
      <c r="AV6" s="3"/>
      <c r="AW6" s="3"/>
      <c r="AX6" s="3"/>
      <c r="AY6" s="3"/>
      <c r="AZ6" s="3"/>
      <c r="BA6" s="3"/>
      <c r="BB6" s="3"/>
      <c r="BC6" s="3"/>
      <c r="BD6" s="3"/>
      <c r="BE6" s="3"/>
      <c r="BF6" s="3"/>
      <c r="BG6" s="3"/>
      <c r="BH6" s="3"/>
      <c r="BI6" s="3"/>
      <c r="BJ6" s="3"/>
    </row>
    <row r="7" spans="1:62">
      <c r="A7" s="630" t="s">
        <v>121</v>
      </c>
      <c r="B7" s="646" t="s">
        <v>513</v>
      </c>
      <c r="C7" s="658">
        <v>385.1968503937008</v>
      </c>
      <c r="D7" s="18"/>
      <c r="E7" s="277">
        <v>29.7</v>
      </c>
      <c r="F7" s="277">
        <v>0</v>
      </c>
      <c r="G7" s="305">
        <v>2017.78</v>
      </c>
      <c r="H7" s="305">
        <v>50</v>
      </c>
      <c r="I7" s="277">
        <v>0</v>
      </c>
      <c r="J7" s="305">
        <v>57.5</v>
      </c>
      <c r="K7" s="277">
        <v>40</v>
      </c>
      <c r="L7" s="305">
        <v>52.37</v>
      </c>
      <c r="M7" s="305">
        <v>1040</v>
      </c>
      <c r="N7" s="305">
        <v>76</v>
      </c>
      <c r="O7" s="69"/>
      <c r="P7" s="489">
        <f xml:space="preserve"> E7+F7+G7+H7</f>
        <v>2097.48</v>
      </c>
      <c r="Q7" s="489">
        <f t="shared" ref="Q7:Q14" si="0">SUM(E7:G7,I7:N7)</f>
        <v>3313.35</v>
      </c>
      <c r="R7" s="597"/>
      <c r="S7" s="489" t="e">
        <f>P7+IF($B$2="mil",1,0.0254)*C7</f>
        <v>#REF!</v>
      </c>
      <c r="T7" s="489" t="e">
        <f t="shared" ref="T7:T15" si="1">Q7+IF($B$2="mil",1,0.0254)*$C7</f>
        <v>#REF!</v>
      </c>
      <c r="U7" s="597"/>
      <c r="V7" s="489" t="e">
        <f ca="1">MAX(V$5:V$6)+IF($B$2="mil",1,0.0254)*DDR2Specs!$B$3</f>
        <v>#NAME?</v>
      </c>
      <c r="W7" s="489" t="e">
        <f ca="1">MIN(V$5:V$6)+IF($B$2="mil",1,0.0254)*DDR2Specs!$C$3</f>
        <v>#NAME?</v>
      </c>
      <c r="X7" s="21"/>
      <c r="Y7" s="598" t="e">
        <f ca="1">IF($S7&lt;$V7,$V7-$S7,"Pass")</f>
        <v>#REF!</v>
      </c>
      <c r="Z7" s="495" t="e">
        <f ca="1">IF($S7&gt;$W7,$S7-$W7,"Pass")</f>
        <v>#REF!</v>
      </c>
      <c r="AA7" s="21"/>
      <c r="AB7" s="489" t="e">
        <f ca="1">MAX(AB$5:AB$6)+IF($B$2="mil",1,0.0254)*DDR2Specs!$E$3</f>
        <v>#NAME?</v>
      </c>
      <c r="AC7" s="489" t="e">
        <f ca="1">MIN(AB$5:AB$6)+IF($B$2="mil",1,0.0254)*DDR2Specs!$F$3</f>
        <v>#NAME?</v>
      </c>
      <c r="AD7" s="21"/>
      <c r="AE7" s="598" t="e">
        <f ca="1">IF($T7&lt;$AB7,$AB7-$T7,"Pass")</f>
        <v>#REF!</v>
      </c>
      <c r="AF7" s="495" t="e">
        <f t="shared" ref="AF7:AF15" ca="1" si="2">IF($T7&gt;$AC7,$T7-$AC7,"Pass")</f>
        <v>#REF!</v>
      </c>
      <c r="AG7" s="495" t="e">
        <f>IF($E7&lt;=IF($B$2="mil",1,0.0254)*50,"Pass",IF($B$2="mil",1,0.0254)*50-$E7)</f>
        <v>#REF!</v>
      </c>
      <c r="AH7" s="495" t="e">
        <f>IF($F7&lt;=IF($B$2="mil",1,0.0254)*500,"Pass",IF($B$2="mil",1,0.0254)*500-$F7)</f>
        <v>#REF!</v>
      </c>
      <c r="AI7" s="495" t="e">
        <f>IF($H7&lt;=IF($B$2="mil",1,0.0254)*250,"Pass",IF($B$2="mil",1,0.0254)*250-$H7)</f>
        <v>#REF!</v>
      </c>
      <c r="AJ7" s="495" t="e">
        <f t="shared" ref="AJ7:AJ15" ca="1" si="3">CheckLength(IF($B$2="mil",1,0.0254)*1000, IF($B$2="mil",1,0.0254)*125-J7, 0, I7,J7,0)</f>
        <v>#NAME?</v>
      </c>
      <c r="AK7" s="495" t="e">
        <f>IF($J7&lt;=IF($B$2="mil",1,0.0254)*125,"Pass",IF($B$2="mil",1,0.0254)*125-$J7)</f>
        <v>#REF!</v>
      </c>
      <c r="AL7" s="495" t="e">
        <f>IF($L7&lt;=IF($B$2="mil",1,0.0254)*125,"Pass",IF($B$2="mil",1,0.0254)*125-$L7)</f>
        <v>#REF!</v>
      </c>
      <c r="AM7" s="495" t="e">
        <f ca="1">CheckLength(IF($B$2="mil",1,0.0254)*1250, IF($B$2="mil",1,0.0254)*125-L7, IF($B$2="mil",1,0.0254)*150-N7, M7,L7,N7)</f>
        <v>#NAME?</v>
      </c>
      <c r="AN7" s="495" t="e">
        <f ca="1">CheckLength2(IF($B$2="mil",1,0.0254)*1400,M7,N7,0)</f>
        <v>#NAME?</v>
      </c>
      <c r="AO7" s="495" t="e">
        <f t="shared" ref="AO7:AO15" si="4">IF(AND($P7&gt;=IF($B$2="mil",1,0.0254)*500, $P7&lt;=IF($B$2="mil",1,0.0254)*4000),"Pass",IF($B$2="mil",1,0.0254)*4000-$P7)</f>
        <v>#REF!</v>
      </c>
      <c r="AP7" s="495" t="e">
        <f>IF(AND($S7&gt;=IF($B$2="mil",1,0.0254)*500, $S7&lt;=IF($B$2="mil",1,0.0254)*4500),"Pass",IF($B$2="mil",1,0.0254)*4500-$S7)</f>
        <v>#REF!</v>
      </c>
      <c r="AQ7" s="495" t="e">
        <f>IF(AND($Q7&gt;=IF($B$2="mil",1,0.0254)*500, $Q7&lt;=IF($B$2="mil",1,0.0254)*5500),"Pass",IF($B$2="mil",1,0.0254)*5500-$Q7)</f>
        <v>#REF!</v>
      </c>
      <c r="AR7" s="495" t="e">
        <f>IF(AND($T7&gt;=IF($B$2="mil",1,0.0254)*500, $T7&lt;=IF($B$2="mil",1,0.0254)*6000),"Pass",IF($B$2="mil",1,0.0254)*6000-$T7)</f>
        <v>#REF!</v>
      </c>
      <c r="AS7" s="21"/>
      <c r="AT7" s="3" t="e">
        <f ca="1">IF(AND(AG7="Pass",AP7="Pass",AI7="Pass",AH7="Pass",AO7="Pass",Y7="Pass",Z7="Pass",AN7="Pass",AM7="Pass",AL7="Pass",AK7="Pass",AJ7="Pass",AE7="Pass",AF7="Pass",AQ7="Pass",AR7="Pass"),"Pass","Fail")</f>
        <v>#REF!</v>
      </c>
      <c r="AU7" s="3" t="e">
        <f ca="1">IF(AND(AT7="Pass",AT8="Pass",AT9="Pass",AT10="Pass",AT11="Pass",AT12="Pass",AT13="Pass",AT14="Pass",AT15="Pass"),"Pass","Fail")</f>
        <v>#REF!</v>
      </c>
      <c r="AV7" s="3"/>
      <c r="AW7" s="3"/>
      <c r="AX7" s="3"/>
      <c r="AY7" s="3"/>
      <c r="AZ7" s="3"/>
      <c r="BA7" s="3"/>
      <c r="BB7" s="3"/>
      <c r="BC7" s="3"/>
      <c r="BD7" s="3"/>
      <c r="BE7" s="3"/>
      <c r="BF7" s="3"/>
      <c r="BG7" s="3"/>
      <c r="BH7" s="3"/>
      <c r="BI7" s="3"/>
      <c r="BJ7" s="3"/>
    </row>
    <row r="8" spans="1:62">
      <c r="A8" s="630" t="s">
        <v>122</v>
      </c>
      <c r="B8" s="646" t="s">
        <v>514</v>
      </c>
      <c r="C8" s="658">
        <v>406.77165354330714</v>
      </c>
      <c r="D8" s="18"/>
      <c r="E8" s="277">
        <v>29.7</v>
      </c>
      <c r="F8" s="277">
        <v>0</v>
      </c>
      <c r="G8" s="305">
        <v>1958.93</v>
      </c>
      <c r="H8" s="305">
        <v>81.59</v>
      </c>
      <c r="I8" s="277">
        <v>0</v>
      </c>
      <c r="J8" s="305">
        <v>61.64</v>
      </c>
      <c r="K8" s="277">
        <v>40</v>
      </c>
      <c r="L8" s="305">
        <v>113.2</v>
      </c>
      <c r="M8" s="305">
        <v>1019</v>
      </c>
      <c r="N8" s="305">
        <v>79</v>
      </c>
      <c r="O8" s="69"/>
      <c r="P8" s="489">
        <f t="shared" ref="P8:P15" si="5" xml:space="preserve"> E8+F8+G8+H8</f>
        <v>2070.2200000000003</v>
      </c>
      <c r="Q8" s="489">
        <f t="shared" si="0"/>
        <v>3301.47</v>
      </c>
      <c r="R8" s="597"/>
      <c r="S8" s="489" t="e">
        <f t="shared" ref="S8:S15" si="6">P8+IF($B$2="mil",1,0.0254)*C8</f>
        <v>#REF!</v>
      </c>
      <c r="T8" s="489" t="e">
        <f t="shared" si="1"/>
        <v>#REF!</v>
      </c>
      <c r="U8" s="597"/>
      <c r="V8" s="489" t="e">
        <f ca="1">MAX(V$5:V$6)+IF($B$2="mil",1,0.0254)*DDR2Specs!$B$3</f>
        <v>#NAME?</v>
      </c>
      <c r="W8" s="489" t="e">
        <f ca="1">MIN(V$5:V$6)+IF($B$2="mil",1,0.0254)*DDR2Specs!$C$3</f>
        <v>#NAME?</v>
      </c>
      <c r="X8" s="21"/>
      <c r="Y8" s="598" t="e">
        <f t="shared" ref="Y8:Y15" ca="1" si="7">IF($S8&lt;$V8,$V8-$S8,"Pass")</f>
        <v>#REF!</v>
      </c>
      <c r="Z8" s="495" t="e">
        <f ca="1">IF($S8&gt;$W8,$S8-$W8,"Pass")</f>
        <v>#REF!</v>
      </c>
      <c r="AA8" s="21"/>
      <c r="AB8" s="489" t="e">
        <f ca="1">MAX(AB$5:AB$6)+IF($B$2="mil",1,0.0254)*DDR2Specs!$E$3</f>
        <v>#NAME?</v>
      </c>
      <c r="AC8" s="489" t="e">
        <f ca="1">MIN(AB$5:AB$6)+IF($B$2="mil",1,0.0254)*DDR2Specs!$F$3</f>
        <v>#NAME?</v>
      </c>
      <c r="AD8" s="21"/>
      <c r="AE8" s="598" t="e">
        <f t="shared" ref="AE8:AE15" ca="1" si="8">IF($T8&lt;$AB8,$AB8-$T8,"Pass")</f>
        <v>#REF!</v>
      </c>
      <c r="AF8" s="495" t="e">
        <f t="shared" ca="1" si="2"/>
        <v>#REF!</v>
      </c>
      <c r="AG8" s="495" t="e">
        <f t="shared" ref="AG8:AG15" si="9">IF($E8&lt;=IF($B$2="mil",1,0.0254)*50,"Pass",IF($B$2="mil",1,0.0254)*50-$E8)</f>
        <v>#REF!</v>
      </c>
      <c r="AH8" s="495" t="e">
        <f t="shared" ref="AH8:AH15" si="10">IF($F8&lt;=IF($B$2="mil",1,0.0254)*500,"Pass",IF($B$2="mil",1,0.0254)*500-$F8)</f>
        <v>#REF!</v>
      </c>
      <c r="AI8" s="495" t="e">
        <f t="shared" ref="AI8:AI15" si="11">IF($H8&lt;=IF($B$2="mil",1,0.0254)*250,"Pass",IF($B$2="mil",1,0.0254)*250-$H8)</f>
        <v>#REF!</v>
      </c>
      <c r="AJ8" s="495" t="e">
        <f t="shared" ca="1" si="3"/>
        <v>#NAME?</v>
      </c>
      <c r="AK8" s="495" t="e">
        <f t="shared" ref="AK8:AK15" si="12">IF($J8&lt;=IF($B$2="mil",1,0.0254)*125,"Pass",IF($B$2="mil",1,0.0254)*125-$J8)</f>
        <v>#REF!</v>
      </c>
      <c r="AL8" s="495" t="e">
        <f t="shared" ref="AL8:AL14" si="13">IF($L8&lt;=IF($B$2="mil",1,0.0254)*125,"Pass",IF($B$2="mil",1,0.0254)*125-$L8)</f>
        <v>#REF!</v>
      </c>
      <c r="AM8" s="495" t="e">
        <f t="shared" ref="AM8:AM15" ca="1" si="14">CheckLength(IF($B$2="mil",1,0.0254)*1250, IF($B$2="mil",1,0.0254)*125-L8, IF($B$2="mil",1,0.0254)*150-N8, M8,L8,N8)</f>
        <v>#NAME?</v>
      </c>
      <c r="AN8" s="495" t="e">
        <f t="shared" ref="AN8:AN15" ca="1" si="15">CheckLength2(IF($B$2="mil",1,0.0254)*1400,M8,N8,0)</f>
        <v>#NAME?</v>
      </c>
      <c r="AO8" s="495" t="e">
        <f t="shared" si="4"/>
        <v>#REF!</v>
      </c>
      <c r="AP8" s="495" t="e">
        <f t="shared" ref="AP8:AP15" si="16">IF(AND($S8&gt;=IF($B$2="mil",1,0.0254)*500, $S8&lt;=IF($B$2="mil",1,0.0254)*4500),"Pass",IF($B$2="mil",1,0.0254)*4500-$S8)</f>
        <v>#REF!</v>
      </c>
      <c r="AQ8" s="495" t="e">
        <f t="shared" ref="AQ8:AQ15" si="17">IF(AND($Q8&gt;=IF($B$2="mil",1,0.0254)*500, $Q8&lt;=IF($B$2="mil",1,0.0254)*5500),"Pass",IF($B$2="mil",1,0.0254)*5500-$Q8)</f>
        <v>#REF!</v>
      </c>
      <c r="AR8" s="495" t="e">
        <f t="shared" ref="AR8:AR15" si="18">IF(AND($T8&gt;=IF($B$2="mil",1,0.0254)*500, $T8&lt;=IF($B$2="mil",1,0.0254)*6000),"Pass",IF($B$2="mil",1,0.0254)*6000-$T8)</f>
        <v>#REF!</v>
      </c>
      <c r="AS8" s="21"/>
      <c r="AT8" s="3" t="e">
        <f t="shared" ref="AT8:AT15" ca="1" si="19">IF(AND(AG8="Pass",AP8="Pass",AI8="Pass",AH8="Pass",AO8="Pass",Y8="Pass",Z8="Pass",AN8="Pass",AM8="Pass",AL8="Pass",AK8="Pass",AJ8="Pass",AE8="Pass",AF8="Pass",AQ8="Pass",AR8="Pass"),"Pass","Fail")</f>
        <v>#REF!</v>
      </c>
      <c r="AU8" s="3"/>
      <c r="AV8" s="3"/>
      <c r="AW8" s="3"/>
      <c r="AX8" s="3"/>
      <c r="AY8" s="3"/>
      <c r="AZ8" s="3"/>
      <c r="BA8" s="3"/>
      <c r="BB8" s="3"/>
      <c r="BC8" s="3"/>
      <c r="BD8" s="3"/>
      <c r="BE8" s="3"/>
      <c r="BF8" s="3"/>
      <c r="BG8" s="3"/>
      <c r="BH8" s="3"/>
      <c r="BI8" s="3"/>
      <c r="BJ8" s="3"/>
    </row>
    <row r="9" spans="1:62">
      <c r="A9" s="630" t="s">
        <v>123</v>
      </c>
      <c r="B9" s="646" t="s">
        <v>515</v>
      </c>
      <c r="C9" s="658">
        <v>432.40157480314963</v>
      </c>
      <c r="D9" s="18"/>
      <c r="E9" s="277">
        <v>29.7</v>
      </c>
      <c r="F9" s="277">
        <v>0</v>
      </c>
      <c r="G9" s="305">
        <v>2003.64</v>
      </c>
      <c r="H9" s="305">
        <v>20</v>
      </c>
      <c r="I9" s="277">
        <v>0</v>
      </c>
      <c r="J9" s="305">
        <v>103.2</v>
      </c>
      <c r="K9" s="277">
        <v>40</v>
      </c>
      <c r="L9" s="305">
        <v>94.07</v>
      </c>
      <c r="M9" s="305">
        <v>975</v>
      </c>
      <c r="N9" s="305">
        <v>28.01</v>
      </c>
      <c r="O9" s="69"/>
      <c r="P9" s="489">
        <f t="shared" si="5"/>
        <v>2053.34</v>
      </c>
      <c r="Q9" s="489">
        <f t="shared" si="0"/>
        <v>3273.6200000000003</v>
      </c>
      <c r="R9" s="597"/>
      <c r="S9" s="489" t="e">
        <f t="shared" si="6"/>
        <v>#REF!</v>
      </c>
      <c r="T9" s="489" t="e">
        <f t="shared" si="1"/>
        <v>#REF!</v>
      </c>
      <c r="U9" s="597"/>
      <c r="V9" s="489" t="e">
        <f ca="1">MAX(V$5:V$6)+IF($B$2="mil",1,0.0254)*DDR2Specs!$B$3</f>
        <v>#NAME?</v>
      </c>
      <c r="W9" s="489" t="e">
        <f ca="1">MIN(V$5:V$6)+IF($B$2="mil",1,0.0254)*DDR2Specs!$C$3</f>
        <v>#NAME?</v>
      </c>
      <c r="X9" s="21"/>
      <c r="Y9" s="598" t="e">
        <f t="shared" ca="1" si="7"/>
        <v>#REF!</v>
      </c>
      <c r="Z9" s="495" t="e">
        <f t="shared" ref="Z9:Z15" ca="1" si="20">IF($S9&gt;$W9,$S9-$W9,"Pass")</f>
        <v>#REF!</v>
      </c>
      <c r="AA9" s="21"/>
      <c r="AB9" s="489" t="e">
        <f ca="1">MAX(AB$5:AB$6)+IF($B$2="mil",1,0.0254)*DDR2Specs!$E$3</f>
        <v>#NAME?</v>
      </c>
      <c r="AC9" s="489" t="e">
        <f ca="1">MIN(AB$5:AB$6)+IF($B$2="mil",1,0.0254)*DDR2Specs!$F$3</f>
        <v>#NAME?</v>
      </c>
      <c r="AD9" s="21"/>
      <c r="AE9" s="598" t="e">
        <f t="shared" ca="1" si="8"/>
        <v>#REF!</v>
      </c>
      <c r="AF9" s="495" t="e">
        <f t="shared" ca="1" si="2"/>
        <v>#REF!</v>
      </c>
      <c r="AG9" s="495" t="e">
        <f t="shared" si="9"/>
        <v>#REF!</v>
      </c>
      <c r="AH9" s="495" t="e">
        <f t="shared" si="10"/>
        <v>#REF!</v>
      </c>
      <c r="AI9" s="495" t="e">
        <f t="shared" si="11"/>
        <v>#REF!</v>
      </c>
      <c r="AJ9" s="495" t="e">
        <f t="shared" ca="1" si="3"/>
        <v>#NAME?</v>
      </c>
      <c r="AK9" s="495" t="e">
        <f t="shared" si="12"/>
        <v>#REF!</v>
      </c>
      <c r="AL9" s="495" t="e">
        <f t="shared" si="13"/>
        <v>#REF!</v>
      </c>
      <c r="AM9" s="495" t="e">
        <f t="shared" ca="1" si="14"/>
        <v>#NAME?</v>
      </c>
      <c r="AN9" s="495" t="e">
        <f t="shared" ca="1" si="15"/>
        <v>#NAME?</v>
      </c>
      <c r="AO9" s="495" t="e">
        <f t="shared" si="4"/>
        <v>#REF!</v>
      </c>
      <c r="AP9" s="495" t="e">
        <f t="shared" si="16"/>
        <v>#REF!</v>
      </c>
      <c r="AQ9" s="495" t="e">
        <f t="shared" si="17"/>
        <v>#REF!</v>
      </c>
      <c r="AR9" s="495" t="e">
        <f t="shared" si="18"/>
        <v>#REF!</v>
      </c>
      <c r="AS9" s="21"/>
      <c r="AT9" s="3" t="e">
        <f t="shared" ca="1" si="19"/>
        <v>#REF!</v>
      </c>
      <c r="AU9" s="3"/>
      <c r="AV9" s="3"/>
      <c r="AW9" s="3"/>
      <c r="AX9" s="3"/>
      <c r="AY9" s="3"/>
      <c r="AZ9" s="3"/>
      <c r="BA9" s="3"/>
      <c r="BB9" s="3"/>
      <c r="BC9" s="3"/>
      <c r="BD9" s="3"/>
      <c r="BE9" s="3"/>
      <c r="BF9" s="3"/>
      <c r="BG9" s="3"/>
      <c r="BH9" s="3"/>
      <c r="BI9" s="3"/>
      <c r="BJ9" s="3"/>
    </row>
    <row r="10" spans="1:62">
      <c r="A10" s="630" t="s">
        <v>124</v>
      </c>
      <c r="B10" s="646" t="s">
        <v>511</v>
      </c>
      <c r="C10" s="658">
        <v>395.82677165354335</v>
      </c>
      <c r="D10" s="18"/>
      <c r="E10" s="277">
        <v>29.7</v>
      </c>
      <c r="F10" s="277">
        <v>0</v>
      </c>
      <c r="G10" s="305">
        <v>1961.55</v>
      </c>
      <c r="H10" s="305">
        <v>88</v>
      </c>
      <c r="I10" s="277">
        <v>0</v>
      </c>
      <c r="J10" s="305">
        <v>57.5</v>
      </c>
      <c r="K10" s="277">
        <v>40</v>
      </c>
      <c r="L10" s="305">
        <v>124.07</v>
      </c>
      <c r="M10" s="305">
        <v>1054.43</v>
      </c>
      <c r="N10" s="305">
        <v>34.5</v>
      </c>
      <c r="O10" s="69"/>
      <c r="P10" s="489">
        <f t="shared" si="5"/>
        <v>2079.25</v>
      </c>
      <c r="Q10" s="489">
        <f t="shared" si="0"/>
        <v>3301.75</v>
      </c>
      <c r="R10" s="597"/>
      <c r="S10" s="489" t="e">
        <f t="shared" si="6"/>
        <v>#REF!</v>
      </c>
      <c r="T10" s="489" t="e">
        <f t="shared" si="1"/>
        <v>#REF!</v>
      </c>
      <c r="U10" s="597"/>
      <c r="V10" s="489" t="e">
        <f ca="1">MAX(V$5:V$6)+IF($B$2="mil",1,0.0254)*DDR2Specs!$B$3</f>
        <v>#NAME?</v>
      </c>
      <c r="W10" s="489" t="e">
        <f ca="1">MIN(V$5:V$6)+IF($B$2="mil",1,0.0254)*DDR2Specs!$C$3</f>
        <v>#NAME?</v>
      </c>
      <c r="X10" s="21"/>
      <c r="Y10" s="598" t="e">
        <f t="shared" ca="1" si="7"/>
        <v>#REF!</v>
      </c>
      <c r="Z10" s="495" t="e">
        <f t="shared" ca="1" si="20"/>
        <v>#REF!</v>
      </c>
      <c r="AA10" s="21"/>
      <c r="AB10" s="489" t="e">
        <f ca="1">MAX(AB$5:AB$6)+IF($B$2="mil",1,0.0254)*DDR2Specs!$E$3</f>
        <v>#NAME?</v>
      </c>
      <c r="AC10" s="489" t="e">
        <f ca="1">MIN(AB$5:AB$6)+IF($B$2="mil",1,0.0254)*DDR2Specs!$F$3</f>
        <v>#NAME?</v>
      </c>
      <c r="AD10" s="21"/>
      <c r="AE10" s="598" t="e">
        <f t="shared" ca="1" si="8"/>
        <v>#REF!</v>
      </c>
      <c r="AF10" s="495" t="e">
        <f t="shared" ca="1" si="2"/>
        <v>#REF!</v>
      </c>
      <c r="AG10" s="495" t="e">
        <f t="shared" si="9"/>
        <v>#REF!</v>
      </c>
      <c r="AH10" s="495" t="e">
        <f t="shared" si="10"/>
        <v>#REF!</v>
      </c>
      <c r="AI10" s="495" t="e">
        <f t="shared" si="11"/>
        <v>#REF!</v>
      </c>
      <c r="AJ10" s="495" t="e">
        <f t="shared" ca="1" si="3"/>
        <v>#NAME?</v>
      </c>
      <c r="AK10" s="495" t="e">
        <f t="shared" si="12"/>
        <v>#REF!</v>
      </c>
      <c r="AL10" s="495" t="e">
        <f t="shared" si="13"/>
        <v>#REF!</v>
      </c>
      <c r="AM10" s="495" t="e">
        <f t="shared" ca="1" si="14"/>
        <v>#NAME?</v>
      </c>
      <c r="AN10" s="495" t="e">
        <f t="shared" ca="1" si="15"/>
        <v>#NAME?</v>
      </c>
      <c r="AO10" s="495" t="e">
        <f t="shared" si="4"/>
        <v>#REF!</v>
      </c>
      <c r="AP10" s="495" t="e">
        <f t="shared" si="16"/>
        <v>#REF!</v>
      </c>
      <c r="AQ10" s="495" t="e">
        <f t="shared" si="17"/>
        <v>#REF!</v>
      </c>
      <c r="AR10" s="495" t="e">
        <f t="shared" si="18"/>
        <v>#REF!</v>
      </c>
      <c r="AS10" s="21"/>
      <c r="AT10" s="3" t="e">
        <f t="shared" ca="1" si="19"/>
        <v>#REF!</v>
      </c>
      <c r="AU10" s="3"/>
      <c r="AV10" s="3"/>
      <c r="AW10" s="3"/>
      <c r="AX10" s="3"/>
      <c r="AY10" s="3"/>
      <c r="AZ10" s="3"/>
      <c r="BA10" s="3"/>
      <c r="BB10" s="3"/>
      <c r="BC10" s="3"/>
      <c r="BD10" s="3"/>
      <c r="BE10" s="3"/>
      <c r="BF10" s="3"/>
      <c r="BG10" s="3"/>
      <c r="BH10" s="3"/>
      <c r="BI10" s="3"/>
      <c r="BJ10" s="3"/>
    </row>
    <row r="11" spans="1:62">
      <c r="A11" s="630" t="s">
        <v>125</v>
      </c>
      <c r="B11" s="646" t="s">
        <v>512</v>
      </c>
      <c r="C11" s="658">
        <v>371.81102362204729</v>
      </c>
      <c r="D11" s="18"/>
      <c r="E11" s="277">
        <v>29.7</v>
      </c>
      <c r="F11" s="277">
        <v>0</v>
      </c>
      <c r="G11" s="305">
        <v>2058</v>
      </c>
      <c r="H11" s="305">
        <v>30</v>
      </c>
      <c r="I11" s="277">
        <v>0</v>
      </c>
      <c r="J11" s="305">
        <v>47.5</v>
      </c>
      <c r="K11" s="277">
        <v>40</v>
      </c>
      <c r="L11" s="305">
        <v>52.5</v>
      </c>
      <c r="M11" s="305">
        <v>1020</v>
      </c>
      <c r="N11" s="305">
        <v>76.09</v>
      </c>
      <c r="O11" s="69"/>
      <c r="P11" s="489">
        <f t="shared" si="5"/>
        <v>2117.6999999999998</v>
      </c>
      <c r="Q11" s="489">
        <f t="shared" si="0"/>
        <v>3323.79</v>
      </c>
      <c r="R11" s="597"/>
      <c r="S11" s="489" t="e">
        <f t="shared" si="6"/>
        <v>#REF!</v>
      </c>
      <c r="T11" s="489" t="e">
        <f t="shared" si="1"/>
        <v>#REF!</v>
      </c>
      <c r="U11" s="597"/>
      <c r="V11" s="489" t="e">
        <f ca="1">MAX(V$5:V$6)+IF($B$2="mil",1,0.0254)*DDR2Specs!$B$3</f>
        <v>#NAME?</v>
      </c>
      <c r="W11" s="489" t="e">
        <f ca="1">MIN(V$5:V$6)+IF($B$2="mil",1,0.0254)*DDR2Specs!$C$3</f>
        <v>#NAME?</v>
      </c>
      <c r="X11" s="21"/>
      <c r="Y11" s="598" t="e">
        <f t="shared" ca="1" si="7"/>
        <v>#REF!</v>
      </c>
      <c r="Z11" s="495" t="e">
        <f t="shared" ca="1" si="20"/>
        <v>#REF!</v>
      </c>
      <c r="AA11" s="21"/>
      <c r="AB11" s="489" t="e">
        <f ca="1">MAX(AB$5:AB$6)+IF($B$2="mil",1,0.0254)*DDR2Specs!$E$3</f>
        <v>#NAME?</v>
      </c>
      <c r="AC11" s="489" t="e">
        <f ca="1">MIN(AB$5:AB$6)+IF($B$2="mil",1,0.0254)*DDR2Specs!$F$3</f>
        <v>#NAME?</v>
      </c>
      <c r="AD11" s="21"/>
      <c r="AE11" s="598" t="e">
        <f t="shared" ca="1" si="8"/>
        <v>#REF!</v>
      </c>
      <c r="AF11" s="495" t="e">
        <f t="shared" ca="1" si="2"/>
        <v>#REF!</v>
      </c>
      <c r="AG11" s="495" t="e">
        <f t="shared" si="9"/>
        <v>#REF!</v>
      </c>
      <c r="AH11" s="495" t="e">
        <f t="shared" si="10"/>
        <v>#REF!</v>
      </c>
      <c r="AI11" s="495" t="e">
        <f t="shared" si="11"/>
        <v>#REF!</v>
      </c>
      <c r="AJ11" s="495" t="e">
        <f t="shared" ca="1" si="3"/>
        <v>#NAME?</v>
      </c>
      <c r="AK11" s="495" t="e">
        <f t="shared" si="12"/>
        <v>#REF!</v>
      </c>
      <c r="AL11" s="495" t="e">
        <f t="shared" si="13"/>
        <v>#REF!</v>
      </c>
      <c r="AM11" s="495" t="e">
        <f t="shared" ca="1" si="14"/>
        <v>#NAME?</v>
      </c>
      <c r="AN11" s="495" t="e">
        <f t="shared" ca="1" si="15"/>
        <v>#NAME?</v>
      </c>
      <c r="AO11" s="495" t="e">
        <f t="shared" si="4"/>
        <v>#REF!</v>
      </c>
      <c r="AP11" s="495" t="e">
        <f t="shared" si="16"/>
        <v>#REF!</v>
      </c>
      <c r="AQ11" s="495" t="e">
        <f t="shared" si="17"/>
        <v>#REF!</v>
      </c>
      <c r="AR11" s="495" t="e">
        <f t="shared" si="18"/>
        <v>#REF!</v>
      </c>
      <c r="AS11" s="21"/>
      <c r="AT11" s="3" t="e">
        <f t="shared" ca="1" si="19"/>
        <v>#REF!</v>
      </c>
      <c r="AU11" s="3"/>
      <c r="AV11" s="3"/>
      <c r="AW11" s="3"/>
      <c r="AX11" s="3"/>
      <c r="AY11" s="3"/>
      <c r="AZ11" s="3"/>
      <c r="BA11" s="3"/>
      <c r="BB11" s="3"/>
      <c r="BC11" s="3"/>
      <c r="BD11" s="3"/>
      <c r="BE11" s="3"/>
      <c r="BF11" s="3"/>
      <c r="BG11" s="3"/>
      <c r="BH11" s="3"/>
      <c r="BI11" s="3"/>
      <c r="BJ11" s="3"/>
    </row>
    <row r="12" spans="1:62">
      <c r="A12" s="630" t="s">
        <v>126</v>
      </c>
      <c r="B12" s="646" t="s">
        <v>510</v>
      </c>
      <c r="C12" s="658">
        <v>392.75590551181108</v>
      </c>
      <c r="D12" s="18"/>
      <c r="E12" s="277">
        <v>29.7</v>
      </c>
      <c r="F12" s="277">
        <v>0</v>
      </c>
      <c r="G12" s="305">
        <v>2059.94</v>
      </c>
      <c r="H12" s="305">
        <v>10</v>
      </c>
      <c r="I12" s="277">
        <v>0</v>
      </c>
      <c r="J12" s="305">
        <v>51.64</v>
      </c>
      <c r="K12" s="277">
        <v>40</v>
      </c>
      <c r="L12" s="305">
        <v>46.64</v>
      </c>
      <c r="M12" s="305">
        <v>1000</v>
      </c>
      <c r="N12" s="305">
        <v>86.37</v>
      </c>
      <c r="O12" s="69"/>
      <c r="P12" s="489">
        <f t="shared" si="5"/>
        <v>2099.64</v>
      </c>
      <c r="Q12" s="489">
        <f t="shared" si="0"/>
        <v>3314.2899999999995</v>
      </c>
      <c r="R12" s="597"/>
      <c r="S12" s="489" t="e">
        <f t="shared" si="6"/>
        <v>#REF!</v>
      </c>
      <c r="T12" s="489" t="e">
        <f t="shared" si="1"/>
        <v>#REF!</v>
      </c>
      <c r="U12" s="597"/>
      <c r="V12" s="489" t="e">
        <f ca="1">MAX(V$5:V$6)+IF($B$2="mil",1,0.0254)*DDR2Specs!$B$3</f>
        <v>#NAME?</v>
      </c>
      <c r="W12" s="489" t="e">
        <f ca="1">MIN(V$5:V$6)+IF($B$2="mil",1,0.0254)*DDR2Specs!$C$3</f>
        <v>#NAME?</v>
      </c>
      <c r="X12" s="21"/>
      <c r="Y12" s="598" t="e">
        <f t="shared" ca="1" si="7"/>
        <v>#REF!</v>
      </c>
      <c r="Z12" s="495" t="e">
        <f t="shared" ca="1" si="20"/>
        <v>#REF!</v>
      </c>
      <c r="AA12" s="21"/>
      <c r="AB12" s="489" t="e">
        <f ca="1">MAX(AB$5:AB$6)+IF($B$2="mil",1,0.0254)*DDR2Specs!$E$3</f>
        <v>#NAME?</v>
      </c>
      <c r="AC12" s="489" t="e">
        <f ca="1">MIN(AB$5:AB$6)+IF($B$2="mil",1,0.0254)*DDR2Specs!$F$3</f>
        <v>#NAME?</v>
      </c>
      <c r="AD12" s="21"/>
      <c r="AE12" s="598" t="e">
        <f t="shared" ca="1" si="8"/>
        <v>#REF!</v>
      </c>
      <c r="AF12" s="495" t="e">
        <f t="shared" ca="1" si="2"/>
        <v>#REF!</v>
      </c>
      <c r="AG12" s="495" t="e">
        <f t="shared" si="9"/>
        <v>#REF!</v>
      </c>
      <c r="AH12" s="495" t="e">
        <f t="shared" si="10"/>
        <v>#REF!</v>
      </c>
      <c r="AI12" s="495" t="e">
        <f t="shared" si="11"/>
        <v>#REF!</v>
      </c>
      <c r="AJ12" s="495" t="e">
        <f t="shared" ca="1" si="3"/>
        <v>#NAME?</v>
      </c>
      <c r="AK12" s="495" t="e">
        <f t="shared" si="12"/>
        <v>#REF!</v>
      </c>
      <c r="AL12" s="495" t="e">
        <f t="shared" si="13"/>
        <v>#REF!</v>
      </c>
      <c r="AM12" s="495" t="e">
        <f t="shared" ca="1" si="14"/>
        <v>#NAME?</v>
      </c>
      <c r="AN12" s="495" t="e">
        <f t="shared" ca="1" si="15"/>
        <v>#NAME?</v>
      </c>
      <c r="AO12" s="495" t="e">
        <f t="shared" si="4"/>
        <v>#REF!</v>
      </c>
      <c r="AP12" s="495" t="e">
        <f t="shared" si="16"/>
        <v>#REF!</v>
      </c>
      <c r="AQ12" s="495" t="e">
        <f t="shared" si="17"/>
        <v>#REF!</v>
      </c>
      <c r="AR12" s="495" t="e">
        <f t="shared" si="18"/>
        <v>#REF!</v>
      </c>
      <c r="AS12" s="21"/>
      <c r="AT12" s="3" t="e">
        <f t="shared" ca="1" si="19"/>
        <v>#REF!</v>
      </c>
      <c r="AU12" s="3"/>
      <c r="AV12" s="3"/>
      <c r="AW12" s="3"/>
      <c r="AX12" s="3"/>
      <c r="AY12" s="3"/>
      <c r="AZ12" s="3"/>
      <c r="BA12" s="3"/>
      <c r="BB12" s="3"/>
      <c r="BC12" s="3"/>
      <c r="BD12" s="3"/>
      <c r="BE12" s="3"/>
      <c r="BF12" s="3"/>
      <c r="BG12" s="3"/>
      <c r="BH12" s="3"/>
      <c r="BI12" s="3"/>
      <c r="BJ12" s="3"/>
    </row>
    <row r="13" spans="1:62">
      <c r="A13" s="630" t="s">
        <v>127</v>
      </c>
      <c r="B13" s="646" t="s">
        <v>343</v>
      </c>
      <c r="C13" s="658">
        <v>348.07086614173227</v>
      </c>
      <c r="D13" s="18"/>
      <c r="E13" s="277">
        <v>29.7</v>
      </c>
      <c r="F13" s="277">
        <v>0</v>
      </c>
      <c r="G13" s="305">
        <v>1932.94</v>
      </c>
      <c r="H13" s="305">
        <v>165</v>
      </c>
      <c r="I13" s="277">
        <v>0</v>
      </c>
      <c r="J13" s="305">
        <v>84.78</v>
      </c>
      <c r="K13" s="277">
        <v>40</v>
      </c>
      <c r="L13" s="305">
        <v>102</v>
      </c>
      <c r="M13" s="305">
        <v>1080</v>
      </c>
      <c r="N13" s="305">
        <v>76.09</v>
      </c>
      <c r="O13" s="69"/>
      <c r="P13" s="489">
        <f t="shared" si="5"/>
        <v>2127.6400000000003</v>
      </c>
      <c r="Q13" s="489">
        <f t="shared" si="0"/>
        <v>3345.51</v>
      </c>
      <c r="R13" s="597"/>
      <c r="S13" s="489" t="e">
        <f t="shared" si="6"/>
        <v>#REF!</v>
      </c>
      <c r="T13" s="489" t="e">
        <f t="shared" si="1"/>
        <v>#REF!</v>
      </c>
      <c r="U13" s="597"/>
      <c r="V13" s="489" t="e">
        <f ca="1">MAX(V$5:V$6)+IF($B$2="mil",1,0.0254)*DDR2Specs!$B$3</f>
        <v>#NAME?</v>
      </c>
      <c r="W13" s="489" t="e">
        <f ca="1">MIN(V$5:V$6)+IF($B$2="mil",1,0.0254)*DDR2Specs!$C$3</f>
        <v>#NAME?</v>
      </c>
      <c r="X13" s="21"/>
      <c r="Y13" s="598" t="e">
        <f t="shared" ca="1" si="7"/>
        <v>#REF!</v>
      </c>
      <c r="Z13" s="495" t="e">
        <f t="shared" ca="1" si="20"/>
        <v>#REF!</v>
      </c>
      <c r="AA13" s="21"/>
      <c r="AB13" s="489" t="e">
        <f ca="1">MAX(AB$5:AB$6)+IF($B$2="mil",1,0.0254)*DDR2Specs!$E$3</f>
        <v>#NAME?</v>
      </c>
      <c r="AC13" s="489" t="e">
        <f ca="1">MIN(AB$5:AB$6)+IF($B$2="mil",1,0.0254)*DDR2Specs!$F$3</f>
        <v>#NAME?</v>
      </c>
      <c r="AD13" s="21"/>
      <c r="AE13" s="598" t="e">
        <f t="shared" ca="1" si="8"/>
        <v>#REF!</v>
      </c>
      <c r="AF13" s="495" t="e">
        <f t="shared" ca="1" si="2"/>
        <v>#REF!</v>
      </c>
      <c r="AG13" s="495" t="e">
        <f t="shared" si="9"/>
        <v>#REF!</v>
      </c>
      <c r="AH13" s="495" t="e">
        <f t="shared" si="10"/>
        <v>#REF!</v>
      </c>
      <c r="AI13" s="495" t="e">
        <f t="shared" si="11"/>
        <v>#REF!</v>
      </c>
      <c r="AJ13" s="495" t="e">
        <f t="shared" ca="1" si="3"/>
        <v>#NAME?</v>
      </c>
      <c r="AK13" s="495" t="e">
        <f t="shared" si="12"/>
        <v>#REF!</v>
      </c>
      <c r="AL13" s="495" t="e">
        <f t="shared" si="13"/>
        <v>#REF!</v>
      </c>
      <c r="AM13" s="495" t="e">
        <f t="shared" ca="1" si="14"/>
        <v>#NAME?</v>
      </c>
      <c r="AN13" s="495" t="e">
        <f t="shared" ca="1" si="15"/>
        <v>#NAME?</v>
      </c>
      <c r="AO13" s="495" t="e">
        <f t="shared" si="4"/>
        <v>#REF!</v>
      </c>
      <c r="AP13" s="495" t="e">
        <f t="shared" si="16"/>
        <v>#REF!</v>
      </c>
      <c r="AQ13" s="495" t="e">
        <f t="shared" si="17"/>
        <v>#REF!</v>
      </c>
      <c r="AR13" s="495" t="e">
        <f t="shared" si="18"/>
        <v>#REF!</v>
      </c>
      <c r="AS13" s="21"/>
      <c r="AT13" s="3" t="e">
        <f t="shared" ca="1" si="19"/>
        <v>#REF!</v>
      </c>
      <c r="AU13" s="3"/>
      <c r="AV13" s="3"/>
      <c r="AW13" s="3"/>
      <c r="AX13" s="3"/>
      <c r="AY13" s="3"/>
      <c r="AZ13" s="3"/>
      <c r="BA13" s="3"/>
      <c r="BB13" s="3"/>
      <c r="BC13" s="3"/>
      <c r="BD13" s="3"/>
      <c r="BE13" s="3"/>
      <c r="BF13" s="3"/>
      <c r="BG13" s="3"/>
      <c r="BH13" s="3"/>
      <c r="BI13" s="3"/>
      <c r="BJ13" s="3"/>
    </row>
    <row r="14" spans="1:62">
      <c r="A14" s="630" t="s">
        <v>128</v>
      </c>
      <c r="B14" s="646" t="s">
        <v>509</v>
      </c>
      <c r="C14" s="658">
        <v>531.10236220472439</v>
      </c>
      <c r="D14" s="18"/>
      <c r="E14" s="277">
        <v>29.7</v>
      </c>
      <c r="F14" s="277">
        <v>0</v>
      </c>
      <c r="G14" s="305">
        <v>1890</v>
      </c>
      <c r="H14" s="305">
        <v>40</v>
      </c>
      <c r="I14" s="277">
        <v>0</v>
      </c>
      <c r="J14" s="305">
        <v>49.81</v>
      </c>
      <c r="K14" s="277">
        <v>40</v>
      </c>
      <c r="L14" s="305">
        <v>52.5</v>
      </c>
      <c r="M14" s="305">
        <v>900</v>
      </c>
      <c r="N14" s="305">
        <v>200</v>
      </c>
      <c r="O14" s="69"/>
      <c r="P14" s="489">
        <f t="shared" si="5"/>
        <v>1959.7</v>
      </c>
      <c r="Q14" s="489">
        <f t="shared" si="0"/>
        <v>3162.01</v>
      </c>
      <c r="R14" s="597"/>
      <c r="S14" s="489" t="e">
        <f t="shared" si="6"/>
        <v>#REF!</v>
      </c>
      <c r="T14" s="489" t="e">
        <f t="shared" si="1"/>
        <v>#REF!</v>
      </c>
      <c r="U14" s="597"/>
      <c r="V14" s="489" t="e">
        <f ca="1">MAX(V$5:V$6)+IF($B$2="mil",1,0.0254)*DDR2Specs!$B$3</f>
        <v>#NAME?</v>
      </c>
      <c r="W14" s="489" t="e">
        <f ca="1">MIN(V$5:V$6)+IF($B$2="mil",1,0.0254)*DDR2Specs!$C$3</f>
        <v>#NAME?</v>
      </c>
      <c r="X14" s="21"/>
      <c r="Y14" s="598" t="e">
        <f t="shared" ca="1" si="7"/>
        <v>#REF!</v>
      </c>
      <c r="Z14" s="495" t="e">
        <f t="shared" ca="1" si="20"/>
        <v>#REF!</v>
      </c>
      <c r="AA14" s="21"/>
      <c r="AB14" s="489" t="e">
        <f ca="1">MAX(AB$5:AB$6)+IF($B$2="mil",1,0.0254)*DDR2Specs!$E$3</f>
        <v>#NAME?</v>
      </c>
      <c r="AC14" s="489" t="e">
        <f ca="1">MIN(AB$5:AB$6)+IF($B$2="mil",1,0.0254)*DDR2Specs!$F$3</f>
        <v>#NAME?</v>
      </c>
      <c r="AD14" s="21"/>
      <c r="AE14" s="598" t="e">
        <f t="shared" ca="1" si="8"/>
        <v>#REF!</v>
      </c>
      <c r="AF14" s="495" t="e">
        <f t="shared" ca="1" si="2"/>
        <v>#REF!</v>
      </c>
      <c r="AG14" s="495" t="e">
        <f t="shared" si="9"/>
        <v>#REF!</v>
      </c>
      <c r="AH14" s="495" t="e">
        <f t="shared" si="10"/>
        <v>#REF!</v>
      </c>
      <c r="AI14" s="495" t="e">
        <f t="shared" si="11"/>
        <v>#REF!</v>
      </c>
      <c r="AJ14" s="495" t="e">
        <f t="shared" ca="1" si="3"/>
        <v>#NAME?</v>
      </c>
      <c r="AK14" s="495" t="e">
        <f t="shared" si="12"/>
        <v>#REF!</v>
      </c>
      <c r="AL14" s="495" t="e">
        <f t="shared" si="13"/>
        <v>#REF!</v>
      </c>
      <c r="AM14" s="495" t="e">
        <f t="shared" ca="1" si="14"/>
        <v>#NAME?</v>
      </c>
      <c r="AN14" s="495" t="e">
        <f t="shared" ca="1" si="15"/>
        <v>#NAME?</v>
      </c>
      <c r="AO14" s="495" t="e">
        <f t="shared" si="4"/>
        <v>#REF!</v>
      </c>
      <c r="AP14" s="495" t="e">
        <f t="shared" si="16"/>
        <v>#REF!</v>
      </c>
      <c r="AQ14" s="495" t="e">
        <f t="shared" si="17"/>
        <v>#REF!</v>
      </c>
      <c r="AR14" s="495" t="e">
        <f t="shared" si="18"/>
        <v>#REF!</v>
      </c>
      <c r="AS14" s="21"/>
      <c r="AT14" s="3" t="e">
        <f t="shared" ca="1" si="19"/>
        <v>#REF!</v>
      </c>
      <c r="AU14" s="3"/>
      <c r="AV14" s="3"/>
      <c r="AW14" s="3"/>
      <c r="AX14" s="3"/>
      <c r="AY14" s="3"/>
      <c r="AZ14" s="3"/>
      <c r="BA14" s="3"/>
      <c r="BB14" s="3"/>
      <c r="BC14" s="3"/>
      <c r="BD14" s="3"/>
      <c r="BE14" s="3"/>
      <c r="BF14" s="3"/>
      <c r="BG14" s="3"/>
      <c r="BH14" s="3"/>
      <c r="BI14" s="3"/>
      <c r="BJ14" s="3"/>
    </row>
    <row r="15" spans="1:62">
      <c r="A15" s="661" t="s">
        <v>129</v>
      </c>
      <c r="B15" s="662" t="s">
        <v>516</v>
      </c>
      <c r="C15" s="658">
        <v>364.88188976377955</v>
      </c>
      <c r="D15" s="18"/>
      <c r="E15" s="277">
        <v>29.7</v>
      </c>
      <c r="F15" s="277">
        <v>0</v>
      </c>
      <c r="G15" s="305">
        <v>2002.32</v>
      </c>
      <c r="H15" s="305">
        <v>78</v>
      </c>
      <c r="I15" s="277">
        <v>0</v>
      </c>
      <c r="J15" s="305">
        <v>55.78</v>
      </c>
      <c r="K15" s="277">
        <v>40</v>
      </c>
      <c r="L15" s="305">
        <v>54.57</v>
      </c>
      <c r="M15" s="305">
        <v>1118.69</v>
      </c>
      <c r="N15" s="305">
        <v>31.49</v>
      </c>
      <c r="O15" s="69"/>
      <c r="P15" s="489">
        <f t="shared" si="5"/>
        <v>2110.02</v>
      </c>
      <c r="Q15" s="489">
        <f>SUM(E15:G15,I15:N15)</f>
        <v>3332.55</v>
      </c>
      <c r="R15" s="597"/>
      <c r="S15" s="489" t="e">
        <f t="shared" si="6"/>
        <v>#REF!</v>
      </c>
      <c r="T15" s="489" t="e">
        <f t="shared" si="1"/>
        <v>#REF!</v>
      </c>
      <c r="U15" s="597"/>
      <c r="V15" s="489" t="e">
        <f ca="1">MAX(V$5:V$6)+IF($B$2="mil",1,0.0254)*DDR2Specs!$B$3</f>
        <v>#NAME?</v>
      </c>
      <c r="W15" s="489" t="e">
        <f ca="1">MIN(V$5:V$6)+IF($B$2="mil",1,0.0254)*DDR2Specs!$C$3</f>
        <v>#NAME?</v>
      </c>
      <c r="X15" s="21"/>
      <c r="Y15" s="598" t="e">
        <f t="shared" ca="1" si="7"/>
        <v>#REF!</v>
      </c>
      <c r="Z15" s="495" t="e">
        <f t="shared" ca="1" si="20"/>
        <v>#REF!</v>
      </c>
      <c r="AA15" s="21"/>
      <c r="AB15" s="489" t="e">
        <f ca="1">MAX(AB$5:AB$6)+IF($B$2="mil",1,0.0254)*DDR2Specs!$E$3</f>
        <v>#NAME?</v>
      </c>
      <c r="AC15" s="489" t="e">
        <f ca="1">MIN(AB$5:AB$6)+IF($B$2="mil",1,0.0254)*DDR2Specs!$F$3</f>
        <v>#NAME?</v>
      </c>
      <c r="AD15" s="21"/>
      <c r="AE15" s="598" t="e">
        <f t="shared" ca="1" si="8"/>
        <v>#REF!</v>
      </c>
      <c r="AF15" s="495" t="e">
        <f t="shared" ca="1" si="2"/>
        <v>#REF!</v>
      </c>
      <c r="AG15" s="495" t="e">
        <f t="shared" si="9"/>
        <v>#REF!</v>
      </c>
      <c r="AH15" s="495" t="e">
        <f t="shared" si="10"/>
        <v>#REF!</v>
      </c>
      <c r="AI15" s="495" t="e">
        <f t="shared" si="11"/>
        <v>#REF!</v>
      </c>
      <c r="AJ15" s="495" t="e">
        <f t="shared" ca="1" si="3"/>
        <v>#NAME?</v>
      </c>
      <c r="AK15" s="495" t="e">
        <f t="shared" si="12"/>
        <v>#REF!</v>
      </c>
      <c r="AL15" s="495" t="e">
        <f>IF($L15&lt;=IF($B$2="mil",1,0.0254)*125,"Pass",IF($B$2="mil",1,0.0254)*125-$L15)</f>
        <v>#REF!</v>
      </c>
      <c r="AM15" s="495" t="e">
        <f t="shared" ca="1" si="14"/>
        <v>#NAME?</v>
      </c>
      <c r="AN15" s="495" t="e">
        <f t="shared" ca="1" si="15"/>
        <v>#NAME?</v>
      </c>
      <c r="AO15" s="495" t="e">
        <f t="shared" si="4"/>
        <v>#REF!</v>
      </c>
      <c r="AP15" s="495" t="e">
        <f t="shared" si="16"/>
        <v>#REF!</v>
      </c>
      <c r="AQ15" s="495" t="e">
        <f t="shared" si="17"/>
        <v>#REF!</v>
      </c>
      <c r="AR15" s="495" t="e">
        <f t="shared" si="18"/>
        <v>#REF!</v>
      </c>
      <c r="AS15" s="21"/>
      <c r="AT15" s="3" t="e">
        <f t="shared" ca="1" si="19"/>
        <v>#REF!</v>
      </c>
      <c r="AU15" s="3"/>
      <c r="AV15" s="3"/>
      <c r="AW15" s="3"/>
      <c r="AX15" s="3"/>
      <c r="AY15" s="3"/>
      <c r="AZ15" s="3"/>
      <c r="BA15" s="3"/>
      <c r="BB15" s="3"/>
      <c r="BC15" s="3"/>
      <c r="BD15" s="3"/>
      <c r="BE15" s="3"/>
      <c r="BF15" s="3"/>
      <c r="BG15" s="3"/>
      <c r="BH15" s="3"/>
      <c r="BI15" s="3"/>
      <c r="BJ15" s="3"/>
    </row>
    <row r="16" spans="1:62">
      <c r="A16" s="8" t="s">
        <v>198</v>
      </c>
      <c r="B16" s="663"/>
      <c r="C16" s="659"/>
      <c r="D16" s="62"/>
      <c r="E16" s="82" t="s">
        <v>21</v>
      </c>
      <c r="F16" s="82"/>
      <c r="G16" s="295"/>
      <c r="H16" s="295"/>
      <c r="I16" s="295"/>
      <c r="J16" s="295"/>
      <c r="K16" s="295"/>
      <c r="L16" s="295"/>
      <c r="M16" s="295"/>
      <c r="N16" s="295"/>
      <c r="O16" s="10"/>
      <c r="P16" s="82"/>
      <c r="Q16" s="82"/>
      <c r="R16" s="82"/>
      <c r="S16" s="605"/>
      <c r="T16" s="605"/>
      <c r="U16" s="605"/>
      <c r="V16" s="605"/>
      <c r="W16" s="606"/>
      <c r="X16" s="606"/>
      <c r="Y16" s="607"/>
      <c r="Z16" s="17"/>
      <c r="AA16" s="606"/>
      <c r="AB16" s="605"/>
      <c r="AC16" s="606"/>
      <c r="AD16" s="606"/>
      <c r="AE16" s="607"/>
      <c r="AF16" s="17"/>
      <c r="AG16" s="17"/>
      <c r="AH16" s="17"/>
      <c r="AI16" s="16"/>
      <c r="AJ16" s="16"/>
      <c r="AK16" s="16"/>
      <c r="AL16" s="16"/>
      <c r="AM16" s="16"/>
      <c r="AN16" s="16"/>
      <c r="AO16" s="16"/>
      <c r="AP16" s="16"/>
      <c r="AQ16" s="16"/>
      <c r="AR16" s="16"/>
      <c r="AS16" s="83"/>
      <c r="AT16" s="3"/>
      <c r="AU16" s="3"/>
      <c r="AV16" s="3"/>
      <c r="AW16" s="3"/>
      <c r="AX16" s="3"/>
      <c r="AY16" s="3"/>
      <c r="AZ16" s="3"/>
      <c r="BA16" s="3"/>
      <c r="BB16" s="3"/>
      <c r="BC16" s="3"/>
      <c r="BD16" s="3"/>
      <c r="BE16" s="3"/>
      <c r="BF16" s="3"/>
      <c r="BG16" s="3"/>
      <c r="BH16" s="3"/>
      <c r="BI16" s="3"/>
      <c r="BJ16" s="3"/>
    </row>
    <row r="17" spans="1:62">
      <c r="A17" s="52" t="str">
        <f>'DDR2 Strobes - 1x16'!$A$9</f>
        <v>SA_DQS1</v>
      </c>
      <c r="B17" s="608" t="str">
        <f>'DDR2 Strobes - 1x16'!$B$9</f>
        <v>Y24</v>
      </c>
      <c r="C17" s="660"/>
      <c r="D17" s="53"/>
      <c r="E17" s="81"/>
      <c r="F17" s="81"/>
      <c r="G17" s="296"/>
      <c r="H17" s="296"/>
      <c r="I17" s="296"/>
      <c r="J17" s="296"/>
      <c r="K17" s="296"/>
      <c r="L17" s="296"/>
      <c r="M17" s="296"/>
      <c r="N17" s="296"/>
      <c r="O17" s="81"/>
      <c r="P17" s="81"/>
      <c r="Q17" s="81"/>
      <c r="R17" s="81"/>
      <c r="S17" s="58"/>
      <c r="T17" s="58"/>
      <c r="U17" s="58"/>
      <c r="V17" s="58" t="e">
        <f ca="1">GetSODIMMStrbLen($A17)</f>
        <v>#NAME?</v>
      </c>
      <c r="W17" s="58"/>
      <c r="X17" s="58"/>
      <c r="Y17" s="58"/>
      <c r="Z17" s="608"/>
      <c r="AA17" s="617" t="e">
        <f>"Strobe Pair to " &amp;#REF!</f>
        <v>#REF!</v>
      </c>
      <c r="AB17" s="58" t="e">
        <f ca="1">GetStrbLen(#REF!, "P")</f>
        <v>#NAME?</v>
      </c>
      <c r="AC17" s="58"/>
      <c r="AD17" s="58"/>
      <c r="AE17" s="58"/>
      <c r="AF17" s="608"/>
      <c r="AG17" s="608"/>
      <c r="AH17" s="608"/>
      <c r="AI17" s="608"/>
      <c r="AJ17" s="608"/>
      <c r="AK17" s="608"/>
      <c r="AL17" s="608"/>
      <c r="AM17" s="608"/>
      <c r="AN17" s="608"/>
      <c r="AO17" s="608"/>
      <c r="AP17" s="608"/>
      <c r="AQ17" s="608"/>
      <c r="AR17" s="608"/>
      <c r="AS17" s="58"/>
      <c r="AT17" s="3"/>
      <c r="AU17" s="3"/>
      <c r="AV17" s="3"/>
      <c r="AW17" s="3"/>
      <c r="AX17" s="3"/>
      <c r="AY17" s="3"/>
      <c r="AZ17" s="3"/>
      <c r="BA17" s="3"/>
      <c r="BB17" s="3"/>
      <c r="BC17" s="3"/>
      <c r="BD17" s="3"/>
      <c r="BE17" s="3"/>
      <c r="BF17" s="3"/>
      <c r="BG17" s="3"/>
      <c r="BH17" s="3"/>
      <c r="BI17" s="3"/>
      <c r="BJ17" s="3"/>
    </row>
    <row r="18" spans="1:62">
      <c r="A18" s="52" t="str">
        <f>'DDR2 Strobes - 1x16'!$A$10</f>
        <v>SA_DQS1#</v>
      </c>
      <c r="B18" s="608" t="str">
        <f>'DDR2 Strobes - 1x16'!$B$10</f>
        <v>AA24</v>
      </c>
      <c r="C18" s="660"/>
      <c r="D18" s="53"/>
      <c r="E18" s="81"/>
      <c r="F18" s="81"/>
      <c r="G18" s="296"/>
      <c r="H18" s="296"/>
      <c r="I18" s="296"/>
      <c r="J18" s="296"/>
      <c r="K18" s="296"/>
      <c r="L18" s="296"/>
      <c r="M18" s="296"/>
      <c r="N18" s="296"/>
      <c r="O18" s="81"/>
      <c r="P18" s="81"/>
      <c r="Q18" s="602"/>
      <c r="R18" s="602"/>
      <c r="S18" s="603"/>
      <c r="T18" s="603"/>
      <c r="U18" s="58"/>
      <c r="V18" s="58" t="e">
        <f ca="1">GetSODIMMStrbLen($A18)</f>
        <v>#NAME?</v>
      </c>
      <c r="W18" s="58"/>
      <c r="X18" s="58"/>
      <c r="Y18" s="58"/>
      <c r="Z18" s="608"/>
      <c r="AA18" s="618" t="e">
        <f>"Strobe Pair to " &amp;#REF!</f>
        <v>#REF!</v>
      </c>
      <c r="AB18" s="58" t="e">
        <f ca="1">GetStrbLen(#REF!, "N")</f>
        <v>#NAME?</v>
      </c>
      <c r="AC18" s="58"/>
      <c r="AD18" s="58"/>
      <c r="AE18" s="58"/>
      <c r="AF18" s="608"/>
      <c r="AG18" s="608"/>
      <c r="AH18" s="608"/>
      <c r="AI18" s="609"/>
      <c r="AJ18" s="609"/>
      <c r="AK18" s="609"/>
      <c r="AL18" s="609"/>
      <c r="AM18" s="609"/>
      <c r="AN18" s="609"/>
      <c r="AO18" s="609"/>
      <c r="AP18" s="609"/>
      <c r="AQ18" s="609"/>
      <c r="AR18" s="609"/>
      <c r="AS18" s="58"/>
      <c r="AT18" s="3"/>
      <c r="AU18" s="3"/>
      <c r="AV18" s="3"/>
      <c r="AW18" s="3"/>
      <c r="AX18" s="3"/>
      <c r="AY18" s="3"/>
      <c r="AZ18" s="3"/>
      <c r="BA18" s="3"/>
      <c r="BB18" s="3"/>
      <c r="BC18" s="3"/>
      <c r="BD18" s="3"/>
      <c r="BE18" s="3"/>
      <c r="BF18" s="3"/>
      <c r="BG18" s="3"/>
      <c r="BH18" s="3"/>
      <c r="BI18" s="3"/>
      <c r="BJ18" s="3"/>
    </row>
    <row r="19" spans="1:62">
      <c r="A19" s="630" t="s">
        <v>130</v>
      </c>
      <c r="B19" s="646" t="s">
        <v>507</v>
      </c>
      <c r="C19" s="658">
        <v>612.67716535433067</v>
      </c>
      <c r="D19" s="18"/>
      <c r="E19" s="277">
        <v>29.7</v>
      </c>
      <c r="F19" s="277">
        <v>0</v>
      </c>
      <c r="G19" s="438">
        <v>1864.06</v>
      </c>
      <c r="H19" s="305">
        <v>77.03</v>
      </c>
      <c r="I19" s="277">
        <v>0</v>
      </c>
      <c r="J19" s="305">
        <v>61.64</v>
      </c>
      <c r="K19" s="277">
        <v>40</v>
      </c>
      <c r="L19" s="305">
        <v>89.93</v>
      </c>
      <c r="M19" s="305">
        <v>1041.01</v>
      </c>
      <c r="N19" s="305">
        <v>79</v>
      </c>
      <c r="O19" s="69"/>
      <c r="P19" s="489">
        <f xml:space="preserve"> E19+F19+G19+H19</f>
        <v>1970.79</v>
      </c>
      <c r="Q19" s="489">
        <f t="shared" ref="Q19:Q26" si="21">SUM(E19:G19,I19:N19)</f>
        <v>3205.34</v>
      </c>
      <c r="R19" s="597"/>
      <c r="S19" s="489" t="e">
        <f>P19+IF($B$2="mil",1,0.0254)*C19</f>
        <v>#REF!</v>
      </c>
      <c r="T19" s="489" t="e">
        <f t="shared" ref="T19:T27" si="22">Q19+IF($B$2="mil",1,0.0254)*$C19</f>
        <v>#REF!</v>
      </c>
      <c r="U19" s="597"/>
      <c r="V19" s="489" t="e">
        <f ca="1">MAX(V$17:V$18)+IF($B$2="mil",1,0.0254)*DDR2Specs!$B$3</f>
        <v>#NAME?</v>
      </c>
      <c r="W19" s="489" t="e">
        <f ca="1">MIN(V$17:V$18)+IF($B$2="mil",1,0.0254)*DDR2Specs!$C$3</f>
        <v>#NAME?</v>
      </c>
      <c r="X19" s="21"/>
      <c r="Y19" s="598" t="e">
        <f ca="1">IF($S19&lt;$V19,$V19-$S19,"Pass")</f>
        <v>#REF!</v>
      </c>
      <c r="Z19" s="495" t="e">
        <f ca="1">IF($S19&gt;$W19,$S19-$W19,"Pass")</f>
        <v>#REF!</v>
      </c>
      <c r="AA19" s="21"/>
      <c r="AB19" s="489" t="e">
        <f ca="1">MAX(AB$17:AB$18)+IF($B$2="mil",1,0.0254)*DDR2Specs!$E$3</f>
        <v>#NAME?</v>
      </c>
      <c r="AC19" s="489" t="e">
        <f ca="1">MIN(AB$17:AB$18)+IF($B$2="mil",1,0.0254)*DDR2Specs!$F$3</f>
        <v>#NAME?</v>
      </c>
      <c r="AD19" s="21"/>
      <c r="AE19" s="598" t="e">
        <f t="shared" ref="AE19:AE27" ca="1" si="23">IF($T19&lt;$AB19,$AB19-$T19,"Pass")</f>
        <v>#REF!</v>
      </c>
      <c r="AF19" s="495" t="e">
        <f t="shared" ref="AF19:AF27" ca="1" si="24">IF($T19&gt;$AC19,$T19-$AC19,"Pass")</f>
        <v>#REF!</v>
      </c>
      <c r="AG19" s="495" t="e">
        <f t="shared" ref="AG19:AG27" si="25">IF($E19&lt;=IF($B$2="mil",1,0.0254)*50,"Pass",IF($B$2="mil",1,0.0254)*50-$E19)</f>
        <v>#REF!</v>
      </c>
      <c r="AH19" s="495" t="e">
        <f t="shared" ref="AH19:AH27" si="26">IF($F19&lt;=IF($B$2="mil",1,0.0254)*500,"Pass",IF($B$2="mil",1,0.0254)*500-$F19)</f>
        <v>#REF!</v>
      </c>
      <c r="AI19" s="495" t="e">
        <f>IF($H19&lt;=IF($B$2="mil",1,0.0254)*250,"Pass",IF($B$2="mil",1,0.0254)*250-$H19)</f>
        <v>#REF!</v>
      </c>
      <c r="AJ19" s="495" t="e">
        <f t="shared" ref="AJ19:AJ27" ca="1" si="27">CheckLength(IF($B$2="mil",1,0.0254)*1000, IF($B$2="mil",1,0.0254)*125-J19, 0, I19,J19,0)</f>
        <v>#NAME?</v>
      </c>
      <c r="AK19" s="495" t="e">
        <f>IF($J19&lt;=IF($B$2="mil",1,0.0254)*125,"Pass",IF($B$2="mil",1,0.0254)*125-$J19)</f>
        <v>#REF!</v>
      </c>
      <c r="AL19" s="495" t="e">
        <f>IF($L19&lt;=IF($B$2="mil",1,0.0254)*125,"Pass",IF($B$2="mil",1,0.0254)*125-$L19)</f>
        <v>#REF!</v>
      </c>
      <c r="AM19" s="495" t="e">
        <f ca="1">CheckLength(IF($B$2="mil",1,0.0254)*1250, IF($B$2="mil",1,0.0254)*125-L19, IF($B$2="mil",1,0.0254)*150-N19, M19,L19,N19)</f>
        <v>#NAME?</v>
      </c>
      <c r="AN19" s="495" t="e">
        <f t="shared" ref="AN19:AN27" ca="1" si="28">CheckLength2(IF($B$2="mil",1,0.0254)*1400,M19,N19,0)</f>
        <v>#NAME?</v>
      </c>
      <c r="AO19" s="495" t="e">
        <f t="shared" ref="AO19:AO27" si="29">IF(AND($P19&gt;=IF($B$2="mil",1,0.0254)*500, $P19&lt;=IF($B$2="mil",1,0.0254)*4000),"Pass",IF($B$2="mil",1,0.0254)*4000-$P19)</f>
        <v>#REF!</v>
      </c>
      <c r="AP19" s="495" t="e">
        <f t="shared" ref="AP19:AP27" si="30">IF(AND($S19&gt;=IF($B$2="mil",1,0.0254)*500, $S19&lt;=IF($B$2="mil",1,0.0254)*4500),"Pass",IF($B$2="mil",1,0.0254)*4500-$S19)</f>
        <v>#REF!</v>
      </c>
      <c r="AQ19" s="495" t="e">
        <f t="shared" ref="AQ19:AQ27" si="31">IF(AND($Q19&gt;=IF($B$2="mil",1,0.0254)*500, $Q19&lt;=IF($B$2="mil",1,0.0254)*5500),"Pass",IF($B$2="mil",1,0.0254)*5500-$Q19)</f>
        <v>#REF!</v>
      </c>
      <c r="AR19" s="495" t="e">
        <f t="shared" ref="AR19:AR27" si="32">IF(AND($T19&gt;=IF($B$2="mil",1,0.0254)*500, $T19&lt;=IF($B$2="mil",1,0.0254)*6000),"Pass",IF($B$2="mil",1,0.0254)*6000-$T19)</f>
        <v>#REF!</v>
      </c>
      <c r="AS19" s="21"/>
      <c r="AT19" s="3" t="e">
        <f t="shared" ref="AT19:AT27" ca="1" si="33">IF(AND(AG19="Pass",AP19="Pass",AI19="Pass",AH19="Pass",AO19="Pass",Y19="Pass",Z19="Pass",AN19="Pass",AM19="Pass",AL19="Pass",AK19="Pass",AJ19="Pass",AE19="Pass",AF19="Pass",AQ19="Pass",AR19="Pass"),"Pass","Fail")</f>
        <v>#REF!</v>
      </c>
      <c r="AU19" s="3" t="e">
        <f ca="1">IF(AND(AT19="Pass",AT20="Pass",AT21="Pass",AT22="Pass",AT23="Pass",AT24="Pass",AT25="Pass",AT26="Pass",AT27="Pass"),"Pass","Fail")</f>
        <v>#REF!</v>
      </c>
      <c r="AV19" s="3"/>
      <c r="AW19" s="3"/>
      <c r="AX19" s="3"/>
      <c r="AY19" s="3"/>
      <c r="AZ19" s="3"/>
      <c r="BA19" s="3"/>
      <c r="BB19" s="3"/>
      <c r="BC19" s="3"/>
      <c r="BD19" s="3"/>
      <c r="BE19" s="3"/>
      <c r="BF19" s="3"/>
      <c r="BG19" s="3"/>
      <c r="BH19" s="3"/>
      <c r="BI19" s="3"/>
      <c r="BJ19" s="3"/>
    </row>
    <row r="20" spans="1:62">
      <c r="A20" s="630" t="s">
        <v>131</v>
      </c>
      <c r="B20" s="646" t="s">
        <v>508</v>
      </c>
      <c r="C20" s="658">
        <v>627.75590551181108</v>
      </c>
      <c r="D20" s="18"/>
      <c r="E20" s="277">
        <v>29.7</v>
      </c>
      <c r="F20" s="277">
        <v>0</v>
      </c>
      <c r="G20" s="438">
        <v>1819.28</v>
      </c>
      <c r="H20" s="305">
        <v>121.81</v>
      </c>
      <c r="I20" s="277">
        <v>0</v>
      </c>
      <c r="J20" s="305">
        <v>104.93</v>
      </c>
      <c r="K20" s="277">
        <v>40</v>
      </c>
      <c r="L20" s="305">
        <v>120.8</v>
      </c>
      <c r="M20" s="305">
        <v>1000.63</v>
      </c>
      <c r="N20" s="305">
        <v>90</v>
      </c>
      <c r="O20" s="69"/>
      <c r="P20" s="489">
        <f t="shared" ref="P20:P27" si="34" xml:space="preserve"> E20+F20+G20+H20</f>
        <v>1970.79</v>
      </c>
      <c r="Q20" s="489">
        <f t="shared" si="21"/>
        <v>3205.34</v>
      </c>
      <c r="R20" s="597"/>
      <c r="S20" s="489" t="e">
        <f t="shared" ref="S20:S27" si="35">P20+IF($B$2="mil",1,0.0254)*C20</f>
        <v>#REF!</v>
      </c>
      <c r="T20" s="489" t="e">
        <f t="shared" si="22"/>
        <v>#REF!</v>
      </c>
      <c r="U20" s="597"/>
      <c r="V20" s="489" t="e">
        <f ca="1">MAX(V$17:V$18)+IF($B$2="mil",1,0.0254)*DDR2Specs!$B$3</f>
        <v>#NAME?</v>
      </c>
      <c r="W20" s="489" t="e">
        <f ca="1">MIN(V$17:V$18)+IF($B$2="mil",1,0.0254)*DDR2Specs!$C$3</f>
        <v>#NAME?</v>
      </c>
      <c r="X20" s="21"/>
      <c r="Y20" s="598" t="e">
        <f t="shared" ref="Y20:Y27" ca="1" si="36">IF($S20&lt;$V20,$V20-$S20,"Pass")</f>
        <v>#REF!</v>
      </c>
      <c r="Z20" s="495" t="e">
        <f t="shared" ref="Z20:Z27" ca="1" si="37">IF($S20&gt;$W20,$S20-$W20,"Pass")</f>
        <v>#REF!</v>
      </c>
      <c r="AA20" s="21"/>
      <c r="AB20" s="489" t="e">
        <f ca="1">MAX(AB$17:AB$18)+IF($B$2="mil",1,0.0254)*DDR2Specs!$E$3</f>
        <v>#NAME?</v>
      </c>
      <c r="AC20" s="489" t="e">
        <f ca="1">MIN(AB$17:AB$18)+IF($B$2="mil",1,0.0254)*DDR2Specs!$F$3</f>
        <v>#NAME?</v>
      </c>
      <c r="AD20" s="21"/>
      <c r="AE20" s="598" t="e">
        <f t="shared" ca="1" si="23"/>
        <v>#REF!</v>
      </c>
      <c r="AF20" s="495" t="e">
        <f t="shared" ca="1" si="24"/>
        <v>#REF!</v>
      </c>
      <c r="AG20" s="495" t="e">
        <f t="shared" si="25"/>
        <v>#REF!</v>
      </c>
      <c r="AH20" s="495" t="e">
        <f t="shared" si="26"/>
        <v>#REF!</v>
      </c>
      <c r="AI20" s="495" t="e">
        <f t="shared" ref="AI20:AI27" si="38">IF($H20&lt;=IF($B$2="mil",1,0.0254)*250,"Pass",IF($B$2="mil",1,0.0254)*250-$H20)</f>
        <v>#REF!</v>
      </c>
      <c r="AJ20" s="495" t="e">
        <f t="shared" ca="1" si="27"/>
        <v>#NAME?</v>
      </c>
      <c r="AK20" s="495" t="e">
        <f t="shared" ref="AK20:AK27" si="39">IF($J20&lt;=IF($B$2="mil",1,0.0254)*125,"Pass",IF($B$2="mil",1,0.0254)*125-$J20)</f>
        <v>#REF!</v>
      </c>
      <c r="AL20" s="495" t="e">
        <f t="shared" ref="AL20:AL27" si="40">IF($L20&lt;=IF($B$2="mil",1,0.0254)*125,"Pass",IF($B$2="mil",1,0.0254)*125-$L20)</f>
        <v>#REF!</v>
      </c>
      <c r="AM20" s="495" t="e">
        <f t="shared" ref="AM20:AM27" ca="1" si="41">CheckLength(IF($B$2="mil",1,0.0254)*1250, IF($B$2="mil",1,0.0254)*125-L20, IF($B$2="mil",1,0.0254)*150-N20, M20,L20,N20)</f>
        <v>#NAME?</v>
      </c>
      <c r="AN20" s="495" t="e">
        <f t="shared" ca="1" si="28"/>
        <v>#NAME?</v>
      </c>
      <c r="AO20" s="495" t="e">
        <f t="shared" si="29"/>
        <v>#REF!</v>
      </c>
      <c r="AP20" s="495" t="e">
        <f t="shared" si="30"/>
        <v>#REF!</v>
      </c>
      <c r="AQ20" s="495" t="e">
        <f t="shared" si="31"/>
        <v>#REF!</v>
      </c>
      <c r="AR20" s="495" t="e">
        <f t="shared" si="32"/>
        <v>#REF!</v>
      </c>
      <c r="AS20" s="21"/>
      <c r="AT20" s="3" t="e">
        <f t="shared" ca="1" si="33"/>
        <v>#REF!</v>
      </c>
      <c r="AU20" s="3"/>
      <c r="AV20" s="3"/>
      <c r="AW20" s="3"/>
      <c r="AX20" s="3"/>
      <c r="AY20" s="3"/>
      <c r="AZ20" s="3"/>
      <c r="BA20" s="3"/>
      <c r="BB20" s="3"/>
      <c r="BC20" s="3"/>
      <c r="BD20" s="3"/>
      <c r="BE20" s="3"/>
      <c r="BF20" s="3"/>
      <c r="BG20" s="3"/>
      <c r="BH20" s="3"/>
      <c r="BI20" s="3"/>
      <c r="BJ20" s="3"/>
    </row>
    <row r="21" spans="1:62">
      <c r="A21" s="630" t="s">
        <v>132</v>
      </c>
      <c r="B21" s="656" t="s">
        <v>109</v>
      </c>
      <c r="C21" s="658">
        <v>625.43307086614175</v>
      </c>
      <c r="D21" s="18"/>
      <c r="E21" s="277">
        <v>29.7</v>
      </c>
      <c r="F21" s="277">
        <v>0</v>
      </c>
      <c r="G21" s="438">
        <v>1729.523543307087</v>
      </c>
      <c r="H21" s="305">
        <v>82.62</v>
      </c>
      <c r="I21" s="277">
        <v>0</v>
      </c>
      <c r="J21" s="305">
        <v>63.71</v>
      </c>
      <c r="K21" s="277">
        <v>40</v>
      </c>
      <c r="L21" s="305">
        <v>87.68</v>
      </c>
      <c r="M21" s="305">
        <v>1091.78</v>
      </c>
      <c r="N21" s="305">
        <v>34</v>
      </c>
      <c r="O21" s="69"/>
      <c r="P21" s="489">
        <f t="shared" si="34"/>
        <v>1841.8435433070872</v>
      </c>
      <c r="Q21" s="489">
        <f t="shared" si="21"/>
        <v>3076.3935433070874</v>
      </c>
      <c r="R21" s="597"/>
      <c r="S21" s="489" t="e">
        <f t="shared" si="35"/>
        <v>#REF!</v>
      </c>
      <c r="T21" s="489" t="e">
        <f t="shared" si="22"/>
        <v>#REF!</v>
      </c>
      <c r="U21" s="597"/>
      <c r="V21" s="489" t="e">
        <f ca="1">MAX(V$17:V$18)+IF($B$2="mil",1,0.0254)*DDR2Specs!$B$3</f>
        <v>#NAME?</v>
      </c>
      <c r="W21" s="489" t="e">
        <f ca="1">MIN(V$17:V$18)+IF($B$2="mil",1,0.0254)*DDR2Specs!$C$3</f>
        <v>#NAME?</v>
      </c>
      <c r="X21" s="21"/>
      <c r="Y21" s="598" t="e">
        <f t="shared" ca="1" si="36"/>
        <v>#REF!</v>
      </c>
      <c r="Z21" s="495" t="e">
        <f t="shared" ca="1" si="37"/>
        <v>#REF!</v>
      </c>
      <c r="AA21" s="21"/>
      <c r="AB21" s="489" t="e">
        <f ca="1">MAX(AB$17:AB$18)+IF($B$2="mil",1,0.0254)*DDR2Specs!$E$3</f>
        <v>#NAME?</v>
      </c>
      <c r="AC21" s="489" t="e">
        <f ca="1">MIN(AB$17:AB$18)+IF($B$2="mil",1,0.0254)*DDR2Specs!$F$3</f>
        <v>#NAME?</v>
      </c>
      <c r="AD21" s="21"/>
      <c r="AE21" s="598" t="e">
        <f t="shared" ca="1" si="23"/>
        <v>#REF!</v>
      </c>
      <c r="AF21" s="495" t="e">
        <f t="shared" ca="1" si="24"/>
        <v>#REF!</v>
      </c>
      <c r="AG21" s="495" t="e">
        <f t="shared" si="25"/>
        <v>#REF!</v>
      </c>
      <c r="AH21" s="495" t="e">
        <f t="shared" si="26"/>
        <v>#REF!</v>
      </c>
      <c r="AI21" s="495" t="e">
        <f t="shared" si="38"/>
        <v>#REF!</v>
      </c>
      <c r="AJ21" s="495" t="e">
        <f t="shared" ca="1" si="27"/>
        <v>#NAME?</v>
      </c>
      <c r="AK21" s="495" t="e">
        <f t="shared" si="39"/>
        <v>#REF!</v>
      </c>
      <c r="AL21" s="495" t="e">
        <f t="shared" si="40"/>
        <v>#REF!</v>
      </c>
      <c r="AM21" s="495" t="e">
        <f t="shared" ca="1" si="41"/>
        <v>#NAME?</v>
      </c>
      <c r="AN21" s="495" t="e">
        <f t="shared" ca="1" si="28"/>
        <v>#NAME?</v>
      </c>
      <c r="AO21" s="495" t="e">
        <f t="shared" si="29"/>
        <v>#REF!</v>
      </c>
      <c r="AP21" s="495" t="e">
        <f t="shared" si="30"/>
        <v>#REF!</v>
      </c>
      <c r="AQ21" s="495" t="e">
        <f t="shared" si="31"/>
        <v>#REF!</v>
      </c>
      <c r="AR21" s="495" t="e">
        <f t="shared" si="32"/>
        <v>#REF!</v>
      </c>
      <c r="AS21" s="21"/>
      <c r="AT21" s="3" t="e">
        <f t="shared" ca="1" si="33"/>
        <v>#REF!</v>
      </c>
      <c r="AU21" s="3"/>
      <c r="AV21" s="3"/>
      <c r="AW21" s="3"/>
      <c r="AX21" s="3"/>
      <c r="AY21" s="3"/>
      <c r="AZ21" s="3"/>
      <c r="BA21" s="3"/>
      <c r="BB21" s="3"/>
      <c r="BC21" s="3"/>
      <c r="BD21" s="3"/>
      <c r="BE21" s="3"/>
      <c r="BF21" s="3"/>
      <c r="BG21" s="3"/>
      <c r="BH21" s="3"/>
      <c r="BI21" s="3"/>
      <c r="BJ21" s="3"/>
    </row>
    <row r="22" spans="1:62">
      <c r="A22" s="630" t="s">
        <v>133</v>
      </c>
      <c r="B22" s="656" t="s">
        <v>351</v>
      </c>
      <c r="C22" s="658">
        <v>667.04724409448829</v>
      </c>
      <c r="D22" s="18"/>
      <c r="E22" s="277">
        <v>29.7</v>
      </c>
      <c r="F22" s="277">
        <v>0</v>
      </c>
      <c r="G22" s="438">
        <v>1768.9146456692908</v>
      </c>
      <c r="H22" s="305">
        <v>124.41</v>
      </c>
      <c r="I22" s="277">
        <v>0</v>
      </c>
      <c r="J22" s="305">
        <v>102.86</v>
      </c>
      <c r="K22" s="277">
        <v>40</v>
      </c>
      <c r="L22" s="305">
        <v>120.25</v>
      </c>
      <c r="M22" s="305">
        <v>1047.8499999999999</v>
      </c>
      <c r="N22" s="305">
        <v>48</v>
      </c>
      <c r="O22" s="69"/>
      <c r="P22" s="489">
        <f t="shared" si="34"/>
        <v>1923.024645669291</v>
      </c>
      <c r="Q22" s="489">
        <f t="shared" si="21"/>
        <v>3157.5746456692909</v>
      </c>
      <c r="R22" s="597"/>
      <c r="S22" s="489" t="e">
        <f t="shared" si="35"/>
        <v>#REF!</v>
      </c>
      <c r="T22" s="489" t="e">
        <f t="shared" si="22"/>
        <v>#REF!</v>
      </c>
      <c r="U22" s="597"/>
      <c r="V22" s="489" t="e">
        <f ca="1">MAX(V$17:V$18)+IF($B$2="mil",1,0.0254)*DDR2Specs!$B$3</f>
        <v>#NAME?</v>
      </c>
      <c r="W22" s="489" t="e">
        <f ca="1">MIN(V$17:V$18)+IF($B$2="mil",1,0.0254)*DDR2Specs!$C$3</f>
        <v>#NAME?</v>
      </c>
      <c r="X22" s="21"/>
      <c r="Y22" s="598" t="e">
        <f t="shared" ca="1" si="36"/>
        <v>#REF!</v>
      </c>
      <c r="Z22" s="495" t="e">
        <f t="shared" ca="1" si="37"/>
        <v>#REF!</v>
      </c>
      <c r="AA22" s="21"/>
      <c r="AB22" s="489" t="e">
        <f ca="1">MAX(AB$17:AB$18)+IF($B$2="mil",1,0.0254)*DDR2Specs!$E$3</f>
        <v>#NAME?</v>
      </c>
      <c r="AC22" s="489" t="e">
        <f ca="1">MIN(AB$17:AB$18)+IF($B$2="mil",1,0.0254)*DDR2Specs!$F$3</f>
        <v>#NAME?</v>
      </c>
      <c r="AD22" s="21"/>
      <c r="AE22" s="598" t="e">
        <f t="shared" ca="1" si="23"/>
        <v>#REF!</v>
      </c>
      <c r="AF22" s="495" t="e">
        <f t="shared" ca="1" si="24"/>
        <v>#REF!</v>
      </c>
      <c r="AG22" s="495" t="e">
        <f t="shared" si="25"/>
        <v>#REF!</v>
      </c>
      <c r="AH22" s="495" t="e">
        <f t="shared" si="26"/>
        <v>#REF!</v>
      </c>
      <c r="AI22" s="495" t="e">
        <f t="shared" si="38"/>
        <v>#REF!</v>
      </c>
      <c r="AJ22" s="495" t="e">
        <f t="shared" ca="1" si="27"/>
        <v>#NAME?</v>
      </c>
      <c r="AK22" s="495" t="e">
        <f t="shared" si="39"/>
        <v>#REF!</v>
      </c>
      <c r="AL22" s="495" t="e">
        <f t="shared" si="40"/>
        <v>#REF!</v>
      </c>
      <c r="AM22" s="495" t="e">
        <f t="shared" ca="1" si="41"/>
        <v>#NAME?</v>
      </c>
      <c r="AN22" s="495" t="e">
        <f t="shared" ca="1" si="28"/>
        <v>#NAME?</v>
      </c>
      <c r="AO22" s="495" t="e">
        <f t="shared" si="29"/>
        <v>#REF!</v>
      </c>
      <c r="AP22" s="495" t="e">
        <f t="shared" si="30"/>
        <v>#REF!</v>
      </c>
      <c r="AQ22" s="495" t="e">
        <f t="shared" si="31"/>
        <v>#REF!</v>
      </c>
      <c r="AR22" s="495" t="e">
        <f t="shared" si="32"/>
        <v>#REF!</v>
      </c>
      <c r="AS22" s="21"/>
      <c r="AT22" s="3" t="e">
        <f t="shared" ca="1" si="33"/>
        <v>#REF!</v>
      </c>
      <c r="AU22" s="3"/>
      <c r="AV22" s="3"/>
      <c r="AW22" s="3"/>
      <c r="AX22" s="3"/>
      <c r="AY22" s="3"/>
      <c r="AZ22" s="3"/>
      <c r="BA22" s="3"/>
      <c r="BB22" s="3"/>
      <c r="BC22" s="3"/>
      <c r="BD22" s="3"/>
      <c r="BE22" s="3"/>
      <c r="BF22" s="3"/>
      <c r="BG22" s="3"/>
      <c r="BH22" s="3"/>
      <c r="BI22" s="3"/>
      <c r="BJ22" s="3"/>
    </row>
    <row r="23" spans="1:62">
      <c r="A23" s="630" t="s">
        <v>134</v>
      </c>
      <c r="B23" s="646" t="s">
        <v>476</v>
      </c>
      <c r="C23" s="658">
        <v>600.07874015748041</v>
      </c>
      <c r="D23" s="18"/>
      <c r="E23" s="277">
        <v>29.7</v>
      </c>
      <c r="F23" s="277">
        <v>0</v>
      </c>
      <c r="G23" s="438">
        <v>1869.438582677165</v>
      </c>
      <c r="H23" s="305">
        <v>62.39</v>
      </c>
      <c r="I23" s="277">
        <v>0</v>
      </c>
      <c r="J23" s="305">
        <v>47.73</v>
      </c>
      <c r="K23" s="277">
        <v>40</v>
      </c>
      <c r="L23" s="305">
        <v>56.64</v>
      </c>
      <c r="M23" s="305">
        <v>1076.49</v>
      </c>
      <c r="N23" s="305">
        <v>76.08</v>
      </c>
      <c r="O23" s="69"/>
      <c r="P23" s="489">
        <f t="shared" si="34"/>
        <v>1961.5285826771651</v>
      </c>
      <c r="Q23" s="489">
        <f t="shared" si="21"/>
        <v>3196.0785826771653</v>
      </c>
      <c r="R23" s="597"/>
      <c r="S23" s="489" t="e">
        <f t="shared" si="35"/>
        <v>#REF!</v>
      </c>
      <c r="T23" s="489" t="e">
        <f t="shared" si="22"/>
        <v>#REF!</v>
      </c>
      <c r="U23" s="597"/>
      <c r="V23" s="489" t="e">
        <f ca="1">MAX(V$17:V$18)+IF($B$2="mil",1,0.0254)*DDR2Specs!$B$3</f>
        <v>#NAME?</v>
      </c>
      <c r="W23" s="489" t="e">
        <f ca="1">MIN(V$17:V$18)+IF($B$2="mil",1,0.0254)*DDR2Specs!$C$3</f>
        <v>#NAME?</v>
      </c>
      <c r="X23" s="21"/>
      <c r="Y23" s="598" t="e">
        <f t="shared" ca="1" si="36"/>
        <v>#REF!</v>
      </c>
      <c r="Z23" s="495" t="e">
        <f t="shared" ca="1" si="37"/>
        <v>#REF!</v>
      </c>
      <c r="AA23" s="21"/>
      <c r="AB23" s="489" t="e">
        <f ca="1">MAX(AB$17:AB$18)+IF($B$2="mil",1,0.0254)*DDR2Specs!$E$3</f>
        <v>#NAME?</v>
      </c>
      <c r="AC23" s="489" t="e">
        <f ca="1">MIN(AB$17:AB$18)+IF($B$2="mil",1,0.0254)*DDR2Specs!$F$3</f>
        <v>#NAME?</v>
      </c>
      <c r="AD23" s="21"/>
      <c r="AE23" s="598" t="e">
        <f t="shared" ca="1" si="23"/>
        <v>#REF!</v>
      </c>
      <c r="AF23" s="495" t="e">
        <f t="shared" ca="1" si="24"/>
        <v>#REF!</v>
      </c>
      <c r="AG23" s="495" t="e">
        <f t="shared" si="25"/>
        <v>#REF!</v>
      </c>
      <c r="AH23" s="495" t="e">
        <f t="shared" si="26"/>
        <v>#REF!</v>
      </c>
      <c r="AI23" s="495" t="e">
        <f t="shared" si="38"/>
        <v>#REF!</v>
      </c>
      <c r="AJ23" s="495" t="e">
        <f t="shared" ca="1" si="27"/>
        <v>#NAME?</v>
      </c>
      <c r="AK23" s="495" t="e">
        <f t="shared" si="39"/>
        <v>#REF!</v>
      </c>
      <c r="AL23" s="495" t="e">
        <f t="shared" si="40"/>
        <v>#REF!</v>
      </c>
      <c r="AM23" s="495" t="e">
        <f t="shared" ca="1" si="41"/>
        <v>#NAME?</v>
      </c>
      <c r="AN23" s="495" t="e">
        <f t="shared" ca="1" si="28"/>
        <v>#NAME?</v>
      </c>
      <c r="AO23" s="495" t="e">
        <f t="shared" si="29"/>
        <v>#REF!</v>
      </c>
      <c r="AP23" s="495" t="e">
        <f t="shared" si="30"/>
        <v>#REF!</v>
      </c>
      <c r="AQ23" s="495" t="e">
        <f t="shared" si="31"/>
        <v>#REF!</v>
      </c>
      <c r="AR23" s="495" t="e">
        <f t="shared" si="32"/>
        <v>#REF!</v>
      </c>
      <c r="AS23" s="21"/>
      <c r="AT23" s="3" t="e">
        <f t="shared" ca="1" si="33"/>
        <v>#REF!</v>
      </c>
      <c r="AU23" s="3"/>
      <c r="AV23" s="3"/>
      <c r="AW23" s="3"/>
      <c r="AX23" s="3"/>
      <c r="AY23" s="3"/>
      <c r="AZ23" s="3"/>
      <c r="BA23" s="3"/>
      <c r="BB23" s="3"/>
      <c r="BC23" s="3"/>
      <c r="BD23" s="3"/>
      <c r="BE23" s="3"/>
      <c r="BF23" s="3"/>
      <c r="BG23" s="3"/>
      <c r="BH23" s="3"/>
      <c r="BI23" s="3"/>
      <c r="BJ23" s="3"/>
    </row>
    <row r="24" spans="1:62">
      <c r="A24" s="630" t="s">
        <v>135</v>
      </c>
      <c r="B24" s="664" t="s">
        <v>477</v>
      </c>
      <c r="C24" s="658">
        <v>655.98425196850394</v>
      </c>
      <c r="D24" s="18"/>
      <c r="E24" s="277">
        <v>29.7</v>
      </c>
      <c r="F24" s="277">
        <v>0</v>
      </c>
      <c r="G24" s="438">
        <v>1845.7413385826769</v>
      </c>
      <c r="H24" s="305">
        <v>89.04</v>
      </c>
      <c r="I24" s="277">
        <v>0</v>
      </c>
      <c r="J24" s="305">
        <v>79.47</v>
      </c>
      <c r="K24" s="277">
        <v>40</v>
      </c>
      <c r="L24" s="305">
        <v>99.93</v>
      </c>
      <c r="M24" s="305">
        <v>988.18999999999937</v>
      </c>
      <c r="N24" s="305">
        <v>116</v>
      </c>
      <c r="O24" s="69"/>
      <c r="P24" s="489">
        <f t="shared" si="34"/>
        <v>1964.4813385826769</v>
      </c>
      <c r="Q24" s="489">
        <f t="shared" si="21"/>
        <v>3199.0313385826767</v>
      </c>
      <c r="R24" s="597"/>
      <c r="S24" s="489" t="e">
        <f t="shared" si="35"/>
        <v>#REF!</v>
      </c>
      <c r="T24" s="489" t="e">
        <f t="shared" si="22"/>
        <v>#REF!</v>
      </c>
      <c r="U24" s="597"/>
      <c r="V24" s="489" t="e">
        <f ca="1">MAX(V$17:V$18)+IF($B$2="mil",1,0.0254)*DDR2Specs!$B$3</f>
        <v>#NAME?</v>
      </c>
      <c r="W24" s="489" t="e">
        <f ca="1">MIN(V$17:V$18)+IF($B$2="mil",1,0.0254)*DDR2Specs!$C$3</f>
        <v>#NAME?</v>
      </c>
      <c r="X24" s="21"/>
      <c r="Y24" s="598" t="e">
        <f t="shared" ca="1" si="36"/>
        <v>#REF!</v>
      </c>
      <c r="Z24" s="495" t="e">
        <f t="shared" ca="1" si="37"/>
        <v>#REF!</v>
      </c>
      <c r="AA24" s="21"/>
      <c r="AB24" s="489" t="e">
        <f ca="1">MAX(AB$17:AB$18)+IF($B$2="mil",1,0.0254)*DDR2Specs!$E$3</f>
        <v>#NAME?</v>
      </c>
      <c r="AC24" s="489" t="e">
        <f ca="1">MIN(AB$17:AB$18)+IF($B$2="mil",1,0.0254)*DDR2Specs!$F$3</f>
        <v>#NAME?</v>
      </c>
      <c r="AD24" s="21"/>
      <c r="AE24" s="598" t="e">
        <f t="shared" ca="1" si="23"/>
        <v>#REF!</v>
      </c>
      <c r="AF24" s="495" t="e">
        <f t="shared" ca="1" si="24"/>
        <v>#REF!</v>
      </c>
      <c r="AG24" s="495" t="e">
        <f t="shared" si="25"/>
        <v>#REF!</v>
      </c>
      <c r="AH24" s="495" t="e">
        <f t="shared" si="26"/>
        <v>#REF!</v>
      </c>
      <c r="AI24" s="495" t="e">
        <f t="shared" si="38"/>
        <v>#REF!</v>
      </c>
      <c r="AJ24" s="495" t="e">
        <f t="shared" ca="1" si="27"/>
        <v>#NAME?</v>
      </c>
      <c r="AK24" s="495" t="e">
        <f t="shared" si="39"/>
        <v>#REF!</v>
      </c>
      <c r="AL24" s="495" t="e">
        <f t="shared" si="40"/>
        <v>#REF!</v>
      </c>
      <c r="AM24" s="495" t="e">
        <f t="shared" ca="1" si="41"/>
        <v>#NAME?</v>
      </c>
      <c r="AN24" s="495" t="e">
        <f t="shared" ca="1" si="28"/>
        <v>#NAME?</v>
      </c>
      <c r="AO24" s="495" t="e">
        <f t="shared" si="29"/>
        <v>#REF!</v>
      </c>
      <c r="AP24" s="495" t="e">
        <f t="shared" si="30"/>
        <v>#REF!</v>
      </c>
      <c r="AQ24" s="495" t="e">
        <f t="shared" si="31"/>
        <v>#REF!</v>
      </c>
      <c r="AR24" s="495" t="e">
        <f t="shared" si="32"/>
        <v>#REF!</v>
      </c>
      <c r="AS24" s="21"/>
      <c r="AT24" s="3" t="e">
        <f t="shared" ca="1" si="33"/>
        <v>#REF!</v>
      </c>
      <c r="AU24" s="3"/>
      <c r="AV24" s="3"/>
      <c r="AW24" s="3"/>
      <c r="AX24" s="3"/>
      <c r="AY24" s="3"/>
      <c r="AZ24" s="3"/>
      <c r="BA24" s="3"/>
      <c r="BB24" s="3"/>
      <c r="BC24" s="3"/>
      <c r="BD24" s="3"/>
      <c r="BE24" s="3"/>
      <c r="BF24" s="3"/>
      <c r="BG24" s="3"/>
      <c r="BH24" s="3"/>
      <c r="BI24" s="3"/>
      <c r="BJ24" s="3"/>
    </row>
    <row r="25" spans="1:62" s="29" customFormat="1">
      <c r="A25" s="630" t="s">
        <v>233</v>
      </c>
      <c r="B25" s="646" t="s">
        <v>478</v>
      </c>
      <c r="C25" s="658">
        <v>589.64566929133866</v>
      </c>
      <c r="D25" s="18"/>
      <c r="E25" s="277">
        <v>29.7</v>
      </c>
      <c r="F25" s="277">
        <v>0</v>
      </c>
      <c r="G25" s="438">
        <v>1828.2611023622048</v>
      </c>
      <c r="H25" s="305">
        <v>63.41</v>
      </c>
      <c r="I25" s="277">
        <v>0</v>
      </c>
      <c r="J25" s="305">
        <v>51.64</v>
      </c>
      <c r="K25" s="277">
        <v>40</v>
      </c>
      <c r="L25" s="305">
        <v>56.64</v>
      </c>
      <c r="M25" s="305">
        <v>1077.49</v>
      </c>
      <c r="N25" s="305">
        <v>72.19</v>
      </c>
      <c r="O25" s="69"/>
      <c r="P25" s="489">
        <f t="shared" si="34"/>
        <v>1921.371102362205</v>
      </c>
      <c r="Q25" s="489">
        <f t="shared" si="21"/>
        <v>3155.9211023622051</v>
      </c>
      <c r="R25" s="597"/>
      <c r="S25" s="489" t="e">
        <f t="shared" si="35"/>
        <v>#REF!</v>
      </c>
      <c r="T25" s="489" t="e">
        <f t="shared" si="22"/>
        <v>#REF!</v>
      </c>
      <c r="U25" s="597"/>
      <c r="V25" s="489" t="e">
        <f ca="1">MAX(V$17:V$18)+IF($B$2="mil",1,0.0254)*DDR2Specs!$B$3</f>
        <v>#NAME?</v>
      </c>
      <c r="W25" s="489" t="e">
        <f ca="1">MIN(V$17:V$18)+IF($B$2="mil",1,0.0254)*DDR2Specs!$C$3</f>
        <v>#NAME?</v>
      </c>
      <c r="X25" s="21"/>
      <c r="Y25" s="598" t="e">
        <f t="shared" ca="1" si="36"/>
        <v>#REF!</v>
      </c>
      <c r="Z25" s="495" t="e">
        <f t="shared" ca="1" si="37"/>
        <v>#REF!</v>
      </c>
      <c r="AA25" s="21"/>
      <c r="AB25" s="489" t="e">
        <f ca="1">MAX(AB$17:AB$18)+IF($B$2="mil",1,0.0254)*DDR2Specs!$E$3</f>
        <v>#NAME?</v>
      </c>
      <c r="AC25" s="489" t="e">
        <f ca="1">MIN(AB$17:AB$18)+IF($B$2="mil",1,0.0254)*DDR2Specs!$F$3</f>
        <v>#NAME?</v>
      </c>
      <c r="AD25" s="21"/>
      <c r="AE25" s="598" t="e">
        <f t="shared" ca="1" si="23"/>
        <v>#REF!</v>
      </c>
      <c r="AF25" s="495" t="e">
        <f t="shared" ca="1" si="24"/>
        <v>#REF!</v>
      </c>
      <c r="AG25" s="495" t="e">
        <f t="shared" si="25"/>
        <v>#REF!</v>
      </c>
      <c r="AH25" s="495" t="e">
        <f t="shared" si="26"/>
        <v>#REF!</v>
      </c>
      <c r="AI25" s="495" t="e">
        <f t="shared" si="38"/>
        <v>#REF!</v>
      </c>
      <c r="AJ25" s="495" t="e">
        <f t="shared" ca="1" si="27"/>
        <v>#NAME?</v>
      </c>
      <c r="AK25" s="495" t="e">
        <f t="shared" si="39"/>
        <v>#REF!</v>
      </c>
      <c r="AL25" s="495" t="e">
        <f t="shared" si="40"/>
        <v>#REF!</v>
      </c>
      <c r="AM25" s="495" t="e">
        <f t="shared" ca="1" si="41"/>
        <v>#NAME?</v>
      </c>
      <c r="AN25" s="495" t="e">
        <f t="shared" ca="1" si="28"/>
        <v>#NAME?</v>
      </c>
      <c r="AO25" s="495" t="e">
        <f t="shared" si="29"/>
        <v>#REF!</v>
      </c>
      <c r="AP25" s="495" t="e">
        <f t="shared" si="30"/>
        <v>#REF!</v>
      </c>
      <c r="AQ25" s="495" t="e">
        <f t="shared" si="31"/>
        <v>#REF!</v>
      </c>
      <c r="AR25" s="495" t="e">
        <f t="shared" si="32"/>
        <v>#REF!</v>
      </c>
      <c r="AS25" s="21"/>
      <c r="AT25" s="29" t="e">
        <f t="shared" ca="1" si="33"/>
        <v>#REF!</v>
      </c>
    </row>
    <row r="26" spans="1:62">
      <c r="A26" s="630" t="s">
        <v>136</v>
      </c>
      <c r="B26" s="646" t="s">
        <v>479</v>
      </c>
      <c r="C26" s="658">
        <v>669.29133858267721</v>
      </c>
      <c r="D26" s="18"/>
      <c r="E26" s="277">
        <v>29.7</v>
      </c>
      <c r="F26" s="277">
        <v>0</v>
      </c>
      <c r="G26" s="438">
        <v>1744.928897637795</v>
      </c>
      <c r="H26" s="305">
        <v>134.38</v>
      </c>
      <c r="I26" s="277">
        <v>0</v>
      </c>
      <c r="J26" s="305">
        <v>95.13</v>
      </c>
      <c r="K26" s="277">
        <v>40</v>
      </c>
      <c r="L26" s="305">
        <v>54.57</v>
      </c>
      <c r="M26" s="305">
        <v>1103.18</v>
      </c>
      <c r="N26" s="305">
        <v>76.05</v>
      </c>
      <c r="O26" s="69"/>
      <c r="P26" s="489">
        <f t="shared" si="34"/>
        <v>1909.0088976377951</v>
      </c>
      <c r="Q26" s="489">
        <f t="shared" si="21"/>
        <v>3143.5588976377953</v>
      </c>
      <c r="R26" s="597"/>
      <c r="S26" s="489" t="e">
        <f t="shared" si="35"/>
        <v>#REF!</v>
      </c>
      <c r="T26" s="489" t="e">
        <f t="shared" si="22"/>
        <v>#REF!</v>
      </c>
      <c r="U26" s="597"/>
      <c r="V26" s="489" t="e">
        <f ca="1">MAX(V$17:V$18)+IF($B$2="mil",1,0.0254)*DDR2Specs!$B$3</f>
        <v>#NAME?</v>
      </c>
      <c r="W26" s="489" t="e">
        <f ca="1">MIN(V$17:V$18)+IF($B$2="mil",1,0.0254)*DDR2Specs!$C$3</f>
        <v>#NAME?</v>
      </c>
      <c r="X26" s="21"/>
      <c r="Y26" s="598" t="e">
        <f t="shared" ca="1" si="36"/>
        <v>#REF!</v>
      </c>
      <c r="Z26" s="495" t="e">
        <f t="shared" ca="1" si="37"/>
        <v>#REF!</v>
      </c>
      <c r="AA26" s="21"/>
      <c r="AB26" s="489" t="e">
        <f ca="1">MAX(AB$17:AB$18)+IF($B$2="mil",1,0.0254)*DDR2Specs!$E$3</f>
        <v>#NAME?</v>
      </c>
      <c r="AC26" s="489" t="e">
        <f ca="1">MIN(AB$17:AB$18)+IF($B$2="mil",1,0.0254)*DDR2Specs!$F$3</f>
        <v>#NAME?</v>
      </c>
      <c r="AD26" s="21"/>
      <c r="AE26" s="598" t="e">
        <f t="shared" ca="1" si="23"/>
        <v>#REF!</v>
      </c>
      <c r="AF26" s="495" t="e">
        <f t="shared" ca="1" si="24"/>
        <v>#REF!</v>
      </c>
      <c r="AG26" s="495" t="e">
        <f t="shared" si="25"/>
        <v>#REF!</v>
      </c>
      <c r="AH26" s="495" t="e">
        <f t="shared" si="26"/>
        <v>#REF!</v>
      </c>
      <c r="AI26" s="495" t="e">
        <f t="shared" si="38"/>
        <v>#REF!</v>
      </c>
      <c r="AJ26" s="495" t="e">
        <f t="shared" ca="1" si="27"/>
        <v>#NAME?</v>
      </c>
      <c r="AK26" s="495" t="e">
        <f t="shared" si="39"/>
        <v>#REF!</v>
      </c>
      <c r="AL26" s="495" t="e">
        <f t="shared" si="40"/>
        <v>#REF!</v>
      </c>
      <c r="AM26" s="495" t="e">
        <f t="shared" ca="1" si="41"/>
        <v>#NAME?</v>
      </c>
      <c r="AN26" s="495" t="e">
        <f t="shared" ca="1" si="28"/>
        <v>#NAME?</v>
      </c>
      <c r="AO26" s="495" t="e">
        <f t="shared" si="29"/>
        <v>#REF!</v>
      </c>
      <c r="AP26" s="495" t="e">
        <f t="shared" si="30"/>
        <v>#REF!</v>
      </c>
      <c r="AQ26" s="495" t="e">
        <f t="shared" si="31"/>
        <v>#REF!</v>
      </c>
      <c r="AR26" s="495" t="e">
        <f t="shared" si="32"/>
        <v>#REF!</v>
      </c>
      <c r="AS26" s="21"/>
      <c r="AT26" s="3" t="e">
        <f t="shared" ca="1" si="33"/>
        <v>#REF!</v>
      </c>
      <c r="AU26" s="3"/>
      <c r="AV26" s="3"/>
      <c r="AW26" s="3"/>
      <c r="AX26" s="3"/>
      <c r="AY26" s="3"/>
      <c r="AZ26" s="3"/>
      <c r="BA26" s="3"/>
      <c r="BB26" s="3"/>
      <c r="BC26" s="3"/>
      <c r="BD26" s="3"/>
      <c r="BE26" s="3"/>
      <c r="BF26" s="3"/>
      <c r="BG26" s="3"/>
      <c r="BH26" s="3"/>
      <c r="BI26" s="3"/>
      <c r="BJ26" s="3"/>
    </row>
    <row r="27" spans="1:62">
      <c r="A27" s="661" t="s">
        <v>137</v>
      </c>
      <c r="B27" s="662" t="s">
        <v>517</v>
      </c>
      <c r="C27" s="658">
        <v>627.91338582677167</v>
      </c>
      <c r="D27" s="18"/>
      <c r="E27" s="277">
        <v>29.7</v>
      </c>
      <c r="F27" s="277">
        <v>0</v>
      </c>
      <c r="G27" s="438">
        <v>1879.97</v>
      </c>
      <c r="H27" s="305">
        <v>62.12</v>
      </c>
      <c r="I27" s="277">
        <v>0</v>
      </c>
      <c r="J27" s="305">
        <v>49.57</v>
      </c>
      <c r="K27" s="277">
        <v>40</v>
      </c>
      <c r="L27" s="305">
        <v>49.57</v>
      </c>
      <c r="M27" s="305">
        <v>1123.53</v>
      </c>
      <c r="N27" s="305">
        <v>34</v>
      </c>
      <c r="O27" s="69"/>
      <c r="P27" s="489">
        <f t="shared" si="34"/>
        <v>1971.79</v>
      </c>
      <c r="Q27" s="489">
        <f>SUM(E27:G27,I27:N27)</f>
        <v>3206.34</v>
      </c>
      <c r="R27" s="597"/>
      <c r="S27" s="489" t="e">
        <f t="shared" si="35"/>
        <v>#REF!</v>
      </c>
      <c r="T27" s="489" t="e">
        <f t="shared" si="22"/>
        <v>#REF!</v>
      </c>
      <c r="U27" s="597"/>
      <c r="V27" s="489" t="e">
        <f ca="1">MAX(V$17:V$18)+IF($B$2="mil",1,0.0254)*DDR2Specs!$B$3</f>
        <v>#NAME?</v>
      </c>
      <c r="W27" s="489" t="e">
        <f ca="1">MIN(V$17:V$18)+IF($B$2="mil",1,0.0254)*DDR2Specs!$C$3</f>
        <v>#NAME?</v>
      </c>
      <c r="X27" s="21"/>
      <c r="Y27" s="598" t="e">
        <f t="shared" ca="1" si="36"/>
        <v>#REF!</v>
      </c>
      <c r="Z27" s="495" t="e">
        <f t="shared" ca="1" si="37"/>
        <v>#REF!</v>
      </c>
      <c r="AA27" s="21"/>
      <c r="AB27" s="489" t="e">
        <f ca="1">MAX(AB$17:AB$18)+IF($B$2="mil",1,0.0254)*DDR2Specs!$E$3</f>
        <v>#NAME?</v>
      </c>
      <c r="AC27" s="489" t="e">
        <f ca="1">MIN(AB$17:AB$18)+IF($B$2="mil",1,0.0254)*DDR2Specs!$F$3</f>
        <v>#NAME?</v>
      </c>
      <c r="AD27" s="21"/>
      <c r="AE27" s="598" t="e">
        <f t="shared" ca="1" si="23"/>
        <v>#REF!</v>
      </c>
      <c r="AF27" s="495" t="e">
        <f t="shared" ca="1" si="24"/>
        <v>#REF!</v>
      </c>
      <c r="AG27" s="495" t="e">
        <f t="shared" si="25"/>
        <v>#REF!</v>
      </c>
      <c r="AH27" s="495" t="e">
        <f t="shared" si="26"/>
        <v>#REF!</v>
      </c>
      <c r="AI27" s="495" t="e">
        <f t="shared" si="38"/>
        <v>#REF!</v>
      </c>
      <c r="AJ27" s="495" t="e">
        <f t="shared" ca="1" si="27"/>
        <v>#NAME?</v>
      </c>
      <c r="AK27" s="495" t="e">
        <f t="shared" si="39"/>
        <v>#REF!</v>
      </c>
      <c r="AL27" s="495" t="e">
        <f t="shared" si="40"/>
        <v>#REF!</v>
      </c>
      <c r="AM27" s="495" t="e">
        <f t="shared" ca="1" si="41"/>
        <v>#NAME?</v>
      </c>
      <c r="AN27" s="495" t="e">
        <f t="shared" ca="1" si="28"/>
        <v>#NAME?</v>
      </c>
      <c r="AO27" s="495" t="e">
        <f t="shared" si="29"/>
        <v>#REF!</v>
      </c>
      <c r="AP27" s="495" t="e">
        <f t="shared" si="30"/>
        <v>#REF!</v>
      </c>
      <c r="AQ27" s="495" t="e">
        <f t="shared" si="31"/>
        <v>#REF!</v>
      </c>
      <c r="AR27" s="495" t="e">
        <f t="shared" si="32"/>
        <v>#REF!</v>
      </c>
      <c r="AS27" s="21"/>
      <c r="AT27" s="3" t="e">
        <f t="shared" ca="1" si="33"/>
        <v>#REF!</v>
      </c>
      <c r="AU27" s="3"/>
      <c r="AV27" s="3"/>
      <c r="AW27" s="3"/>
      <c r="AX27" s="3"/>
      <c r="AY27" s="3"/>
      <c r="AZ27" s="3"/>
      <c r="BA27" s="3"/>
      <c r="BB27" s="3"/>
      <c r="BC27" s="3"/>
      <c r="BD27" s="3"/>
      <c r="BE27" s="3"/>
      <c r="BF27" s="3"/>
      <c r="BG27" s="3"/>
      <c r="BH27" s="3"/>
      <c r="BI27" s="3"/>
      <c r="BJ27" s="3"/>
    </row>
    <row r="28" spans="1:62">
      <c r="A28" s="8" t="s">
        <v>199</v>
      </c>
      <c r="B28" s="663"/>
      <c r="C28" s="659"/>
      <c r="D28" s="62"/>
      <c r="E28" s="82"/>
      <c r="F28" s="82"/>
      <c r="G28" s="439"/>
      <c r="H28" s="295"/>
      <c r="I28" s="295"/>
      <c r="J28" s="295"/>
      <c r="K28" s="295"/>
      <c r="L28" s="295"/>
      <c r="M28" s="295"/>
      <c r="N28" s="295"/>
      <c r="O28" s="10"/>
      <c r="P28" s="82"/>
      <c r="Q28" s="82"/>
      <c r="R28" s="82"/>
      <c r="S28" s="605"/>
      <c r="T28" s="605"/>
      <c r="U28" s="605"/>
      <c r="V28" s="605"/>
      <c r="W28" s="606"/>
      <c r="X28" s="606"/>
      <c r="Y28" s="607"/>
      <c r="Z28" s="17"/>
      <c r="AA28" s="606"/>
      <c r="AB28" s="605"/>
      <c r="AC28" s="606"/>
      <c r="AD28" s="606"/>
      <c r="AE28" s="607"/>
      <c r="AF28" s="17"/>
      <c r="AG28" s="17"/>
      <c r="AH28" s="17"/>
      <c r="AI28" s="16"/>
      <c r="AJ28" s="16"/>
      <c r="AK28" s="16"/>
      <c r="AL28" s="16"/>
      <c r="AM28" s="16"/>
      <c r="AN28" s="16"/>
      <c r="AO28" s="16"/>
      <c r="AP28" s="16"/>
      <c r="AQ28" s="16"/>
      <c r="AR28" s="16"/>
      <c r="AS28" s="83"/>
      <c r="AT28" s="3"/>
      <c r="AU28" s="3"/>
      <c r="AV28" s="3"/>
      <c r="AW28" s="3"/>
      <c r="AX28" s="3"/>
      <c r="AY28" s="3"/>
      <c r="AZ28" s="3"/>
      <c r="BA28" s="3"/>
      <c r="BB28" s="3"/>
      <c r="BC28" s="3"/>
      <c r="BD28" s="3"/>
      <c r="BE28" s="3"/>
      <c r="BF28" s="3"/>
      <c r="BG28" s="3"/>
      <c r="BH28" s="3"/>
      <c r="BI28" s="3"/>
      <c r="BJ28" s="3"/>
    </row>
    <row r="29" spans="1:62">
      <c r="A29" s="52" t="str">
        <f>'DDR2 Strobes - 1x16'!$A$14</f>
        <v>SA_DQS2</v>
      </c>
      <c r="B29" s="608" t="str">
        <f>'DDR2 Strobes - 1x16'!$B$14</f>
        <v>AB24</v>
      </c>
      <c r="C29" s="660"/>
      <c r="D29" s="53"/>
      <c r="E29" s="81"/>
      <c r="F29" s="81"/>
      <c r="G29" s="440"/>
      <c r="H29" s="296"/>
      <c r="I29" s="296"/>
      <c r="J29" s="296"/>
      <c r="K29" s="296"/>
      <c r="L29" s="296"/>
      <c r="M29" s="296"/>
      <c r="N29" s="296"/>
      <c r="O29" s="81"/>
      <c r="P29" s="81"/>
      <c r="Q29" s="81"/>
      <c r="R29" s="81"/>
      <c r="S29" s="58"/>
      <c r="T29" s="58"/>
      <c r="U29" s="58"/>
      <c r="V29" s="58" t="e">
        <f ca="1">GetSODIMMStrbLen($A29)</f>
        <v>#NAME?</v>
      </c>
      <c r="W29" s="58"/>
      <c r="X29" s="58"/>
      <c r="Y29" s="58"/>
      <c r="Z29" s="608"/>
      <c r="AA29" s="617" t="e">
        <f>"Strobe Pair to " &amp;#REF!</f>
        <v>#REF!</v>
      </c>
      <c r="AB29" s="58" t="e">
        <f ca="1">GetStrbLen(#REF!, "P")</f>
        <v>#NAME?</v>
      </c>
      <c r="AC29" s="58"/>
      <c r="AD29" s="58"/>
      <c r="AE29" s="58"/>
      <c r="AF29" s="608"/>
      <c r="AG29" s="608"/>
      <c r="AH29" s="608"/>
      <c r="AI29" s="608"/>
      <c r="AJ29" s="608"/>
      <c r="AK29" s="608"/>
      <c r="AL29" s="608"/>
      <c r="AM29" s="608"/>
      <c r="AN29" s="608"/>
      <c r="AO29" s="608"/>
      <c r="AP29" s="608"/>
      <c r="AQ29" s="608"/>
      <c r="AR29" s="608"/>
      <c r="AS29" s="58"/>
      <c r="AT29" s="3"/>
      <c r="AU29" s="3"/>
      <c r="AV29" s="3"/>
      <c r="AW29" s="3"/>
      <c r="AX29" s="3"/>
      <c r="AY29" s="3"/>
      <c r="AZ29" s="3"/>
      <c r="BA29" s="3"/>
      <c r="BB29" s="3"/>
      <c r="BC29" s="3"/>
      <c r="BD29" s="3"/>
      <c r="BE29" s="3"/>
      <c r="BF29" s="3"/>
      <c r="BG29" s="3"/>
      <c r="BH29" s="3"/>
      <c r="BI29" s="3"/>
      <c r="BJ29" s="3"/>
    </row>
    <row r="30" spans="1:62">
      <c r="A30" s="52" t="str">
        <f>'DDR2 Strobes - 1x16'!$A$15</f>
        <v>SA_DQS2#</v>
      </c>
      <c r="B30" s="674" t="str">
        <f>'DDR2 Strobes - 1x16'!$B$15</f>
        <v>AB22</v>
      </c>
      <c r="C30" s="660"/>
      <c r="D30" s="53"/>
      <c r="E30" s="81"/>
      <c r="F30" s="81"/>
      <c r="G30" s="440"/>
      <c r="H30" s="296"/>
      <c r="I30" s="296"/>
      <c r="J30" s="296"/>
      <c r="K30" s="296"/>
      <c r="L30" s="296"/>
      <c r="M30" s="296"/>
      <c r="N30" s="296"/>
      <c r="O30" s="81"/>
      <c r="P30" s="81"/>
      <c r="Q30" s="602"/>
      <c r="R30" s="602"/>
      <c r="S30" s="603"/>
      <c r="T30" s="603"/>
      <c r="U30" s="58"/>
      <c r="V30" s="58" t="e">
        <f ca="1">GetSODIMMStrbLen($A30)</f>
        <v>#NAME?</v>
      </c>
      <c r="W30" s="58"/>
      <c r="X30" s="58"/>
      <c r="Y30" s="58"/>
      <c r="Z30" s="608"/>
      <c r="AA30" s="618" t="e">
        <f>"Strobe Pair to " &amp;#REF!</f>
        <v>#REF!</v>
      </c>
      <c r="AB30" s="58" t="e">
        <f ca="1">GetStrbLen(#REF!, "N")</f>
        <v>#NAME?</v>
      </c>
      <c r="AC30" s="58"/>
      <c r="AD30" s="58"/>
      <c r="AE30" s="58"/>
      <c r="AF30" s="608"/>
      <c r="AG30" s="608"/>
      <c r="AH30" s="608"/>
      <c r="AI30" s="609"/>
      <c r="AJ30" s="609"/>
      <c r="AK30" s="609"/>
      <c r="AL30" s="609"/>
      <c r="AM30" s="609"/>
      <c r="AN30" s="609"/>
      <c r="AO30" s="609"/>
      <c r="AP30" s="609"/>
      <c r="AQ30" s="609"/>
      <c r="AR30" s="609"/>
      <c r="AS30" s="58"/>
      <c r="AT30" s="3"/>
      <c r="AU30" s="3"/>
      <c r="AV30" s="3"/>
      <c r="AW30" s="3"/>
      <c r="AX30" s="3"/>
      <c r="AY30" s="3"/>
      <c r="AZ30" s="3"/>
      <c r="BA30" s="3"/>
      <c r="BB30" s="3"/>
      <c r="BC30" s="3"/>
      <c r="BD30" s="3"/>
      <c r="BE30" s="3"/>
      <c r="BF30" s="3"/>
      <c r="BG30" s="3"/>
      <c r="BH30" s="3"/>
      <c r="BI30" s="3"/>
      <c r="BJ30" s="3"/>
    </row>
    <row r="31" spans="1:62">
      <c r="A31" s="630" t="s">
        <v>138</v>
      </c>
      <c r="B31" s="646" t="s">
        <v>480</v>
      </c>
      <c r="C31" s="658">
        <v>532.63779527559052</v>
      </c>
      <c r="D31" s="18"/>
      <c r="E31" s="277">
        <v>29.7</v>
      </c>
      <c r="F31" s="277">
        <v>0</v>
      </c>
      <c r="G31" s="438">
        <v>1743.9636220472435</v>
      </c>
      <c r="H31" s="305">
        <v>82.37</v>
      </c>
      <c r="I31" s="277">
        <v>0</v>
      </c>
      <c r="J31" s="305">
        <v>59.57</v>
      </c>
      <c r="K31" s="277">
        <v>40</v>
      </c>
      <c r="L31" s="305">
        <v>62.17</v>
      </c>
      <c r="M31" s="305">
        <v>1040.69</v>
      </c>
      <c r="N31" s="305">
        <v>78</v>
      </c>
      <c r="O31" s="69"/>
      <c r="P31" s="489">
        <f xml:space="preserve"> E31+F31+G31+H31</f>
        <v>1856.0336220472436</v>
      </c>
      <c r="Q31" s="489">
        <f>SUM(E31:G31,I31:N31)</f>
        <v>3054.0936220472436</v>
      </c>
      <c r="R31" s="597"/>
      <c r="S31" s="489" t="e">
        <f>P31+IF($B$2="mil",1,0.0254)*C31</f>
        <v>#REF!</v>
      </c>
      <c r="T31" s="489" t="e">
        <f t="shared" ref="T31:T39" si="42">Q31+IF($B$2="mil",1,0.0254)*$C31</f>
        <v>#REF!</v>
      </c>
      <c r="U31" s="597"/>
      <c r="V31" s="489" t="e">
        <f ca="1">MAX(V$29:V$30)+IF($B$2="mil",1,0.0254)*DDR2Specs!$B$3</f>
        <v>#NAME?</v>
      </c>
      <c r="W31" s="489" t="e">
        <f ca="1">MIN(V$29:V$30)+IF($B$2="mil",1,0.0254)*DDR2Specs!$C$3</f>
        <v>#NAME?</v>
      </c>
      <c r="X31" s="21"/>
      <c r="Y31" s="598" t="e">
        <f ca="1">IF($S31&lt;$V31,$V31-$S31,"Pass")</f>
        <v>#REF!</v>
      </c>
      <c r="Z31" s="495" t="e">
        <f ca="1">IF($S31&gt;$W31,$S31-$W31,"Pass")</f>
        <v>#REF!</v>
      </c>
      <c r="AA31" s="21"/>
      <c r="AB31" s="489" t="e">
        <f ca="1">MAX(AB$29:AB$30)+IF($B$2="mil",1,0.0254)*DDR2Specs!$E$3</f>
        <v>#NAME?</v>
      </c>
      <c r="AC31" s="489" t="e">
        <f ca="1">MIN(AB$29:AB$30)+IF($B$2="mil",1,0.0254)*DDR2Specs!$F$3</f>
        <v>#NAME?</v>
      </c>
      <c r="AD31" s="21"/>
      <c r="AE31" s="598" t="e">
        <f t="shared" ref="AE31:AE39" ca="1" si="43">IF($T31&lt;$AB31,$AB31-$T31,"Pass")</f>
        <v>#REF!</v>
      </c>
      <c r="AF31" s="495" t="e">
        <f t="shared" ref="AF31:AF39" ca="1" si="44">IF($T31&gt;$AC31,$T31-$AC31,"Pass")</f>
        <v>#REF!</v>
      </c>
      <c r="AG31" s="495" t="e">
        <f t="shared" ref="AG31:AG39" si="45">IF($E31&lt;=IF($B$2="mil",1,0.0254)*50,"Pass",IF($B$2="mil",1,0.0254)*50-$E31)</f>
        <v>#REF!</v>
      </c>
      <c r="AH31" s="495" t="e">
        <f t="shared" ref="AH31:AH39" si="46">IF($F31&lt;=IF($B$2="mil",1,0.0254)*500,"Pass",IF($B$2="mil",1,0.0254)*500-$F31)</f>
        <v>#REF!</v>
      </c>
      <c r="AI31" s="495" t="e">
        <f>IF($H31&lt;=IF($B$2="mil",1,0.0254)*250,"Pass",IF($B$2="mil",1,0.0254)*250-$H31)</f>
        <v>#REF!</v>
      </c>
      <c r="AJ31" s="495" t="e">
        <f t="shared" ref="AJ31:AJ39" ca="1" si="47">CheckLength(IF($B$2="mil",1,0.0254)*1000, IF($B$2="mil",1,0.0254)*125-J31, 0, I31,J31,0)</f>
        <v>#NAME?</v>
      </c>
      <c r="AK31" s="495" t="e">
        <f>IF($J31&lt;=IF($B$2="mil",1,0.0254)*125,"Pass",IF($B$2="mil",1,0.0254)*125-$J31)</f>
        <v>#REF!</v>
      </c>
      <c r="AL31" s="495" t="e">
        <f>IF($L31&lt;=IF($B$2="mil",1,0.0254)*125,"Pass",IF($B$2="mil",1,0.0254)*125-$L31)</f>
        <v>#REF!</v>
      </c>
      <c r="AM31" s="495" t="e">
        <f ca="1">CheckLength(IF($B$2="mil",1,0.0254)*1250, IF($B$2="mil",1,0.0254)*125-L31, IF($B$2="mil",1,0.0254)*150-N31, M31,L31,N31)</f>
        <v>#NAME?</v>
      </c>
      <c r="AN31" s="495" t="e">
        <f t="shared" ref="AN31:AN39" ca="1" si="48">CheckLength2(IF($B$2="mil",1,0.0254)*1400,M31,N31,0)</f>
        <v>#NAME?</v>
      </c>
      <c r="AO31" s="495" t="e">
        <f t="shared" ref="AO31:AO39" si="49">IF(AND($P31&gt;=IF($B$2="mil",1,0.0254)*500, $P31&lt;=IF($B$2="mil",1,0.0254)*4000),"Pass",IF($B$2="mil",1,0.0254)*4000-$P31)</f>
        <v>#REF!</v>
      </c>
      <c r="AP31" s="495" t="e">
        <f t="shared" ref="AP31:AP39" si="50">IF(AND($S31&gt;=IF($B$2="mil",1,0.0254)*500, $S31&lt;=IF($B$2="mil",1,0.0254)*4500),"Pass",IF($B$2="mil",1,0.0254)*4500-$S31)</f>
        <v>#REF!</v>
      </c>
      <c r="AQ31" s="495" t="e">
        <f t="shared" ref="AQ31:AQ39" si="51">IF(AND($Q31&gt;=IF($B$2="mil",1,0.0254)*500, $Q31&lt;=IF($B$2="mil",1,0.0254)*5500),"Pass",IF($B$2="mil",1,0.0254)*5500-$Q31)</f>
        <v>#REF!</v>
      </c>
      <c r="AR31" s="495" t="e">
        <f t="shared" ref="AR31:AR39" si="52">IF(AND($T31&gt;=IF($B$2="mil",1,0.0254)*500, $T31&lt;=IF($B$2="mil",1,0.0254)*6000),"Pass",IF($B$2="mil",1,0.0254)*6000-$T31)</f>
        <v>#REF!</v>
      </c>
      <c r="AS31" s="21"/>
      <c r="AT31" s="3" t="e">
        <f t="shared" ref="AT31:AT39" ca="1" si="53">IF(AND(AG31="Pass",AP31="Pass",AI31="Pass",AH31="Pass",AO31="Pass",Y31="Pass",Z31="Pass",AN31="Pass",AM31="Pass",AL31="Pass",AK31="Pass",AJ31="Pass",AE31="Pass",AF31="Pass",AQ31="Pass",AR31="Pass"),"Pass","Fail")</f>
        <v>#REF!</v>
      </c>
      <c r="AU31" s="3" t="e">
        <f ca="1">IF(AND(AT31="Pass",AT32="Pass",AT33="Pass",AT34="Pass",AT35="Pass",AT36="Pass",AT37="Pass",AT38="Pass",AT39="Pass"),"Pass","Fail")</f>
        <v>#REF!</v>
      </c>
      <c r="AV31" s="3"/>
      <c r="AW31" s="3"/>
      <c r="AX31" s="3"/>
      <c r="AY31" s="3"/>
      <c r="AZ31" s="3"/>
      <c r="BA31" s="3"/>
      <c r="BB31" s="3"/>
      <c r="BC31" s="3"/>
      <c r="BD31" s="3"/>
      <c r="BE31" s="3"/>
      <c r="BF31" s="3"/>
      <c r="BG31" s="3"/>
      <c r="BH31" s="3"/>
      <c r="BI31" s="3"/>
      <c r="BJ31" s="3"/>
    </row>
    <row r="32" spans="1:62">
      <c r="A32" s="630" t="s">
        <v>139</v>
      </c>
      <c r="B32" s="646" t="s">
        <v>481</v>
      </c>
      <c r="C32" s="658">
        <v>514.9212598425197</v>
      </c>
      <c r="D32" s="18"/>
      <c r="E32" s="277">
        <v>29.7</v>
      </c>
      <c r="F32" s="277">
        <v>0</v>
      </c>
      <c r="G32" s="438">
        <v>1710.7577952755908</v>
      </c>
      <c r="H32" s="305">
        <v>127.19</v>
      </c>
      <c r="I32" s="277">
        <v>0</v>
      </c>
      <c r="J32" s="305">
        <v>111.43</v>
      </c>
      <c r="K32" s="277">
        <v>40</v>
      </c>
      <c r="L32" s="305">
        <v>66.900000000000006</v>
      </c>
      <c r="M32" s="305">
        <v>1041.8499999999999</v>
      </c>
      <c r="N32" s="305">
        <v>69.64</v>
      </c>
      <c r="O32" s="69"/>
      <c r="P32" s="489">
        <f t="shared" ref="P32:P39" si="54" xml:space="preserve"> E32+F32+G32+H32</f>
        <v>1867.6477952755909</v>
      </c>
      <c r="Q32" s="489">
        <f t="shared" ref="Q32:Q39" si="55">SUM(E32:G32,I32:N32)</f>
        <v>3070.277795275591</v>
      </c>
      <c r="R32" s="597"/>
      <c r="S32" s="489" t="e">
        <f t="shared" ref="S32:S39" si="56">P32+IF($B$2="mil",1,0.0254)*C32</f>
        <v>#REF!</v>
      </c>
      <c r="T32" s="489" t="e">
        <f t="shared" si="42"/>
        <v>#REF!</v>
      </c>
      <c r="U32" s="597"/>
      <c r="V32" s="489" t="e">
        <f ca="1">MAX(V$29:V$30)+IF($B$2="mil",1,0.0254)*DDR2Specs!$B$3</f>
        <v>#NAME?</v>
      </c>
      <c r="W32" s="489" t="e">
        <f ca="1">MIN(V$29:V$30)+IF($B$2="mil",1,0.0254)*DDR2Specs!$C$3</f>
        <v>#NAME?</v>
      </c>
      <c r="X32" s="21"/>
      <c r="Y32" s="598" t="e">
        <f t="shared" ref="Y32:Y39" ca="1" si="57">IF($S32&lt;$V32,$V32-$S32,"Pass")</f>
        <v>#REF!</v>
      </c>
      <c r="Z32" s="495" t="e">
        <f t="shared" ref="Z32:Z39" ca="1" si="58">IF($S32&gt;$W32,$S32-$W32,"Pass")</f>
        <v>#REF!</v>
      </c>
      <c r="AA32" s="21"/>
      <c r="AB32" s="489" t="e">
        <f ca="1">MAX(AB$29:AB$30)+IF($B$2="mil",1,0.0254)*DDR2Specs!$E$3</f>
        <v>#NAME?</v>
      </c>
      <c r="AC32" s="489" t="e">
        <f ca="1">MIN(AB$29:AB$30)+IF($B$2="mil",1,0.0254)*DDR2Specs!$F$3</f>
        <v>#NAME?</v>
      </c>
      <c r="AD32" s="21"/>
      <c r="AE32" s="598" t="e">
        <f t="shared" ca="1" si="43"/>
        <v>#REF!</v>
      </c>
      <c r="AF32" s="495" t="e">
        <f t="shared" ca="1" si="44"/>
        <v>#REF!</v>
      </c>
      <c r="AG32" s="495" t="e">
        <f t="shared" si="45"/>
        <v>#REF!</v>
      </c>
      <c r="AH32" s="495" t="e">
        <f t="shared" si="46"/>
        <v>#REF!</v>
      </c>
      <c r="AI32" s="495" t="e">
        <f t="shared" ref="AI32:AI39" si="59">IF($H32&lt;=IF($B$2="mil",1,0.0254)*250,"Pass",IF($B$2="mil",1,0.0254)*250-$H32)</f>
        <v>#REF!</v>
      </c>
      <c r="AJ32" s="495" t="e">
        <f t="shared" ca="1" si="47"/>
        <v>#NAME?</v>
      </c>
      <c r="AK32" s="495" t="e">
        <f t="shared" ref="AK32:AK39" si="60">IF($J32&lt;=IF($B$2="mil",1,0.0254)*125,"Pass",IF($B$2="mil",1,0.0254)*125-$J32)</f>
        <v>#REF!</v>
      </c>
      <c r="AL32" s="495" t="e">
        <f t="shared" ref="AL32:AL39" si="61">IF($L32&lt;=IF($B$2="mil",1,0.0254)*125,"Pass",IF($B$2="mil",1,0.0254)*125-$L32)</f>
        <v>#REF!</v>
      </c>
      <c r="AM32" s="495" t="e">
        <f t="shared" ref="AM32:AM39" ca="1" si="62">CheckLength(IF($B$2="mil",1,0.0254)*1250, IF($B$2="mil",1,0.0254)*125-L32, IF($B$2="mil",1,0.0254)*150-N32, M32,L32,N32)</f>
        <v>#NAME?</v>
      </c>
      <c r="AN32" s="495" t="e">
        <f t="shared" ca="1" si="48"/>
        <v>#NAME?</v>
      </c>
      <c r="AO32" s="495" t="e">
        <f t="shared" si="49"/>
        <v>#REF!</v>
      </c>
      <c r="AP32" s="495" t="e">
        <f t="shared" si="50"/>
        <v>#REF!</v>
      </c>
      <c r="AQ32" s="495" t="e">
        <f t="shared" si="51"/>
        <v>#REF!</v>
      </c>
      <c r="AR32" s="495" t="e">
        <f t="shared" si="52"/>
        <v>#REF!</v>
      </c>
      <c r="AS32" s="21"/>
      <c r="AT32" s="3" t="e">
        <f t="shared" ca="1" si="53"/>
        <v>#REF!</v>
      </c>
      <c r="AU32" s="3"/>
      <c r="AV32" s="3"/>
      <c r="AW32" s="3"/>
      <c r="AX32" s="3"/>
      <c r="AY32" s="3"/>
      <c r="AZ32" s="3"/>
      <c r="BA32" s="3"/>
      <c r="BB32" s="3"/>
      <c r="BC32" s="3"/>
      <c r="BD32" s="3"/>
      <c r="BE32" s="3"/>
      <c r="BF32" s="3"/>
      <c r="BG32" s="3"/>
      <c r="BH32" s="3"/>
      <c r="BI32" s="3"/>
      <c r="BJ32" s="3"/>
    </row>
    <row r="33" spans="1:62">
      <c r="A33" s="630" t="s">
        <v>140</v>
      </c>
      <c r="B33" s="646" t="s">
        <v>482</v>
      </c>
      <c r="C33" s="658">
        <v>468.18897637795277</v>
      </c>
      <c r="D33" s="18"/>
      <c r="E33" s="277">
        <v>29.7</v>
      </c>
      <c r="F33" s="277">
        <v>0</v>
      </c>
      <c r="G33" s="438">
        <v>1950.014173228346</v>
      </c>
      <c r="H33" s="305">
        <v>71.91</v>
      </c>
      <c r="I33" s="277">
        <v>0</v>
      </c>
      <c r="J33" s="305">
        <v>56.64</v>
      </c>
      <c r="K33" s="277">
        <v>40</v>
      </c>
      <c r="L33" s="305">
        <v>76.23</v>
      </c>
      <c r="M33" s="305">
        <v>1058.99</v>
      </c>
      <c r="N33" s="305">
        <v>37</v>
      </c>
      <c r="O33" s="69"/>
      <c r="P33" s="489">
        <f t="shared" si="54"/>
        <v>2051.6241732283461</v>
      </c>
      <c r="Q33" s="489">
        <f t="shared" si="55"/>
        <v>3248.5741732283459</v>
      </c>
      <c r="R33" s="597"/>
      <c r="S33" s="489" t="e">
        <f t="shared" si="56"/>
        <v>#REF!</v>
      </c>
      <c r="T33" s="489" t="e">
        <f t="shared" si="42"/>
        <v>#REF!</v>
      </c>
      <c r="U33" s="597"/>
      <c r="V33" s="489" t="e">
        <f ca="1">MAX(V$29:V$30)+IF($B$2="mil",1,0.0254)*DDR2Specs!$B$3</f>
        <v>#NAME?</v>
      </c>
      <c r="W33" s="489" t="e">
        <f ca="1">MIN(V$29:V$30)+IF($B$2="mil",1,0.0254)*DDR2Specs!$C$3</f>
        <v>#NAME?</v>
      </c>
      <c r="X33" s="21"/>
      <c r="Y33" s="598" t="e">
        <f t="shared" ca="1" si="57"/>
        <v>#REF!</v>
      </c>
      <c r="Z33" s="495" t="e">
        <f t="shared" ca="1" si="58"/>
        <v>#REF!</v>
      </c>
      <c r="AA33" s="21"/>
      <c r="AB33" s="489" t="e">
        <f ca="1">MAX(AB$29:AB$30)+IF($B$2="mil",1,0.0254)*DDR2Specs!$E$3</f>
        <v>#NAME?</v>
      </c>
      <c r="AC33" s="489" t="e">
        <f ca="1">MIN(AB$29:AB$30)+IF($B$2="mil",1,0.0254)*DDR2Specs!$F$3</f>
        <v>#NAME?</v>
      </c>
      <c r="AD33" s="21"/>
      <c r="AE33" s="598" t="e">
        <f t="shared" ca="1" si="43"/>
        <v>#REF!</v>
      </c>
      <c r="AF33" s="495" t="e">
        <f t="shared" ca="1" si="44"/>
        <v>#REF!</v>
      </c>
      <c r="AG33" s="495" t="e">
        <f t="shared" si="45"/>
        <v>#REF!</v>
      </c>
      <c r="AH33" s="495" t="e">
        <f t="shared" si="46"/>
        <v>#REF!</v>
      </c>
      <c r="AI33" s="495" t="e">
        <f t="shared" si="59"/>
        <v>#REF!</v>
      </c>
      <c r="AJ33" s="495" t="e">
        <f t="shared" ca="1" si="47"/>
        <v>#NAME?</v>
      </c>
      <c r="AK33" s="495" t="e">
        <f t="shared" si="60"/>
        <v>#REF!</v>
      </c>
      <c r="AL33" s="495" t="e">
        <f t="shared" si="61"/>
        <v>#REF!</v>
      </c>
      <c r="AM33" s="495" t="e">
        <f t="shared" ca="1" si="62"/>
        <v>#NAME?</v>
      </c>
      <c r="AN33" s="495" t="e">
        <f t="shared" ca="1" si="48"/>
        <v>#NAME?</v>
      </c>
      <c r="AO33" s="495" t="e">
        <f t="shared" si="49"/>
        <v>#REF!</v>
      </c>
      <c r="AP33" s="495" t="e">
        <f t="shared" si="50"/>
        <v>#REF!</v>
      </c>
      <c r="AQ33" s="495" t="e">
        <f t="shared" si="51"/>
        <v>#REF!</v>
      </c>
      <c r="AR33" s="495" t="e">
        <f t="shared" si="52"/>
        <v>#REF!</v>
      </c>
      <c r="AS33" s="21"/>
      <c r="AT33" s="3" t="e">
        <f t="shared" ca="1" si="53"/>
        <v>#REF!</v>
      </c>
      <c r="AU33" s="3"/>
      <c r="AV33" s="3"/>
      <c r="AW33" s="3"/>
      <c r="AX33" s="3"/>
      <c r="AY33" s="3"/>
      <c r="AZ33" s="3"/>
      <c r="BA33" s="3"/>
      <c r="BB33" s="3"/>
      <c r="BC33" s="3"/>
      <c r="BD33" s="3"/>
      <c r="BE33" s="3"/>
      <c r="BF33" s="3"/>
      <c r="BG33" s="3"/>
      <c r="BH33" s="3"/>
      <c r="BI33" s="3"/>
      <c r="BJ33" s="3"/>
    </row>
    <row r="34" spans="1:62">
      <c r="A34" s="630" t="s">
        <v>141</v>
      </c>
      <c r="B34" s="646" t="s">
        <v>483</v>
      </c>
      <c r="C34" s="658">
        <v>494.40944881889766</v>
      </c>
      <c r="D34" s="18"/>
      <c r="E34" s="277">
        <v>29.7</v>
      </c>
      <c r="F34" s="277">
        <v>0</v>
      </c>
      <c r="G34" s="438">
        <v>1918.0805511811018</v>
      </c>
      <c r="H34" s="305">
        <v>72.819999999999993</v>
      </c>
      <c r="I34" s="277">
        <v>0</v>
      </c>
      <c r="J34" s="305">
        <v>58.71</v>
      </c>
      <c r="K34" s="277">
        <v>40</v>
      </c>
      <c r="L34" s="305">
        <v>100.8</v>
      </c>
      <c r="M34" s="305">
        <v>1041.04</v>
      </c>
      <c r="N34" s="305">
        <v>31.49</v>
      </c>
      <c r="O34" s="69"/>
      <c r="P34" s="489">
        <f t="shared" si="54"/>
        <v>2020.6005511811018</v>
      </c>
      <c r="Q34" s="489">
        <f t="shared" si="55"/>
        <v>3219.8205511811016</v>
      </c>
      <c r="R34" s="597"/>
      <c r="S34" s="489" t="e">
        <f t="shared" si="56"/>
        <v>#REF!</v>
      </c>
      <c r="T34" s="489" t="e">
        <f t="shared" si="42"/>
        <v>#REF!</v>
      </c>
      <c r="U34" s="597"/>
      <c r="V34" s="489" t="e">
        <f ca="1">MAX(V$29:V$30)+IF($B$2="mil",1,0.0254)*DDR2Specs!$B$3</f>
        <v>#NAME?</v>
      </c>
      <c r="W34" s="489" t="e">
        <f ca="1">MIN(V$29:V$30)+IF($B$2="mil",1,0.0254)*DDR2Specs!$C$3</f>
        <v>#NAME?</v>
      </c>
      <c r="X34" s="21"/>
      <c r="Y34" s="598" t="e">
        <f t="shared" ca="1" si="57"/>
        <v>#REF!</v>
      </c>
      <c r="Z34" s="495" t="e">
        <f t="shared" ca="1" si="58"/>
        <v>#REF!</v>
      </c>
      <c r="AA34" s="21"/>
      <c r="AB34" s="489" t="e">
        <f ca="1">MAX(AB$29:AB$30)+IF($B$2="mil",1,0.0254)*DDR2Specs!$E$3</f>
        <v>#NAME?</v>
      </c>
      <c r="AC34" s="489" t="e">
        <f ca="1">MIN(AB$29:AB$30)+IF($B$2="mil",1,0.0254)*DDR2Specs!$F$3</f>
        <v>#NAME?</v>
      </c>
      <c r="AD34" s="21"/>
      <c r="AE34" s="598" t="e">
        <f t="shared" ca="1" si="43"/>
        <v>#REF!</v>
      </c>
      <c r="AF34" s="495" t="e">
        <f t="shared" ca="1" si="44"/>
        <v>#REF!</v>
      </c>
      <c r="AG34" s="495" t="e">
        <f t="shared" si="45"/>
        <v>#REF!</v>
      </c>
      <c r="AH34" s="495" t="e">
        <f t="shared" si="46"/>
        <v>#REF!</v>
      </c>
      <c r="AI34" s="495" t="e">
        <f t="shared" si="59"/>
        <v>#REF!</v>
      </c>
      <c r="AJ34" s="495" t="e">
        <f t="shared" ca="1" si="47"/>
        <v>#NAME?</v>
      </c>
      <c r="AK34" s="495" t="e">
        <f t="shared" si="60"/>
        <v>#REF!</v>
      </c>
      <c r="AL34" s="495" t="e">
        <f t="shared" si="61"/>
        <v>#REF!</v>
      </c>
      <c r="AM34" s="495" t="e">
        <f t="shared" ca="1" si="62"/>
        <v>#NAME?</v>
      </c>
      <c r="AN34" s="495" t="e">
        <f t="shared" ca="1" si="48"/>
        <v>#NAME?</v>
      </c>
      <c r="AO34" s="495" t="e">
        <f t="shared" si="49"/>
        <v>#REF!</v>
      </c>
      <c r="AP34" s="495" t="e">
        <f t="shared" si="50"/>
        <v>#REF!</v>
      </c>
      <c r="AQ34" s="495" t="e">
        <f t="shared" si="51"/>
        <v>#REF!</v>
      </c>
      <c r="AR34" s="495" t="e">
        <f t="shared" si="52"/>
        <v>#REF!</v>
      </c>
      <c r="AS34" s="21"/>
      <c r="AT34" s="3" t="e">
        <f t="shared" ca="1" si="53"/>
        <v>#REF!</v>
      </c>
      <c r="AU34" s="3"/>
      <c r="AV34" s="3"/>
      <c r="AW34" s="3"/>
      <c r="AX34" s="3"/>
      <c r="AY34" s="3"/>
      <c r="AZ34" s="3"/>
      <c r="BA34" s="3"/>
      <c r="BB34" s="3"/>
      <c r="BC34" s="3"/>
      <c r="BD34" s="3"/>
      <c r="BE34" s="3"/>
      <c r="BF34" s="3"/>
      <c r="BG34" s="3"/>
      <c r="BH34" s="3"/>
      <c r="BI34" s="3"/>
      <c r="BJ34" s="3"/>
    </row>
    <row r="35" spans="1:62">
      <c r="A35" s="630" t="s">
        <v>142</v>
      </c>
      <c r="B35" s="646" t="s">
        <v>484</v>
      </c>
      <c r="C35" s="658">
        <v>570.90551181102364</v>
      </c>
      <c r="D35" s="18"/>
      <c r="E35" s="277">
        <v>29.7</v>
      </c>
      <c r="F35" s="277">
        <v>0</v>
      </c>
      <c r="G35" s="438">
        <v>1899.1331496062987</v>
      </c>
      <c r="H35" s="305">
        <v>85.98</v>
      </c>
      <c r="I35" s="277">
        <v>0</v>
      </c>
      <c r="J35" s="305">
        <v>59.57</v>
      </c>
      <c r="K35" s="277">
        <v>40</v>
      </c>
      <c r="L35" s="305">
        <v>100.86</v>
      </c>
      <c r="M35" s="305">
        <v>1046.93</v>
      </c>
      <c r="N35" s="305">
        <v>36</v>
      </c>
      <c r="O35" s="69"/>
      <c r="P35" s="489">
        <f t="shared" si="54"/>
        <v>2014.8131496062988</v>
      </c>
      <c r="Q35" s="489">
        <f t="shared" si="55"/>
        <v>3212.1931496062989</v>
      </c>
      <c r="R35" s="597"/>
      <c r="S35" s="489" t="e">
        <f t="shared" si="56"/>
        <v>#REF!</v>
      </c>
      <c r="T35" s="489" t="e">
        <f t="shared" si="42"/>
        <v>#REF!</v>
      </c>
      <c r="U35" s="597"/>
      <c r="V35" s="489" t="e">
        <f ca="1">MAX(V$29:V$30)+IF($B$2="mil",1,0.0254)*DDR2Specs!$B$3</f>
        <v>#NAME?</v>
      </c>
      <c r="W35" s="489" t="e">
        <f ca="1">MIN(V$29:V$30)+IF($B$2="mil",1,0.0254)*DDR2Specs!$C$3</f>
        <v>#NAME?</v>
      </c>
      <c r="X35" s="21"/>
      <c r="Y35" s="598" t="e">
        <f t="shared" ca="1" si="57"/>
        <v>#REF!</v>
      </c>
      <c r="Z35" s="495" t="e">
        <f t="shared" ca="1" si="58"/>
        <v>#REF!</v>
      </c>
      <c r="AA35" s="21"/>
      <c r="AB35" s="489" t="e">
        <f ca="1">MAX(AB$29:AB$30)+IF($B$2="mil",1,0.0254)*DDR2Specs!$E$3</f>
        <v>#NAME?</v>
      </c>
      <c r="AC35" s="489" t="e">
        <f ca="1">MIN(AB$29:AB$30)+IF($B$2="mil",1,0.0254)*DDR2Specs!$F$3</f>
        <v>#NAME?</v>
      </c>
      <c r="AD35" s="21"/>
      <c r="AE35" s="598" t="e">
        <f t="shared" ca="1" si="43"/>
        <v>#REF!</v>
      </c>
      <c r="AF35" s="495" t="e">
        <f t="shared" ca="1" si="44"/>
        <v>#REF!</v>
      </c>
      <c r="AG35" s="495" t="e">
        <f t="shared" si="45"/>
        <v>#REF!</v>
      </c>
      <c r="AH35" s="495" t="e">
        <f t="shared" si="46"/>
        <v>#REF!</v>
      </c>
      <c r="AI35" s="495" t="e">
        <f t="shared" si="59"/>
        <v>#REF!</v>
      </c>
      <c r="AJ35" s="495" t="e">
        <f t="shared" ca="1" si="47"/>
        <v>#NAME?</v>
      </c>
      <c r="AK35" s="495" t="e">
        <f t="shared" si="60"/>
        <v>#REF!</v>
      </c>
      <c r="AL35" s="495" t="e">
        <f t="shared" si="61"/>
        <v>#REF!</v>
      </c>
      <c r="AM35" s="495" t="e">
        <f t="shared" ca="1" si="62"/>
        <v>#NAME?</v>
      </c>
      <c r="AN35" s="495" t="e">
        <f t="shared" ca="1" si="48"/>
        <v>#NAME?</v>
      </c>
      <c r="AO35" s="495" t="e">
        <f t="shared" si="49"/>
        <v>#REF!</v>
      </c>
      <c r="AP35" s="495" t="e">
        <f t="shared" si="50"/>
        <v>#REF!</v>
      </c>
      <c r="AQ35" s="495" t="e">
        <f t="shared" si="51"/>
        <v>#REF!</v>
      </c>
      <c r="AR35" s="495" t="e">
        <f t="shared" si="52"/>
        <v>#REF!</v>
      </c>
      <c r="AS35" s="21"/>
      <c r="AT35" s="3" t="e">
        <f t="shared" ca="1" si="53"/>
        <v>#REF!</v>
      </c>
      <c r="AU35" s="3"/>
      <c r="AV35" s="3"/>
      <c r="AW35" s="3"/>
      <c r="AX35" s="3"/>
      <c r="AY35" s="3"/>
      <c r="AZ35" s="3"/>
      <c r="BA35" s="3"/>
      <c r="BB35" s="3"/>
      <c r="BC35" s="3"/>
      <c r="BD35" s="3"/>
      <c r="BE35" s="3"/>
      <c r="BF35" s="3"/>
      <c r="BG35" s="3"/>
      <c r="BH35" s="3"/>
      <c r="BI35" s="3"/>
      <c r="BJ35" s="3"/>
    </row>
    <row r="36" spans="1:62">
      <c r="A36" s="630" t="s">
        <v>143</v>
      </c>
      <c r="B36" s="646" t="s">
        <v>349</v>
      </c>
      <c r="C36" s="658">
        <v>498.14960629921262</v>
      </c>
      <c r="D36" s="18"/>
      <c r="E36" s="277">
        <v>29.7</v>
      </c>
      <c r="F36" s="277">
        <v>0</v>
      </c>
      <c r="G36" s="438">
        <v>1747.1582677165347</v>
      </c>
      <c r="H36" s="305">
        <v>122.01</v>
      </c>
      <c r="I36" s="277">
        <v>0</v>
      </c>
      <c r="J36" s="305">
        <v>108.21</v>
      </c>
      <c r="K36" s="277">
        <v>40</v>
      </c>
      <c r="L36" s="305">
        <v>56.86</v>
      </c>
      <c r="M36" s="305">
        <v>1015.04</v>
      </c>
      <c r="N36" s="305">
        <v>106.79</v>
      </c>
      <c r="O36" s="69"/>
      <c r="P36" s="489">
        <f t="shared" si="54"/>
        <v>1898.8682677165348</v>
      </c>
      <c r="Q36" s="489">
        <f t="shared" si="55"/>
        <v>3103.7582677165346</v>
      </c>
      <c r="R36" s="597"/>
      <c r="S36" s="489" t="e">
        <f t="shared" si="56"/>
        <v>#REF!</v>
      </c>
      <c r="T36" s="489" t="e">
        <f t="shared" si="42"/>
        <v>#REF!</v>
      </c>
      <c r="U36" s="597"/>
      <c r="V36" s="489" t="e">
        <f ca="1">MAX(V$29:V$30)+IF($B$2="mil",1,0.0254)*DDR2Specs!$B$3</f>
        <v>#NAME?</v>
      </c>
      <c r="W36" s="489" t="e">
        <f ca="1">MIN(V$29:V$30)+IF($B$2="mil",1,0.0254)*DDR2Specs!$C$3</f>
        <v>#NAME?</v>
      </c>
      <c r="X36" s="21"/>
      <c r="Y36" s="598" t="e">
        <f t="shared" ca="1" si="57"/>
        <v>#REF!</v>
      </c>
      <c r="Z36" s="495" t="e">
        <f t="shared" ca="1" si="58"/>
        <v>#REF!</v>
      </c>
      <c r="AA36" s="21"/>
      <c r="AB36" s="489" t="e">
        <f ca="1">MAX(AB$29:AB$30)+IF($B$2="mil",1,0.0254)*DDR2Specs!$E$3</f>
        <v>#NAME?</v>
      </c>
      <c r="AC36" s="489" t="e">
        <f ca="1">MIN(AB$29:AB$30)+IF($B$2="mil",1,0.0254)*DDR2Specs!$F$3</f>
        <v>#NAME?</v>
      </c>
      <c r="AD36" s="21"/>
      <c r="AE36" s="598" t="e">
        <f t="shared" ca="1" si="43"/>
        <v>#REF!</v>
      </c>
      <c r="AF36" s="495" t="e">
        <f t="shared" ca="1" si="44"/>
        <v>#REF!</v>
      </c>
      <c r="AG36" s="495" t="e">
        <f t="shared" si="45"/>
        <v>#REF!</v>
      </c>
      <c r="AH36" s="495" t="e">
        <f t="shared" si="46"/>
        <v>#REF!</v>
      </c>
      <c r="AI36" s="495" t="e">
        <f t="shared" si="59"/>
        <v>#REF!</v>
      </c>
      <c r="AJ36" s="495" t="e">
        <f t="shared" ca="1" si="47"/>
        <v>#NAME?</v>
      </c>
      <c r="AK36" s="495" t="e">
        <f t="shared" si="60"/>
        <v>#REF!</v>
      </c>
      <c r="AL36" s="495" t="e">
        <f t="shared" si="61"/>
        <v>#REF!</v>
      </c>
      <c r="AM36" s="495" t="e">
        <f t="shared" ca="1" si="62"/>
        <v>#NAME?</v>
      </c>
      <c r="AN36" s="495" t="e">
        <f t="shared" ca="1" si="48"/>
        <v>#NAME?</v>
      </c>
      <c r="AO36" s="495" t="e">
        <f t="shared" si="49"/>
        <v>#REF!</v>
      </c>
      <c r="AP36" s="495" t="e">
        <f t="shared" si="50"/>
        <v>#REF!</v>
      </c>
      <c r="AQ36" s="495" t="e">
        <f t="shared" si="51"/>
        <v>#REF!</v>
      </c>
      <c r="AR36" s="495" t="e">
        <f t="shared" si="52"/>
        <v>#REF!</v>
      </c>
      <c r="AS36" s="21"/>
      <c r="AT36" s="3" t="e">
        <f t="shared" ca="1" si="53"/>
        <v>#REF!</v>
      </c>
      <c r="AU36" s="3"/>
      <c r="AV36" s="3"/>
      <c r="AW36" s="3"/>
      <c r="AX36" s="3"/>
      <c r="AY36" s="3"/>
      <c r="AZ36" s="3"/>
      <c r="BA36" s="3"/>
      <c r="BB36" s="3"/>
      <c r="BC36" s="3"/>
      <c r="BD36" s="3"/>
      <c r="BE36" s="3"/>
      <c r="BF36" s="3"/>
      <c r="BG36" s="3"/>
      <c r="BH36" s="3"/>
      <c r="BI36" s="3"/>
      <c r="BJ36" s="3"/>
    </row>
    <row r="37" spans="1:62">
      <c r="A37" s="630" t="s">
        <v>144</v>
      </c>
      <c r="B37" s="646" t="s">
        <v>347</v>
      </c>
      <c r="C37" s="658">
        <v>466.29921259842519</v>
      </c>
      <c r="D37" s="18"/>
      <c r="E37" s="277">
        <v>29.7</v>
      </c>
      <c r="F37" s="277">
        <v>0</v>
      </c>
      <c r="G37" s="438">
        <v>1850.3782677165348</v>
      </c>
      <c r="H37" s="305">
        <v>73.790000000000006</v>
      </c>
      <c r="I37" s="277">
        <v>0</v>
      </c>
      <c r="J37" s="305">
        <v>60.78</v>
      </c>
      <c r="K37" s="277">
        <v>40</v>
      </c>
      <c r="L37" s="305">
        <v>90.78</v>
      </c>
      <c r="M37" s="305">
        <v>1010.31</v>
      </c>
      <c r="N37" s="305">
        <v>71.53</v>
      </c>
      <c r="O37" s="69"/>
      <c r="P37" s="489">
        <f t="shared" si="54"/>
        <v>1953.8682677165348</v>
      </c>
      <c r="Q37" s="489">
        <f t="shared" si="55"/>
        <v>3153.4782677165349</v>
      </c>
      <c r="R37" s="597"/>
      <c r="S37" s="489" t="e">
        <f t="shared" si="56"/>
        <v>#REF!</v>
      </c>
      <c r="T37" s="489" t="e">
        <f t="shared" si="42"/>
        <v>#REF!</v>
      </c>
      <c r="U37" s="597"/>
      <c r="V37" s="489" t="e">
        <f ca="1">MAX(V$29:V$30)+IF($B$2="mil",1,0.0254)*DDR2Specs!$B$3</f>
        <v>#NAME?</v>
      </c>
      <c r="W37" s="489" t="e">
        <f ca="1">MIN(V$29:V$30)+IF($B$2="mil",1,0.0254)*DDR2Specs!$C$3</f>
        <v>#NAME?</v>
      </c>
      <c r="X37" s="21"/>
      <c r="Y37" s="598" t="e">
        <f t="shared" ca="1" si="57"/>
        <v>#REF!</v>
      </c>
      <c r="Z37" s="495" t="e">
        <f t="shared" ca="1" si="58"/>
        <v>#REF!</v>
      </c>
      <c r="AA37" s="21"/>
      <c r="AB37" s="489" t="e">
        <f ca="1">MAX(AB$29:AB$30)+IF($B$2="mil",1,0.0254)*DDR2Specs!$E$3</f>
        <v>#NAME?</v>
      </c>
      <c r="AC37" s="489" t="e">
        <f ca="1">MIN(AB$29:AB$30)+IF($B$2="mil",1,0.0254)*DDR2Specs!$F$3</f>
        <v>#NAME?</v>
      </c>
      <c r="AD37" s="21"/>
      <c r="AE37" s="598" t="e">
        <f t="shared" ca="1" si="43"/>
        <v>#REF!</v>
      </c>
      <c r="AF37" s="495" t="e">
        <f t="shared" ca="1" si="44"/>
        <v>#REF!</v>
      </c>
      <c r="AG37" s="495" t="e">
        <f t="shared" si="45"/>
        <v>#REF!</v>
      </c>
      <c r="AH37" s="495" t="e">
        <f t="shared" si="46"/>
        <v>#REF!</v>
      </c>
      <c r="AI37" s="495" t="e">
        <f t="shared" si="59"/>
        <v>#REF!</v>
      </c>
      <c r="AJ37" s="495" t="e">
        <f t="shared" ca="1" si="47"/>
        <v>#NAME?</v>
      </c>
      <c r="AK37" s="495" t="e">
        <f t="shared" si="60"/>
        <v>#REF!</v>
      </c>
      <c r="AL37" s="495" t="e">
        <f t="shared" si="61"/>
        <v>#REF!</v>
      </c>
      <c r="AM37" s="495" t="e">
        <f t="shared" ca="1" si="62"/>
        <v>#NAME?</v>
      </c>
      <c r="AN37" s="495" t="e">
        <f t="shared" ca="1" si="48"/>
        <v>#NAME?</v>
      </c>
      <c r="AO37" s="495" t="e">
        <f t="shared" si="49"/>
        <v>#REF!</v>
      </c>
      <c r="AP37" s="495" t="e">
        <f t="shared" si="50"/>
        <v>#REF!</v>
      </c>
      <c r="AQ37" s="495" t="e">
        <f t="shared" si="51"/>
        <v>#REF!</v>
      </c>
      <c r="AR37" s="495" t="e">
        <f t="shared" si="52"/>
        <v>#REF!</v>
      </c>
      <c r="AS37" s="21"/>
      <c r="AT37" s="3" t="e">
        <f t="shared" ca="1" si="53"/>
        <v>#REF!</v>
      </c>
      <c r="AU37" s="3"/>
      <c r="AV37" s="3"/>
      <c r="AW37" s="3"/>
      <c r="AX37" s="3"/>
      <c r="AY37" s="3"/>
      <c r="AZ37" s="3"/>
      <c r="BA37" s="3"/>
      <c r="BB37" s="3"/>
      <c r="BC37" s="3"/>
      <c r="BD37" s="3"/>
      <c r="BE37" s="3"/>
      <c r="BF37" s="3"/>
      <c r="BG37" s="3"/>
      <c r="BH37" s="3"/>
      <c r="BI37" s="3"/>
      <c r="BJ37" s="3"/>
    </row>
    <row r="38" spans="1:62">
      <c r="A38" s="630" t="s">
        <v>145</v>
      </c>
      <c r="B38" s="646" t="s">
        <v>354</v>
      </c>
      <c r="C38" s="658">
        <v>475.51181102362204</v>
      </c>
      <c r="D38" s="18"/>
      <c r="E38" s="277">
        <v>29.7</v>
      </c>
      <c r="F38" s="277">
        <v>0</v>
      </c>
      <c r="G38" s="438">
        <v>1872.2985039370078</v>
      </c>
      <c r="H38" s="305">
        <v>119.98</v>
      </c>
      <c r="I38" s="277">
        <v>0</v>
      </c>
      <c r="J38" s="305">
        <v>97.2</v>
      </c>
      <c r="K38" s="277">
        <v>40</v>
      </c>
      <c r="L38" s="305">
        <v>97</v>
      </c>
      <c r="M38" s="305">
        <v>1012.41</v>
      </c>
      <c r="N38" s="305">
        <v>76.06</v>
      </c>
      <c r="O38" s="69"/>
      <c r="P38" s="489">
        <f t="shared" si="54"/>
        <v>2021.9785039370079</v>
      </c>
      <c r="Q38" s="489">
        <f t="shared" si="55"/>
        <v>3224.6685039370077</v>
      </c>
      <c r="R38" s="597"/>
      <c r="S38" s="489" t="e">
        <f t="shared" si="56"/>
        <v>#REF!</v>
      </c>
      <c r="T38" s="489" t="e">
        <f t="shared" si="42"/>
        <v>#REF!</v>
      </c>
      <c r="U38" s="597"/>
      <c r="V38" s="489" t="e">
        <f ca="1">MAX(V$29:V$30)+IF($B$2="mil",1,0.0254)*DDR2Specs!$B$3</f>
        <v>#NAME?</v>
      </c>
      <c r="W38" s="489" t="e">
        <f ca="1">MIN(V$29:V$30)+IF($B$2="mil",1,0.0254)*DDR2Specs!$C$3</f>
        <v>#NAME?</v>
      </c>
      <c r="X38" s="21"/>
      <c r="Y38" s="598" t="e">
        <f t="shared" ca="1" si="57"/>
        <v>#REF!</v>
      </c>
      <c r="Z38" s="495" t="e">
        <f t="shared" ca="1" si="58"/>
        <v>#REF!</v>
      </c>
      <c r="AA38" s="21"/>
      <c r="AB38" s="489" t="e">
        <f ca="1">MAX(AB$29:AB$30)+IF($B$2="mil",1,0.0254)*DDR2Specs!$E$3</f>
        <v>#NAME?</v>
      </c>
      <c r="AC38" s="489" t="e">
        <f ca="1">MIN(AB$29:AB$30)+IF($B$2="mil",1,0.0254)*DDR2Specs!$F$3</f>
        <v>#NAME?</v>
      </c>
      <c r="AD38" s="21"/>
      <c r="AE38" s="598" t="e">
        <f t="shared" ca="1" si="43"/>
        <v>#REF!</v>
      </c>
      <c r="AF38" s="495" t="e">
        <f t="shared" ca="1" si="44"/>
        <v>#REF!</v>
      </c>
      <c r="AG38" s="495" t="e">
        <f t="shared" si="45"/>
        <v>#REF!</v>
      </c>
      <c r="AH38" s="495" t="e">
        <f t="shared" si="46"/>
        <v>#REF!</v>
      </c>
      <c r="AI38" s="495" t="e">
        <f t="shared" si="59"/>
        <v>#REF!</v>
      </c>
      <c r="AJ38" s="495" t="e">
        <f t="shared" ca="1" si="47"/>
        <v>#NAME?</v>
      </c>
      <c r="AK38" s="495" t="e">
        <f t="shared" si="60"/>
        <v>#REF!</v>
      </c>
      <c r="AL38" s="495" t="e">
        <f t="shared" si="61"/>
        <v>#REF!</v>
      </c>
      <c r="AM38" s="495" t="e">
        <f t="shared" ca="1" si="62"/>
        <v>#NAME?</v>
      </c>
      <c r="AN38" s="495" t="e">
        <f t="shared" ca="1" si="48"/>
        <v>#NAME?</v>
      </c>
      <c r="AO38" s="495" t="e">
        <f t="shared" si="49"/>
        <v>#REF!</v>
      </c>
      <c r="AP38" s="495" t="e">
        <f t="shared" si="50"/>
        <v>#REF!</v>
      </c>
      <c r="AQ38" s="495" t="e">
        <f t="shared" si="51"/>
        <v>#REF!</v>
      </c>
      <c r="AR38" s="495" t="e">
        <f t="shared" si="52"/>
        <v>#REF!</v>
      </c>
      <c r="AS38" s="21"/>
      <c r="AT38" s="3" t="e">
        <f t="shared" ca="1" si="53"/>
        <v>#REF!</v>
      </c>
      <c r="AU38" s="3"/>
      <c r="AV38" s="3"/>
      <c r="AW38" s="3"/>
      <c r="AX38" s="3"/>
      <c r="AY38" s="3"/>
      <c r="AZ38" s="3"/>
      <c r="BA38" s="3"/>
      <c r="BB38" s="3"/>
      <c r="BC38" s="3"/>
      <c r="BD38" s="3"/>
      <c r="BE38" s="3"/>
      <c r="BF38" s="3"/>
      <c r="BG38" s="3"/>
      <c r="BH38" s="3"/>
      <c r="BI38" s="3"/>
      <c r="BJ38" s="3"/>
    </row>
    <row r="39" spans="1:62">
      <c r="A39" s="661" t="s">
        <v>146</v>
      </c>
      <c r="B39" s="662" t="s">
        <v>518</v>
      </c>
      <c r="C39" s="658">
        <v>464.48818897637796</v>
      </c>
      <c r="D39" s="18"/>
      <c r="E39" s="277">
        <v>29.7</v>
      </c>
      <c r="F39" s="277">
        <v>0</v>
      </c>
      <c r="G39" s="438">
        <v>1888.97</v>
      </c>
      <c r="H39" s="305">
        <v>77.84</v>
      </c>
      <c r="I39" s="277">
        <v>0</v>
      </c>
      <c r="J39" s="305">
        <v>56.64</v>
      </c>
      <c r="K39" s="277">
        <v>40</v>
      </c>
      <c r="L39" s="305">
        <v>94.93</v>
      </c>
      <c r="M39" s="305">
        <v>1052.75</v>
      </c>
      <c r="N39" s="305">
        <v>31.49</v>
      </c>
      <c r="O39" s="69"/>
      <c r="P39" s="489">
        <f t="shared" si="54"/>
        <v>1996.51</v>
      </c>
      <c r="Q39" s="489">
        <f t="shared" si="55"/>
        <v>3194.48</v>
      </c>
      <c r="R39" s="597"/>
      <c r="S39" s="489" t="e">
        <f t="shared" si="56"/>
        <v>#REF!</v>
      </c>
      <c r="T39" s="489" t="e">
        <f t="shared" si="42"/>
        <v>#REF!</v>
      </c>
      <c r="U39" s="597"/>
      <c r="V39" s="489" t="e">
        <f ca="1">MAX(V$29:V$30)+IF($B$2="mil",1,0.0254)*DDR2Specs!$B$3</f>
        <v>#NAME?</v>
      </c>
      <c r="W39" s="489" t="e">
        <f ca="1">MIN(V$29:V$30)+IF($B$2="mil",1,0.0254)*DDR2Specs!$C$3</f>
        <v>#NAME?</v>
      </c>
      <c r="X39" s="21"/>
      <c r="Y39" s="598" t="e">
        <f t="shared" ca="1" si="57"/>
        <v>#REF!</v>
      </c>
      <c r="Z39" s="495" t="e">
        <f t="shared" ca="1" si="58"/>
        <v>#REF!</v>
      </c>
      <c r="AA39" s="21"/>
      <c r="AB39" s="489" t="e">
        <f ca="1">MAX(AB$29:AB$30)+IF($B$2="mil",1,0.0254)*DDR2Specs!$E$3</f>
        <v>#NAME?</v>
      </c>
      <c r="AC39" s="489" t="e">
        <f ca="1">MIN(AB$29:AB$30)+IF($B$2="mil",1,0.0254)*DDR2Specs!$F$3</f>
        <v>#NAME?</v>
      </c>
      <c r="AD39" s="21"/>
      <c r="AE39" s="598" t="e">
        <f t="shared" ca="1" si="43"/>
        <v>#REF!</v>
      </c>
      <c r="AF39" s="495" t="e">
        <f t="shared" ca="1" si="44"/>
        <v>#REF!</v>
      </c>
      <c r="AG39" s="495" t="e">
        <f t="shared" si="45"/>
        <v>#REF!</v>
      </c>
      <c r="AH39" s="495" t="e">
        <f t="shared" si="46"/>
        <v>#REF!</v>
      </c>
      <c r="AI39" s="495" t="e">
        <f t="shared" si="59"/>
        <v>#REF!</v>
      </c>
      <c r="AJ39" s="495" t="e">
        <f t="shared" ca="1" si="47"/>
        <v>#NAME?</v>
      </c>
      <c r="AK39" s="495" t="e">
        <f t="shared" si="60"/>
        <v>#REF!</v>
      </c>
      <c r="AL39" s="495" t="e">
        <f t="shared" si="61"/>
        <v>#REF!</v>
      </c>
      <c r="AM39" s="495" t="e">
        <f t="shared" ca="1" si="62"/>
        <v>#NAME?</v>
      </c>
      <c r="AN39" s="495" t="e">
        <f t="shared" ca="1" si="48"/>
        <v>#NAME?</v>
      </c>
      <c r="AO39" s="495" t="e">
        <f t="shared" si="49"/>
        <v>#REF!</v>
      </c>
      <c r="AP39" s="495" t="e">
        <f t="shared" si="50"/>
        <v>#REF!</v>
      </c>
      <c r="AQ39" s="495" t="e">
        <f t="shared" si="51"/>
        <v>#REF!</v>
      </c>
      <c r="AR39" s="495" t="e">
        <f t="shared" si="52"/>
        <v>#REF!</v>
      </c>
      <c r="AS39" s="21"/>
      <c r="AT39" s="3" t="e">
        <f t="shared" ca="1" si="53"/>
        <v>#REF!</v>
      </c>
      <c r="AU39" s="3"/>
      <c r="AV39" s="3"/>
      <c r="AW39" s="3"/>
      <c r="AX39" s="3"/>
      <c r="AY39" s="3"/>
      <c r="AZ39" s="3"/>
      <c r="BA39" s="3"/>
      <c r="BB39" s="3"/>
      <c r="BC39" s="3"/>
      <c r="BD39" s="3"/>
      <c r="BE39" s="3"/>
      <c r="BF39" s="3"/>
      <c r="BG39" s="3"/>
      <c r="BH39" s="3"/>
      <c r="BI39" s="3"/>
      <c r="BJ39" s="3"/>
    </row>
    <row r="40" spans="1:62">
      <c r="A40" s="8" t="s">
        <v>200</v>
      </c>
      <c r="B40" s="663"/>
      <c r="C40" s="659"/>
      <c r="D40" s="62"/>
      <c r="E40" s="82"/>
      <c r="F40" s="82"/>
      <c r="G40" s="439"/>
      <c r="H40" s="295"/>
      <c r="I40" s="295"/>
      <c r="J40" s="295"/>
      <c r="K40" s="295"/>
      <c r="L40" s="295"/>
      <c r="M40" s="295"/>
      <c r="N40" s="295"/>
      <c r="O40" s="10"/>
      <c r="P40" s="82"/>
      <c r="Q40" s="82"/>
      <c r="R40" s="82"/>
      <c r="S40" s="605"/>
      <c r="T40" s="605"/>
      <c r="U40" s="605"/>
      <c r="V40" s="605"/>
      <c r="W40" s="606"/>
      <c r="X40" s="606"/>
      <c r="Y40" s="607"/>
      <c r="Z40" s="17"/>
      <c r="AA40" s="606"/>
      <c r="AB40" s="605"/>
      <c r="AC40" s="606"/>
      <c r="AD40" s="606"/>
      <c r="AE40" s="607"/>
      <c r="AF40" s="17"/>
      <c r="AG40" s="17"/>
      <c r="AH40" s="17"/>
      <c r="AI40" s="16"/>
      <c r="AJ40" s="16"/>
      <c r="AK40" s="16"/>
      <c r="AL40" s="16"/>
      <c r="AM40" s="16"/>
      <c r="AN40" s="16"/>
      <c r="AO40" s="16"/>
      <c r="AP40" s="16"/>
      <c r="AQ40" s="16"/>
      <c r="AR40" s="16"/>
      <c r="AS40" s="83"/>
      <c r="AT40" s="3"/>
      <c r="AU40" s="3"/>
      <c r="AV40" s="3"/>
      <c r="AW40" s="3"/>
      <c r="AX40" s="3"/>
      <c r="AY40" s="3"/>
      <c r="AZ40" s="3"/>
      <c r="BA40" s="3"/>
      <c r="BB40" s="3"/>
      <c r="BC40" s="3"/>
      <c r="BD40" s="3"/>
      <c r="BE40" s="3"/>
      <c r="BF40" s="3"/>
      <c r="BG40" s="3"/>
      <c r="BH40" s="3"/>
      <c r="BI40" s="3"/>
      <c r="BJ40" s="3"/>
    </row>
    <row r="41" spans="1:62">
      <c r="A41" s="52" t="str">
        <f>'DDR2 Strobes - 1x16'!$A$16</f>
        <v>SA_DQS3</v>
      </c>
      <c r="B41" s="674" t="str">
        <f>'DDR2 Strobes - 1x16'!$B$16</f>
        <v>AB21</v>
      </c>
      <c r="C41" s="660"/>
      <c r="D41" s="53"/>
      <c r="E41" s="81"/>
      <c r="F41" s="81"/>
      <c r="G41" s="440"/>
      <c r="H41" s="296"/>
      <c r="I41" s="296"/>
      <c r="J41" s="296"/>
      <c r="K41" s="296"/>
      <c r="L41" s="296"/>
      <c r="M41" s="296"/>
      <c r="N41" s="296"/>
      <c r="O41" s="81"/>
      <c r="P41" s="81"/>
      <c r="Q41" s="81"/>
      <c r="R41" s="81"/>
      <c r="S41" s="58"/>
      <c r="T41" s="58"/>
      <c r="U41" s="58"/>
      <c r="V41" s="58" t="e">
        <f ca="1">GetSODIMMStrbLen($A41)</f>
        <v>#NAME?</v>
      </c>
      <c r="W41" s="58"/>
      <c r="X41" s="58"/>
      <c r="Y41" s="58"/>
      <c r="Z41" s="608"/>
      <c r="AA41" s="617" t="e">
        <f>"Strobe Pair to " &amp;#REF!</f>
        <v>#REF!</v>
      </c>
      <c r="AB41" s="58" t="e">
        <f ca="1">GetStrbLen(#REF!, "P")</f>
        <v>#NAME?</v>
      </c>
      <c r="AC41" s="58"/>
      <c r="AD41" s="58"/>
      <c r="AE41" s="58"/>
      <c r="AF41" s="608"/>
      <c r="AG41" s="608"/>
      <c r="AH41" s="608"/>
      <c r="AI41" s="608"/>
      <c r="AJ41" s="608"/>
      <c r="AK41" s="608"/>
      <c r="AL41" s="608"/>
      <c r="AM41" s="608"/>
      <c r="AN41" s="608"/>
      <c r="AO41" s="608"/>
      <c r="AP41" s="608"/>
      <c r="AQ41" s="608"/>
      <c r="AR41" s="608"/>
      <c r="AS41" s="58"/>
      <c r="AT41" s="3"/>
      <c r="AU41" s="3"/>
      <c r="AV41" s="3"/>
      <c r="AW41" s="3"/>
      <c r="AX41" s="3"/>
      <c r="AY41" s="3"/>
      <c r="AZ41" s="3"/>
      <c r="BA41" s="3"/>
      <c r="BB41" s="3"/>
      <c r="BC41" s="3"/>
      <c r="BD41" s="3"/>
      <c r="BE41" s="3"/>
      <c r="BF41" s="3"/>
      <c r="BG41" s="3"/>
      <c r="BH41" s="3"/>
      <c r="BI41" s="3"/>
      <c r="BJ41" s="3"/>
    </row>
    <row r="42" spans="1:62">
      <c r="A42" s="52" t="str">
        <f>'DDR2 Strobes - 1x16'!$A$17</f>
        <v>SA_DQS3#</v>
      </c>
      <c r="B42" s="608" t="str">
        <f>'DDR2 Strobes - 1x16'!$B$17</f>
        <v>AB20</v>
      </c>
      <c r="C42" s="660"/>
      <c r="D42" s="53"/>
      <c r="E42" s="81"/>
      <c r="F42" s="81"/>
      <c r="G42" s="440"/>
      <c r="H42" s="296"/>
      <c r="I42" s="296"/>
      <c r="J42" s="296"/>
      <c r="K42" s="296"/>
      <c r="L42" s="296"/>
      <c r="M42" s="296"/>
      <c r="N42" s="296"/>
      <c r="O42" s="81"/>
      <c r="P42" s="81"/>
      <c r="Q42" s="602"/>
      <c r="R42" s="602"/>
      <c r="S42" s="603"/>
      <c r="T42" s="603"/>
      <c r="U42" s="58"/>
      <c r="V42" s="58" t="e">
        <f ca="1">GetSODIMMStrbLen($A42)</f>
        <v>#NAME?</v>
      </c>
      <c r="W42" s="58"/>
      <c r="X42" s="58"/>
      <c r="Y42" s="58"/>
      <c r="Z42" s="608"/>
      <c r="AA42" s="618" t="e">
        <f>"Strobe Pair to " &amp;#REF!</f>
        <v>#REF!</v>
      </c>
      <c r="AB42" s="58" t="e">
        <f ca="1">GetStrbLen(#REF!, "N")</f>
        <v>#NAME?</v>
      </c>
      <c r="AC42" s="58"/>
      <c r="AD42" s="58"/>
      <c r="AE42" s="58"/>
      <c r="AF42" s="608"/>
      <c r="AG42" s="608"/>
      <c r="AH42" s="608"/>
      <c r="AI42" s="609"/>
      <c r="AJ42" s="609"/>
      <c r="AK42" s="609"/>
      <c r="AL42" s="609"/>
      <c r="AM42" s="609"/>
      <c r="AN42" s="609"/>
      <c r="AO42" s="609"/>
      <c r="AP42" s="609"/>
      <c r="AQ42" s="609"/>
      <c r="AR42" s="609"/>
      <c r="AS42" s="58"/>
      <c r="AT42" s="3"/>
      <c r="AU42" s="3"/>
      <c r="AV42" s="3"/>
      <c r="AW42" s="3"/>
      <c r="AX42" s="3"/>
      <c r="AY42" s="3"/>
      <c r="AZ42" s="3"/>
      <c r="BA42" s="3"/>
      <c r="BB42" s="3"/>
      <c r="BC42" s="3"/>
      <c r="BD42" s="3"/>
      <c r="BE42" s="3"/>
      <c r="BF42" s="3"/>
      <c r="BG42" s="3"/>
      <c r="BH42" s="3"/>
      <c r="BI42" s="3"/>
      <c r="BJ42" s="3"/>
    </row>
    <row r="43" spans="1:62">
      <c r="A43" s="630" t="s">
        <v>147</v>
      </c>
      <c r="B43" s="647" t="s">
        <v>485</v>
      </c>
      <c r="C43" s="658">
        <v>764.01574803149606</v>
      </c>
      <c r="D43" s="18"/>
      <c r="E43" s="277">
        <v>29.7</v>
      </c>
      <c r="F43" s="277">
        <v>0</v>
      </c>
      <c r="G43" s="438">
        <v>1722.29</v>
      </c>
      <c r="H43" s="305">
        <v>110.8</v>
      </c>
      <c r="I43" s="277">
        <v>0</v>
      </c>
      <c r="J43" s="305">
        <v>89.74</v>
      </c>
      <c r="K43" s="277">
        <v>40</v>
      </c>
      <c r="L43" s="305">
        <v>74.17</v>
      </c>
      <c r="M43" s="305">
        <v>1052.1300000000001</v>
      </c>
      <c r="N43" s="305">
        <v>76.06</v>
      </c>
      <c r="O43" s="69"/>
      <c r="P43" s="489">
        <f xml:space="preserve"> E43+F43+G43+H43</f>
        <v>1862.79</v>
      </c>
      <c r="Q43" s="489">
        <f>SUM(E43:G43,I43:N43)</f>
        <v>3084.09</v>
      </c>
      <c r="R43" s="597"/>
      <c r="S43" s="489" t="e">
        <f>P43+IF($B$2="mil",1,0.0254)*C43</f>
        <v>#REF!</v>
      </c>
      <c r="T43" s="489" t="e">
        <f t="shared" ref="T43:T51" si="63">Q43+IF($B$2="mil",1,0.0254)*$C43</f>
        <v>#REF!</v>
      </c>
      <c r="U43" s="597"/>
      <c r="V43" s="489" t="e">
        <f ca="1">MAX(V$41:V$42)+IF($B$2="mil",1,0.0254)*DDR2Specs!$B$3</f>
        <v>#NAME?</v>
      </c>
      <c r="W43" s="489" t="e">
        <f ca="1">MIN(V$41:V$42)+IF($B$2="mil",1,0.0254)*DDR2Specs!$C$3</f>
        <v>#NAME?</v>
      </c>
      <c r="X43" s="21"/>
      <c r="Y43" s="598" t="e">
        <f ca="1">IF($S43&lt;$V43,$V43-$S43,"Pass")</f>
        <v>#REF!</v>
      </c>
      <c r="Z43" s="495" t="e">
        <f ca="1">IF($S43&gt;$W43,$S43-$W43,"Pass")</f>
        <v>#REF!</v>
      </c>
      <c r="AA43" s="21"/>
      <c r="AB43" s="489" t="e">
        <f ca="1">MAX(AB$41:AB$42)+IF($B$2="mil",1,0.0254)*DDR2Specs!$E$3</f>
        <v>#NAME?</v>
      </c>
      <c r="AC43" s="489" t="e">
        <f ca="1">MIN(AB$41:AB$42)+IF($B$2="mil",1,0.0254)*DDR2Specs!$F$3</f>
        <v>#NAME?</v>
      </c>
      <c r="AD43" s="21"/>
      <c r="AE43" s="598" t="e">
        <f ca="1">IF($T43&lt;$AB43,$AB43-$T43,"Pass")</f>
        <v>#REF!</v>
      </c>
      <c r="AF43" s="495" t="e">
        <f t="shared" ref="AF43:AF51" ca="1" si="64">IF($T43&gt;$AC43,$T43-$AC43,"Pass")</f>
        <v>#REF!</v>
      </c>
      <c r="AG43" s="495" t="e">
        <f t="shared" ref="AG43:AG51" si="65">IF($E43&lt;=IF($B$2="mil",1,0.0254)*50,"Pass",IF($B$2="mil",1,0.0254)*50-$E43)</f>
        <v>#REF!</v>
      </c>
      <c r="AH43" s="495" t="e">
        <f t="shared" ref="AH43:AH51" si="66">IF($F43&lt;=IF($B$2="mil",1,0.0254)*500,"Pass",IF($B$2="mil",1,0.0254)*500-$F43)</f>
        <v>#REF!</v>
      </c>
      <c r="AI43" s="495" t="e">
        <f>IF($H43&lt;=IF($B$2="mil",1,0.0254)*250,"Pass",IF($B$2="mil",1,0.0254)*250-$H43)</f>
        <v>#REF!</v>
      </c>
      <c r="AJ43" s="495" t="e">
        <f t="shared" ref="AJ43:AJ51" ca="1" si="67">CheckLength(IF($B$2="mil",1,0.0254)*1000, IF($B$2="mil",1,0.0254)*125-J43, 0, I43,J43,0)</f>
        <v>#NAME?</v>
      </c>
      <c r="AK43" s="495" t="e">
        <f>IF($J43&lt;=IF($B$2="mil",1,0.0254)*125,"Pass",IF($B$2="mil",1,0.0254)*125-$J43)</f>
        <v>#REF!</v>
      </c>
      <c r="AL43" s="495" t="e">
        <f>IF($L43&lt;=IF($B$2="mil",1,0.0254)*125,"Pass",IF($B$2="mil",1,0.0254)*125-$L43)</f>
        <v>#REF!</v>
      </c>
      <c r="AM43" s="495" t="e">
        <f ca="1">CheckLength(IF($B$2="mil",1,0.0254)*1250, IF($B$2="mil",1,0.0254)*125-L43, IF($B$2="mil",1,0.0254)*150-N43, M43,L43,N43)</f>
        <v>#NAME?</v>
      </c>
      <c r="AN43" s="495" t="e">
        <f t="shared" ref="AN43:AN51" ca="1" si="68">CheckLength2(IF($B$2="mil",1,0.0254)*1400,M43,N43,0)</f>
        <v>#NAME?</v>
      </c>
      <c r="AO43" s="495" t="e">
        <f t="shared" ref="AO43:AO51" si="69">IF(AND($P43&gt;=IF($B$2="mil",1,0.0254)*500, $P43&lt;=IF($B$2="mil",1,0.0254)*4000),"Pass",IF($B$2="mil",1,0.0254)*4000-$P43)</f>
        <v>#REF!</v>
      </c>
      <c r="AP43" s="495" t="e">
        <f t="shared" ref="AP43:AP51" si="70">IF(AND($S43&gt;=IF($B$2="mil",1,0.0254)*500, $S43&lt;=IF($B$2="mil",1,0.0254)*4500),"Pass",IF($B$2="mil",1,0.0254)*4500-$S43)</f>
        <v>#REF!</v>
      </c>
      <c r="AQ43" s="495" t="e">
        <f t="shared" ref="AQ43:AQ51" si="71">IF(AND($Q43&gt;=IF($B$2="mil",1,0.0254)*500, $Q43&lt;=IF($B$2="mil",1,0.0254)*5500),"Pass",IF($B$2="mil",1,0.0254)*5500-$Q43)</f>
        <v>#REF!</v>
      </c>
      <c r="AR43" s="495" t="e">
        <f t="shared" ref="AR43:AR51" si="72">IF(AND($T43&gt;=IF($B$2="mil",1,0.0254)*500, $T43&lt;=IF($B$2="mil",1,0.0254)*6000),"Pass",IF($B$2="mil",1,0.0254)*6000-$T43)</f>
        <v>#REF!</v>
      </c>
      <c r="AS43" s="21"/>
      <c r="AT43" s="3" t="e">
        <f t="shared" ref="AT43:AT51" ca="1" si="73">IF(AND(AG43="Pass",AP43="Pass",AI43="Pass",AH43="Pass",AO43="Pass",Y43="Pass",Z43="Pass",AN43="Pass",AM43="Pass",AL43="Pass",AK43="Pass",AJ43="Pass",AE43="Pass",AF43="Pass",AQ43="Pass",AR43="Pass"),"Pass","Fail")</f>
        <v>#REF!</v>
      </c>
      <c r="AU43" s="3" t="e">
        <f ca="1">IF(AND(AT43="Pass",AT44="Pass",AT45="Pass",AT46="Pass",AT47="Pass",AT48="Pass",AT49="Pass",AT50="Pass",AT51="Pass"),"Pass","Fail")</f>
        <v>#REF!</v>
      </c>
      <c r="AV43" s="3"/>
      <c r="AW43" s="3"/>
      <c r="AX43" s="3"/>
      <c r="AY43" s="3"/>
      <c r="AZ43" s="3"/>
      <c r="BA43" s="3"/>
      <c r="BB43" s="3"/>
      <c r="BC43" s="3"/>
      <c r="BD43" s="3"/>
      <c r="BE43" s="3"/>
      <c r="BF43" s="3"/>
      <c r="BG43" s="3"/>
      <c r="BH43" s="3"/>
      <c r="BI43" s="3"/>
      <c r="BJ43" s="3"/>
    </row>
    <row r="44" spans="1:62">
      <c r="A44" s="630" t="s">
        <v>148</v>
      </c>
      <c r="B44" s="646" t="s">
        <v>486</v>
      </c>
      <c r="C44" s="658">
        <v>725.94488188976379</v>
      </c>
      <c r="D44" s="18"/>
      <c r="E44" s="277">
        <v>29.7</v>
      </c>
      <c r="F44" s="277">
        <v>0</v>
      </c>
      <c r="G44" s="438">
        <v>1830.840393700787</v>
      </c>
      <c r="H44" s="305">
        <v>74.099999999999994</v>
      </c>
      <c r="I44" s="277">
        <v>0</v>
      </c>
      <c r="J44" s="305">
        <v>61.2</v>
      </c>
      <c r="K44" s="277">
        <v>40</v>
      </c>
      <c r="L44" s="305">
        <v>60.6</v>
      </c>
      <c r="M44" s="305">
        <v>1057.54</v>
      </c>
      <c r="N44" s="305">
        <v>76.06</v>
      </c>
      <c r="O44" s="69"/>
      <c r="P44" s="489">
        <f t="shared" ref="P44:P51" si="74" xml:space="preserve"> E44+F44+G44+H44</f>
        <v>1934.6403937007869</v>
      </c>
      <c r="Q44" s="489">
        <f t="shared" ref="Q44:Q51" si="75">SUM(E44:G44,I44:N44)</f>
        <v>3155.9403937007869</v>
      </c>
      <c r="R44" s="597"/>
      <c r="S44" s="489" t="e">
        <f t="shared" ref="S44:S51" si="76">P44+IF($B$2="mil",1,0.0254)*C44</f>
        <v>#REF!</v>
      </c>
      <c r="T44" s="489" t="e">
        <f t="shared" si="63"/>
        <v>#REF!</v>
      </c>
      <c r="U44" s="597"/>
      <c r="V44" s="489" t="e">
        <f ca="1">MAX(V$41:V$42)+IF($B$2="mil",1,0.0254)*DDR2Specs!$B$3</f>
        <v>#NAME?</v>
      </c>
      <c r="W44" s="489" t="e">
        <f ca="1">MIN(V$41:V$42)+IF($B$2="mil",1,0.0254)*DDR2Specs!$C$3</f>
        <v>#NAME?</v>
      </c>
      <c r="X44" s="21"/>
      <c r="Y44" s="598" t="e">
        <f t="shared" ref="Y44:Y51" ca="1" si="77">IF($S44&lt;$V44,$V44-$S44,"Pass")</f>
        <v>#REF!</v>
      </c>
      <c r="Z44" s="495" t="e">
        <f t="shared" ref="Z44:Z51" ca="1" si="78">IF($S44&gt;$W44,$S44-$W44,"Pass")</f>
        <v>#REF!</v>
      </c>
      <c r="AA44" s="21"/>
      <c r="AB44" s="489" t="e">
        <f ca="1">MAX(AB$41:AB$42)+IF($B$2="mil",1,0.0254)*DDR2Specs!$E$3</f>
        <v>#NAME?</v>
      </c>
      <c r="AC44" s="489" t="e">
        <f ca="1">MIN(AB$41:AB$42)+IF($B$2="mil",1,0.0254)*DDR2Specs!$F$3</f>
        <v>#NAME?</v>
      </c>
      <c r="AD44" s="21"/>
      <c r="AE44" s="598" t="e">
        <f t="shared" ref="AE44:AE51" ca="1" si="79">IF($T44&lt;$AB44,$AB44-$T44,"Pass")</f>
        <v>#REF!</v>
      </c>
      <c r="AF44" s="495" t="e">
        <f t="shared" ca="1" si="64"/>
        <v>#REF!</v>
      </c>
      <c r="AG44" s="495" t="e">
        <f t="shared" si="65"/>
        <v>#REF!</v>
      </c>
      <c r="AH44" s="495" t="e">
        <f t="shared" si="66"/>
        <v>#REF!</v>
      </c>
      <c r="AI44" s="495" t="e">
        <f t="shared" ref="AI44:AI51" si="80">IF($H44&lt;=IF($B$2="mil",1,0.0254)*250,"Pass",IF($B$2="mil",1,0.0254)*250-$H44)</f>
        <v>#REF!</v>
      </c>
      <c r="AJ44" s="495" t="e">
        <f t="shared" ca="1" si="67"/>
        <v>#NAME?</v>
      </c>
      <c r="AK44" s="495" t="e">
        <f t="shared" ref="AK44:AK51" si="81">IF($J44&lt;=IF($B$2="mil",1,0.0254)*125,"Pass",IF($B$2="mil",1,0.0254)*125-$J44)</f>
        <v>#REF!</v>
      </c>
      <c r="AL44" s="495" t="e">
        <f t="shared" ref="AL44:AL51" si="82">IF($L44&lt;=IF($B$2="mil",1,0.0254)*125,"Pass",IF($B$2="mil",1,0.0254)*125-$L44)</f>
        <v>#REF!</v>
      </c>
      <c r="AM44" s="495" t="e">
        <f t="shared" ref="AM44:AM51" ca="1" si="83">CheckLength(IF($B$2="mil",1,0.0254)*1250, IF($B$2="mil",1,0.0254)*125-L44, IF($B$2="mil",1,0.0254)*150-N44, M44,L44,N44)</f>
        <v>#NAME?</v>
      </c>
      <c r="AN44" s="495" t="e">
        <f t="shared" ca="1" si="68"/>
        <v>#NAME?</v>
      </c>
      <c r="AO44" s="495" t="e">
        <f t="shared" si="69"/>
        <v>#REF!</v>
      </c>
      <c r="AP44" s="495" t="e">
        <f t="shared" si="70"/>
        <v>#REF!</v>
      </c>
      <c r="AQ44" s="495" t="e">
        <f t="shared" si="71"/>
        <v>#REF!</v>
      </c>
      <c r="AR44" s="495" t="e">
        <f t="shared" si="72"/>
        <v>#REF!</v>
      </c>
      <c r="AS44" s="21"/>
      <c r="AT44" s="3" t="e">
        <f t="shared" ca="1" si="73"/>
        <v>#REF!</v>
      </c>
      <c r="AU44" s="3"/>
      <c r="AV44" s="3"/>
      <c r="AW44" s="3"/>
      <c r="AX44" s="3"/>
      <c r="AY44" s="3"/>
      <c r="AZ44" s="3"/>
      <c r="BA44" s="3"/>
      <c r="BB44" s="3"/>
      <c r="BC44" s="3"/>
      <c r="BD44" s="3"/>
      <c r="BE44" s="3"/>
      <c r="BF44" s="3"/>
      <c r="BG44" s="3"/>
      <c r="BH44" s="3"/>
      <c r="BI44" s="3"/>
      <c r="BJ44" s="3"/>
    </row>
    <row r="45" spans="1:62">
      <c r="A45" s="630" t="s">
        <v>149</v>
      </c>
      <c r="B45" s="646" t="s">
        <v>348</v>
      </c>
      <c r="C45" s="658">
        <v>793.66141732283461</v>
      </c>
      <c r="D45" s="18"/>
      <c r="E45" s="277">
        <v>29.7</v>
      </c>
      <c r="F45" s="277">
        <v>0</v>
      </c>
      <c r="G45" s="438">
        <v>1716.014488188976</v>
      </c>
      <c r="H45" s="305">
        <v>126.17</v>
      </c>
      <c r="I45" s="277">
        <v>0</v>
      </c>
      <c r="J45" s="305">
        <v>105.68</v>
      </c>
      <c r="K45" s="277">
        <v>40</v>
      </c>
      <c r="L45" s="305">
        <v>76.599999999999994</v>
      </c>
      <c r="M45" s="305">
        <v>1091.19</v>
      </c>
      <c r="N45" s="305">
        <v>34</v>
      </c>
      <c r="O45" s="69"/>
      <c r="P45" s="489">
        <f t="shared" si="74"/>
        <v>1871.8844881889761</v>
      </c>
      <c r="Q45" s="489">
        <f t="shared" si="75"/>
        <v>3093.184488188976</v>
      </c>
      <c r="R45" s="597"/>
      <c r="S45" s="489" t="e">
        <f t="shared" si="76"/>
        <v>#REF!</v>
      </c>
      <c r="T45" s="489" t="e">
        <f t="shared" si="63"/>
        <v>#REF!</v>
      </c>
      <c r="U45" s="597"/>
      <c r="V45" s="489" t="e">
        <f ca="1">MAX(V$41:V$42)+IF($B$2="mil",1,0.0254)*DDR2Specs!$B$3</f>
        <v>#NAME?</v>
      </c>
      <c r="W45" s="489" t="e">
        <f ca="1">MIN(V$41:V$42)+IF($B$2="mil",1,0.0254)*DDR2Specs!$C$3</f>
        <v>#NAME?</v>
      </c>
      <c r="X45" s="21"/>
      <c r="Y45" s="598" t="e">
        <f t="shared" ca="1" si="77"/>
        <v>#REF!</v>
      </c>
      <c r="Z45" s="495" t="e">
        <f t="shared" ca="1" si="78"/>
        <v>#REF!</v>
      </c>
      <c r="AA45" s="21"/>
      <c r="AB45" s="489" t="e">
        <f ca="1">MAX(AB$41:AB$42)+IF($B$2="mil",1,0.0254)*DDR2Specs!$E$3</f>
        <v>#NAME?</v>
      </c>
      <c r="AC45" s="489" t="e">
        <f ca="1">MIN(AB$41:AB$42)+IF($B$2="mil",1,0.0254)*DDR2Specs!$F$3</f>
        <v>#NAME?</v>
      </c>
      <c r="AD45" s="21"/>
      <c r="AE45" s="598" t="e">
        <f t="shared" ca="1" si="79"/>
        <v>#REF!</v>
      </c>
      <c r="AF45" s="495" t="e">
        <f t="shared" ca="1" si="64"/>
        <v>#REF!</v>
      </c>
      <c r="AG45" s="495" t="e">
        <f t="shared" si="65"/>
        <v>#REF!</v>
      </c>
      <c r="AH45" s="495" t="e">
        <f t="shared" si="66"/>
        <v>#REF!</v>
      </c>
      <c r="AI45" s="495" t="e">
        <f t="shared" si="80"/>
        <v>#REF!</v>
      </c>
      <c r="AJ45" s="495" t="e">
        <f t="shared" ca="1" si="67"/>
        <v>#NAME?</v>
      </c>
      <c r="AK45" s="495" t="e">
        <f t="shared" si="81"/>
        <v>#REF!</v>
      </c>
      <c r="AL45" s="495" t="e">
        <f t="shared" si="82"/>
        <v>#REF!</v>
      </c>
      <c r="AM45" s="495" t="e">
        <f t="shared" ca="1" si="83"/>
        <v>#NAME?</v>
      </c>
      <c r="AN45" s="495" t="e">
        <f t="shared" ca="1" si="68"/>
        <v>#NAME?</v>
      </c>
      <c r="AO45" s="495" t="e">
        <f t="shared" si="69"/>
        <v>#REF!</v>
      </c>
      <c r="AP45" s="495" t="e">
        <f t="shared" si="70"/>
        <v>#REF!</v>
      </c>
      <c r="AQ45" s="495" t="e">
        <f t="shared" si="71"/>
        <v>#REF!</v>
      </c>
      <c r="AR45" s="495" t="e">
        <f t="shared" si="72"/>
        <v>#REF!</v>
      </c>
      <c r="AS45" s="21"/>
      <c r="AT45" s="3" t="e">
        <f t="shared" ca="1" si="73"/>
        <v>#REF!</v>
      </c>
      <c r="AU45" s="3"/>
      <c r="AV45" s="3"/>
      <c r="AW45" s="3"/>
      <c r="AX45" s="3"/>
      <c r="AY45" s="3"/>
      <c r="AZ45" s="3"/>
      <c r="BA45" s="3"/>
      <c r="BB45" s="3"/>
      <c r="BC45" s="3"/>
      <c r="BD45" s="3"/>
      <c r="BE45" s="3"/>
      <c r="BF45" s="3"/>
      <c r="BG45" s="3"/>
      <c r="BH45" s="3"/>
      <c r="BI45" s="3"/>
      <c r="BJ45" s="3"/>
    </row>
    <row r="46" spans="1:62">
      <c r="A46" s="630" t="s">
        <v>150</v>
      </c>
      <c r="B46" s="646" t="s">
        <v>353</v>
      </c>
      <c r="C46" s="658">
        <v>909.6062992125984</v>
      </c>
      <c r="D46" s="18"/>
      <c r="E46" s="277">
        <v>29.7</v>
      </c>
      <c r="F46" s="277">
        <v>0</v>
      </c>
      <c r="G46" s="438">
        <v>1806.8674015748027</v>
      </c>
      <c r="H46" s="305">
        <v>77.010000000000005</v>
      </c>
      <c r="I46" s="277">
        <v>0</v>
      </c>
      <c r="J46" s="305">
        <v>62.86</v>
      </c>
      <c r="K46" s="277">
        <v>40</v>
      </c>
      <c r="L46" s="305">
        <v>91.93</v>
      </c>
      <c r="M46" s="305">
        <v>1072.04</v>
      </c>
      <c r="N46" s="305">
        <v>31.48</v>
      </c>
      <c r="O46" s="69"/>
      <c r="P46" s="489">
        <f t="shared" si="74"/>
        <v>1913.5774015748027</v>
      </c>
      <c r="Q46" s="489">
        <f t="shared" si="75"/>
        <v>3134.8774015748027</v>
      </c>
      <c r="R46" s="597"/>
      <c r="S46" s="489" t="e">
        <f t="shared" si="76"/>
        <v>#REF!</v>
      </c>
      <c r="T46" s="678" t="e">
        <f>Q46+IF($B$2="mil",1,0.0254)*$C46</f>
        <v>#REF!</v>
      </c>
      <c r="U46" s="597"/>
      <c r="V46" s="489" t="e">
        <f ca="1">MAX(V$41:V$42)+IF($B$2="mil",1,0.0254)*DDR2Specs!$B$3</f>
        <v>#NAME?</v>
      </c>
      <c r="W46" s="489" t="e">
        <f ca="1">MIN(V$41:V$42)+IF($B$2="mil",1,0.0254)*DDR2Specs!$C$3</f>
        <v>#NAME?</v>
      </c>
      <c r="X46" s="21"/>
      <c r="Y46" s="598" t="e">
        <f t="shared" ca="1" si="77"/>
        <v>#REF!</v>
      </c>
      <c r="Z46" s="495" t="e">
        <f t="shared" ca="1" si="78"/>
        <v>#REF!</v>
      </c>
      <c r="AA46" s="21"/>
      <c r="AB46" s="489" t="e">
        <f ca="1">MAX(AB$41:AB$42)+IF($B$2="mil",1,0.0254)*DDR2Specs!$E$3</f>
        <v>#NAME?</v>
      </c>
      <c r="AC46" s="489" t="e">
        <f ca="1">MIN(AB$41:AB$42)+IF($B$2="mil",1,0.0254)*DDR2Specs!$F$3</f>
        <v>#NAME?</v>
      </c>
      <c r="AD46" s="21"/>
      <c r="AE46" s="598" t="e">
        <f t="shared" ca="1" si="79"/>
        <v>#REF!</v>
      </c>
      <c r="AF46" s="495" t="e">
        <f t="shared" ca="1" si="64"/>
        <v>#REF!</v>
      </c>
      <c r="AG46" s="495" t="e">
        <f t="shared" si="65"/>
        <v>#REF!</v>
      </c>
      <c r="AH46" s="495" t="e">
        <f t="shared" si="66"/>
        <v>#REF!</v>
      </c>
      <c r="AI46" s="495" t="e">
        <f t="shared" si="80"/>
        <v>#REF!</v>
      </c>
      <c r="AJ46" s="495" t="e">
        <f t="shared" ca="1" si="67"/>
        <v>#NAME?</v>
      </c>
      <c r="AK46" s="495" t="e">
        <f t="shared" si="81"/>
        <v>#REF!</v>
      </c>
      <c r="AL46" s="495" t="e">
        <f t="shared" si="82"/>
        <v>#REF!</v>
      </c>
      <c r="AM46" s="495" t="e">
        <f t="shared" ca="1" si="83"/>
        <v>#NAME?</v>
      </c>
      <c r="AN46" s="495" t="e">
        <f t="shared" ca="1" si="68"/>
        <v>#NAME?</v>
      </c>
      <c r="AO46" s="495" t="e">
        <f t="shared" si="69"/>
        <v>#REF!</v>
      </c>
      <c r="AP46" s="495" t="e">
        <f t="shared" si="70"/>
        <v>#REF!</v>
      </c>
      <c r="AQ46" s="495" t="e">
        <f t="shared" si="71"/>
        <v>#REF!</v>
      </c>
      <c r="AR46" s="495" t="e">
        <f t="shared" si="72"/>
        <v>#REF!</v>
      </c>
      <c r="AS46" s="21"/>
      <c r="AT46" s="3" t="e">
        <f t="shared" ca="1" si="73"/>
        <v>#REF!</v>
      </c>
      <c r="AU46" s="3"/>
      <c r="AV46" s="3"/>
      <c r="AW46" s="3"/>
      <c r="AX46" s="3"/>
      <c r="AY46" s="3"/>
      <c r="AZ46" s="3"/>
      <c r="BA46" s="3"/>
      <c r="BB46" s="3"/>
      <c r="BC46" s="3"/>
      <c r="BD46" s="3"/>
      <c r="BE46" s="3"/>
      <c r="BF46" s="3"/>
      <c r="BG46" s="3"/>
      <c r="BH46" s="3"/>
      <c r="BI46" s="3"/>
      <c r="BJ46" s="3"/>
    </row>
    <row r="47" spans="1:62">
      <c r="A47" s="630" t="s">
        <v>151</v>
      </c>
      <c r="B47" s="646" t="s">
        <v>350</v>
      </c>
      <c r="C47" s="658">
        <v>749.6062992125984</v>
      </c>
      <c r="D47" s="18"/>
      <c r="E47" s="277">
        <v>29.7</v>
      </c>
      <c r="F47" s="277">
        <v>0</v>
      </c>
      <c r="G47" s="438">
        <v>1797.6152755905509</v>
      </c>
      <c r="H47" s="305">
        <v>78.27</v>
      </c>
      <c r="I47" s="277">
        <v>0</v>
      </c>
      <c r="J47" s="305">
        <v>52.5</v>
      </c>
      <c r="K47" s="277">
        <v>40</v>
      </c>
      <c r="L47" s="305">
        <v>49.57</v>
      </c>
      <c r="M47" s="305">
        <v>1081.42</v>
      </c>
      <c r="N47" s="305">
        <v>76.08</v>
      </c>
      <c r="O47" s="69"/>
      <c r="P47" s="489">
        <f t="shared" si="74"/>
        <v>1905.585275590551</v>
      </c>
      <c r="Q47" s="489">
        <f t="shared" si="75"/>
        <v>3126.8852755905509</v>
      </c>
      <c r="R47" s="597"/>
      <c r="S47" s="489" t="e">
        <f t="shared" si="76"/>
        <v>#REF!</v>
      </c>
      <c r="T47" s="489" t="e">
        <f>Q47+IF($B$2="mil",1,0.0254)*$C47</f>
        <v>#REF!</v>
      </c>
      <c r="U47" s="597"/>
      <c r="V47" s="489" t="e">
        <f ca="1">MAX(V$41:V$42)+IF($B$2="mil",1,0.0254)*DDR2Specs!$B$3</f>
        <v>#NAME?</v>
      </c>
      <c r="W47" s="489" t="e">
        <f ca="1">MIN(V$41:V$42)+IF($B$2="mil",1,0.0254)*DDR2Specs!$C$3</f>
        <v>#NAME?</v>
      </c>
      <c r="X47" s="21"/>
      <c r="Y47" s="598" t="e">
        <f t="shared" ca="1" si="77"/>
        <v>#REF!</v>
      </c>
      <c r="Z47" s="495" t="e">
        <f t="shared" ca="1" si="78"/>
        <v>#REF!</v>
      </c>
      <c r="AA47" s="21"/>
      <c r="AB47" s="489" t="e">
        <f ca="1">MAX(AB$41:AB$42)+IF($B$2="mil",1,0.0254)*DDR2Specs!$E$3</f>
        <v>#NAME?</v>
      </c>
      <c r="AC47" s="489" t="e">
        <f ca="1">MIN(AB$41:AB$42)+IF($B$2="mil",1,0.0254)*DDR2Specs!$F$3</f>
        <v>#NAME?</v>
      </c>
      <c r="AD47" s="21"/>
      <c r="AE47" s="598" t="e">
        <f t="shared" ca="1" si="79"/>
        <v>#REF!</v>
      </c>
      <c r="AF47" s="495" t="e">
        <f t="shared" ca="1" si="64"/>
        <v>#REF!</v>
      </c>
      <c r="AG47" s="495" t="e">
        <f t="shared" si="65"/>
        <v>#REF!</v>
      </c>
      <c r="AH47" s="495" t="e">
        <f t="shared" si="66"/>
        <v>#REF!</v>
      </c>
      <c r="AI47" s="495" t="e">
        <f t="shared" si="80"/>
        <v>#REF!</v>
      </c>
      <c r="AJ47" s="495" t="e">
        <f t="shared" ca="1" si="67"/>
        <v>#NAME?</v>
      </c>
      <c r="AK47" s="495" t="e">
        <f t="shared" si="81"/>
        <v>#REF!</v>
      </c>
      <c r="AL47" s="495" t="e">
        <f t="shared" si="82"/>
        <v>#REF!</v>
      </c>
      <c r="AM47" s="495" t="e">
        <f t="shared" ca="1" si="83"/>
        <v>#NAME?</v>
      </c>
      <c r="AN47" s="495" t="e">
        <f t="shared" ca="1" si="68"/>
        <v>#NAME?</v>
      </c>
      <c r="AO47" s="495" t="e">
        <f t="shared" si="69"/>
        <v>#REF!</v>
      </c>
      <c r="AP47" s="495" t="e">
        <f t="shared" si="70"/>
        <v>#REF!</v>
      </c>
      <c r="AQ47" s="495" t="e">
        <f t="shared" si="71"/>
        <v>#REF!</v>
      </c>
      <c r="AR47" s="495" t="e">
        <f t="shared" si="72"/>
        <v>#REF!</v>
      </c>
      <c r="AS47" s="21"/>
      <c r="AT47" s="3" t="e">
        <f t="shared" ca="1" si="73"/>
        <v>#REF!</v>
      </c>
      <c r="AU47" s="3"/>
      <c r="AV47" s="3"/>
      <c r="AW47" s="3"/>
      <c r="AX47" s="3"/>
      <c r="AY47" s="3"/>
      <c r="AZ47" s="3"/>
      <c r="BA47" s="3"/>
      <c r="BB47" s="3"/>
      <c r="BC47" s="3"/>
      <c r="BD47" s="3"/>
      <c r="BE47" s="3"/>
      <c r="BF47" s="3"/>
      <c r="BG47" s="3"/>
      <c r="BH47" s="3"/>
      <c r="BI47" s="3"/>
      <c r="BJ47" s="3"/>
    </row>
    <row r="48" spans="1:62">
      <c r="A48" s="630" t="s">
        <v>152</v>
      </c>
      <c r="B48" s="647" t="s">
        <v>487</v>
      </c>
      <c r="C48" s="658">
        <v>808.70078740157487</v>
      </c>
      <c r="D48" s="18"/>
      <c r="E48" s="277">
        <v>29.7</v>
      </c>
      <c r="F48" s="277">
        <v>0</v>
      </c>
      <c r="G48" s="438">
        <v>1740.2874015748027</v>
      </c>
      <c r="H48" s="305">
        <v>73.59</v>
      </c>
      <c r="I48" s="277">
        <v>0</v>
      </c>
      <c r="J48" s="305">
        <v>54.57</v>
      </c>
      <c r="K48" s="277">
        <v>40</v>
      </c>
      <c r="L48" s="305">
        <v>98.95</v>
      </c>
      <c r="M48" s="305">
        <v>1012.26</v>
      </c>
      <c r="N48" s="305">
        <v>89.11</v>
      </c>
      <c r="O48" s="69"/>
      <c r="P48" s="489">
        <f t="shared" si="74"/>
        <v>1843.5774015748027</v>
      </c>
      <c r="Q48" s="489">
        <f t="shared" si="75"/>
        <v>3064.8774015748027</v>
      </c>
      <c r="R48" s="597"/>
      <c r="S48" s="489" t="e">
        <f t="shared" si="76"/>
        <v>#REF!</v>
      </c>
      <c r="T48" s="489" t="e">
        <f t="shared" si="63"/>
        <v>#REF!</v>
      </c>
      <c r="U48" s="597"/>
      <c r="V48" s="489" t="e">
        <f ca="1">MAX(V$41:V$42)+IF($B$2="mil",1,0.0254)*DDR2Specs!$B$3</f>
        <v>#NAME?</v>
      </c>
      <c r="W48" s="489" t="e">
        <f ca="1">MIN(V$41:V$42)+IF($B$2="mil",1,0.0254)*DDR2Specs!$C$3</f>
        <v>#NAME?</v>
      </c>
      <c r="X48" s="21"/>
      <c r="Y48" s="598" t="e">
        <f t="shared" ca="1" si="77"/>
        <v>#REF!</v>
      </c>
      <c r="Z48" s="495" t="e">
        <f t="shared" ca="1" si="78"/>
        <v>#REF!</v>
      </c>
      <c r="AA48" s="21"/>
      <c r="AB48" s="489" t="e">
        <f ca="1">MAX(AB$41:AB$42)+IF($B$2="mil",1,0.0254)*DDR2Specs!$E$3</f>
        <v>#NAME?</v>
      </c>
      <c r="AC48" s="489" t="e">
        <f ca="1">MIN(AB$41:AB$42)+IF($B$2="mil",1,0.0254)*DDR2Specs!$F$3</f>
        <v>#NAME?</v>
      </c>
      <c r="AD48" s="21"/>
      <c r="AE48" s="598" t="e">
        <f t="shared" ca="1" si="79"/>
        <v>#REF!</v>
      </c>
      <c r="AF48" s="495" t="e">
        <f t="shared" ca="1" si="64"/>
        <v>#REF!</v>
      </c>
      <c r="AG48" s="495" t="e">
        <f t="shared" si="65"/>
        <v>#REF!</v>
      </c>
      <c r="AH48" s="495" t="e">
        <f t="shared" si="66"/>
        <v>#REF!</v>
      </c>
      <c r="AI48" s="495" t="e">
        <f t="shared" si="80"/>
        <v>#REF!</v>
      </c>
      <c r="AJ48" s="495" t="e">
        <f t="shared" ca="1" si="67"/>
        <v>#NAME?</v>
      </c>
      <c r="AK48" s="495" t="e">
        <f t="shared" si="81"/>
        <v>#REF!</v>
      </c>
      <c r="AL48" s="495" t="e">
        <f t="shared" si="82"/>
        <v>#REF!</v>
      </c>
      <c r="AM48" s="495" t="e">
        <f t="shared" ca="1" si="83"/>
        <v>#NAME?</v>
      </c>
      <c r="AN48" s="495" t="e">
        <f t="shared" ca="1" si="68"/>
        <v>#NAME?</v>
      </c>
      <c r="AO48" s="495" t="e">
        <f t="shared" si="69"/>
        <v>#REF!</v>
      </c>
      <c r="AP48" s="495" t="e">
        <f t="shared" si="70"/>
        <v>#REF!</v>
      </c>
      <c r="AQ48" s="495" t="e">
        <f t="shared" si="71"/>
        <v>#REF!</v>
      </c>
      <c r="AR48" s="495" t="e">
        <f t="shared" si="72"/>
        <v>#REF!</v>
      </c>
      <c r="AS48" s="21"/>
      <c r="AT48" s="3" t="e">
        <f t="shared" ca="1" si="73"/>
        <v>#REF!</v>
      </c>
      <c r="AU48" s="3"/>
      <c r="AV48" s="3"/>
      <c r="AW48" s="3"/>
      <c r="AX48" s="3"/>
      <c r="AY48" s="3"/>
      <c r="AZ48" s="3"/>
      <c r="BA48" s="3"/>
      <c r="BB48" s="3"/>
      <c r="BC48" s="3"/>
      <c r="BD48" s="3"/>
      <c r="BE48" s="3"/>
      <c r="BF48" s="3"/>
      <c r="BG48" s="3"/>
      <c r="BH48" s="3"/>
      <c r="BI48" s="3"/>
      <c r="BJ48" s="3"/>
    </row>
    <row r="49" spans="1:62">
      <c r="A49" s="630" t="s">
        <v>153</v>
      </c>
      <c r="B49" s="646" t="s">
        <v>488</v>
      </c>
      <c r="C49" s="658">
        <v>901.61417322834643</v>
      </c>
      <c r="D49" s="18"/>
      <c r="E49" s="277">
        <v>29.7</v>
      </c>
      <c r="F49" s="277">
        <v>0</v>
      </c>
      <c r="G49" s="438">
        <v>1895.0960629921265</v>
      </c>
      <c r="H49" s="305">
        <v>69.489999999999995</v>
      </c>
      <c r="I49" s="277">
        <v>0</v>
      </c>
      <c r="J49" s="305">
        <v>53.74</v>
      </c>
      <c r="K49" s="277">
        <v>40</v>
      </c>
      <c r="L49" s="305">
        <v>101.31</v>
      </c>
      <c r="M49" s="305">
        <v>1019.68</v>
      </c>
      <c r="N49" s="305">
        <v>76.06</v>
      </c>
      <c r="O49" s="69"/>
      <c r="P49" s="489">
        <f t="shared" si="74"/>
        <v>1994.2860629921265</v>
      </c>
      <c r="Q49" s="489">
        <f t="shared" si="75"/>
        <v>3215.5860629921262</v>
      </c>
      <c r="R49" s="597"/>
      <c r="S49" s="489" t="e">
        <f t="shared" si="76"/>
        <v>#REF!</v>
      </c>
      <c r="T49" s="489" t="e">
        <f>Q49+IF($B$2="mil",1,0.0254)*$C49</f>
        <v>#REF!</v>
      </c>
      <c r="U49" s="597"/>
      <c r="V49" s="489" t="e">
        <f ca="1">MAX(V$41:V$42)+IF($B$2="mil",1,0.0254)*DDR2Specs!$B$3</f>
        <v>#NAME?</v>
      </c>
      <c r="W49" s="489" t="e">
        <f ca="1">MIN(V$41:V$42)+IF($B$2="mil",1,0.0254)*DDR2Specs!$C$3</f>
        <v>#NAME?</v>
      </c>
      <c r="X49" s="21"/>
      <c r="Y49" s="598" t="e">
        <f t="shared" ca="1" si="77"/>
        <v>#REF!</v>
      </c>
      <c r="Z49" s="495" t="e">
        <f t="shared" ca="1" si="78"/>
        <v>#REF!</v>
      </c>
      <c r="AA49" s="21"/>
      <c r="AB49" s="489" t="e">
        <f ca="1">MAX(AB$41:AB$42)+IF($B$2="mil",1,0.0254)*DDR2Specs!$E$3</f>
        <v>#NAME?</v>
      </c>
      <c r="AC49" s="489" t="e">
        <f ca="1">MIN(AB$41:AB$42)+IF($B$2="mil",1,0.0254)*DDR2Specs!$F$3</f>
        <v>#NAME?</v>
      </c>
      <c r="AD49" s="21"/>
      <c r="AE49" s="598" t="e">
        <f t="shared" ca="1" si="79"/>
        <v>#REF!</v>
      </c>
      <c r="AF49" s="495" t="e">
        <f t="shared" ca="1" si="64"/>
        <v>#REF!</v>
      </c>
      <c r="AG49" s="495" t="e">
        <f t="shared" si="65"/>
        <v>#REF!</v>
      </c>
      <c r="AH49" s="495" t="e">
        <f t="shared" si="66"/>
        <v>#REF!</v>
      </c>
      <c r="AI49" s="495" t="e">
        <f t="shared" si="80"/>
        <v>#REF!</v>
      </c>
      <c r="AJ49" s="495" t="e">
        <f t="shared" ca="1" si="67"/>
        <v>#NAME?</v>
      </c>
      <c r="AK49" s="495" t="e">
        <f t="shared" si="81"/>
        <v>#REF!</v>
      </c>
      <c r="AL49" s="495" t="e">
        <f t="shared" si="82"/>
        <v>#REF!</v>
      </c>
      <c r="AM49" s="495" t="e">
        <f t="shared" ca="1" si="83"/>
        <v>#NAME?</v>
      </c>
      <c r="AN49" s="495" t="e">
        <f t="shared" ca="1" si="68"/>
        <v>#NAME?</v>
      </c>
      <c r="AO49" s="495" t="e">
        <f t="shared" si="69"/>
        <v>#REF!</v>
      </c>
      <c r="AP49" s="495" t="e">
        <f t="shared" si="70"/>
        <v>#REF!</v>
      </c>
      <c r="AQ49" s="495" t="e">
        <f t="shared" si="71"/>
        <v>#REF!</v>
      </c>
      <c r="AR49" s="495" t="e">
        <f t="shared" si="72"/>
        <v>#REF!</v>
      </c>
      <c r="AS49" s="21"/>
      <c r="AT49" s="3" t="e">
        <f t="shared" ca="1" si="73"/>
        <v>#REF!</v>
      </c>
      <c r="AU49" s="3"/>
      <c r="AV49" s="3"/>
      <c r="AW49" s="3"/>
      <c r="AX49" s="3"/>
      <c r="AY49" s="3"/>
      <c r="AZ49" s="3"/>
      <c r="BA49" s="3"/>
      <c r="BB49" s="3"/>
      <c r="BC49" s="3"/>
      <c r="BD49" s="3"/>
      <c r="BE49" s="3"/>
      <c r="BF49" s="3"/>
      <c r="BG49" s="3"/>
      <c r="BH49" s="3"/>
      <c r="BI49" s="3"/>
      <c r="BJ49" s="3"/>
    </row>
    <row r="50" spans="1:62">
      <c r="A50" s="630" t="s">
        <v>154</v>
      </c>
      <c r="B50" s="646" t="s">
        <v>355</v>
      </c>
      <c r="C50" s="658">
        <v>894.17322834645665</v>
      </c>
      <c r="D50" s="18"/>
      <c r="E50" s="277">
        <v>29.7</v>
      </c>
      <c r="F50" s="277">
        <v>0</v>
      </c>
      <c r="G50" s="438">
        <v>1550.3691338582678</v>
      </c>
      <c r="H50" s="305">
        <v>374.65</v>
      </c>
      <c r="I50" s="277">
        <v>0</v>
      </c>
      <c r="J50" s="305">
        <v>112.17</v>
      </c>
      <c r="K50" s="277">
        <v>40</v>
      </c>
      <c r="L50" s="305">
        <v>60.58</v>
      </c>
      <c r="M50" s="305">
        <v>1311.5</v>
      </c>
      <c r="N50" s="305">
        <v>71.7</v>
      </c>
      <c r="O50" s="69"/>
      <c r="P50" s="489">
        <f t="shared" si="74"/>
        <v>1954.7191338582679</v>
      </c>
      <c r="Q50" s="489">
        <f t="shared" si="75"/>
        <v>3176.0191338582677</v>
      </c>
      <c r="R50" s="597"/>
      <c r="S50" s="489" t="e">
        <f t="shared" si="76"/>
        <v>#REF!</v>
      </c>
      <c r="T50" s="489" t="e">
        <f>Q50+IF($B$2="mil",1,0.0254)*$C50</f>
        <v>#REF!</v>
      </c>
      <c r="U50" s="597"/>
      <c r="V50" s="489" t="e">
        <f ca="1">MAX(V$41:V$42)+IF($B$2="mil",1,0.0254)*DDR2Specs!$B$3</f>
        <v>#NAME?</v>
      </c>
      <c r="W50" s="489" t="e">
        <f ca="1">MIN(V$41:V$42)+IF($B$2="mil",1,0.0254)*DDR2Specs!$C$3</f>
        <v>#NAME?</v>
      </c>
      <c r="X50" s="21"/>
      <c r="Y50" s="598" t="e">
        <f t="shared" ca="1" si="77"/>
        <v>#REF!</v>
      </c>
      <c r="Z50" s="495" t="e">
        <f t="shared" ca="1" si="78"/>
        <v>#REF!</v>
      </c>
      <c r="AA50" s="21"/>
      <c r="AB50" s="489" t="e">
        <f ca="1">MAX(AB$41:AB$42)+IF($B$2="mil",1,0.0254)*DDR2Specs!$E$3</f>
        <v>#NAME?</v>
      </c>
      <c r="AC50" s="489" t="e">
        <f ca="1">MIN(AB$41:AB$42)+IF($B$2="mil",1,0.0254)*DDR2Specs!$F$3</f>
        <v>#NAME?</v>
      </c>
      <c r="AD50" s="21"/>
      <c r="AE50" s="598" t="e">
        <f t="shared" ca="1" si="79"/>
        <v>#REF!</v>
      </c>
      <c r="AF50" s="495" t="e">
        <f t="shared" ca="1" si="64"/>
        <v>#REF!</v>
      </c>
      <c r="AG50" s="495" t="e">
        <f t="shared" si="65"/>
        <v>#REF!</v>
      </c>
      <c r="AH50" s="495" t="e">
        <f t="shared" si="66"/>
        <v>#REF!</v>
      </c>
      <c r="AI50" s="495" t="e">
        <f t="shared" si="80"/>
        <v>#REF!</v>
      </c>
      <c r="AJ50" s="495" t="e">
        <f t="shared" ca="1" si="67"/>
        <v>#NAME?</v>
      </c>
      <c r="AK50" s="495" t="e">
        <f t="shared" si="81"/>
        <v>#REF!</v>
      </c>
      <c r="AL50" s="495" t="e">
        <f t="shared" si="82"/>
        <v>#REF!</v>
      </c>
      <c r="AM50" s="495" t="e">
        <f t="shared" ca="1" si="83"/>
        <v>#NAME?</v>
      </c>
      <c r="AN50" s="495" t="e">
        <f t="shared" ca="1" si="68"/>
        <v>#NAME?</v>
      </c>
      <c r="AO50" s="495" t="e">
        <f t="shared" si="69"/>
        <v>#REF!</v>
      </c>
      <c r="AP50" s="495" t="e">
        <f t="shared" si="70"/>
        <v>#REF!</v>
      </c>
      <c r="AQ50" s="495" t="e">
        <f t="shared" si="71"/>
        <v>#REF!</v>
      </c>
      <c r="AR50" s="495" t="e">
        <f t="shared" si="72"/>
        <v>#REF!</v>
      </c>
      <c r="AS50" s="21"/>
      <c r="AT50" s="3" t="e">
        <f t="shared" ca="1" si="73"/>
        <v>#REF!</v>
      </c>
      <c r="AU50" s="3"/>
      <c r="AV50" s="3"/>
      <c r="AW50" s="3"/>
      <c r="AX50" s="3"/>
      <c r="AY50" s="3"/>
      <c r="AZ50" s="3"/>
      <c r="BA50" s="3"/>
      <c r="BB50" s="3"/>
      <c r="BC50" s="3"/>
      <c r="BD50" s="3"/>
      <c r="BE50" s="3"/>
      <c r="BF50" s="3"/>
      <c r="BG50" s="3"/>
      <c r="BH50" s="3"/>
      <c r="BI50" s="3"/>
      <c r="BJ50" s="3"/>
    </row>
    <row r="51" spans="1:62">
      <c r="A51" s="661" t="s">
        <v>155</v>
      </c>
      <c r="B51" s="662" t="s">
        <v>519</v>
      </c>
      <c r="C51" s="658">
        <v>728.70078740157487</v>
      </c>
      <c r="D51" s="18"/>
      <c r="E51" s="277">
        <v>29.7</v>
      </c>
      <c r="F51" s="277">
        <v>0</v>
      </c>
      <c r="G51" s="438">
        <v>1829.64</v>
      </c>
      <c r="H51" s="305">
        <v>73.75</v>
      </c>
      <c r="I51" s="277">
        <v>0</v>
      </c>
      <c r="J51" s="305">
        <v>50.57</v>
      </c>
      <c r="K51" s="277">
        <v>40</v>
      </c>
      <c r="L51" s="305">
        <v>75.63</v>
      </c>
      <c r="M51" s="305">
        <v>1096.8499999999999</v>
      </c>
      <c r="N51" s="305">
        <v>32</v>
      </c>
      <c r="O51" s="69"/>
      <c r="P51" s="489">
        <f t="shared" si="74"/>
        <v>1933.0900000000001</v>
      </c>
      <c r="Q51" s="489">
        <f t="shared" si="75"/>
        <v>3154.39</v>
      </c>
      <c r="R51" s="597"/>
      <c r="S51" s="489" t="e">
        <f t="shared" si="76"/>
        <v>#REF!</v>
      </c>
      <c r="T51" s="489" t="e">
        <f t="shared" si="63"/>
        <v>#REF!</v>
      </c>
      <c r="U51" s="597"/>
      <c r="V51" s="489" t="e">
        <f ca="1">MAX(V$41:V$42)+IF($B$2="mil",1,0.0254)*DDR2Specs!$B$3</f>
        <v>#NAME?</v>
      </c>
      <c r="W51" s="489" t="e">
        <f ca="1">MIN(V$41:V$42)+IF($B$2="mil",1,0.0254)*DDR2Specs!$C$3</f>
        <v>#NAME?</v>
      </c>
      <c r="X51" s="21"/>
      <c r="Y51" s="598" t="e">
        <f t="shared" ca="1" si="77"/>
        <v>#REF!</v>
      </c>
      <c r="Z51" s="495" t="e">
        <f t="shared" ca="1" si="78"/>
        <v>#REF!</v>
      </c>
      <c r="AA51" s="21"/>
      <c r="AB51" s="489" t="e">
        <f ca="1">MAX(AB$41:AB$42)+IF($B$2="mil",1,0.0254)*DDR2Specs!$E$3</f>
        <v>#NAME?</v>
      </c>
      <c r="AC51" s="489" t="e">
        <f ca="1">MIN(AB$41:AB$42)+IF($B$2="mil",1,0.0254)*DDR2Specs!$F$3</f>
        <v>#NAME?</v>
      </c>
      <c r="AD51" s="21"/>
      <c r="AE51" s="598" t="e">
        <f t="shared" ca="1" si="79"/>
        <v>#REF!</v>
      </c>
      <c r="AF51" s="495" t="e">
        <f t="shared" ca="1" si="64"/>
        <v>#REF!</v>
      </c>
      <c r="AG51" s="495" t="e">
        <f t="shared" si="65"/>
        <v>#REF!</v>
      </c>
      <c r="AH51" s="495" t="e">
        <f t="shared" si="66"/>
        <v>#REF!</v>
      </c>
      <c r="AI51" s="495" t="e">
        <f t="shared" si="80"/>
        <v>#REF!</v>
      </c>
      <c r="AJ51" s="495" t="e">
        <f t="shared" ca="1" si="67"/>
        <v>#NAME?</v>
      </c>
      <c r="AK51" s="495" t="e">
        <f t="shared" si="81"/>
        <v>#REF!</v>
      </c>
      <c r="AL51" s="495" t="e">
        <f t="shared" si="82"/>
        <v>#REF!</v>
      </c>
      <c r="AM51" s="495" t="e">
        <f t="shared" ca="1" si="83"/>
        <v>#NAME?</v>
      </c>
      <c r="AN51" s="495" t="e">
        <f t="shared" ca="1" si="68"/>
        <v>#NAME?</v>
      </c>
      <c r="AO51" s="495" t="e">
        <f t="shared" si="69"/>
        <v>#REF!</v>
      </c>
      <c r="AP51" s="495" t="e">
        <f t="shared" si="70"/>
        <v>#REF!</v>
      </c>
      <c r="AQ51" s="495" t="e">
        <f t="shared" si="71"/>
        <v>#REF!</v>
      </c>
      <c r="AR51" s="495" t="e">
        <f t="shared" si="72"/>
        <v>#REF!</v>
      </c>
      <c r="AS51" s="21"/>
      <c r="AT51" s="3" t="e">
        <f t="shared" ca="1" si="73"/>
        <v>#REF!</v>
      </c>
      <c r="AU51" s="3"/>
      <c r="AV51" s="3"/>
      <c r="AW51" s="3"/>
      <c r="AX51" s="3"/>
      <c r="AY51" s="3"/>
      <c r="AZ51" s="3"/>
      <c r="BA51" s="3"/>
      <c r="BB51" s="3"/>
      <c r="BC51" s="3"/>
      <c r="BD51" s="3"/>
      <c r="BE51" s="3"/>
      <c r="BF51" s="3"/>
      <c r="BG51" s="3"/>
      <c r="BH51" s="3"/>
      <c r="BI51" s="3"/>
      <c r="BJ51" s="3"/>
    </row>
    <row r="52" spans="1:62">
      <c r="A52" s="8" t="s">
        <v>201</v>
      </c>
      <c r="B52" s="663"/>
      <c r="C52" s="659"/>
      <c r="D52" s="62"/>
      <c r="E52" s="82"/>
      <c r="F52" s="82"/>
      <c r="G52" s="439"/>
      <c r="H52" s="295"/>
      <c r="I52" s="295"/>
      <c r="J52" s="295"/>
      <c r="K52" s="295"/>
      <c r="L52" s="295"/>
      <c r="M52" s="295"/>
      <c r="N52" s="295"/>
      <c r="O52" s="10"/>
      <c r="P52" s="82"/>
      <c r="Q52" s="82"/>
      <c r="R52" s="82"/>
      <c r="S52" s="605"/>
      <c r="T52" s="605"/>
      <c r="U52" s="605"/>
      <c r="V52" s="605"/>
      <c r="W52" s="606"/>
      <c r="X52" s="606"/>
      <c r="Y52" s="607"/>
      <c r="Z52" s="17"/>
      <c r="AA52" s="606"/>
      <c r="AB52" s="605"/>
      <c r="AC52" s="606"/>
      <c r="AD52" s="606"/>
      <c r="AE52" s="607"/>
      <c r="AF52" s="17"/>
      <c r="AG52" s="17"/>
      <c r="AH52" s="17"/>
      <c r="AI52" s="16"/>
      <c r="AJ52" s="16"/>
      <c r="AK52" s="16"/>
      <c r="AL52" s="16"/>
      <c r="AM52" s="16"/>
      <c r="AN52" s="16"/>
      <c r="AO52" s="16"/>
      <c r="AP52" s="16"/>
      <c r="AQ52" s="16"/>
      <c r="AR52" s="16"/>
      <c r="AS52" s="83"/>
      <c r="AT52" s="3"/>
      <c r="AU52" s="3"/>
      <c r="AV52" s="3"/>
      <c r="AW52" s="3"/>
      <c r="AX52" s="3"/>
      <c r="AY52" s="3"/>
      <c r="AZ52" s="3"/>
      <c r="BA52" s="3"/>
      <c r="BB52" s="3"/>
      <c r="BC52" s="3"/>
      <c r="BD52" s="3"/>
      <c r="BE52" s="3"/>
      <c r="BF52" s="3"/>
      <c r="BG52" s="3"/>
      <c r="BH52" s="3"/>
      <c r="BI52" s="3"/>
      <c r="BJ52" s="3"/>
    </row>
    <row r="53" spans="1:62">
      <c r="A53" s="52" t="str">
        <f>'DDR2 Strobes - 1x16'!$A$21</f>
        <v>SA_DQS4</v>
      </c>
      <c r="B53" s="608" t="str">
        <f>'DDR2 Strobes - 1x16'!$B$21</f>
        <v>AB19</v>
      </c>
      <c r="C53" s="660"/>
      <c r="D53" s="53"/>
      <c r="E53" s="81"/>
      <c r="F53" s="81"/>
      <c r="G53" s="440"/>
      <c r="H53" s="296"/>
      <c r="I53" s="296"/>
      <c r="J53" s="296"/>
      <c r="K53" s="296"/>
      <c r="L53" s="296"/>
      <c r="M53" s="296"/>
      <c r="N53" s="296"/>
      <c r="O53" s="81"/>
      <c r="P53" s="81"/>
      <c r="Q53" s="81"/>
      <c r="R53" s="81"/>
      <c r="S53" s="58"/>
      <c r="T53" s="58"/>
      <c r="U53" s="58"/>
      <c r="V53" s="58" t="e">
        <f ca="1">GetSODIMMStrbLen($A53)</f>
        <v>#NAME?</v>
      </c>
      <c r="W53" s="58"/>
      <c r="X53" s="58"/>
      <c r="Y53" s="58"/>
      <c r="Z53" s="608"/>
      <c r="AA53" s="617" t="e">
        <f>"Strobe Pair to " &amp;#REF!</f>
        <v>#REF!</v>
      </c>
      <c r="AB53" s="58" t="e">
        <f ca="1">GetStrbLen(#REF!, "P")</f>
        <v>#NAME?</v>
      </c>
      <c r="AC53" s="58"/>
      <c r="AD53" s="58"/>
      <c r="AE53" s="58"/>
      <c r="AF53" s="608"/>
      <c r="AG53" s="608"/>
      <c r="AH53" s="608"/>
      <c r="AI53" s="608"/>
      <c r="AJ53" s="608"/>
      <c r="AK53" s="608"/>
      <c r="AL53" s="608"/>
      <c r="AM53" s="608"/>
      <c r="AN53" s="608"/>
      <c r="AO53" s="608"/>
      <c r="AP53" s="608"/>
      <c r="AQ53" s="608"/>
      <c r="AR53" s="608"/>
      <c r="AS53" s="58"/>
      <c r="AT53" s="3"/>
      <c r="AU53" s="3"/>
      <c r="AV53" s="3"/>
      <c r="AW53" s="3"/>
      <c r="AX53" s="3"/>
      <c r="AY53" s="3"/>
      <c r="AZ53" s="3"/>
      <c r="BA53" s="3"/>
      <c r="BB53" s="3"/>
      <c r="BC53" s="3"/>
      <c r="BD53" s="3"/>
      <c r="BE53" s="3"/>
      <c r="BF53" s="3"/>
      <c r="BG53" s="3"/>
      <c r="BH53" s="3"/>
      <c r="BI53" s="3"/>
      <c r="BJ53" s="3"/>
    </row>
    <row r="54" spans="1:62">
      <c r="A54" s="52" t="str">
        <f>'DDR2 Strobes - 1x16'!$A$22</f>
        <v>SA_DQS4#</v>
      </c>
      <c r="B54" s="674" t="str">
        <f>'DDR2 Strobes - 1x16'!$B$22</f>
        <v>AB18</v>
      </c>
      <c r="C54" s="660"/>
      <c r="D54" s="53"/>
      <c r="E54" s="81"/>
      <c r="F54" s="81"/>
      <c r="G54" s="440"/>
      <c r="H54" s="296"/>
      <c r="I54" s="296"/>
      <c r="J54" s="296"/>
      <c r="K54" s="296"/>
      <c r="L54" s="296"/>
      <c r="M54" s="296"/>
      <c r="N54" s="296"/>
      <c r="O54" s="81"/>
      <c r="P54" s="81"/>
      <c r="Q54" s="602"/>
      <c r="R54" s="602"/>
      <c r="S54" s="603"/>
      <c r="T54" s="603"/>
      <c r="U54" s="58"/>
      <c r="V54" s="58" t="e">
        <f ca="1">GetSODIMMStrbLen($A54)</f>
        <v>#NAME?</v>
      </c>
      <c r="W54" s="58"/>
      <c r="X54" s="58"/>
      <c r="Y54" s="58"/>
      <c r="Z54" s="608"/>
      <c r="AA54" s="618" t="e">
        <f>"Strobe Pair to " &amp;#REF!</f>
        <v>#REF!</v>
      </c>
      <c r="AB54" s="58" t="e">
        <f ca="1">GetStrbLen(#REF!, "N")</f>
        <v>#NAME?</v>
      </c>
      <c r="AC54" s="58"/>
      <c r="AD54" s="58"/>
      <c r="AE54" s="58"/>
      <c r="AF54" s="608"/>
      <c r="AG54" s="608"/>
      <c r="AH54" s="608"/>
      <c r="AI54" s="609"/>
      <c r="AJ54" s="609"/>
      <c r="AK54" s="609"/>
      <c r="AL54" s="609"/>
      <c r="AM54" s="609"/>
      <c r="AN54" s="609"/>
      <c r="AO54" s="609"/>
      <c r="AP54" s="609"/>
      <c r="AQ54" s="609"/>
      <c r="AR54" s="609"/>
      <c r="AS54" s="58"/>
      <c r="AT54" s="3"/>
      <c r="AU54" s="3"/>
      <c r="AV54" s="3"/>
      <c r="AW54" s="3"/>
      <c r="AX54" s="3"/>
      <c r="AY54" s="3"/>
      <c r="AZ54" s="3"/>
      <c r="BA54" s="3"/>
      <c r="BB54" s="3"/>
      <c r="BC54" s="3"/>
      <c r="BD54" s="3"/>
      <c r="BE54" s="3"/>
      <c r="BF54" s="3"/>
      <c r="BG54" s="3"/>
      <c r="BH54" s="3"/>
      <c r="BI54" s="3"/>
      <c r="BJ54" s="3"/>
    </row>
    <row r="55" spans="1:62">
      <c r="A55" s="630" t="s">
        <v>156</v>
      </c>
      <c r="B55" s="662" t="s">
        <v>356</v>
      </c>
      <c r="C55" s="658">
        <v>655.8661417322835</v>
      </c>
      <c r="D55" s="18"/>
      <c r="E55" s="277">
        <v>29.7</v>
      </c>
      <c r="F55" s="277">
        <v>0</v>
      </c>
      <c r="G55" s="438">
        <v>1846.2151181102358</v>
      </c>
      <c r="H55" s="305">
        <v>75.260000000000005</v>
      </c>
      <c r="I55" s="277">
        <v>0</v>
      </c>
      <c r="J55" s="305">
        <v>58.71</v>
      </c>
      <c r="K55" s="277">
        <v>40</v>
      </c>
      <c r="L55" s="305">
        <v>105.97</v>
      </c>
      <c r="M55" s="305">
        <v>1019.07</v>
      </c>
      <c r="N55" s="305">
        <v>78</v>
      </c>
      <c r="O55" s="69"/>
      <c r="P55" s="489">
        <f xml:space="preserve"> E55+F55+G55+H55</f>
        <v>1951.1751181102359</v>
      </c>
      <c r="Q55" s="489">
        <f t="shared" ref="Q55:Q63" si="84">SUM(E55:G55,I55:N55)</f>
        <v>3177.6651181102361</v>
      </c>
      <c r="R55" s="597"/>
      <c r="S55" s="489" t="e">
        <f>P55+IF($B$2="mil",1,0.0254)*C55</f>
        <v>#REF!</v>
      </c>
      <c r="T55" s="489" t="e">
        <f t="shared" ref="T55:T62" si="85">Q55+IF($B$2="mil",1,0.0254)*$C55</f>
        <v>#REF!</v>
      </c>
      <c r="U55" s="597"/>
      <c r="V55" s="489" t="e">
        <f ca="1">MAX(V$53:V$54)+IF($B$2="mil",1,0.0254)*DDR2Specs!$B$3</f>
        <v>#NAME?</v>
      </c>
      <c r="W55" s="489" t="e">
        <f ca="1">MIN(V$53:V$54)+IF($B$2="mil",1,0.0254)*DDR2Specs!$C$3</f>
        <v>#NAME?</v>
      </c>
      <c r="X55" s="21"/>
      <c r="Y55" s="598" t="e">
        <f ca="1">IF($S55&lt;$V55,$V55-$S55,"Pass")</f>
        <v>#REF!</v>
      </c>
      <c r="Z55" s="495" t="e">
        <f ca="1">IF($S55&gt;$W55,$S55-$W55,"Pass")</f>
        <v>#REF!</v>
      </c>
      <c r="AA55" s="21"/>
      <c r="AB55" s="489" t="e">
        <f ca="1">MAX(AB$53:AB$54)+IF($B$2="mil",1,0.0254)*DDR2Specs!$E$3</f>
        <v>#NAME?</v>
      </c>
      <c r="AC55" s="489" t="e">
        <f ca="1">MIN(AB$53:AB$54)+IF($B$2="mil",1,0.0254)*DDR2Specs!$F$3</f>
        <v>#NAME?</v>
      </c>
      <c r="AD55" s="21"/>
      <c r="AE55" s="598" t="e">
        <f t="shared" ref="AE55:AE63" ca="1" si="86">IF($T55&lt;$AB55,$AB55-$T55,"Pass")</f>
        <v>#REF!</v>
      </c>
      <c r="AF55" s="495" t="e">
        <f t="shared" ref="AF55:AF63" ca="1" si="87">IF($T55&gt;$AC55,$T55-$AC55,"Pass")</f>
        <v>#REF!</v>
      </c>
      <c r="AG55" s="495" t="e">
        <f t="shared" ref="AG55:AG63" si="88">IF($E55&lt;=IF($B$2="mil",1,0.0254)*50,"Pass",IF($B$2="mil",1,0.0254)*50-$E55)</f>
        <v>#REF!</v>
      </c>
      <c r="AH55" s="495" t="e">
        <f t="shared" ref="AH55:AH63" si="89">IF($F55&lt;=IF($B$2="mil",1,0.0254)*500,"Pass",IF($B$2="mil",1,0.0254)*500-$F55)</f>
        <v>#REF!</v>
      </c>
      <c r="AI55" s="495" t="e">
        <f>IF($H55&lt;=IF($B$2="mil",1,0.0254)*250,"Pass",IF($B$2="mil",1,0.0254)*250-$H55)</f>
        <v>#REF!</v>
      </c>
      <c r="AJ55" s="495" t="e">
        <f t="shared" ref="AJ55:AJ63" ca="1" si="90">CheckLength(IF($B$2="mil",1,0.0254)*1000, IF($B$2="mil",1,0.0254)*125-J55, 0, I55,J55,0)</f>
        <v>#NAME?</v>
      </c>
      <c r="AK55" s="495" t="e">
        <f>IF($J55&lt;=IF($B$2="mil",1,0.0254)*125,"Pass",IF($B$2="mil",1,0.0254)*125-$J55)</f>
        <v>#REF!</v>
      </c>
      <c r="AL55" s="495" t="e">
        <f>IF($L55&lt;=IF($B$2="mil",1,0.0254)*125,"Pass",IF($B$2="mil",1,0.0254)*125-$L55)</f>
        <v>#REF!</v>
      </c>
      <c r="AM55" s="495" t="e">
        <f ca="1">CheckLength(IF($B$2="mil",1,0.0254)*1250, IF($B$2="mil",1,0.0254)*125-L55, IF($B$2="mil",1,0.0254)*150-N55, M55,L55,N55)</f>
        <v>#NAME?</v>
      </c>
      <c r="AN55" s="495" t="e">
        <f t="shared" ref="AN55:AN63" ca="1" si="91">CheckLength2(IF($B$2="mil",1,0.0254)*1400,M55,N55,0)</f>
        <v>#NAME?</v>
      </c>
      <c r="AO55" s="495" t="e">
        <f t="shared" ref="AO55:AO63" si="92">IF(AND($P55&gt;=IF($B$2="mil",1,0.0254)*500, $P55&lt;=IF($B$2="mil",1,0.0254)*4000),"Pass",IF($B$2="mil",1,0.0254)*4000-$P55)</f>
        <v>#REF!</v>
      </c>
      <c r="AP55" s="495" t="e">
        <f t="shared" ref="AP55:AP63" si="93">IF(AND($S55&gt;=IF($B$2="mil",1,0.0254)*500, $S55&lt;=IF($B$2="mil",1,0.0254)*4500),"Pass",IF($B$2="mil",1,0.0254)*4500-$S55)</f>
        <v>#REF!</v>
      </c>
      <c r="AQ55" s="495" t="e">
        <f t="shared" ref="AQ55:AQ63" si="94">IF(AND($Q55&gt;=IF($B$2="mil",1,0.0254)*500, $Q55&lt;=IF($B$2="mil",1,0.0254)*5500),"Pass",IF($B$2="mil",1,0.0254)*5500-$Q55)</f>
        <v>#REF!</v>
      </c>
      <c r="AR55" s="495" t="e">
        <f t="shared" ref="AR55:AR63" si="95">IF(AND($T55&gt;=IF($B$2="mil",1,0.0254)*500, $T55&lt;=IF($B$2="mil",1,0.0254)*6000),"Pass",IF($B$2="mil",1,0.0254)*6000-$T55)</f>
        <v>#REF!</v>
      </c>
      <c r="AS55" s="21"/>
      <c r="AT55" s="3" t="e">
        <f t="shared" ref="AT55:AT63" ca="1" si="96">IF(AND(AG55="Pass",AP55="Pass",AI55="Pass",AH55="Pass",AO55="Pass",Y55="Pass",Z55="Pass",AN55="Pass",AM55="Pass",AL55="Pass",AK55="Pass",AJ55="Pass",AE55="Pass",AF55="Pass",AQ55="Pass",AR55="Pass"),"Pass","Fail")</f>
        <v>#REF!</v>
      </c>
      <c r="AU55" s="3" t="e">
        <f ca="1">IF(AND(AT55="Pass",AT56="Pass",AT57="Pass",AT58="Pass",AT59="Pass",AT60="Pass",AT61="Pass",AT62="Pass",AT63="Pass"),"Pass","Fail")</f>
        <v>#REF!</v>
      </c>
      <c r="AV55" s="3"/>
      <c r="AW55" s="3"/>
      <c r="AX55" s="3"/>
      <c r="AY55" s="3"/>
      <c r="AZ55" s="3"/>
      <c r="BA55" s="3"/>
      <c r="BB55" s="3"/>
      <c r="BC55" s="3"/>
      <c r="BD55" s="3"/>
      <c r="BE55" s="3"/>
      <c r="BF55" s="3"/>
      <c r="BG55" s="3"/>
      <c r="BH55" s="3"/>
      <c r="BI55" s="3"/>
      <c r="BJ55" s="3"/>
    </row>
    <row r="56" spans="1:62">
      <c r="A56" s="630" t="s">
        <v>157</v>
      </c>
      <c r="B56" s="662" t="s">
        <v>357</v>
      </c>
      <c r="C56" s="658">
        <v>729.25196850393706</v>
      </c>
      <c r="D56" s="18"/>
      <c r="E56" s="277">
        <v>29.7</v>
      </c>
      <c r="F56" s="277">
        <v>0</v>
      </c>
      <c r="G56" s="438">
        <v>1822.2331496062989</v>
      </c>
      <c r="H56" s="305">
        <v>74.989999999999995</v>
      </c>
      <c r="I56" s="277">
        <v>0</v>
      </c>
      <c r="J56" s="305">
        <v>69.2</v>
      </c>
      <c r="K56" s="277">
        <v>40</v>
      </c>
      <c r="L56" s="305">
        <v>110.37</v>
      </c>
      <c r="M56" s="305">
        <v>981.91</v>
      </c>
      <c r="N56" s="305">
        <v>100</v>
      </c>
      <c r="O56" s="69"/>
      <c r="P56" s="489">
        <f t="shared" ref="P56:P63" si="97" xml:space="preserve"> E56+F56+G56+H56</f>
        <v>1926.9231496062989</v>
      </c>
      <c r="Q56" s="489">
        <f t="shared" si="84"/>
        <v>3153.4131496062987</v>
      </c>
      <c r="R56" s="597"/>
      <c r="S56" s="489" t="e">
        <f t="shared" ref="S56:S63" si="98">P56+IF($B$2="mil",1,0.0254)*C56</f>
        <v>#REF!</v>
      </c>
      <c r="T56" s="489" t="e">
        <f t="shared" si="85"/>
        <v>#REF!</v>
      </c>
      <c r="U56" s="597"/>
      <c r="V56" s="489" t="e">
        <f ca="1">MAX(V$53:V$54)+IF($B$2="mil",1,0.0254)*DDR2Specs!$B$3</f>
        <v>#NAME?</v>
      </c>
      <c r="W56" s="489" t="e">
        <f ca="1">MIN(V$53:V$54)+IF($B$2="mil",1,0.0254)*DDR2Specs!$C$3</f>
        <v>#NAME?</v>
      </c>
      <c r="X56" s="21"/>
      <c r="Y56" s="598" t="e">
        <f t="shared" ref="Y56:Y63" ca="1" si="99">IF($S56&lt;$V56,$V56-$S56,"Pass")</f>
        <v>#REF!</v>
      </c>
      <c r="Z56" s="495" t="e">
        <f t="shared" ref="Z56:Z63" ca="1" si="100">IF($S56&gt;$W56,$S56-$W56,"Pass")</f>
        <v>#REF!</v>
      </c>
      <c r="AA56" s="21"/>
      <c r="AB56" s="489" t="e">
        <f ca="1">MAX(AB$53:AB$54)+IF($B$2="mil",1,0.0254)*DDR2Specs!$E$3</f>
        <v>#NAME?</v>
      </c>
      <c r="AC56" s="489" t="e">
        <f ca="1">MIN(AB$53:AB$54)+IF($B$2="mil",1,0.0254)*DDR2Specs!$F$3</f>
        <v>#NAME?</v>
      </c>
      <c r="AD56" s="21"/>
      <c r="AE56" s="598" t="e">
        <f t="shared" ca="1" si="86"/>
        <v>#REF!</v>
      </c>
      <c r="AF56" s="495" t="e">
        <f t="shared" ca="1" si="87"/>
        <v>#REF!</v>
      </c>
      <c r="AG56" s="495" t="e">
        <f t="shared" si="88"/>
        <v>#REF!</v>
      </c>
      <c r="AH56" s="495" t="e">
        <f t="shared" si="89"/>
        <v>#REF!</v>
      </c>
      <c r="AI56" s="495" t="e">
        <f t="shared" ref="AI56:AI63" si="101">IF($H56&lt;=IF($B$2="mil",1,0.0254)*250,"Pass",IF($B$2="mil",1,0.0254)*250-$H56)</f>
        <v>#REF!</v>
      </c>
      <c r="AJ56" s="495" t="e">
        <f t="shared" ca="1" si="90"/>
        <v>#NAME?</v>
      </c>
      <c r="AK56" s="495" t="e">
        <f t="shared" ref="AK56:AK63" si="102">IF($J56&lt;=IF($B$2="mil",1,0.0254)*125,"Pass",IF($B$2="mil",1,0.0254)*125-$J56)</f>
        <v>#REF!</v>
      </c>
      <c r="AL56" s="495" t="e">
        <f t="shared" ref="AL56:AL63" si="103">IF($L56&lt;=IF($B$2="mil",1,0.0254)*125,"Pass",IF($B$2="mil",1,0.0254)*125-$L56)</f>
        <v>#REF!</v>
      </c>
      <c r="AM56" s="495" t="e">
        <f t="shared" ref="AM56:AM63" ca="1" si="104">CheckLength(IF($B$2="mil",1,0.0254)*1250, IF($B$2="mil",1,0.0254)*125-L56, IF($B$2="mil",1,0.0254)*150-N56, M56,L56,N56)</f>
        <v>#NAME?</v>
      </c>
      <c r="AN56" s="495" t="e">
        <f t="shared" ca="1" si="91"/>
        <v>#NAME?</v>
      </c>
      <c r="AO56" s="495" t="e">
        <f t="shared" si="92"/>
        <v>#REF!</v>
      </c>
      <c r="AP56" s="495" t="e">
        <f t="shared" si="93"/>
        <v>#REF!</v>
      </c>
      <c r="AQ56" s="495" t="e">
        <f t="shared" si="94"/>
        <v>#REF!</v>
      </c>
      <c r="AR56" s="495" t="e">
        <f t="shared" si="95"/>
        <v>#REF!</v>
      </c>
      <c r="AS56" s="21"/>
      <c r="AT56" s="3" t="e">
        <f t="shared" ca="1" si="96"/>
        <v>#REF!</v>
      </c>
      <c r="AU56" s="3"/>
      <c r="AV56" s="3"/>
      <c r="AW56" s="3"/>
      <c r="AX56" s="3"/>
      <c r="AY56" s="3"/>
      <c r="AZ56" s="3"/>
      <c r="BA56" s="3"/>
      <c r="BB56" s="3"/>
      <c r="BC56" s="3"/>
      <c r="BD56" s="3"/>
      <c r="BE56" s="3"/>
      <c r="BF56" s="3"/>
      <c r="BG56" s="3"/>
      <c r="BH56" s="3"/>
      <c r="BI56" s="3"/>
      <c r="BJ56" s="3"/>
    </row>
    <row r="57" spans="1:62">
      <c r="A57" s="630" t="s">
        <v>158</v>
      </c>
      <c r="B57" s="662" t="s">
        <v>358</v>
      </c>
      <c r="C57" s="658">
        <v>732.12598425196848</v>
      </c>
      <c r="D57" s="18"/>
      <c r="E57" s="277">
        <v>29.7</v>
      </c>
      <c r="F57" s="277">
        <v>0</v>
      </c>
      <c r="G57" s="438">
        <v>1804.9302362204719</v>
      </c>
      <c r="H57" s="305">
        <v>115.6</v>
      </c>
      <c r="I57" s="277">
        <v>0</v>
      </c>
      <c r="J57" s="305">
        <v>102</v>
      </c>
      <c r="K57" s="277">
        <v>40</v>
      </c>
      <c r="L57" s="305">
        <v>85.78</v>
      </c>
      <c r="M57" s="305">
        <v>1082.31</v>
      </c>
      <c r="N57" s="305">
        <v>32</v>
      </c>
      <c r="O57" s="69"/>
      <c r="P57" s="489">
        <f t="shared" si="97"/>
        <v>1950.2302362204719</v>
      </c>
      <c r="Q57" s="489">
        <f t="shared" si="84"/>
        <v>3176.7202362204721</v>
      </c>
      <c r="R57" s="597"/>
      <c r="S57" s="489" t="e">
        <f t="shared" si="98"/>
        <v>#REF!</v>
      </c>
      <c r="T57" s="489" t="e">
        <f t="shared" si="85"/>
        <v>#REF!</v>
      </c>
      <c r="U57" s="597"/>
      <c r="V57" s="489" t="e">
        <f ca="1">MAX(V$53:V$54)+IF($B$2="mil",1,0.0254)*DDR2Specs!$B$3</f>
        <v>#NAME?</v>
      </c>
      <c r="W57" s="489" t="e">
        <f ca="1">MIN(V$53:V$54)+IF($B$2="mil",1,0.0254)*DDR2Specs!$C$3</f>
        <v>#NAME?</v>
      </c>
      <c r="X57" s="21"/>
      <c r="Y57" s="598" t="e">
        <f t="shared" ca="1" si="99"/>
        <v>#REF!</v>
      </c>
      <c r="Z57" s="495" t="e">
        <f t="shared" ca="1" si="100"/>
        <v>#REF!</v>
      </c>
      <c r="AA57" s="21"/>
      <c r="AB57" s="489" t="e">
        <f ca="1">MAX(AB$53:AB$54)+IF($B$2="mil",1,0.0254)*DDR2Specs!$E$3</f>
        <v>#NAME?</v>
      </c>
      <c r="AC57" s="489" t="e">
        <f ca="1">MIN(AB$53:AB$54)+IF($B$2="mil",1,0.0254)*DDR2Specs!$F$3</f>
        <v>#NAME?</v>
      </c>
      <c r="AD57" s="21"/>
      <c r="AE57" s="598" t="e">
        <f t="shared" ca="1" si="86"/>
        <v>#REF!</v>
      </c>
      <c r="AF57" s="495" t="e">
        <f t="shared" ca="1" si="87"/>
        <v>#REF!</v>
      </c>
      <c r="AG57" s="495" t="e">
        <f t="shared" si="88"/>
        <v>#REF!</v>
      </c>
      <c r="AH57" s="495" t="e">
        <f t="shared" si="89"/>
        <v>#REF!</v>
      </c>
      <c r="AI57" s="495" t="e">
        <f t="shared" si="101"/>
        <v>#REF!</v>
      </c>
      <c r="AJ57" s="495" t="e">
        <f t="shared" ca="1" si="90"/>
        <v>#NAME?</v>
      </c>
      <c r="AK57" s="495" t="e">
        <f t="shared" si="102"/>
        <v>#REF!</v>
      </c>
      <c r="AL57" s="495" t="e">
        <f t="shared" si="103"/>
        <v>#REF!</v>
      </c>
      <c r="AM57" s="495" t="e">
        <f t="shared" ca="1" si="104"/>
        <v>#NAME?</v>
      </c>
      <c r="AN57" s="495" t="e">
        <f t="shared" ca="1" si="91"/>
        <v>#NAME?</v>
      </c>
      <c r="AO57" s="495" t="e">
        <f t="shared" si="92"/>
        <v>#REF!</v>
      </c>
      <c r="AP57" s="495" t="e">
        <f t="shared" si="93"/>
        <v>#REF!</v>
      </c>
      <c r="AQ57" s="495" t="e">
        <f t="shared" si="94"/>
        <v>#REF!</v>
      </c>
      <c r="AR57" s="495" t="e">
        <f t="shared" si="95"/>
        <v>#REF!</v>
      </c>
      <c r="AS57" s="21"/>
      <c r="AT57" s="3" t="e">
        <f t="shared" ca="1" si="96"/>
        <v>#REF!</v>
      </c>
      <c r="AU57" s="3"/>
      <c r="AV57" s="3"/>
      <c r="AW57" s="3"/>
      <c r="AX57" s="3"/>
      <c r="AY57" s="3"/>
      <c r="AZ57" s="3"/>
      <c r="BA57" s="3"/>
      <c r="BB57" s="3"/>
      <c r="BC57" s="3"/>
      <c r="BD57" s="3"/>
      <c r="BE57" s="3"/>
      <c r="BF57" s="3"/>
      <c r="BG57" s="3"/>
      <c r="BH57" s="3"/>
      <c r="BI57" s="3"/>
      <c r="BJ57" s="3"/>
    </row>
    <row r="58" spans="1:62">
      <c r="A58" s="630" t="s">
        <v>159</v>
      </c>
      <c r="B58" s="662" t="s">
        <v>110</v>
      </c>
      <c r="C58" s="658">
        <v>731.0236220472442</v>
      </c>
      <c r="D58" s="18"/>
      <c r="E58" s="277">
        <v>29.7</v>
      </c>
      <c r="F58" s="277">
        <v>0</v>
      </c>
      <c r="G58" s="438">
        <v>1840.4488976377947</v>
      </c>
      <c r="H58" s="305">
        <v>65.790000000000006</v>
      </c>
      <c r="I58" s="277">
        <v>0</v>
      </c>
      <c r="J58" s="305">
        <v>49.57</v>
      </c>
      <c r="K58" s="277">
        <v>40</v>
      </c>
      <c r="L58" s="305">
        <v>49.37</v>
      </c>
      <c r="M58" s="305">
        <v>1120.3399999999999</v>
      </c>
      <c r="N58" s="305">
        <v>33</v>
      </c>
      <c r="O58" s="69"/>
      <c r="P58" s="489">
        <f t="shared" si="97"/>
        <v>1935.9388976377948</v>
      </c>
      <c r="Q58" s="489">
        <f t="shared" si="84"/>
        <v>3162.4288976377948</v>
      </c>
      <c r="R58" s="597"/>
      <c r="S58" s="489" t="e">
        <f t="shared" si="98"/>
        <v>#REF!</v>
      </c>
      <c r="T58" s="489" t="e">
        <f t="shared" si="85"/>
        <v>#REF!</v>
      </c>
      <c r="U58" s="597"/>
      <c r="V58" s="489" t="e">
        <f ca="1">MAX(V$53:V$54)+IF($B$2="mil",1,0.0254)*DDR2Specs!$B$3</f>
        <v>#NAME?</v>
      </c>
      <c r="W58" s="489" t="e">
        <f ca="1">MIN(V$53:V$54)+IF($B$2="mil",1,0.0254)*DDR2Specs!$C$3</f>
        <v>#NAME?</v>
      </c>
      <c r="X58" s="21"/>
      <c r="Y58" s="598" t="e">
        <f t="shared" ca="1" si="99"/>
        <v>#REF!</v>
      </c>
      <c r="Z58" s="495" t="e">
        <f t="shared" ca="1" si="100"/>
        <v>#REF!</v>
      </c>
      <c r="AA58" s="21"/>
      <c r="AB58" s="489" t="e">
        <f ca="1">MAX(AB$53:AB$54)+IF($B$2="mil",1,0.0254)*DDR2Specs!$E$3</f>
        <v>#NAME?</v>
      </c>
      <c r="AC58" s="489" t="e">
        <f ca="1">MIN(AB$53:AB$54)+IF($B$2="mil",1,0.0254)*DDR2Specs!$F$3</f>
        <v>#NAME?</v>
      </c>
      <c r="AD58" s="21"/>
      <c r="AE58" s="598" t="e">
        <f t="shared" ca="1" si="86"/>
        <v>#REF!</v>
      </c>
      <c r="AF58" s="495" t="e">
        <f t="shared" ca="1" si="87"/>
        <v>#REF!</v>
      </c>
      <c r="AG58" s="495" t="e">
        <f t="shared" si="88"/>
        <v>#REF!</v>
      </c>
      <c r="AH58" s="495" t="e">
        <f t="shared" si="89"/>
        <v>#REF!</v>
      </c>
      <c r="AI58" s="495" t="e">
        <f t="shared" si="101"/>
        <v>#REF!</v>
      </c>
      <c r="AJ58" s="495" t="e">
        <f t="shared" ca="1" si="90"/>
        <v>#NAME?</v>
      </c>
      <c r="AK58" s="495" t="e">
        <f t="shared" si="102"/>
        <v>#REF!</v>
      </c>
      <c r="AL58" s="495" t="e">
        <f t="shared" si="103"/>
        <v>#REF!</v>
      </c>
      <c r="AM58" s="495" t="e">
        <f t="shared" ca="1" si="104"/>
        <v>#NAME?</v>
      </c>
      <c r="AN58" s="495" t="e">
        <f t="shared" ca="1" si="91"/>
        <v>#NAME?</v>
      </c>
      <c r="AO58" s="495" t="e">
        <f t="shared" si="92"/>
        <v>#REF!</v>
      </c>
      <c r="AP58" s="495" t="e">
        <f t="shared" si="93"/>
        <v>#REF!</v>
      </c>
      <c r="AQ58" s="495" t="e">
        <f t="shared" si="94"/>
        <v>#REF!</v>
      </c>
      <c r="AR58" s="495" t="e">
        <f t="shared" si="95"/>
        <v>#REF!</v>
      </c>
      <c r="AS58" s="21"/>
      <c r="AT58" s="3" t="e">
        <f t="shared" ca="1" si="96"/>
        <v>#REF!</v>
      </c>
      <c r="AU58" s="3"/>
      <c r="AV58" s="3"/>
      <c r="AW58" s="3"/>
      <c r="AX58" s="3"/>
      <c r="AY58" s="3"/>
      <c r="AZ58" s="3"/>
      <c r="BA58" s="3"/>
      <c r="BB58" s="3"/>
      <c r="BC58" s="3"/>
      <c r="BD58" s="3"/>
      <c r="BE58" s="3"/>
      <c r="BF58" s="3"/>
      <c r="BG58" s="3"/>
      <c r="BH58" s="3"/>
      <c r="BI58" s="3"/>
      <c r="BJ58" s="3"/>
    </row>
    <row r="59" spans="1:62">
      <c r="A59" s="630" t="s">
        <v>160</v>
      </c>
      <c r="B59" s="662" t="s">
        <v>359</v>
      </c>
      <c r="C59" s="658">
        <v>672.48031496062993</v>
      </c>
      <c r="D59" s="18"/>
      <c r="E59" s="277">
        <v>29.7</v>
      </c>
      <c r="F59" s="277">
        <v>0</v>
      </c>
      <c r="G59" s="438">
        <v>1895.3881889763779</v>
      </c>
      <c r="H59" s="305">
        <v>76.52</v>
      </c>
      <c r="I59" s="277">
        <v>0</v>
      </c>
      <c r="J59" s="305">
        <v>50.13</v>
      </c>
      <c r="K59" s="277">
        <v>40</v>
      </c>
      <c r="L59" s="305">
        <v>116.6</v>
      </c>
      <c r="M59" s="305">
        <v>1000.19</v>
      </c>
      <c r="N59" s="305">
        <v>96.09</v>
      </c>
      <c r="O59" s="69"/>
      <c r="P59" s="489">
        <f t="shared" si="97"/>
        <v>2001.608188976378</v>
      </c>
      <c r="Q59" s="489">
        <f t="shared" si="84"/>
        <v>3228.0981889763784</v>
      </c>
      <c r="R59" s="597"/>
      <c r="S59" s="489" t="e">
        <f t="shared" si="98"/>
        <v>#REF!</v>
      </c>
      <c r="T59" s="489" t="e">
        <f t="shared" si="85"/>
        <v>#REF!</v>
      </c>
      <c r="U59" s="597"/>
      <c r="V59" s="489" t="e">
        <f ca="1">MAX(V$53:V$54)+IF($B$2="mil",1,0.0254)*DDR2Specs!$B$3</f>
        <v>#NAME?</v>
      </c>
      <c r="W59" s="489" t="e">
        <f ca="1">MIN(V$53:V$54)+IF($B$2="mil",1,0.0254)*DDR2Specs!$C$3</f>
        <v>#NAME?</v>
      </c>
      <c r="X59" s="21"/>
      <c r="Y59" s="598" t="e">
        <f t="shared" ca="1" si="99"/>
        <v>#REF!</v>
      </c>
      <c r="Z59" s="495" t="e">
        <f t="shared" ca="1" si="100"/>
        <v>#REF!</v>
      </c>
      <c r="AA59" s="21"/>
      <c r="AB59" s="489" t="e">
        <f ca="1">MAX(AB$53:AB$54)+IF($B$2="mil",1,0.0254)*DDR2Specs!$E$3</f>
        <v>#NAME?</v>
      </c>
      <c r="AC59" s="489" t="e">
        <f ca="1">MIN(AB$53:AB$54)+IF($B$2="mil",1,0.0254)*DDR2Specs!$F$3</f>
        <v>#NAME?</v>
      </c>
      <c r="AD59" s="21"/>
      <c r="AE59" s="598" t="e">
        <f t="shared" ca="1" si="86"/>
        <v>#REF!</v>
      </c>
      <c r="AF59" s="495" t="e">
        <f t="shared" ca="1" si="87"/>
        <v>#REF!</v>
      </c>
      <c r="AG59" s="495" t="e">
        <f t="shared" si="88"/>
        <v>#REF!</v>
      </c>
      <c r="AH59" s="495" t="e">
        <f t="shared" si="89"/>
        <v>#REF!</v>
      </c>
      <c r="AI59" s="495" t="e">
        <f t="shared" si="101"/>
        <v>#REF!</v>
      </c>
      <c r="AJ59" s="495" t="e">
        <f t="shared" ca="1" si="90"/>
        <v>#NAME?</v>
      </c>
      <c r="AK59" s="495" t="e">
        <f t="shared" si="102"/>
        <v>#REF!</v>
      </c>
      <c r="AL59" s="495" t="e">
        <f t="shared" si="103"/>
        <v>#REF!</v>
      </c>
      <c r="AM59" s="495" t="e">
        <f t="shared" ca="1" si="104"/>
        <v>#NAME?</v>
      </c>
      <c r="AN59" s="495" t="e">
        <f t="shared" ca="1" si="91"/>
        <v>#NAME?</v>
      </c>
      <c r="AO59" s="495" t="e">
        <f t="shared" si="92"/>
        <v>#REF!</v>
      </c>
      <c r="AP59" s="495" t="e">
        <f t="shared" si="93"/>
        <v>#REF!</v>
      </c>
      <c r="AQ59" s="495" t="e">
        <f t="shared" si="94"/>
        <v>#REF!</v>
      </c>
      <c r="AR59" s="495" t="e">
        <f t="shared" si="95"/>
        <v>#REF!</v>
      </c>
      <c r="AS59" s="21"/>
      <c r="AT59" s="3" t="e">
        <f t="shared" ca="1" si="96"/>
        <v>#REF!</v>
      </c>
      <c r="AU59" s="3"/>
      <c r="AV59" s="3"/>
      <c r="AW59" s="3"/>
      <c r="AX59" s="3"/>
      <c r="AY59" s="3"/>
      <c r="AZ59" s="3"/>
      <c r="BA59" s="3"/>
      <c r="BB59" s="3"/>
      <c r="BC59" s="3"/>
      <c r="BD59" s="3"/>
      <c r="BE59" s="3"/>
      <c r="BF59" s="3"/>
      <c r="BG59" s="3"/>
      <c r="BH59" s="3"/>
      <c r="BI59" s="3"/>
      <c r="BJ59" s="3"/>
    </row>
    <row r="60" spans="1:62">
      <c r="A60" s="630" t="s">
        <v>161</v>
      </c>
      <c r="B60" s="662" t="s">
        <v>360</v>
      </c>
      <c r="C60" s="658">
        <v>669.5275590551181</v>
      </c>
      <c r="D60" s="18"/>
      <c r="E60" s="277">
        <v>29.7</v>
      </c>
      <c r="F60" s="277">
        <v>0</v>
      </c>
      <c r="G60" s="438">
        <v>1957.3247244094484</v>
      </c>
      <c r="H60" s="305">
        <v>102.3</v>
      </c>
      <c r="I60" s="277">
        <v>0</v>
      </c>
      <c r="J60" s="305">
        <v>78.23</v>
      </c>
      <c r="K60" s="277">
        <v>40</v>
      </c>
      <c r="L60" s="305">
        <v>109.2</v>
      </c>
      <c r="M60" s="305">
        <v>1013.36</v>
      </c>
      <c r="N60" s="305">
        <v>88</v>
      </c>
      <c r="O60" s="69"/>
      <c r="P60" s="489">
        <f t="shared" si="97"/>
        <v>2089.3247244094487</v>
      </c>
      <c r="Q60" s="489">
        <f t="shared" si="84"/>
        <v>3315.8147244094484</v>
      </c>
      <c r="R60" s="597"/>
      <c r="S60" s="489" t="e">
        <f t="shared" si="98"/>
        <v>#REF!</v>
      </c>
      <c r="T60" s="489" t="e">
        <f t="shared" si="85"/>
        <v>#REF!</v>
      </c>
      <c r="U60" s="597"/>
      <c r="V60" s="489" t="e">
        <f ca="1">MAX(V$53:V$54)+IF($B$2="mil",1,0.0254)*DDR2Specs!$B$3</f>
        <v>#NAME?</v>
      </c>
      <c r="W60" s="489" t="e">
        <f ca="1">MIN(V$53:V$54)+IF($B$2="mil",1,0.0254)*DDR2Specs!$C$3</f>
        <v>#NAME?</v>
      </c>
      <c r="X60" s="21"/>
      <c r="Y60" s="598" t="e">
        <f t="shared" ca="1" si="99"/>
        <v>#REF!</v>
      </c>
      <c r="Z60" s="495" t="e">
        <f t="shared" ca="1" si="100"/>
        <v>#REF!</v>
      </c>
      <c r="AA60" s="21"/>
      <c r="AB60" s="489" t="e">
        <f ca="1">MAX(AB$53:AB$54)+IF($B$2="mil",1,0.0254)*DDR2Specs!$E$3</f>
        <v>#NAME?</v>
      </c>
      <c r="AC60" s="489" t="e">
        <f ca="1">MIN(AB$53:AB$54)+IF($B$2="mil",1,0.0254)*DDR2Specs!$F$3</f>
        <v>#NAME?</v>
      </c>
      <c r="AD60" s="21"/>
      <c r="AE60" s="598" t="e">
        <f t="shared" ca="1" si="86"/>
        <v>#REF!</v>
      </c>
      <c r="AF60" s="495" t="e">
        <f t="shared" ca="1" si="87"/>
        <v>#REF!</v>
      </c>
      <c r="AG60" s="495" t="e">
        <f t="shared" si="88"/>
        <v>#REF!</v>
      </c>
      <c r="AH60" s="495" t="e">
        <f t="shared" si="89"/>
        <v>#REF!</v>
      </c>
      <c r="AI60" s="495" t="e">
        <f t="shared" si="101"/>
        <v>#REF!</v>
      </c>
      <c r="AJ60" s="495" t="e">
        <f t="shared" ca="1" si="90"/>
        <v>#NAME?</v>
      </c>
      <c r="AK60" s="495" t="e">
        <f t="shared" si="102"/>
        <v>#REF!</v>
      </c>
      <c r="AL60" s="495" t="e">
        <f t="shared" si="103"/>
        <v>#REF!</v>
      </c>
      <c r="AM60" s="495" t="e">
        <f t="shared" ca="1" si="104"/>
        <v>#NAME?</v>
      </c>
      <c r="AN60" s="495" t="e">
        <f t="shared" ca="1" si="91"/>
        <v>#NAME?</v>
      </c>
      <c r="AO60" s="495" t="e">
        <f t="shared" si="92"/>
        <v>#REF!</v>
      </c>
      <c r="AP60" s="495" t="e">
        <f t="shared" si="93"/>
        <v>#REF!</v>
      </c>
      <c r="AQ60" s="495" t="e">
        <f t="shared" si="94"/>
        <v>#REF!</v>
      </c>
      <c r="AR60" s="495" t="e">
        <f t="shared" si="95"/>
        <v>#REF!</v>
      </c>
      <c r="AS60" s="21"/>
      <c r="AT60" s="3" t="e">
        <f t="shared" ca="1" si="96"/>
        <v>#REF!</v>
      </c>
      <c r="AU60" s="3"/>
      <c r="AV60" s="3"/>
      <c r="AW60" s="3"/>
      <c r="AX60" s="3"/>
      <c r="AY60" s="3"/>
      <c r="AZ60" s="3"/>
      <c r="BA60" s="3"/>
      <c r="BB60" s="3"/>
      <c r="BC60" s="3"/>
      <c r="BD60" s="3"/>
      <c r="BE60" s="3"/>
      <c r="BF60" s="3"/>
      <c r="BG60" s="3"/>
      <c r="BH60" s="3"/>
      <c r="BI60" s="3"/>
      <c r="BJ60" s="3"/>
    </row>
    <row r="61" spans="1:62">
      <c r="A61" s="630" t="s">
        <v>162</v>
      </c>
      <c r="B61" s="662" t="s">
        <v>361</v>
      </c>
      <c r="C61" s="658">
        <v>639.96062992125985</v>
      </c>
      <c r="D61" s="18"/>
      <c r="E61" s="277">
        <v>29.7</v>
      </c>
      <c r="F61" s="277">
        <v>0</v>
      </c>
      <c r="G61" s="438">
        <v>1976.4042519685038</v>
      </c>
      <c r="H61" s="305">
        <v>67</v>
      </c>
      <c r="I61" s="277">
        <v>0</v>
      </c>
      <c r="J61" s="305">
        <v>78.97</v>
      </c>
      <c r="K61" s="277">
        <v>40</v>
      </c>
      <c r="L61" s="305">
        <v>113.34</v>
      </c>
      <c r="M61" s="305">
        <v>965.09</v>
      </c>
      <c r="N61" s="305">
        <v>96.09</v>
      </c>
      <c r="O61" s="69"/>
      <c r="P61" s="489">
        <f t="shared" si="97"/>
        <v>2073.1042519685038</v>
      </c>
      <c r="Q61" s="489">
        <f t="shared" si="84"/>
        <v>3299.5942519685041</v>
      </c>
      <c r="R61" s="597"/>
      <c r="S61" s="489" t="e">
        <f t="shared" si="98"/>
        <v>#REF!</v>
      </c>
      <c r="T61" s="489" t="e">
        <f t="shared" si="85"/>
        <v>#REF!</v>
      </c>
      <c r="U61" s="597"/>
      <c r="V61" s="489" t="e">
        <f ca="1">MAX(V$53:V$54)+IF($B$2="mil",1,0.0254)*DDR2Specs!$B$3</f>
        <v>#NAME?</v>
      </c>
      <c r="W61" s="489" t="e">
        <f ca="1">MIN(V$53:V$54)+IF($B$2="mil",1,0.0254)*DDR2Specs!$C$3</f>
        <v>#NAME?</v>
      </c>
      <c r="X61" s="21"/>
      <c r="Y61" s="598" t="e">
        <f t="shared" ca="1" si="99"/>
        <v>#REF!</v>
      </c>
      <c r="Z61" s="495" t="e">
        <f t="shared" ca="1" si="100"/>
        <v>#REF!</v>
      </c>
      <c r="AA61" s="21"/>
      <c r="AB61" s="489" t="e">
        <f ca="1">MAX(AB$53:AB$54)+IF($B$2="mil",1,0.0254)*DDR2Specs!$E$3</f>
        <v>#NAME?</v>
      </c>
      <c r="AC61" s="489" t="e">
        <f ca="1">MIN(AB$53:AB$54)+IF($B$2="mil",1,0.0254)*DDR2Specs!$F$3</f>
        <v>#NAME?</v>
      </c>
      <c r="AD61" s="21"/>
      <c r="AE61" s="598" t="e">
        <f t="shared" ca="1" si="86"/>
        <v>#REF!</v>
      </c>
      <c r="AF61" s="495" t="e">
        <f t="shared" ca="1" si="87"/>
        <v>#REF!</v>
      </c>
      <c r="AG61" s="495" t="e">
        <f t="shared" si="88"/>
        <v>#REF!</v>
      </c>
      <c r="AH61" s="495" t="e">
        <f t="shared" si="89"/>
        <v>#REF!</v>
      </c>
      <c r="AI61" s="495" t="e">
        <f t="shared" si="101"/>
        <v>#REF!</v>
      </c>
      <c r="AJ61" s="495" t="e">
        <f t="shared" ca="1" si="90"/>
        <v>#NAME?</v>
      </c>
      <c r="AK61" s="495" t="e">
        <f t="shared" si="102"/>
        <v>#REF!</v>
      </c>
      <c r="AL61" s="495" t="e">
        <f t="shared" si="103"/>
        <v>#REF!</v>
      </c>
      <c r="AM61" s="495" t="e">
        <f t="shared" ca="1" si="104"/>
        <v>#NAME?</v>
      </c>
      <c r="AN61" s="495" t="e">
        <f t="shared" ca="1" si="91"/>
        <v>#NAME?</v>
      </c>
      <c r="AO61" s="495" t="e">
        <f t="shared" si="92"/>
        <v>#REF!</v>
      </c>
      <c r="AP61" s="495" t="e">
        <f t="shared" si="93"/>
        <v>#REF!</v>
      </c>
      <c r="AQ61" s="495" t="e">
        <f t="shared" si="94"/>
        <v>#REF!</v>
      </c>
      <c r="AR61" s="495" t="e">
        <f t="shared" si="95"/>
        <v>#REF!</v>
      </c>
      <c r="AS61" s="21"/>
      <c r="AT61" s="3" t="e">
        <f t="shared" ca="1" si="96"/>
        <v>#REF!</v>
      </c>
      <c r="AU61" s="3"/>
      <c r="AV61" s="3"/>
      <c r="AW61" s="3"/>
      <c r="AX61" s="3"/>
      <c r="AY61" s="3"/>
      <c r="AZ61" s="3"/>
      <c r="BA61" s="3"/>
      <c r="BB61" s="3"/>
      <c r="BC61" s="3"/>
      <c r="BD61" s="3"/>
      <c r="BE61" s="3"/>
      <c r="BF61" s="3"/>
      <c r="BG61" s="3"/>
      <c r="BH61" s="3"/>
      <c r="BI61" s="3"/>
      <c r="BJ61" s="3"/>
    </row>
    <row r="62" spans="1:62">
      <c r="A62" s="630" t="s">
        <v>163</v>
      </c>
      <c r="B62" s="662" t="s">
        <v>362</v>
      </c>
      <c r="C62" s="658">
        <v>696.29921259842524</v>
      </c>
      <c r="D62" s="18"/>
      <c r="E62" s="277">
        <v>29.7</v>
      </c>
      <c r="F62" s="277">
        <v>0</v>
      </c>
      <c r="G62" s="438">
        <v>1928.6977165354328</v>
      </c>
      <c r="H62" s="305">
        <v>106.99</v>
      </c>
      <c r="I62" s="277">
        <v>0</v>
      </c>
      <c r="J62" s="305">
        <v>97.75</v>
      </c>
      <c r="K62" s="277">
        <v>40</v>
      </c>
      <c r="L62" s="305">
        <v>95.74</v>
      </c>
      <c r="M62" s="305">
        <v>1017.05</v>
      </c>
      <c r="N62" s="305">
        <v>82.94</v>
      </c>
      <c r="O62" s="69"/>
      <c r="P62" s="489">
        <f t="shared" si="97"/>
        <v>2065.3877165354329</v>
      </c>
      <c r="Q62" s="489">
        <f t="shared" si="84"/>
        <v>3291.8777165354327</v>
      </c>
      <c r="R62" s="597"/>
      <c r="S62" s="489" t="e">
        <f t="shared" si="98"/>
        <v>#REF!</v>
      </c>
      <c r="T62" s="489" t="e">
        <f t="shared" si="85"/>
        <v>#REF!</v>
      </c>
      <c r="U62" s="597"/>
      <c r="V62" s="489" t="e">
        <f ca="1">MAX(V$53:V$54)+IF($B$2="mil",1,0.0254)*DDR2Specs!$B$3</f>
        <v>#NAME?</v>
      </c>
      <c r="W62" s="489" t="e">
        <f ca="1">MIN(V$53:V$54)+IF($B$2="mil",1,0.0254)*DDR2Specs!$C$3</f>
        <v>#NAME?</v>
      </c>
      <c r="X62" s="21"/>
      <c r="Y62" s="598" t="e">
        <f t="shared" ca="1" si="99"/>
        <v>#REF!</v>
      </c>
      <c r="Z62" s="495" t="e">
        <f t="shared" ca="1" si="100"/>
        <v>#REF!</v>
      </c>
      <c r="AA62" s="21"/>
      <c r="AB62" s="489" t="e">
        <f ca="1">MAX(AB$53:AB$54)+IF($B$2="mil",1,0.0254)*DDR2Specs!$E$3</f>
        <v>#NAME?</v>
      </c>
      <c r="AC62" s="489" t="e">
        <f ca="1">MIN(AB$53:AB$54)+IF($B$2="mil",1,0.0254)*DDR2Specs!$F$3</f>
        <v>#NAME?</v>
      </c>
      <c r="AD62" s="21"/>
      <c r="AE62" s="598" t="e">
        <f t="shared" ca="1" si="86"/>
        <v>#REF!</v>
      </c>
      <c r="AF62" s="495" t="e">
        <f t="shared" ca="1" si="87"/>
        <v>#REF!</v>
      </c>
      <c r="AG62" s="495" t="e">
        <f t="shared" si="88"/>
        <v>#REF!</v>
      </c>
      <c r="AH62" s="495" t="e">
        <f t="shared" si="89"/>
        <v>#REF!</v>
      </c>
      <c r="AI62" s="495" t="e">
        <f t="shared" si="101"/>
        <v>#REF!</v>
      </c>
      <c r="AJ62" s="495" t="e">
        <f t="shared" ca="1" si="90"/>
        <v>#NAME?</v>
      </c>
      <c r="AK62" s="495" t="e">
        <f t="shared" si="102"/>
        <v>#REF!</v>
      </c>
      <c r="AL62" s="495" t="e">
        <f t="shared" si="103"/>
        <v>#REF!</v>
      </c>
      <c r="AM62" s="495" t="e">
        <f t="shared" ca="1" si="104"/>
        <v>#NAME?</v>
      </c>
      <c r="AN62" s="495" t="e">
        <f t="shared" ca="1" si="91"/>
        <v>#NAME?</v>
      </c>
      <c r="AO62" s="495" t="e">
        <f t="shared" si="92"/>
        <v>#REF!</v>
      </c>
      <c r="AP62" s="495" t="e">
        <f t="shared" si="93"/>
        <v>#REF!</v>
      </c>
      <c r="AQ62" s="495" t="e">
        <f t="shared" si="94"/>
        <v>#REF!</v>
      </c>
      <c r="AR62" s="495" t="e">
        <f t="shared" si="95"/>
        <v>#REF!</v>
      </c>
      <c r="AS62" s="21"/>
      <c r="AT62" s="3" t="e">
        <f t="shared" ca="1" si="96"/>
        <v>#REF!</v>
      </c>
      <c r="AU62" s="3"/>
      <c r="AV62" s="3"/>
      <c r="AW62" s="3"/>
      <c r="AX62" s="3"/>
      <c r="AY62" s="3"/>
      <c r="AZ62" s="3"/>
      <c r="BA62" s="3"/>
      <c r="BB62" s="3"/>
      <c r="BC62" s="3"/>
      <c r="BD62" s="3"/>
      <c r="BE62" s="3"/>
      <c r="BF62" s="3"/>
      <c r="BG62" s="3"/>
      <c r="BH62" s="3"/>
      <c r="BI62" s="3"/>
      <c r="BJ62" s="3"/>
    </row>
    <row r="63" spans="1:62">
      <c r="A63" s="661" t="s">
        <v>164</v>
      </c>
      <c r="B63" s="662" t="s">
        <v>344</v>
      </c>
      <c r="C63" s="658">
        <v>755</v>
      </c>
      <c r="D63" s="18"/>
      <c r="E63" s="277">
        <v>29.7</v>
      </c>
      <c r="F63" s="277">
        <v>0</v>
      </c>
      <c r="G63" s="438">
        <v>1966.15</v>
      </c>
      <c r="H63" s="305">
        <v>70.069999999999993</v>
      </c>
      <c r="I63" s="277">
        <v>0</v>
      </c>
      <c r="J63" s="305">
        <v>62.03</v>
      </c>
      <c r="K63" s="277">
        <v>40</v>
      </c>
      <c r="L63" s="305">
        <v>122</v>
      </c>
      <c r="M63" s="305">
        <v>1041.04</v>
      </c>
      <c r="N63" s="305">
        <v>31.49</v>
      </c>
      <c r="O63" s="69"/>
      <c r="P63" s="489">
        <f t="shared" si="97"/>
        <v>2065.92</v>
      </c>
      <c r="Q63" s="489">
        <f t="shared" si="84"/>
        <v>3292.41</v>
      </c>
      <c r="R63" s="597"/>
      <c r="S63" s="489" t="e">
        <f t="shared" si="98"/>
        <v>#REF!</v>
      </c>
      <c r="T63" s="489" t="e">
        <f>Q63+IF($B$2="mil",1,0.0254)*$C63</f>
        <v>#REF!</v>
      </c>
      <c r="U63" s="597"/>
      <c r="V63" s="489" t="e">
        <f ca="1">MAX(V$53:V$54)+IF($B$2="mil",1,0.0254)*DDR2Specs!$B$3</f>
        <v>#NAME?</v>
      </c>
      <c r="W63" s="489" t="e">
        <f ca="1">MIN(V$53:V$54)+IF($B$2="mil",1,0.0254)*DDR2Specs!$C$3</f>
        <v>#NAME?</v>
      </c>
      <c r="X63" s="21"/>
      <c r="Y63" s="598" t="e">
        <f t="shared" ca="1" si="99"/>
        <v>#REF!</v>
      </c>
      <c r="Z63" s="495" t="e">
        <f t="shared" ca="1" si="100"/>
        <v>#REF!</v>
      </c>
      <c r="AA63" s="21"/>
      <c r="AB63" s="489" t="e">
        <f ca="1">MAX(AB$53:AB$54)+IF($B$2="mil",1,0.0254)*DDR2Specs!$E$3</f>
        <v>#NAME?</v>
      </c>
      <c r="AC63" s="489" t="e">
        <f ca="1">MIN(AB$53:AB$54)+IF($B$2="mil",1,0.0254)*DDR2Specs!$F$3</f>
        <v>#NAME?</v>
      </c>
      <c r="AD63" s="21"/>
      <c r="AE63" s="598" t="e">
        <f t="shared" ca="1" si="86"/>
        <v>#REF!</v>
      </c>
      <c r="AF63" s="495" t="e">
        <f t="shared" ca="1" si="87"/>
        <v>#REF!</v>
      </c>
      <c r="AG63" s="495" t="e">
        <f t="shared" si="88"/>
        <v>#REF!</v>
      </c>
      <c r="AH63" s="495" t="e">
        <f t="shared" si="89"/>
        <v>#REF!</v>
      </c>
      <c r="AI63" s="495" t="e">
        <f t="shared" si="101"/>
        <v>#REF!</v>
      </c>
      <c r="AJ63" s="495" t="e">
        <f t="shared" ca="1" si="90"/>
        <v>#NAME?</v>
      </c>
      <c r="AK63" s="495" t="e">
        <f t="shared" si="102"/>
        <v>#REF!</v>
      </c>
      <c r="AL63" s="495" t="e">
        <f t="shared" si="103"/>
        <v>#REF!</v>
      </c>
      <c r="AM63" s="495" t="e">
        <f t="shared" ca="1" si="104"/>
        <v>#NAME?</v>
      </c>
      <c r="AN63" s="495" t="e">
        <f t="shared" ca="1" si="91"/>
        <v>#NAME?</v>
      </c>
      <c r="AO63" s="495" t="e">
        <f t="shared" si="92"/>
        <v>#REF!</v>
      </c>
      <c r="AP63" s="495" t="e">
        <f t="shared" si="93"/>
        <v>#REF!</v>
      </c>
      <c r="AQ63" s="495" t="e">
        <f t="shared" si="94"/>
        <v>#REF!</v>
      </c>
      <c r="AR63" s="495" t="e">
        <f t="shared" si="95"/>
        <v>#REF!</v>
      </c>
      <c r="AS63" s="21"/>
      <c r="AT63" s="3" t="e">
        <f t="shared" ca="1" si="96"/>
        <v>#REF!</v>
      </c>
      <c r="AU63" s="3"/>
      <c r="AV63" s="3"/>
      <c r="AW63" s="3"/>
      <c r="AX63" s="3"/>
      <c r="AY63" s="3"/>
      <c r="AZ63" s="3"/>
      <c r="BA63" s="3"/>
      <c r="BB63" s="3"/>
      <c r="BC63" s="3"/>
      <c r="BD63" s="3"/>
      <c r="BE63" s="3"/>
      <c r="BF63" s="3"/>
      <c r="BG63" s="3"/>
      <c r="BH63" s="3"/>
      <c r="BI63" s="3"/>
      <c r="BJ63" s="3"/>
    </row>
    <row r="64" spans="1:62">
      <c r="A64" s="8" t="s">
        <v>202</v>
      </c>
      <c r="B64" s="663"/>
      <c r="C64" s="659"/>
      <c r="D64" s="62"/>
      <c r="E64" s="82"/>
      <c r="F64" s="82"/>
      <c r="G64" s="439"/>
      <c r="H64" s="295"/>
      <c r="I64" s="295"/>
      <c r="J64" s="295"/>
      <c r="K64" s="295"/>
      <c r="L64" s="295"/>
      <c r="M64" s="295"/>
      <c r="N64" s="295"/>
      <c r="O64" s="10"/>
      <c r="P64" s="82"/>
      <c r="Q64" s="82"/>
      <c r="R64" s="82"/>
      <c r="S64" s="605"/>
      <c r="T64" s="605"/>
      <c r="U64" s="605"/>
      <c r="V64" s="605"/>
      <c r="W64" s="606"/>
      <c r="X64" s="606"/>
      <c r="Y64" s="607"/>
      <c r="Z64" s="17"/>
      <c r="AA64" s="606"/>
      <c r="AB64" s="605"/>
      <c r="AC64" s="606"/>
      <c r="AD64" s="606"/>
      <c r="AE64" s="607"/>
      <c r="AF64" s="17"/>
      <c r="AG64" s="17"/>
      <c r="AH64" s="17"/>
      <c r="AI64" s="16"/>
      <c r="AJ64" s="16"/>
      <c r="AK64" s="16"/>
      <c r="AL64" s="16"/>
      <c r="AM64" s="16"/>
      <c r="AN64" s="16"/>
      <c r="AO64" s="16"/>
      <c r="AP64" s="16"/>
      <c r="AQ64" s="16"/>
      <c r="AR64" s="16"/>
      <c r="AS64" s="83"/>
      <c r="AT64" s="3"/>
      <c r="AU64" s="3"/>
      <c r="AV64" s="3"/>
      <c r="AW64" s="3"/>
      <c r="AX64" s="3"/>
      <c r="AY64" s="3"/>
      <c r="AZ64" s="3"/>
      <c r="BA64" s="3"/>
      <c r="BB64" s="3"/>
      <c r="BC64" s="3"/>
      <c r="BD64" s="3"/>
      <c r="BE64" s="3"/>
      <c r="BF64" s="3"/>
      <c r="BG64" s="3"/>
      <c r="BH64" s="3"/>
      <c r="BI64" s="3"/>
      <c r="BJ64" s="3"/>
    </row>
    <row r="65" spans="1:62">
      <c r="A65" s="52" t="str">
        <f>'DDR2 Strobes - 1x16'!$A$23</f>
        <v>SA_DQS5</v>
      </c>
      <c r="B65" s="674" t="str">
        <f>'DDR2 Strobes - 1x16'!$B$23</f>
        <v>AB16</v>
      </c>
      <c r="C65" s="660"/>
      <c r="D65" s="53"/>
      <c r="E65" s="81"/>
      <c r="F65" s="81"/>
      <c r="G65" s="440"/>
      <c r="H65" s="296"/>
      <c r="I65" s="296"/>
      <c r="J65" s="296"/>
      <c r="K65" s="296"/>
      <c r="L65" s="296"/>
      <c r="M65" s="296"/>
      <c r="N65" s="296"/>
      <c r="O65" s="81"/>
      <c r="P65" s="81"/>
      <c r="Q65" s="81"/>
      <c r="R65" s="81"/>
      <c r="S65" s="58"/>
      <c r="T65" s="58"/>
      <c r="U65" s="58"/>
      <c r="V65" s="58" t="e">
        <f ca="1">GetSODIMMStrbLen($A65)</f>
        <v>#NAME?</v>
      </c>
      <c r="W65" s="58"/>
      <c r="X65" s="58"/>
      <c r="Y65" s="58"/>
      <c r="Z65" s="608"/>
      <c r="AA65" s="617" t="e">
        <f>"Strobe Pair to " &amp;#REF!</f>
        <v>#REF!</v>
      </c>
      <c r="AB65" s="58" t="e">
        <f ca="1">GetStrbLen(#REF!, "P")</f>
        <v>#NAME?</v>
      </c>
      <c r="AC65" s="58"/>
      <c r="AD65" s="58"/>
      <c r="AE65" s="58"/>
      <c r="AF65" s="608"/>
      <c r="AG65" s="608"/>
      <c r="AH65" s="608"/>
      <c r="AI65" s="608"/>
      <c r="AJ65" s="608"/>
      <c r="AK65" s="608"/>
      <c r="AL65" s="608"/>
      <c r="AM65" s="608"/>
      <c r="AN65" s="608"/>
      <c r="AO65" s="608"/>
      <c r="AP65" s="608"/>
      <c r="AQ65" s="608"/>
      <c r="AR65" s="608"/>
      <c r="AS65" s="58"/>
      <c r="AT65" s="3"/>
      <c r="AU65" s="3"/>
      <c r="AV65" s="3"/>
      <c r="AW65" s="3"/>
      <c r="AX65" s="3"/>
      <c r="AY65" s="3"/>
      <c r="AZ65" s="3"/>
      <c r="BA65" s="3"/>
      <c r="BB65" s="3"/>
      <c r="BC65" s="3"/>
      <c r="BD65" s="3"/>
      <c r="BE65" s="3"/>
      <c r="BF65" s="3"/>
      <c r="BG65" s="3"/>
      <c r="BH65" s="3"/>
      <c r="BI65" s="3"/>
      <c r="BJ65" s="3"/>
    </row>
    <row r="66" spans="1:62">
      <c r="A66" s="52" t="str">
        <f>'DDR2 Strobes - 1x16'!$A$24</f>
        <v>SA_DQS5#</v>
      </c>
      <c r="B66" s="674" t="str">
        <f>'DDR2 Strobes - 1x16'!$B$24</f>
        <v>AB15</v>
      </c>
      <c r="C66" s="660"/>
      <c r="D66" s="53"/>
      <c r="E66" s="81"/>
      <c r="F66" s="81"/>
      <c r="G66" s="440"/>
      <c r="H66" s="296"/>
      <c r="I66" s="296"/>
      <c r="J66" s="296"/>
      <c r="K66" s="296"/>
      <c r="L66" s="296"/>
      <c r="M66" s="296"/>
      <c r="N66" s="296"/>
      <c r="O66" s="81"/>
      <c r="P66" s="81"/>
      <c r="Q66" s="602"/>
      <c r="R66" s="602"/>
      <c r="S66" s="603"/>
      <c r="T66" s="603"/>
      <c r="U66" s="58"/>
      <c r="V66" s="58" t="e">
        <f ca="1">GetSODIMMStrbLen($A66)</f>
        <v>#NAME?</v>
      </c>
      <c r="W66" s="58"/>
      <c r="X66" s="58"/>
      <c r="Y66" s="58"/>
      <c r="Z66" s="608"/>
      <c r="AA66" s="618" t="e">
        <f>"Strobe Pair to " &amp;#REF!</f>
        <v>#REF!</v>
      </c>
      <c r="AB66" s="58" t="e">
        <f ca="1">GetStrbLen(#REF!, "N")</f>
        <v>#NAME?</v>
      </c>
      <c r="AC66" s="58"/>
      <c r="AD66" s="58"/>
      <c r="AE66" s="58"/>
      <c r="AF66" s="608"/>
      <c r="AG66" s="608"/>
      <c r="AH66" s="608"/>
      <c r="AI66" s="609"/>
      <c r="AJ66" s="609"/>
      <c r="AK66" s="609"/>
      <c r="AL66" s="609"/>
      <c r="AM66" s="609"/>
      <c r="AN66" s="609"/>
      <c r="AO66" s="609"/>
      <c r="AP66" s="609"/>
      <c r="AQ66" s="609"/>
      <c r="AR66" s="609"/>
      <c r="AS66" s="58"/>
      <c r="AT66" s="3"/>
      <c r="AU66" s="3"/>
      <c r="AV66" s="3"/>
      <c r="AW66" s="3"/>
      <c r="AX66" s="3"/>
      <c r="AY66" s="3"/>
      <c r="AZ66" s="3"/>
      <c r="BA66" s="3"/>
      <c r="BB66" s="3"/>
      <c r="BC66" s="3"/>
      <c r="BD66" s="3"/>
      <c r="BE66" s="3"/>
      <c r="BF66" s="3"/>
      <c r="BG66" s="3"/>
      <c r="BH66" s="3"/>
      <c r="BI66" s="3"/>
      <c r="BJ66" s="3"/>
    </row>
    <row r="67" spans="1:62">
      <c r="A67" s="630" t="s">
        <v>165</v>
      </c>
      <c r="B67" s="662" t="s">
        <v>363</v>
      </c>
      <c r="C67" s="658">
        <v>714.1338582677165</v>
      </c>
      <c r="D67" s="18"/>
      <c r="E67" s="277">
        <v>29.7</v>
      </c>
      <c r="F67" s="277">
        <v>0</v>
      </c>
      <c r="G67" s="438">
        <v>1998.5401574803145</v>
      </c>
      <c r="H67" s="305">
        <v>115.23</v>
      </c>
      <c r="I67" s="277">
        <v>0</v>
      </c>
      <c r="J67" s="305">
        <v>97.86</v>
      </c>
      <c r="K67" s="277">
        <v>40</v>
      </c>
      <c r="L67" s="305">
        <v>85.2</v>
      </c>
      <c r="M67" s="305">
        <v>983.98</v>
      </c>
      <c r="N67" s="305">
        <v>98</v>
      </c>
      <c r="O67" s="69"/>
      <c r="P67" s="489">
        <f xml:space="preserve"> E67+F67+G67+H67</f>
        <v>2143.4701574803144</v>
      </c>
      <c r="Q67" s="489">
        <f>SUM(E67:G67,I67:N67)</f>
        <v>3333.2801574803143</v>
      </c>
      <c r="R67" s="597"/>
      <c r="S67" s="489" t="e">
        <f>P67+IF($B$2="mil",1,0.0254)*C67</f>
        <v>#REF!</v>
      </c>
      <c r="T67" s="489" t="e">
        <f>Q67+IF($B$2="mil",1,0.0254)*$C67</f>
        <v>#REF!</v>
      </c>
      <c r="U67" s="597"/>
      <c r="V67" s="489" t="e">
        <f ca="1">MAX(V$65:V$66)+IF($B$2="mil",1,0.0254)*DDR2Specs!$B$3</f>
        <v>#NAME?</v>
      </c>
      <c r="W67" s="489" t="e">
        <f ca="1">MIN(V$65:V$66)+IF($B$2="mil",1,0.0254)*DDR2Specs!$C$3</f>
        <v>#NAME?</v>
      </c>
      <c r="X67" s="21"/>
      <c r="Y67" s="598" t="e">
        <f ca="1">IF($S67&lt;$V67,$V67-$S67,"Pass")</f>
        <v>#REF!</v>
      </c>
      <c r="Z67" s="495" t="e">
        <f ca="1">IF($S67&gt;$W67,$S67-$W67,"Pass")</f>
        <v>#REF!</v>
      </c>
      <c r="AA67" s="21"/>
      <c r="AB67" s="489" t="e">
        <f ca="1">MAX(AB$65:AB$66)+IF($B$2="mil",1,0.0254)*DDR2Specs!$E$3</f>
        <v>#NAME?</v>
      </c>
      <c r="AC67" s="489" t="e">
        <f ca="1">MIN(AB$65:AB$66)+IF($B$2="mil",1,0.0254)*DDR2Specs!$F$3</f>
        <v>#NAME?</v>
      </c>
      <c r="AD67" s="21"/>
      <c r="AE67" s="598" t="e">
        <f t="shared" ref="AE67:AE75" ca="1" si="105">IF($T67&lt;$AB67,$AB67-$T67,"Pass")</f>
        <v>#REF!</v>
      </c>
      <c r="AF67" s="495" t="e">
        <f t="shared" ref="AF67:AF75" ca="1" si="106">IF($T67&gt;$AC67,$T67-$AC67,"Pass")</f>
        <v>#REF!</v>
      </c>
      <c r="AG67" s="495" t="e">
        <f t="shared" ref="AG67:AG75" si="107">IF($E67&lt;=IF($B$2="mil",1,0.0254)*50,"Pass",IF($B$2="mil",1,0.0254)*50-$E67)</f>
        <v>#REF!</v>
      </c>
      <c r="AH67" s="495" t="e">
        <f t="shared" ref="AH67:AH75" si="108">IF($F67&lt;=IF($B$2="mil",1,0.0254)*500,"Pass",IF($B$2="mil",1,0.0254)*500-$F67)</f>
        <v>#REF!</v>
      </c>
      <c r="AI67" s="495" t="e">
        <f>IF($H67&lt;=IF($B$2="mil",1,0.0254)*250,"Pass",IF($B$2="mil",1,0.0254)*250-$H67)</f>
        <v>#REF!</v>
      </c>
      <c r="AJ67" s="495" t="e">
        <f t="shared" ref="AJ67:AJ75" ca="1" si="109">CheckLength(IF($B$2="mil",1,0.0254)*1000, IF($B$2="mil",1,0.0254)*125-J67, 0, I67,J67,0)</f>
        <v>#NAME?</v>
      </c>
      <c r="AK67" s="495" t="e">
        <f>IF($J67&lt;=IF($B$2="mil",1,0.0254)*125,"Pass",IF($B$2="mil",1,0.0254)*125-$J67)</f>
        <v>#REF!</v>
      </c>
      <c r="AL67" s="495" t="e">
        <f>IF($L67&lt;=IF($B$2="mil",1,0.0254)*125,"Pass",IF($B$2="mil",1,0.0254)*125-$L67)</f>
        <v>#REF!</v>
      </c>
      <c r="AM67" s="495" t="e">
        <f ca="1">CheckLength(IF($B$2="mil",1,0.0254)*1250, IF($B$2="mil",1,0.0254)*125-L67, IF($B$2="mil",1,0.0254)*150-N67, M67,L67,N67)</f>
        <v>#NAME?</v>
      </c>
      <c r="AN67" s="495" t="e">
        <f t="shared" ref="AN67:AN75" ca="1" si="110">CheckLength2(IF($B$2="mil",1,0.0254)*1400,M67,N67,0)</f>
        <v>#NAME?</v>
      </c>
      <c r="AO67" s="495" t="e">
        <f t="shared" ref="AO67:AO75" si="111">IF(AND($P67&gt;=IF($B$2="mil",1,0.0254)*500, $P67&lt;=IF($B$2="mil",1,0.0254)*4000),"Pass",IF($B$2="mil",1,0.0254)*4000-$P67)</f>
        <v>#REF!</v>
      </c>
      <c r="AP67" s="495" t="e">
        <f t="shared" ref="AP67:AP75" si="112">IF(AND($S67&gt;=IF($B$2="mil",1,0.0254)*500, $S67&lt;=IF($B$2="mil",1,0.0254)*4500),"Pass",IF($B$2="mil",1,0.0254)*4500-$S67)</f>
        <v>#REF!</v>
      </c>
      <c r="AQ67" s="495" t="e">
        <f t="shared" ref="AQ67:AQ75" si="113">IF(AND($Q67&gt;=IF($B$2="mil",1,0.0254)*500, $Q67&lt;=IF($B$2="mil",1,0.0254)*5500),"Pass",IF($B$2="mil",1,0.0254)*5500-$Q67)</f>
        <v>#REF!</v>
      </c>
      <c r="AR67" s="495" t="e">
        <f t="shared" ref="AR67:AR75" si="114">IF(AND($T67&gt;=IF($B$2="mil",1,0.0254)*500, $T67&lt;=IF($B$2="mil",1,0.0254)*6000),"Pass",IF($B$2="mil",1,0.0254)*6000-$T67)</f>
        <v>#REF!</v>
      </c>
      <c r="AS67" s="21"/>
      <c r="AT67" s="3" t="e">
        <f t="shared" ref="AT67:AT75" ca="1" si="115">IF(AND(AG67="Pass",AP67="Pass",AI67="Pass",AH67="Pass",AO67="Pass",Y67="Pass",Z67="Pass",AN67="Pass",AM67="Pass",AL67="Pass",AK67="Pass",AJ67="Pass",AE67="Pass",AF67="Pass",AQ67="Pass",AR67="Pass"),"Pass","Fail")</f>
        <v>#REF!</v>
      </c>
      <c r="AU67" s="3" t="e">
        <f ca="1">IF(AND(AT67="Pass",AT68="Pass",AT69="Pass",AT70="Pass",AT71="Pass",AT72="Pass",AT73="Pass",AT74="Pass",AT75="Pass"),"Pass","Fail")</f>
        <v>#REF!</v>
      </c>
      <c r="AV67" s="3"/>
      <c r="AW67" s="3"/>
      <c r="AX67" s="3"/>
      <c r="AY67" s="3"/>
      <c r="AZ67" s="3"/>
      <c r="BA67" s="3"/>
      <c r="BB67" s="3"/>
      <c r="BC67" s="3"/>
      <c r="BD67" s="3"/>
      <c r="BE67" s="3"/>
      <c r="BF67" s="3"/>
      <c r="BG67" s="3"/>
      <c r="BH67" s="3"/>
      <c r="BI67" s="3"/>
      <c r="BJ67" s="3"/>
    </row>
    <row r="68" spans="1:62">
      <c r="A68" s="630" t="s">
        <v>166</v>
      </c>
      <c r="B68" s="662" t="s">
        <v>364</v>
      </c>
      <c r="C68" s="658">
        <v>754.9212598425197</v>
      </c>
      <c r="D68" s="18"/>
      <c r="E68" s="277">
        <v>29.7</v>
      </c>
      <c r="F68" s="277">
        <v>0</v>
      </c>
      <c r="G68" s="438">
        <v>2078.0660629921258</v>
      </c>
      <c r="H68" s="305">
        <v>63.46</v>
      </c>
      <c r="I68" s="277">
        <v>0</v>
      </c>
      <c r="J68" s="305">
        <v>53.71</v>
      </c>
      <c r="K68" s="277">
        <v>40</v>
      </c>
      <c r="L68" s="305">
        <v>50.78</v>
      </c>
      <c r="M68" s="305">
        <v>1027.78</v>
      </c>
      <c r="N68" s="305">
        <v>81</v>
      </c>
      <c r="O68" s="69"/>
      <c r="P68" s="489">
        <f t="shared" ref="P68:P75" si="116" xml:space="preserve"> E68+F68+G68+H68</f>
        <v>2171.2260629921257</v>
      </c>
      <c r="Q68" s="489">
        <f t="shared" ref="Q68:Q75" si="117">SUM(E68:G68,I68:N68)</f>
        <v>3361.0360629921261</v>
      </c>
      <c r="R68" s="597"/>
      <c r="S68" s="489" t="e">
        <f t="shared" ref="S68:S75" si="118">P68+IF($B$2="mil",1,0.0254)*C68</f>
        <v>#REF!</v>
      </c>
      <c r="T68" s="489" t="e">
        <f>Q68+IF($B$2="mil",1,0.0254)*$C68</f>
        <v>#REF!</v>
      </c>
      <c r="U68" s="597"/>
      <c r="V68" s="489" t="e">
        <f ca="1">MAX(V$65:V$66)+IF($B$2="mil",1,0.0254)*DDR2Specs!$B$3</f>
        <v>#NAME?</v>
      </c>
      <c r="W68" s="489" t="e">
        <f ca="1">MIN(V$65:V$66)+IF($B$2="mil",1,0.0254)*DDR2Specs!$C$3</f>
        <v>#NAME?</v>
      </c>
      <c r="X68" s="21"/>
      <c r="Y68" s="598" t="e">
        <f t="shared" ref="Y68:Y75" ca="1" si="119">IF($S68&lt;$V68,$V68-$S68,"Pass")</f>
        <v>#REF!</v>
      </c>
      <c r="Z68" s="495" t="e">
        <f t="shared" ref="Z68:Z75" ca="1" si="120">IF($S68&gt;$W68,$S68-$W68,"Pass")</f>
        <v>#REF!</v>
      </c>
      <c r="AA68" s="21"/>
      <c r="AB68" s="489" t="e">
        <f ca="1">MAX(AB$65:AB$66)+IF($B$2="mil",1,0.0254)*DDR2Specs!$E$3</f>
        <v>#NAME?</v>
      </c>
      <c r="AC68" s="489" t="e">
        <f ca="1">MIN(AB$65:AB$66)+IF($B$2="mil",1,0.0254)*DDR2Specs!$F$3</f>
        <v>#NAME?</v>
      </c>
      <c r="AD68" s="21"/>
      <c r="AE68" s="598" t="e">
        <f t="shared" ca="1" si="105"/>
        <v>#REF!</v>
      </c>
      <c r="AF68" s="495" t="e">
        <f t="shared" ca="1" si="106"/>
        <v>#REF!</v>
      </c>
      <c r="AG68" s="495" t="e">
        <f t="shared" si="107"/>
        <v>#REF!</v>
      </c>
      <c r="AH68" s="495" t="e">
        <f t="shared" si="108"/>
        <v>#REF!</v>
      </c>
      <c r="AI68" s="495" t="e">
        <f t="shared" ref="AI68:AI75" si="121">IF($H68&lt;=IF($B$2="mil",1,0.0254)*250,"Pass",IF($B$2="mil",1,0.0254)*250-$H68)</f>
        <v>#REF!</v>
      </c>
      <c r="AJ68" s="495" t="e">
        <f t="shared" ca="1" si="109"/>
        <v>#NAME?</v>
      </c>
      <c r="AK68" s="495" t="e">
        <f t="shared" ref="AK68:AK75" si="122">IF($J68&lt;=IF($B$2="mil",1,0.0254)*125,"Pass",IF($B$2="mil",1,0.0254)*125-$J68)</f>
        <v>#REF!</v>
      </c>
      <c r="AL68" s="495" t="e">
        <f t="shared" ref="AL68:AL75" si="123">IF($L68&lt;=IF($B$2="mil",1,0.0254)*125,"Pass",IF($B$2="mil",1,0.0254)*125-$L68)</f>
        <v>#REF!</v>
      </c>
      <c r="AM68" s="495" t="e">
        <f t="shared" ref="AM68:AM75" ca="1" si="124">CheckLength(IF($B$2="mil",1,0.0254)*1250, IF($B$2="mil",1,0.0254)*125-L68, IF($B$2="mil",1,0.0254)*150-N68, M68,L68,N68)</f>
        <v>#NAME?</v>
      </c>
      <c r="AN68" s="495" t="e">
        <f t="shared" ca="1" si="110"/>
        <v>#NAME?</v>
      </c>
      <c r="AO68" s="495" t="e">
        <f t="shared" si="111"/>
        <v>#REF!</v>
      </c>
      <c r="AP68" s="495" t="e">
        <f t="shared" si="112"/>
        <v>#REF!</v>
      </c>
      <c r="AQ68" s="495" t="e">
        <f t="shared" si="113"/>
        <v>#REF!</v>
      </c>
      <c r="AR68" s="495" t="e">
        <f t="shared" si="114"/>
        <v>#REF!</v>
      </c>
      <c r="AS68" s="21"/>
      <c r="AT68" s="3" t="e">
        <f t="shared" ca="1" si="115"/>
        <v>#REF!</v>
      </c>
      <c r="AU68" s="3"/>
      <c r="AV68" s="3"/>
      <c r="AW68" s="3"/>
      <c r="AX68" s="3"/>
      <c r="AY68" s="3"/>
      <c r="AZ68" s="3"/>
      <c r="BA68" s="3"/>
      <c r="BB68" s="3"/>
      <c r="BC68" s="3"/>
      <c r="BD68" s="3"/>
      <c r="BE68" s="3"/>
      <c r="BF68" s="3"/>
      <c r="BG68" s="3"/>
      <c r="BH68" s="3"/>
      <c r="BI68" s="3"/>
      <c r="BJ68" s="3"/>
    </row>
    <row r="69" spans="1:62">
      <c r="A69" s="630" t="s">
        <v>167</v>
      </c>
      <c r="B69" s="662" t="s">
        <v>365</v>
      </c>
      <c r="C69" s="658">
        <v>593.89763779527561</v>
      </c>
      <c r="D69" s="18"/>
      <c r="E69" s="277">
        <v>29.7</v>
      </c>
      <c r="F69" s="277">
        <v>0</v>
      </c>
      <c r="G69" s="438">
        <v>1958.6705511811019</v>
      </c>
      <c r="H69" s="305">
        <v>111.95</v>
      </c>
      <c r="I69" s="277">
        <v>0</v>
      </c>
      <c r="J69" s="305">
        <v>95.78</v>
      </c>
      <c r="K69" s="277">
        <v>40</v>
      </c>
      <c r="L69" s="305">
        <v>50.78</v>
      </c>
      <c r="M69" s="305">
        <v>1079.2</v>
      </c>
      <c r="N69" s="305">
        <v>36</v>
      </c>
      <c r="O69" s="69"/>
      <c r="P69" s="489">
        <f t="shared" si="116"/>
        <v>2100.320551181102</v>
      </c>
      <c r="Q69" s="489">
        <f t="shared" si="117"/>
        <v>3290.1305511811024</v>
      </c>
      <c r="R69" s="597"/>
      <c r="S69" s="489" t="e">
        <f t="shared" si="118"/>
        <v>#REF!</v>
      </c>
      <c r="T69" s="489" t="e">
        <f t="shared" ref="T69:T75" si="125">Q69+IF($B$2="mil",1,0.0254)*$C69</f>
        <v>#REF!</v>
      </c>
      <c r="U69" s="597"/>
      <c r="V69" s="489" t="e">
        <f ca="1">MAX(V$65:V$66)+IF($B$2="mil",1,0.0254)*DDR2Specs!$B$3</f>
        <v>#NAME?</v>
      </c>
      <c r="W69" s="489" t="e">
        <f ca="1">MIN(V$65:V$66)+IF($B$2="mil",1,0.0254)*DDR2Specs!$C$3</f>
        <v>#NAME?</v>
      </c>
      <c r="X69" s="21"/>
      <c r="Y69" s="598" t="e">
        <f t="shared" ca="1" si="119"/>
        <v>#REF!</v>
      </c>
      <c r="Z69" s="495" t="e">
        <f t="shared" ca="1" si="120"/>
        <v>#REF!</v>
      </c>
      <c r="AA69" s="21"/>
      <c r="AB69" s="489" t="e">
        <f ca="1">MAX(AB$65:AB$66)+IF($B$2="mil",1,0.0254)*DDR2Specs!$E$3</f>
        <v>#NAME?</v>
      </c>
      <c r="AC69" s="489" t="e">
        <f ca="1">MIN(AB$65:AB$66)+IF($B$2="mil",1,0.0254)*DDR2Specs!$F$3</f>
        <v>#NAME?</v>
      </c>
      <c r="AD69" s="21"/>
      <c r="AE69" s="598" t="e">
        <f t="shared" ca="1" si="105"/>
        <v>#REF!</v>
      </c>
      <c r="AF69" s="495" t="e">
        <f t="shared" ca="1" si="106"/>
        <v>#REF!</v>
      </c>
      <c r="AG69" s="495" t="e">
        <f t="shared" si="107"/>
        <v>#REF!</v>
      </c>
      <c r="AH69" s="495" t="e">
        <f t="shared" si="108"/>
        <v>#REF!</v>
      </c>
      <c r="AI69" s="495" t="e">
        <f t="shared" si="121"/>
        <v>#REF!</v>
      </c>
      <c r="AJ69" s="495" t="e">
        <f t="shared" ca="1" si="109"/>
        <v>#NAME?</v>
      </c>
      <c r="AK69" s="495" t="e">
        <f t="shared" si="122"/>
        <v>#REF!</v>
      </c>
      <c r="AL69" s="495" t="e">
        <f t="shared" si="123"/>
        <v>#REF!</v>
      </c>
      <c r="AM69" s="495" t="e">
        <f t="shared" ca="1" si="124"/>
        <v>#NAME?</v>
      </c>
      <c r="AN69" s="495" t="e">
        <f t="shared" ca="1" si="110"/>
        <v>#NAME?</v>
      </c>
      <c r="AO69" s="495" t="e">
        <f t="shared" si="111"/>
        <v>#REF!</v>
      </c>
      <c r="AP69" s="495" t="e">
        <f t="shared" si="112"/>
        <v>#REF!</v>
      </c>
      <c r="AQ69" s="495" t="e">
        <f t="shared" si="113"/>
        <v>#REF!</v>
      </c>
      <c r="AR69" s="495" t="e">
        <f t="shared" si="114"/>
        <v>#REF!</v>
      </c>
      <c r="AS69" s="21"/>
      <c r="AT69" s="3" t="e">
        <f t="shared" ca="1" si="115"/>
        <v>#REF!</v>
      </c>
      <c r="AU69" s="3"/>
      <c r="AV69" s="3"/>
      <c r="AW69" s="3"/>
      <c r="AX69" s="3"/>
      <c r="AY69" s="3"/>
      <c r="AZ69" s="3"/>
      <c r="BA69" s="3"/>
      <c r="BB69" s="3"/>
      <c r="BC69" s="3"/>
      <c r="BD69" s="3"/>
      <c r="BE69" s="3"/>
      <c r="BF69" s="3"/>
      <c r="BG69" s="3"/>
      <c r="BH69" s="3"/>
      <c r="BI69" s="3"/>
      <c r="BJ69" s="3"/>
    </row>
    <row r="70" spans="1:62">
      <c r="A70" s="630" t="s">
        <v>168</v>
      </c>
      <c r="B70" s="662" t="s">
        <v>17</v>
      </c>
      <c r="C70" s="658">
        <v>626.37795275590554</v>
      </c>
      <c r="D70" s="18"/>
      <c r="E70" s="277">
        <v>29.7</v>
      </c>
      <c r="F70" s="277">
        <v>0</v>
      </c>
      <c r="G70" s="438">
        <v>1898.5307086614166</v>
      </c>
      <c r="H70" s="305">
        <v>65.83</v>
      </c>
      <c r="I70" s="277">
        <v>0</v>
      </c>
      <c r="J70" s="305">
        <v>55.78</v>
      </c>
      <c r="K70" s="277">
        <v>40</v>
      </c>
      <c r="L70" s="305">
        <v>85.78</v>
      </c>
      <c r="M70" s="305">
        <v>1041.08</v>
      </c>
      <c r="N70" s="305">
        <v>33</v>
      </c>
      <c r="O70" s="69"/>
      <c r="P70" s="489">
        <f t="shared" si="116"/>
        <v>1994.0607086614166</v>
      </c>
      <c r="Q70" s="489">
        <f t="shared" si="117"/>
        <v>3183.8707086614168</v>
      </c>
      <c r="R70" s="597"/>
      <c r="S70" s="489" t="e">
        <f t="shared" si="118"/>
        <v>#REF!</v>
      </c>
      <c r="T70" s="489" t="e">
        <f t="shared" si="125"/>
        <v>#REF!</v>
      </c>
      <c r="U70" s="597"/>
      <c r="V70" s="489" t="e">
        <f ca="1">MAX(V$65:V$66)+IF($B$2="mil",1,0.0254)*DDR2Specs!$B$3</f>
        <v>#NAME?</v>
      </c>
      <c r="W70" s="489" t="e">
        <f ca="1">MIN(V$65:V$66)+IF($B$2="mil",1,0.0254)*DDR2Specs!$C$3</f>
        <v>#NAME?</v>
      </c>
      <c r="X70" s="21"/>
      <c r="Y70" s="598" t="e">
        <f t="shared" ca="1" si="119"/>
        <v>#REF!</v>
      </c>
      <c r="Z70" s="495" t="e">
        <f t="shared" ca="1" si="120"/>
        <v>#REF!</v>
      </c>
      <c r="AA70" s="21"/>
      <c r="AB70" s="489" t="e">
        <f ca="1">MAX(AB$65:AB$66)+IF($B$2="mil",1,0.0254)*DDR2Specs!$E$3</f>
        <v>#NAME?</v>
      </c>
      <c r="AC70" s="489" t="e">
        <f ca="1">MIN(AB$65:AB$66)+IF($B$2="mil",1,0.0254)*DDR2Specs!$F$3</f>
        <v>#NAME?</v>
      </c>
      <c r="AD70" s="21"/>
      <c r="AE70" s="598" t="e">
        <f t="shared" ca="1" si="105"/>
        <v>#REF!</v>
      </c>
      <c r="AF70" s="495" t="e">
        <f t="shared" ca="1" si="106"/>
        <v>#REF!</v>
      </c>
      <c r="AG70" s="495" t="e">
        <f t="shared" si="107"/>
        <v>#REF!</v>
      </c>
      <c r="AH70" s="495" t="e">
        <f t="shared" si="108"/>
        <v>#REF!</v>
      </c>
      <c r="AI70" s="495" t="e">
        <f t="shared" si="121"/>
        <v>#REF!</v>
      </c>
      <c r="AJ70" s="495" t="e">
        <f t="shared" ca="1" si="109"/>
        <v>#NAME?</v>
      </c>
      <c r="AK70" s="495" t="e">
        <f t="shared" si="122"/>
        <v>#REF!</v>
      </c>
      <c r="AL70" s="495" t="e">
        <f t="shared" si="123"/>
        <v>#REF!</v>
      </c>
      <c r="AM70" s="495" t="e">
        <f t="shared" ca="1" si="124"/>
        <v>#NAME?</v>
      </c>
      <c r="AN70" s="495" t="e">
        <f t="shared" ca="1" si="110"/>
        <v>#NAME?</v>
      </c>
      <c r="AO70" s="495" t="e">
        <f t="shared" si="111"/>
        <v>#REF!</v>
      </c>
      <c r="AP70" s="495" t="e">
        <f t="shared" si="112"/>
        <v>#REF!</v>
      </c>
      <c r="AQ70" s="495" t="e">
        <f t="shared" si="113"/>
        <v>#REF!</v>
      </c>
      <c r="AR70" s="495" t="e">
        <f t="shared" si="114"/>
        <v>#REF!</v>
      </c>
      <c r="AS70" s="21"/>
      <c r="AT70" s="3" t="e">
        <f t="shared" ca="1" si="115"/>
        <v>#REF!</v>
      </c>
      <c r="AU70" s="3"/>
      <c r="AV70" s="3"/>
      <c r="AW70" s="3"/>
      <c r="AX70" s="3"/>
      <c r="AY70" s="3"/>
      <c r="AZ70" s="3"/>
      <c r="BA70" s="3"/>
      <c r="BB70" s="3"/>
      <c r="BC70" s="3"/>
      <c r="BD70" s="3"/>
      <c r="BE70" s="3"/>
      <c r="BF70" s="3"/>
      <c r="BG70" s="3"/>
      <c r="BH70" s="3"/>
      <c r="BI70" s="3"/>
      <c r="BJ70" s="3"/>
    </row>
    <row r="71" spans="1:62">
      <c r="A71" s="630" t="s">
        <v>169</v>
      </c>
      <c r="B71" s="662" t="s">
        <v>366</v>
      </c>
      <c r="C71" s="658">
        <v>594.33070866141736</v>
      </c>
      <c r="D71" s="18"/>
      <c r="E71" s="277">
        <v>29.7</v>
      </c>
      <c r="F71" s="277">
        <v>0</v>
      </c>
      <c r="G71" s="438">
        <v>2049.671181102362</v>
      </c>
      <c r="H71" s="305">
        <v>80.91</v>
      </c>
      <c r="I71" s="277">
        <v>0</v>
      </c>
      <c r="J71" s="305">
        <v>54.06</v>
      </c>
      <c r="K71" s="277">
        <v>40</v>
      </c>
      <c r="L71" s="305">
        <v>92</v>
      </c>
      <c r="M71" s="305">
        <v>1004.66</v>
      </c>
      <c r="N71" s="305">
        <v>80</v>
      </c>
      <c r="O71" s="69"/>
      <c r="P71" s="489">
        <f t="shared" si="116"/>
        <v>2160.2811811023616</v>
      </c>
      <c r="Q71" s="489">
        <f t="shared" si="117"/>
        <v>3350.0911811023616</v>
      </c>
      <c r="R71" s="597"/>
      <c r="S71" s="489" t="e">
        <f t="shared" si="118"/>
        <v>#REF!</v>
      </c>
      <c r="T71" s="489" t="e">
        <f t="shared" si="125"/>
        <v>#REF!</v>
      </c>
      <c r="U71" s="597"/>
      <c r="V71" s="489" t="e">
        <f ca="1">MAX(V$65:V$66)+IF($B$2="mil",1,0.0254)*DDR2Specs!$B$3</f>
        <v>#NAME?</v>
      </c>
      <c r="W71" s="489" t="e">
        <f ca="1">MIN(V$65:V$66)+IF($B$2="mil",1,0.0254)*DDR2Specs!$C$3</f>
        <v>#NAME?</v>
      </c>
      <c r="X71" s="21"/>
      <c r="Y71" s="598" t="e">
        <f t="shared" ca="1" si="119"/>
        <v>#REF!</v>
      </c>
      <c r="Z71" s="495" t="e">
        <f t="shared" ca="1" si="120"/>
        <v>#REF!</v>
      </c>
      <c r="AA71" s="21"/>
      <c r="AB71" s="489" t="e">
        <f ca="1">MAX(AB$65:AB$66)+IF($B$2="mil",1,0.0254)*DDR2Specs!$E$3</f>
        <v>#NAME?</v>
      </c>
      <c r="AC71" s="489" t="e">
        <f ca="1">MIN(AB$65:AB$66)+IF($B$2="mil",1,0.0254)*DDR2Specs!$F$3</f>
        <v>#NAME?</v>
      </c>
      <c r="AD71" s="21"/>
      <c r="AE71" s="598" t="e">
        <f t="shared" ca="1" si="105"/>
        <v>#REF!</v>
      </c>
      <c r="AF71" s="495" t="e">
        <f t="shared" ca="1" si="106"/>
        <v>#REF!</v>
      </c>
      <c r="AG71" s="495" t="e">
        <f t="shared" si="107"/>
        <v>#REF!</v>
      </c>
      <c r="AH71" s="495" t="e">
        <f t="shared" si="108"/>
        <v>#REF!</v>
      </c>
      <c r="AI71" s="495" t="e">
        <f t="shared" si="121"/>
        <v>#REF!</v>
      </c>
      <c r="AJ71" s="495" t="e">
        <f t="shared" ca="1" si="109"/>
        <v>#NAME?</v>
      </c>
      <c r="AK71" s="495" t="e">
        <f t="shared" si="122"/>
        <v>#REF!</v>
      </c>
      <c r="AL71" s="495" t="e">
        <f t="shared" si="123"/>
        <v>#REF!</v>
      </c>
      <c r="AM71" s="495" t="e">
        <f t="shared" ca="1" si="124"/>
        <v>#NAME?</v>
      </c>
      <c r="AN71" s="495" t="e">
        <f t="shared" ca="1" si="110"/>
        <v>#NAME?</v>
      </c>
      <c r="AO71" s="495" t="e">
        <f t="shared" si="111"/>
        <v>#REF!</v>
      </c>
      <c r="AP71" s="495" t="e">
        <f t="shared" si="112"/>
        <v>#REF!</v>
      </c>
      <c r="AQ71" s="495" t="e">
        <f t="shared" si="113"/>
        <v>#REF!</v>
      </c>
      <c r="AR71" s="495" t="e">
        <f t="shared" si="114"/>
        <v>#REF!</v>
      </c>
      <c r="AS71" s="21"/>
      <c r="AT71" s="3" t="e">
        <f t="shared" ca="1" si="115"/>
        <v>#REF!</v>
      </c>
      <c r="AU71" s="3"/>
      <c r="AV71" s="3"/>
      <c r="AW71" s="3"/>
      <c r="AX71" s="3"/>
      <c r="AY71" s="3"/>
      <c r="AZ71" s="3"/>
      <c r="BA71" s="3"/>
      <c r="BB71" s="3"/>
      <c r="BC71" s="3"/>
      <c r="BD71" s="3"/>
      <c r="BE71" s="3"/>
      <c r="BF71" s="3"/>
      <c r="BG71" s="3"/>
      <c r="BH71" s="3"/>
      <c r="BI71" s="3"/>
      <c r="BJ71" s="3"/>
    </row>
    <row r="72" spans="1:62">
      <c r="A72" s="630" t="s">
        <v>170</v>
      </c>
      <c r="B72" s="662" t="s">
        <v>367</v>
      </c>
      <c r="C72" s="658">
        <v>587.95275590551182</v>
      </c>
      <c r="D72" s="18"/>
      <c r="E72" s="277">
        <v>29.7</v>
      </c>
      <c r="F72" s="277">
        <v>0</v>
      </c>
      <c r="G72" s="438">
        <v>1934.3452755905505</v>
      </c>
      <c r="H72" s="305">
        <v>123.48</v>
      </c>
      <c r="I72" s="277">
        <v>0</v>
      </c>
      <c r="J72" s="305">
        <v>103.97</v>
      </c>
      <c r="K72" s="277">
        <v>40</v>
      </c>
      <c r="L72" s="305">
        <v>124</v>
      </c>
      <c r="M72" s="305">
        <v>945.32</v>
      </c>
      <c r="N72" s="305">
        <v>100</v>
      </c>
      <c r="O72" s="69"/>
      <c r="P72" s="489">
        <f t="shared" si="116"/>
        <v>2087.5252755905503</v>
      </c>
      <c r="Q72" s="489">
        <f t="shared" si="117"/>
        <v>3277.3352755905507</v>
      </c>
      <c r="R72" s="597"/>
      <c r="S72" s="489" t="e">
        <f t="shared" si="118"/>
        <v>#REF!</v>
      </c>
      <c r="T72" s="489" t="e">
        <f t="shared" si="125"/>
        <v>#REF!</v>
      </c>
      <c r="U72" s="597"/>
      <c r="V72" s="489" t="e">
        <f ca="1">MAX(V$65:V$66)+IF($B$2="mil",1,0.0254)*DDR2Specs!$B$3</f>
        <v>#NAME?</v>
      </c>
      <c r="W72" s="489" t="e">
        <f ca="1">MIN(V$65:V$66)+IF($B$2="mil",1,0.0254)*DDR2Specs!$C$3</f>
        <v>#NAME?</v>
      </c>
      <c r="X72" s="21"/>
      <c r="Y72" s="598" t="e">
        <f t="shared" ca="1" si="119"/>
        <v>#REF!</v>
      </c>
      <c r="Z72" s="495" t="e">
        <f t="shared" ca="1" si="120"/>
        <v>#REF!</v>
      </c>
      <c r="AA72" s="21"/>
      <c r="AB72" s="489" t="e">
        <f ca="1">MAX(AB$65:AB$66)+IF($B$2="mil",1,0.0254)*DDR2Specs!$E$3</f>
        <v>#NAME?</v>
      </c>
      <c r="AC72" s="489" t="e">
        <f ca="1">MIN(AB$65:AB$66)+IF($B$2="mil",1,0.0254)*DDR2Specs!$F$3</f>
        <v>#NAME?</v>
      </c>
      <c r="AD72" s="21"/>
      <c r="AE72" s="598" t="e">
        <f t="shared" ca="1" si="105"/>
        <v>#REF!</v>
      </c>
      <c r="AF72" s="495" t="e">
        <f t="shared" ca="1" si="106"/>
        <v>#REF!</v>
      </c>
      <c r="AG72" s="495" t="e">
        <f t="shared" si="107"/>
        <v>#REF!</v>
      </c>
      <c r="AH72" s="495" t="e">
        <f t="shared" si="108"/>
        <v>#REF!</v>
      </c>
      <c r="AI72" s="495" t="e">
        <f t="shared" si="121"/>
        <v>#REF!</v>
      </c>
      <c r="AJ72" s="495" t="e">
        <f t="shared" ca="1" si="109"/>
        <v>#NAME?</v>
      </c>
      <c r="AK72" s="495" t="e">
        <f t="shared" si="122"/>
        <v>#REF!</v>
      </c>
      <c r="AL72" s="495" t="e">
        <f t="shared" si="123"/>
        <v>#REF!</v>
      </c>
      <c r="AM72" s="495" t="e">
        <f t="shared" ca="1" si="124"/>
        <v>#NAME?</v>
      </c>
      <c r="AN72" s="495" t="e">
        <f t="shared" ca="1" si="110"/>
        <v>#NAME?</v>
      </c>
      <c r="AO72" s="495" t="e">
        <f t="shared" si="111"/>
        <v>#REF!</v>
      </c>
      <c r="AP72" s="495" t="e">
        <f t="shared" si="112"/>
        <v>#REF!</v>
      </c>
      <c r="AQ72" s="495" t="e">
        <f t="shared" si="113"/>
        <v>#REF!</v>
      </c>
      <c r="AR72" s="495" t="e">
        <f t="shared" si="114"/>
        <v>#REF!</v>
      </c>
      <c r="AS72" s="21"/>
      <c r="AT72" s="3" t="e">
        <f t="shared" ca="1" si="115"/>
        <v>#REF!</v>
      </c>
      <c r="AU72" s="3"/>
      <c r="AV72" s="3"/>
      <c r="AW72" s="3"/>
      <c r="AX72" s="3"/>
      <c r="AY72" s="3"/>
      <c r="AZ72" s="3"/>
      <c r="BA72" s="3"/>
      <c r="BB72" s="3"/>
      <c r="BC72" s="3"/>
      <c r="BD72" s="3"/>
      <c r="BE72" s="3"/>
      <c r="BF72" s="3"/>
      <c r="BG72" s="3"/>
      <c r="BH72" s="3"/>
      <c r="BI72" s="3"/>
      <c r="BJ72" s="3"/>
    </row>
    <row r="73" spans="1:62">
      <c r="A73" s="630" t="s">
        <v>171</v>
      </c>
      <c r="B73" s="662" t="s">
        <v>368</v>
      </c>
      <c r="C73" s="658">
        <v>692.79527559055123</v>
      </c>
      <c r="D73" s="18"/>
      <c r="E73" s="277">
        <v>29.7</v>
      </c>
      <c r="F73" s="277">
        <v>0</v>
      </c>
      <c r="G73" s="438">
        <v>2059.7757480314958</v>
      </c>
      <c r="H73" s="305">
        <v>94.27</v>
      </c>
      <c r="I73" s="277">
        <v>0</v>
      </c>
      <c r="J73" s="305">
        <v>69.34</v>
      </c>
      <c r="K73" s="277">
        <v>40</v>
      </c>
      <c r="L73" s="305">
        <v>89.93</v>
      </c>
      <c r="M73" s="305">
        <v>1003.81</v>
      </c>
      <c r="N73" s="305">
        <v>81</v>
      </c>
      <c r="O73" s="69"/>
      <c r="P73" s="489">
        <f t="shared" si="116"/>
        <v>2183.7457480314956</v>
      </c>
      <c r="Q73" s="489">
        <f t="shared" si="117"/>
        <v>3373.5557480314956</v>
      </c>
      <c r="R73" s="597"/>
      <c r="S73" s="489" t="e">
        <f t="shared" si="118"/>
        <v>#REF!</v>
      </c>
      <c r="T73" s="489" t="e">
        <f>Q73+IF($B$2="mil",1,0.0254)*$C73</f>
        <v>#REF!</v>
      </c>
      <c r="U73" s="597"/>
      <c r="V73" s="489" t="e">
        <f ca="1">MAX(V$65:V$66)+IF($B$2="mil",1,0.0254)*DDR2Specs!$B$3</f>
        <v>#NAME?</v>
      </c>
      <c r="W73" s="489" t="e">
        <f ca="1">MIN(V$65:V$66)+IF($B$2="mil",1,0.0254)*DDR2Specs!$C$3</f>
        <v>#NAME?</v>
      </c>
      <c r="X73" s="21"/>
      <c r="Y73" s="598" t="e">
        <f t="shared" ca="1" si="119"/>
        <v>#REF!</v>
      </c>
      <c r="Z73" s="495" t="e">
        <f t="shared" ca="1" si="120"/>
        <v>#REF!</v>
      </c>
      <c r="AA73" s="21"/>
      <c r="AB73" s="489" t="e">
        <f ca="1">MAX(AB$65:AB$66)+IF($B$2="mil",1,0.0254)*DDR2Specs!$E$3</f>
        <v>#NAME?</v>
      </c>
      <c r="AC73" s="489" t="e">
        <f ca="1">MIN(AB$65:AB$66)+IF($B$2="mil",1,0.0254)*DDR2Specs!$F$3</f>
        <v>#NAME?</v>
      </c>
      <c r="AD73" s="21"/>
      <c r="AE73" s="598" t="e">
        <f t="shared" ca="1" si="105"/>
        <v>#REF!</v>
      </c>
      <c r="AF73" s="495" t="e">
        <f t="shared" ca="1" si="106"/>
        <v>#REF!</v>
      </c>
      <c r="AG73" s="495" t="e">
        <f t="shared" si="107"/>
        <v>#REF!</v>
      </c>
      <c r="AH73" s="495" t="e">
        <f t="shared" si="108"/>
        <v>#REF!</v>
      </c>
      <c r="AI73" s="495" t="e">
        <f t="shared" si="121"/>
        <v>#REF!</v>
      </c>
      <c r="AJ73" s="495" t="e">
        <f t="shared" ca="1" si="109"/>
        <v>#NAME?</v>
      </c>
      <c r="AK73" s="495" t="e">
        <f t="shared" si="122"/>
        <v>#REF!</v>
      </c>
      <c r="AL73" s="495" t="e">
        <f t="shared" si="123"/>
        <v>#REF!</v>
      </c>
      <c r="AM73" s="495" t="e">
        <f t="shared" ca="1" si="124"/>
        <v>#NAME?</v>
      </c>
      <c r="AN73" s="495" t="e">
        <f t="shared" ca="1" si="110"/>
        <v>#NAME?</v>
      </c>
      <c r="AO73" s="495" t="e">
        <f t="shared" si="111"/>
        <v>#REF!</v>
      </c>
      <c r="AP73" s="495" t="e">
        <f t="shared" si="112"/>
        <v>#REF!</v>
      </c>
      <c r="AQ73" s="495" t="e">
        <f t="shared" si="113"/>
        <v>#REF!</v>
      </c>
      <c r="AR73" s="495" t="e">
        <f t="shared" si="114"/>
        <v>#REF!</v>
      </c>
      <c r="AS73" s="21"/>
      <c r="AT73" s="3" t="e">
        <f t="shared" ca="1" si="115"/>
        <v>#REF!</v>
      </c>
      <c r="AU73" s="3"/>
      <c r="AV73" s="3"/>
      <c r="AW73" s="3"/>
      <c r="AX73" s="3"/>
      <c r="AY73" s="3"/>
      <c r="AZ73" s="3"/>
      <c r="BA73" s="3"/>
      <c r="BB73" s="3"/>
      <c r="BC73" s="3"/>
      <c r="BD73" s="3"/>
      <c r="BE73" s="3"/>
      <c r="BF73" s="3"/>
      <c r="BG73" s="3"/>
      <c r="BH73" s="3"/>
      <c r="BI73" s="3"/>
      <c r="BJ73" s="3"/>
    </row>
    <row r="74" spans="1:62">
      <c r="A74" s="630" t="s">
        <v>172</v>
      </c>
      <c r="B74" s="662" t="s">
        <v>369</v>
      </c>
      <c r="C74" s="658">
        <v>671.29921259842513</v>
      </c>
      <c r="D74" s="18"/>
      <c r="E74" s="277">
        <v>29.7</v>
      </c>
      <c r="F74" s="277">
        <v>0</v>
      </c>
      <c r="G74" s="438">
        <v>1897.2049606299208</v>
      </c>
      <c r="H74" s="305">
        <v>88.14</v>
      </c>
      <c r="I74" s="277">
        <v>0</v>
      </c>
      <c r="J74" s="305">
        <v>72.650000000000006</v>
      </c>
      <c r="K74" s="277">
        <v>40</v>
      </c>
      <c r="L74" s="305">
        <v>120.65</v>
      </c>
      <c r="M74" s="305">
        <v>957.65</v>
      </c>
      <c r="N74" s="305">
        <v>87</v>
      </c>
      <c r="O74" s="69"/>
      <c r="P74" s="489">
        <f t="shared" si="116"/>
        <v>2015.044960629921</v>
      </c>
      <c r="Q74" s="489">
        <f t="shared" si="117"/>
        <v>3204.8549606299212</v>
      </c>
      <c r="R74" s="597"/>
      <c r="S74" s="489" t="e">
        <f t="shared" si="118"/>
        <v>#REF!</v>
      </c>
      <c r="T74" s="489" t="e">
        <f t="shared" si="125"/>
        <v>#REF!</v>
      </c>
      <c r="U74" s="597"/>
      <c r="V74" s="489" t="e">
        <f ca="1">MAX(V$65:V$66)+IF($B$2="mil",1,0.0254)*DDR2Specs!$B$3</f>
        <v>#NAME?</v>
      </c>
      <c r="W74" s="489" t="e">
        <f ca="1">MIN(V$65:V$66)+IF($B$2="mil",1,0.0254)*DDR2Specs!$C$3</f>
        <v>#NAME?</v>
      </c>
      <c r="X74" s="21"/>
      <c r="Y74" s="598" t="e">
        <f t="shared" ca="1" si="119"/>
        <v>#REF!</v>
      </c>
      <c r="Z74" s="495" t="e">
        <f t="shared" ca="1" si="120"/>
        <v>#REF!</v>
      </c>
      <c r="AA74" s="21"/>
      <c r="AB74" s="489" t="e">
        <f ca="1">MAX(AB$65:AB$66)+IF($B$2="mil",1,0.0254)*DDR2Specs!$E$3</f>
        <v>#NAME?</v>
      </c>
      <c r="AC74" s="489" t="e">
        <f ca="1">MIN(AB$65:AB$66)+IF($B$2="mil",1,0.0254)*DDR2Specs!$F$3</f>
        <v>#NAME?</v>
      </c>
      <c r="AD74" s="21"/>
      <c r="AE74" s="598" t="e">
        <f t="shared" ca="1" si="105"/>
        <v>#REF!</v>
      </c>
      <c r="AF74" s="495" t="e">
        <f t="shared" ca="1" si="106"/>
        <v>#REF!</v>
      </c>
      <c r="AG74" s="495" t="e">
        <f t="shared" si="107"/>
        <v>#REF!</v>
      </c>
      <c r="AH74" s="495" t="e">
        <f t="shared" si="108"/>
        <v>#REF!</v>
      </c>
      <c r="AI74" s="495" t="e">
        <f t="shared" si="121"/>
        <v>#REF!</v>
      </c>
      <c r="AJ74" s="495" t="e">
        <f t="shared" ca="1" si="109"/>
        <v>#NAME?</v>
      </c>
      <c r="AK74" s="495" t="e">
        <f t="shared" si="122"/>
        <v>#REF!</v>
      </c>
      <c r="AL74" s="495" t="e">
        <f t="shared" si="123"/>
        <v>#REF!</v>
      </c>
      <c r="AM74" s="495" t="e">
        <f t="shared" ca="1" si="124"/>
        <v>#NAME?</v>
      </c>
      <c r="AN74" s="495" t="e">
        <f t="shared" ca="1" si="110"/>
        <v>#NAME?</v>
      </c>
      <c r="AO74" s="495" t="e">
        <f t="shared" si="111"/>
        <v>#REF!</v>
      </c>
      <c r="AP74" s="495" t="e">
        <f t="shared" si="112"/>
        <v>#REF!</v>
      </c>
      <c r="AQ74" s="495" t="e">
        <f t="shared" si="113"/>
        <v>#REF!</v>
      </c>
      <c r="AR74" s="495" t="e">
        <f t="shared" si="114"/>
        <v>#REF!</v>
      </c>
      <c r="AS74" s="21"/>
      <c r="AT74" s="3" t="e">
        <f t="shared" ca="1" si="115"/>
        <v>#REF!</v>
      </c>
      <c r="AU74" s="3"/>
      <c r="AV74" s="3"/>
      <c r="AW74" s="3"/>
      <c r="AX74" s="3"/>
      <c r="AY74" s="3"/>
      <c r="AZ74" s="3"/>
      <c r="BA74" s="3"/>
      <c r="BB74" s="3"/>
      <c r="BC74" s="3"/>
      <c r="BD74" s="3"/>
      <c r="BE74" s="3"/>
      <c r="BF74" s="3"/>
      <c r="BG74" s="3"/>
      <c r="BH74" s="3"/>
      <c r="BI74" s="3"/>
      <c r="BJ74" s="3"/>
    </row>
    <row r="75" spans="1:62">
      <c r="A75" s="661" t="s">
        <v>173</v>
      </c>
      <c r="B75" s="662" t="s">
        <v>345</v>
      </c>
      <c r="C75" s="658">
        <v>583.81889763779532</v>
      </c>
      <c r="D75" s="18"/>
      <c r="E75" s="277">
        <v>29.7</v>
      </c>
      <c r="F75" s="277">
        <v>0</v>
      </c>
      <c r="G75" s="438">
        <v>2034.76</v>
      </c>
      <c r="H75" s="305">
        <v>64.569999999999993</v>
      </c>
      <c r="I75" s="277">
        <v>0</v>
      </c>
      <c r="J75" s="305">
        <v>49.57</v>
      </c>
      <c r="K75" s="277">
        <v>40</v>
      </c>
      <c r="L75" s="305">
        <v>85.78</v>
      </c>
      <c r="M75" s="305">
        <v>1041.03</v>
      </c>
      <c r="N75" s="305">
        <v>38</v>
      </c>
      <c r="O75" s="69"/>
      <c r="P75" s="489">
        <f t="shared" si="116"/>
        <v>2129.0300000000002</v>
      </c>
      <c r="Q75" s="489">
        <f t="shared" si="117"/>
        <v>3318.84</v>
      </c>
      <c r="R75" s="597"/>
      <c r="S75" s="489" t="e">
        <f t="shared" si="118"/>
        <v>#REF!</v>
      </c>
      <c r="T75" s="489" t="e">
        <f t="shared" si="125"/>
        <v>#REF!</v>
      </c>
      <c r="U75" s="597"/>
      <c r="V75" s="489" t="e">
        <f ca="1">MAX(V$65:V$66)+IF($B$2="mil",1,0.0254)*DDR2Specs!$B$3</f>
        <v>#NAME?</v>
      </c>
      <c r="W75" s="489" t="e">
        <f ca="1">MIN(V$65:V$66)+IF($B$2="mil",1,0.0254)*DDR2Specs!$C$3</f>
        <v>#NAME?</v>
      </c>
      <c r="X75" s="21"/>
      <c r="Y75" s="598" t="e">
        <f t="shared" ca="1" si="119"/>
        <v>#REF!</v>
      </c>
      <c r="Z75" s="495" t="e">
        <f t="shared" ca="1" si="120"/>
        <v>#REF!</v>
      </c>
      <c r="AA75" s="21"/>
      <c r="AB75" s="489" t="e">
        <f ca="1">MAX(AB$65:AB$66)+IF($B$2="mil",1,0.0254)*DDR2Specs!$E$3</f>
        <v>#NAME?</v>
      </c>
      <c r="AC75" s="489" t="e">
        <f ca="1">MIN(AB$65:AB$66)+IF($B$2="mil",1,0.0254)*DDR2Specs!$F$3</f>
        <v>#NAME?</v>
      </c>
      <c r="AD75" s="21"/>
      <c r="AE75" s="598" t="e">
        <f t="shared" ca="1" si="105"/>
        <v>#REF!</v>
      </c>
      <c r="AF75" s="495" t="e">
        <f t="shared" ca="1" si="106"/>
        <v>#REF!</v>
      </c>
      <c r="AG75" s="495" t="e">
        <f t="shared" si="107"/>
        <v>#REF!</v>
      </c>
      <c r="AH75" s="495" t="e">
        <f t="shared" si="108"/>
        <v>#REF!</v>
      </c>
      <c r="AI75" s="495" t="e">
        <f t="shared" si="121"/>
        <v>#REF!</v>
      </c>
      <c r="AJ75" s="495" t="e">
        <f t="shared" ca="1" si="109"/>
        <v>#NAME?</v>
      </c>
      <c r="AK75" s="495" t="e">
        <f t="shared" si="122"/>
        <v>#REF!</v>
      </c>
      <c r="AL75" s="495" t="e">
        <f t="shared" si="123"/>
        <v>#REF!</v>
      </c>
      <c r="AM75" s="495" t="e">
        <f t="shared" ca="1" si="124"/>
        <v>#NAME?</v>
      </c>
      <c r="AN75" s="495" t="e">
        <f t="shared" ca="1" si="110"/>
        <v>#NAME?</v>
      </c>
      <c r="AO75" s="495" t="e">
        <f t="shared" si="111"/>
        <v>#REF!</v>
      </c>
      <c r="AP75" s="495" t="e">
        <f t="shared" si="112"/>
        <v>#REF!</v>
      </c>
      <c r="AQ75" s="495" t="e">
        <f t="shared" si="113"/>
        <v>#REF!</v>
      </c>
      <c r="AR75" s="495" t="e">
        <f t="shared" si="114"/>
        <v>#REF!</v>
      </c>
      <c r="AS75" s="21"/>
      <c r="AT75" s="3" t="e">
        <f t="shared" ca="1" si="115"/>
        <v>#REF!</v>
      </c>
      <c r="AU75" s="3"/>
      <c r="AV75" s="3"/>
      <c r="AW75" s="3"/>
      <c r="AX75" s="3"/>
      <c r="AY75" s="3"/>
      <c r="AZ75" s="3"/>
      <c r="BA75" s="3"/>
      <c r="BB75" s="3"/>
      <c r="BC75" s="3"/>
      <c r="BD75" s="3"/>
      <c r="BE75" s="3"/>
      <c r="BF75" s="3"/>
      <c r="BG75" s="3"/>
      <c r="BH75" s="3"/>
      <c r="BI75" s="3"/>
      <c r="BJ75" s="3"/>
    </row>
    <row r="76" spans="1:62">
      <c r="A76" s="8" t="s">
        <v>203</v>
      </c>
      <c r="B76" s="663"/>
      <c r="C76" s="659"/>
      <c r="D76" s="62"/>
      <c r="E76" s="82"/>
      <c r="F76" s="82"/>
      <c r="G76" s="439"/>
      <c r="H76" s="295"/>
      <c r="I76" s="295"/>
      <c r="J76" s="295"/>
      <c r="K76" s="295"/>
      <c r="L76" s="295"/>
      <c r="M76" s="295"/>
      <c r="N76" s="295"/>
      <c r="O76" s="10"/>
      <c r="P76" s="82"/>
      <c r="Q76" s="82"/>
      <c r="R76" s="82"/>
      <c r="S76" s="605"/>
      <c r="T76" s="605"/>
      <c r="U76" s="605"/>
      <c r="V76" s="605"/>
      <c r="W76" s="606"/>
      <c r="X76" s="606"/>
      <c r="Y76" s="607"/>
      <c r="Z76" s="17"/>
      <c r="AA76" s="606"/>
      <c r="AB76" s="605"/>
      <c r="AC76" s="606"/>
      <c r="AD76" s="606"/>
      <c r="AE76" s="607"/>
      <c r="AF76" s="17"/>
      <c r="AG76" s="17"/>
      <c r="AH76" s="17"/>
      <c r="AI76" s="16"/>
      <c r="AJ76" s="16"/>
      <c r="AK76" s="16"/>
      <c r="AL76" s="16"/>
      <c r="AM76" s="16"/>
      <c r="AN76" s="16"/>
      <c r="AO76" s="16"/>
      <c r="AP76" s="16"/>
      <c r="AQ76" s="16"/>
      <c r="AR76" s="16"/>
      <c r="AS76" s="83"/>
      <c r="AT76" s="3"/>
      <c r="AU76" s="3"/>
      <c r="AV76" s="3"/>
      <c r="AW76" s="3"/>
      <c r="AX76" s="3"/>
      <c r="AY76" s="3"/>
      <c r="AZ76" s="3"/>
      <c r="BA76" s="3"/>
      <c r="BB76" s="3"/>
      <c r="BC76" s="3"/>
      <c r="BD76" s="3"/>
      <c r="BE76" s="3"/>
      <c r="BF76" s="3"/>
      <c r="BG76" s="3"/>
      <c r="BH76" s="3"/>
      <c r="BI76" s="3"/>
      <c r="BJ76" s="3"/>
    </row>
    <row r="77" spans="1:62">
      <c r="A77" s="52" t="str">
        <f>'DDR2 Strobes - 1x16'!$A$28</f>
        <v>SA_DQS6</v>
      </c>
      <c r="B77" s="674" t="str">
        <f>'DDR2 Strobes - 1x16'!$B$28</f>
        <v>AB14</v>
      </c>
      <c r="C77" s="660"/>
      <c r="D77" s="53"/>
      <c r="E77" s="81"/>
      <c r="F77" s="81"/>
      <c r="G77" s="440"/>
      <c r="H77" s="296"/>
      <c r="I77" s="296"/>
      <c r="J77" s="296"/>
      <c r="K77" s="296"/>
      <c r="L77" s="296"/>
      <c r="M77" s="296"/>
      <c r="N77" s="296"/>
      <c r="O77" s="81"/>
      <c r="P77" s="81"/>
      <c r="Q77" s="81"/>
      <c r="R77" s="81"/>
      <c r="S77" s="58"/>
      <c r="T77" s="58"/>
      <c r="U77" s="58"/>
      <c r="V77" s="58" t="e">
        <f ca="1">GetSODIMMStrbLen($A77)</f>
        <v>#NAME?</v>
      </c>
      <c r="W77" s="58"/>
      <c r="X77" s="58"/>
      <c r="Y77" s="58"/>
      <c r="Z77" s="608"/>
      <c r="AA77" s="617" t="e">
        <f>"Strobe Pair to " &amp;#REF!</f>
        <v>#REF!</v>
      </c>
      <c r="AB77" s="58" t="e">
        <f ca="1">GetStrbLen(#REF!, "P")</f>
        <v>#NAME?</v>
      </c>
      <c r="AC77" s="58"/>
      <c r="AD77" s="58"/>
      <c r="AE77" s="58"/>
      <c r="AF77" s="608"/>
      <c r="AG77" s="608"/>
      <c r="AH77" s="608"/>
      <c r="AI77" s="608"/>
      <c r="AJ77" s="608"/>
      <c r="AK77" s="608"/>
      <c r="AL77" s="608"/>
      <c r="AM77" s="608"/>
      <c r="AN77" s="608"/>
      <c r="AO77" s="608"/>
      <c r="AP77" s="608"/>
      <c r="AQ77" s="608"/>
      <c r="AR77" s="608"/>
      <c r="AS77" s="58"/>
      <c r="AT77" s="3"/>
      <c r="AU77" s="3"/>
      <c r="AV77" s="3"/>
      <c r="AW77" s="3"/>
      <c r="AX77" s="3"/>
      <c r="AY77" s="3"/>
      <c r="AZ77" s="3"/>
      <c r="BA77" s="3"/>
      <c r="BB77" s="3"/>
      <c r="BC77" s="3"/>
      <c r="BD77" s="3"/>
      <c r="BE77" s="3"/>
      <c r="BF77" s="3"/>
      <c r="BG77" s="3"/>
      <c r="BH77" s="3"/>
      <c r="BI77" s="3"/>
      <c r="BJ77" s="3"/>
    </row>
    <row r="78" spans="1:62">
      <c r="A78" s="52" t="str">
        <f>'DDR2 Strobes - 1x16'!$A$29</f>
        <v>SA_DQS6#</v>
      </c>
      <c r="B78" s="674" t="str">
        <f>'DDR2 Strobes - 1x16'!$B$29</f>
        <v>AB13</v>
      </c>
      <c r="C78" s="660"/>
      <c r="D78" s="53"/>
      <c r="E78" s="81"/>
      <c r="F78" s="81"/>
      <c r="G78" s="440"/>
      <c r="H78" s="296"/>
      <c r="I78" s="296"/>
      <c r="J78" s="296"/>
      <c r="K78" s="296"/>
      <c r="L78" s="296"/>
      <c r="M78" s="296"/>
      <c r="N78" s="296"/>
      <c r="O78" s="81"/>
      <c r="P78" s="81"/>
      <c r="Q78" s="602"/>
      <c r="R78" s="602"/>
      <c r="S78" s="603"/>
      <c r="T78" s="603"/>
      <c r="U78" s="58"/>
      <c r="V78" s="58" t="e">
        <f ca="1">GetSODIMMStrbLen($A78)</f>
        <v>#NAME?</v>
      </c>
      <c r="W78" s="58"/>
      <c r="X78" s="58"/>
      <c r="Y78" s="58"/>
      <c r="Z78" s="608"/>
      <c r="AA78" s="618" t="e">
        <f>"Strobe Pair to " &amp;#REF!</f>
        <v>#REF!</v>
      </c>
      <c r="AB78" s="58" t="e">
        <f ca="1">GetStrbLen(#REF!, "N")</f>
        <v>#NAME?</v>
      </c>
      <c r="AC78" s="58"/>
      <c r="AD78" s="58"/>
      <c r="AE78" s="58"/>
      <c r="AF78" s="608"/>
      <c r="AG78" s="608"/>
      <c r="AH78" s="608"/>
      <c r="AI78" s="609"/>
      <c r="AJ78" s="609"/>
      <c r="AK78" s="609"/>
      <c r="AL78" s="609"/>
      <c r="AM78" s="609"/>
      <c r="AN78" s="609"/>
      <c r="AO78" s="609"/>
      <c r="AP78" s="609"/>
      <c r="AQ78" s="609"/>
      <c r="AR78" s="609"/>
      <c r="AS78" s="58"/>
      <c r="AT78" s="3"/>
      <c r="AU78" s="3"/>
      <c r="AV78" s="3"/>
      <c r="AW78" s="3"/>
      <c r="AX78" s="3"/>
      <c r="AY78" s="3"/>
      <c r="AZ78" s="3"/>
      <c r="BA78" s="3"/>
      <c r="BB78" s="3"/>
      <c r="BC78" s="3"/>
      <c r="BD78" s="3"/>
      <c r="BE78" s="3"/>
      <c r="BF78" s="3"/>
      <c r="BG78" s="3"/>
      <c r="BH78" s="3"/>
      <c r="BI78" s="3"/>
      <c r="BJ78" s="3"/>
    </row>
    <row r="79" spans="1:62">
      <c r="A79" s="630" t="s">
        <v>174</v>
      </c>
      <c r="B79" s="662" t="s">
        <v>111</v>
      </c>
      <c r="C79" s="658">
        <v>846.81102362204729</v>
      </c>
      <c r="D79" s="18"/>
      <c r="E79" s="277">
        <v>29.7</v>
      </c>
      <c r="F79" s="277">
        <v>0</v>
      </c>
      <c r="G79" s="438">
        <v>1546.4029133858271</v>
      </c>
      <c r="H79" s="305">
        <v>71.39</v>
      </c>
      <c r="I79" s="277">
        <v>0</v>
      </c>
      <c r="J79" s="305">
        <v>56.33</v>
      </c>
      <c r="K79" s="277">
        <v>40</v>
      </c>
      <c r="L79" s="305">
        <v>50.78</v>
      </c>
      <c r="M79" s="305">
        <v>1053.45</v>
      </c>
      <c r="N79" s="305">
        <v>75.67</v>
      </c>
      <c r="O79" s="69"/>
      <c r="P79" s="489">
        <f xml:space="preserve"> E79+F79+G79+H79</f>
        <v>1647.4929133858273</v>
      </c>
      <c r="Q79" s="489">
        <f>SUM(E79:G79,I79:N79)</f>
        <v>2852.3329133858269</v>
      </c>
      <c r="R79" s="597"/>
      <c r="S79" s="489" t="e">
        <f>P79+IF($B$2="mil",1,0.0254)*C79</f>
        <v>#REF!</v>
      </c>
      <c r="T79" s="489" t="e">
        <f t="shared" ref="T79:T87" si="126">Q79+IF($B$2="mil",1,0.0254)*$C79</f>
        <v>#REF!</v>
      </c>
      <c r="U79" s="597"/>
      <c r="V79" s="489" t="e">
        <f ca="1">MAX(V$77:V$78)+IF($B$2="mil",1,0.0254)*DDR2Specs!$B$3</f>
        <v>#NAME?</v>
      </c>
      <c r="W79" s="489" t="e">
        <f ca="1">MIN(V$77:V$78)+IF($B$2="mil",1,0.0254)*DDR2Specs!$C$3</f>
        <v>#NAME?</v>
      </c>
      <c r="X79" s="21"/>
      <c r="Y79" s="598" t="e">
        <f ca="1">IF($S79&lt;$V79,$V79-$S79,"Pass")</f>
        <v>#REF!</v>
      </c>
      <c r="Z79" s="495" t="e">
        <f ca="1">IF($S79&gt;$W79,$S79-$W79,"Pass")</f>
        <v>#REF!</v>
      </c>
      <c r="AA79" s="21"/>
      <c r="AB79" s="489" t="e">
        <f ca="1">MAX(AB$77:AB$78)+IF($B$2="mil",1,0.0254)*DDR2Specs!$E$3</f>
        <v>#NAME?</v>
      </c>
      <c r="AC79" s="489" t="e">
        <f ca="1">MIN(AB$77:AB$78)+IF($B$2="mil",1,0.0254)*DDR2Specs!$F$3</f>
        <v>#NAME?</v>
      </c>
      <c r="AD79" s="21"/>
      <c r="AE79" s="598" t="e">
        <f t="shared" ref="AE79:AE87" ca="1" si="127">IF($T79&lt;$AB79,$AB79-$T79,"Pass")</f>
        <v>#REF!</v>
      </c>
      <c r="AF79" s="495" t="e">
        <f t="shared" ref="AF79:AF87" ca="1" si="128">IF($T79&gt;$AC79,$T79-$AC79,"Pass")</f>
        <v>#REF!</v>
      </c>
      <c r="AG79" s="495" t="e">
        <f t="shared" ref="AG79:AG87" si="129">IF($E79&lt;=IF($B$2="mil",1,0.0254)*50,"Pass",IF($B$2="mil",1,0.0254)*50-$E79)</f>
        <v>#REF!</v>
      </c>
      <c r="AH79" s="495" t="e">
        <f t="shared" ref="AH79:AH87" si="130">IF($F79&lt;=IF($B$2="mil",1,0.0254)*500,"Pass",IF($B$2="mil",1,0.0254)*500-$F79)</f>
        <v>#REF!</v>
      </c>
      <c r="AI79" s="495" t="e">
        <f>IF($H79&lt;=IF($B$2="mil",1,0.0254)*250,"Pass",IF($B$2="mil",1,0.0254)*250-$H79)</f>
        <v>#REF!</v>
      </c>
      <c r="AJ79" s="495" t="e">
        <f t="shared" ref="AJ79:AJ87" ca="1" si="131">CheckLength(IF($B$2="mil",1,0.0254)*1000, IF($B$2="mil",1,0.0254)*125-J79, 0, I79,J79,0)</f>
        <v>#NAME?</v>
      </c>
      <c r="AK79" s="495" t="e">
        <f>IF($J79&lt;=IF($B$2="mil",1,0.0254)*125,"Pass",IF($B$2="mil",1,0.0254)*125-$J79)</f>
        <v>#REF!</v>
      </c>
      <c r="AL79" s="495" t="e">
        <f>IF($L79&lt;=IF($B$2="mil",1,0.0254)*125,"Pass",IF($B$2="mil",1,0.0254)*125-$L79)</f>
        <v>#REF!</v>
      </c>
      <c r="AM79" s="495" t="e">
        <f ca="1">CheckLength(IF($B$2="mil",1,0.0254)*1250, IF($B$2="mil",1,0.0254)*125-L79, IF($B$2="mil",1,0.0254)*150-N79, M79,L79,N79)</f>
        <v>#NAME?</v>
      </c>
      <c r="AN79" s="495" t="e">
        <f t="shared" ref="AN79:AN87" ca="1" si="132">CheckLength2(IF($B$2="mil",1,0.0254)*1400,M79,N79,0)</f>
        <v>#NAME?</v>
      </c>
      <c r="AO79" s="495" t="e">
        <f t="shared" ref="AO79:AO87" si="133">IF(AND($P79&gt;=IF($B$2="mil",1,0.0254)*500, $P79&lt;=IF($B$2="mil",1,0.0254)*4000),"Pass",IF($B$2="mil",1,0.0254)*4000-$P79)</f>
        <v>#REF!</v>
      </c>
      <c r="AP79" s="495" t="e">
        <f t="shared" ref="AP79:AP87" si="134">IF(AND($S79&gt;=IF($B$2="mil",1,0.0254)*500, $S79&lt;=IF($B$2="mil",1,0.0254)*4500),"Pass",IF($B$2="mil",1,0.0254)*4500-$S79)</f>
        <v>#REF!</v>
      </c>
      <c r="AQ79" s="495" t="e">
        <f t="shared" ref="AQ79:AQ87" si="135">IF(AND($Q79&gt;=IF($B$2="mil",1,0.0254)*500, $Q79&lt;=IF($B$2="mil",1,0.0254)*5500),"Pass",IF($B$2="mil",1,0.0254)*5500-$Q79)</f>
        <v>#REF!</v>
      </c>
      <c r="AR79" s="495" t="e">
        <f t="shared" ref="AR79:AR87" si="136">IF(AND($T79&gt;=IF($B$2="mil",1,0.0254)*500, $T79&lt;=IF($B$2="mil",1,0.0254)*6000),"Pass",IF($B$2="mil",1,0.0254)*6000-$T79)</f>
        <v>#REF!</v>
      </c>
      <c r="AS79" s="21"/>
      <c r="AT79" s="3" t="e">
        <f t="shared" ref="AT79:AT87" ca="1" si="137">IF(AND(AG79="Pass",AP79="Pass",AI79="Pass",AH79="Pass",AO79="Pass",Y79="Pass",Z79="Pass",AN79="Pass",AM79="Pass",AL79="Pass",AK79="Pass",AJ79="Pass",AE79="Pass",AF79="Pass",AQ79="Pass",AR79="Pass"),"Pass","Fail")</f>
        <v>#REF!</v>
      </c>
      <c r="AU79" s="3" t="e">
        <f ca="1">IF(AND(AT79="Pass",AT80="Pass",AT81="Pass",AT82="Pass",AT83="Pass",AT84="Pass",AT85="Pass",AT86="Pass",AT87="Pass"),"Pass","Fail")</f>
        <v>#REF!</v>
      </c>
      <c r="AV79" s="3"/>
      <c r="AW79" s="3"/>
      <c r="AX79" s="3"/>
      <c r="AY79" s="3"/>
      <c r="AZ79" s="3"/>
      <c r="BA79" s="3"/>
      <c r="BB79" s="3"/>
      <c r="BC79" s="3"/>
      <c r="BD79" s="3"/>
      <c r="BE79" s="3"/>
      <c r="BF79" s="3"/>
      <c r="BG79" s="3"/>
      <c r="BH79" s="3"/>
      <c r="BI79" s="3"/>
      <c r="BJ79" s="3"/>
    </row>
    <row r="80" spans="1:62">
      <c r="A80" s="630" t="s">
        <v>175</v>
      </c>
      <c r="B80" s="662" t="s">
        <v>370</v>
      </c>
      <c r="C80" s="658">
        <v>749.48818897637796</v>
      </c>
      <c r="D80" s="18"/>
      <c r="E80" s="277">
        <v>29.7</v>
      </c>
      <c r="F80" s="277">
        <v>0</v>
      </c>
      <c r="G80" s="438">
        <v>1496.1121259842521</v>
      </c>
      <c r="H80" s="305">
        <v>107.98</v>
      </c>
      <c r="I80" s="277">
        <v>0</v>
      </c>
      <c r="J80" s="305">
        <v>99.62</v>
      </c>
      <c r="K80" s="277">
        <v>40</v>
      </c>
      <c r="L80" s="305">
        <v>46.81</v>
      </c>
      <c r="M80" s="305">
        <v>1050.54</v>
      </c>
      <c r="N80" s="305">
        <v>75.849999999999994</v>
      </c>
      <c r="O80" s="69"/>
      <c r="P80" s="489">
        <f t="shared" ref="P80:P87" si="138" xml:space="preserve"> E80+F80+G80+H80</f>
        <v>1633.7921259842522</v>
      </c>
      <c r="Q80" s="489">
        <f t="shared" ref="Q80:Q87" si="139">SUM(E80:G80,I80:N80)</f>
        <v>2838.6321259842521</v>
      </c>
      <c r="R80" s="597"/>
      <c r="S80" s="489" t="e">
        <f t="shared" ref="S80:S87" si="140">P80+IF($B$2="mil",1,0.0254)*C80</f>
        <v>#REF!</v>
      </c>
      <c r="T80" s="489" t="e">
        <f t="shared" si="126"/>
        <v>#REF!</v>
      </c>
      <c r="U80" s="597"/>
      <c r="V80" s="489" t="e">
        <f ca="1">MAX(V$77:V$78)+IF($B$2="mil",1,0.0254)*DDR2Specs!$B$3</f>
        <v>#NAME?</v>
      </c>
      <c r="W80" s="489" t="e">
        <f ca="1">MIN(V$77:V$78)+IF($B$2="mil",1,0.0254)*DDR2Specs!$C$3</f>
        <v>#NAME?</v>
      </c>
      <c r="X80" s="21"/>
      <c r="Y80" s="598" t="e">
        <f t="shared" ref="Y80:Y87" ca="1" si="141">IF($S80&lt;$V80,$V80-$S80,"Pass")</f>
        <v>#REF!</v>
      </c>
      <c r="Z80" s="495" t="e">
        <f t="shared" ref="Z80:Z87" ca="1" si="142">IF($S80&gt;$W80,$S80-$W80,"Pass")</f>
        <v>#REF!</v>
      </c>
      <c r="AA80" s="21"/>
      <c r="AB80" s="489" t="e">
        <f ca="1">MAX(AB$77:AB$78)+IF($B$2="mil",1,0.0254)*DDR2Specs!$E$3</f>
        <v>#NAME?</v>
      </c>
      <c r="AC80" s="489" t="e">
        <f ca="1">MIN(AB$77:AB$78)+IF($B$2="mil",1,0.0254)*DDR2Specs!$F$3</f>
        <v>#NAME?</v>
      </c>
      <c r="AD80" s="21"/>
      <c r="AE80" s="598" t="e">
        <f t="shared" ca="1" si="127"/>
        <v>#REF!</v>
      </c>
      <c r="AF80" s="495" t="e">
        <f t="shared" ca="1" si="128"/>
        <v>#REF!</v>
      </c>
      <c r="AG80" s="495" t="e">
        <f t="shared" si="129"/>
        <v>#REF!</v>
      </c>
      <c r="AH80" s="495" t="e">
        <f t="shared" si="130"/>
        <v>#REF!</v>
      </c>
      <c r="AI80" s="495" t="e">
        <f t="shared" ref="AI80:AI87" si="143">IF($H80&lt;=IF($B$2="mil",1,0.0254)*250,"Pass",IF($B$2="mil",1,0.0254)*250-$H80)</f>
        <v>#REF!</v>
      </c>
      <c r="AJ80" s="495" t="e">
        <f t="shared" ca="1" si="131"/>
        <v>#NAME?</v>
      </c>
      <c r="AK80" s="495" t="e">
        <f t="shared" ref="AK80:AK87" si="144">IF($J80&lt;=IF($B$2="mil",1,0.0254)*125,"Pass",IF($B$2="mil",1,0.0254)*125-$J80)</f>
        <v>#REF!</v>
      </c>
      <c r="AL80" s="495" t="e">
        <f t="shared" ref="AL80:AL87" si="145">IF($L80&lt;=IF($B$2="mil",1,0.0254)*125,"Pass",IF($B$2="mil",1,0.0254)*125-$L80)</f>
        <v>#REF!</v>
      </c>
      <c r="AM80" s="495" t="e">
        <f t="shared" ref="AM80:AM87" ca="1" si="146">CheckLength(IF($B$2="mil",1,0.0254)*1250, IF($B$2="mil",1,0.0254)*125-L80, IF($B$2="mil",1,0.0254)*150-N80, M80,L80,N80)</f>
        <v>#NAME?</v>
      </c>
      <c r="AN80" s="495" t="e">
        <f t="shared" ca="1" si="132"/>
        <v>#NAME?</v>
      </c>
      <c r="AO80" s="495" t="e">
        <f t="shared" si="133"/>
        <v>#REF!</v>
      </c>
      <c r="AP80" s="495" t="e">
        <f t="shared" si="134"/>
        <v>#REF!</v>
      </c>
      <c r="AQ80" s="495" t="e">
        <f t="shared" si="135"/>
        <v>#REF!</v>
      </c>
      <c r="AR80" s="495" t="e">
        <f t="shared" si="136"/>
        <v>#REF!</v>
      </c>
      <c r="AS80" s="21"/>
      <c r="AT80" s="3" t="e">
        <f t="shared" ca="1" si="137"/>
        <v>#REF!</v>
      </c>
      <c r="AU80" s="3"/>
      <c r="AV80" s="3"/>
      <c r="AW80" s="3"/>
      <c r="AX80" s="3"/>
      <c r="AY80" s="3"/>
      <c r="AZ80" s="3"/>
      <c r="BA80" s="3"/>
      <c r="BB80" s="3"/>
      <c r="BC80" s="3"/>
      <c r="BD80" s="3"/>
      <c r="BE80" s="3"/>
      <c r="BF80" s="3"/>
      <c r="BG80" s="3"/>
      <c r="BH80" s="3"/>
      <c r="BI80" s="3"/>
      <c r="BJ80" s="3"/>
    </row>
    <row r="81" spans="1:62">
      <c r="A81" s="630" t="s">
        <v>176</v>
      </c>
      <c r="B81" s="662" t="s">
        <v>112</v>
      </c>
      <c r="C81" s="658">
        <v>668.97637795275591</v>
      </c>
      <c r="D81" s="18"/>
      <c r="E81" s="277">
        <v>29.7</v>
      </c>
      <c r="F81" s="277">
        <v>0</v>
      </c>
      <c r="G81" s="438">
        <v>1708.6048818897643</v>
      </c>
      <c r="H81" s="305">
        <v>68.44</v>
      </c>
      <c r="I81" s="277">
        <v>0</v>
      </c>
      <c r="J81" s="305">
        <v>51.64</v>
      </c>
      <c r="K81" s="277">
        <v>40</v>
      </c>
      <c r="L81" s="305">
        <v>52.03</v>
      </c>
      <c r="M81" s="305">
        <v>1098.0999999999999</v>
      </c>
      <c r="N81" s="305">
        <v>31.51</v>
      </c>
      <c r="O81" s="69"/>
      <c r="P81" s="489">
        <f t="shared" si="138"/>
        <v>1806.7448818897644</v>
      </c>
      <c r="Q81" s="489">
        <f t="shared" si="139"/>
        <v>3011.5848818897648</v>
      </c>
      <c r="R81" s="597"/>
      <c r="S81" s="489" t="e">
        <f t="shared" si="140"/>
        <v>#REF!</v>
      </c>
      <c r="T81" s="489" t="e">
        <f t="shared" si="126"/>
        <v>#REF!</v>
      </c>
      <c r="U81" s="597"/>
      <c r="V81" s="489" t="e">
        <f ca="1">MAX(V$77:V$78)+IF($B$2="mil",1,0.0254)*DDR2Specs!$B$3</f>
        <v>#NAME?</v>
      </c>
      <c r="W81" s="489" t="e">
        <f ca="1">MIN(V$77:V$78)+IF($B$2="mil",1,0.0254)*DDR2Specs!$C$3</f>
        <v>#NAME?</v>
      </c>
      <c r="X81" s="21"/>
      <c r="Y81" s="598" t="e">
        <f t="shared" ca="1" si="141"/>
        <v>#REF!</v>
      </c>
      <c r="Z81" s="495" t="e">
        <f t="shared" ca="1" si="142"/>
        <v>#REF!</v>
      </c>
      <c r="AA81" s="21"/>
      <c r="AB81" s="489" t="e">
        <f ca="1">MAX(AB$77:AB$78)+IF($B$2="mil",1,0.0254)*DDR2Specs!$E$3</f>
        <v>#NAME?</v>
      </c>
      <c r="AC81" s="489" t="e">
        <f ca="1">MIN(AB$77:AB$78)+IF($B$2="mil",1,0.0254)*DDR2Specs!$F$3</f>
        <v>#NAME?</v>
      </c>
      <c r="AD81" s="21"/>
      <c r="AE81" s="598" t="e">
        <f t="shared" ca="1" si="127"/>
        <v>#REF!</v>
      </c>
      <c r="AF81" s="495" t="e">
        <f t="shared" ca="1" si="128"/>
        <v>#REF!</v>
      </c>
      <c r="AG81" s="495" t="e">
        <f t="shared" si="129"/>
        <v>#REF!</v>
      </c>
      <c r="AH81" s="495" t="e">
        <f t="shared" si="130"/>
        <v>#REF!</v>
      </c>
      <c r="AI81" s="495" t="e">
        <f t="shared" si="143"/>
        <v>#REF!</v>
      </c>
      <c r="AJ81" s="495" t="e">
        <f t="shared" ca="1" si="131"/>
        <v>#NAME?</v>
      </c>
      <c r="AK81" s="495" t="e">
        <f t="shared" si="144"/>
        <v>#REF!</v>
      </c>
      <c r="AL81" s="495" t="e">
        <f t="shared" si="145"/>
        <v>#REF!</v>
      </c>
      <c r="AM81" s="495" t="e">
        <f t="shared" ca="1" si="146"/>
        <v>#NAME?</v>
      </c>
      <c r="AN81" s="495" t="e">
        <f t="shared" ca="1" si="132"/>
        <v>#NAME?</v>
      </c>
      <c r="AO81" s="495" t="e">
        <f t="shared" si="133"/>
        <v>#REF!</v>
      </c>
      <c r="AP81" s="495" t="e">
        <f t="shared" si="134"/>
        <v>#REF!</v>
      </c>
      <c r="AQ81" s="495" t="e">
        <f t="shared" si="135"/>
        <v>#REF!</v>
      </c>
      <c r="AR81" s="495" t="e">
        <f t="shared" si="136"/>
        <v>#REF!</v>
      </c>
      <c r="AS81" s="21"/>
      <c r="AT81" s="3" t="e">
        <f t="shared" ca="1" si="137"/>
        <v>#REF!</v>
      </c>
      <c r="AU81" s="3"/>
      <c r="AV81" s="3"/>
      <c r="AW81" s="3"/>
      <c r="AX81" s="3"/>
      <c r="AY81" s="3"/>
      <c r="AZ81" s="3"/>
      <c r="BA81" s="3"/>
      <c r="BB81" s="3"/>
      <c r="BC81" s="3"/>
      <c r="BD81" s="3"/>
      <c r="BE81" s="3"/>
      <c r="BF81" s="3"/>
      <c r="BG81" s="3"/>
      <c r="BH81" s="3"/>
      <c r="BI81" s="3"/>
      <c r="BJ81" s="3"/>
    </row>
    <row r="82" spans="1:62">
      <c r="A82" s="630" t="s">
        <v>177</v>
      </c>
      <c r="B82" s="662" t="s">
        <v>116</v>
      </c>
      <c r="C82" s="658">
        <v>678.50393700787413</v>
      </c>
      <c r="D82" s="18"/>
      <c r="E82" s="277">
        <v>29.7</v>
      </c>
      <c r="F82" s="277">
        <v>0</v>
      </c>
      <c r="G82" s="438">
        <v>1632.4204724409449</v>
      </c>
      <c r="H82" s="305">
        <v>109.9</v>
      </c>
      <c r="I82" s="277">
        <v>0</v>
      </c>
      <c r="J82" s="305">
        <v>90.78</v>
      </c>
      <c r="K82" s="277">
        <v>40</v>
      </c>
      <c r="L82" s="305">
        <v>87.86</v>
      </c>
      <c r="M82" s="305">
        <v>1064.6099999999999</v>
      </c>
      <c r="N82" s="305">
        <v>31.49</v>
      </c>
      <c r="O82" s="69"/>
      <c r="P82" s="489">
        <f t="shared" si="138"/>
        <v>1772.020472440945</v>
      </c>
      <c r="Q82" s="489">
        <f t="shared" si="139"/>
        <v>2976.8604724409442</v>
      </c>
      <c r="R82" s="597"/>
      <c r="S82" s="489" t="e">
        <f t="shared" si="140"/>
        <v>#REF!</v>
      </c>
      <c r="T82" s="489" t="e">
        <f t="shared" si="126"/>
        <v>#REF!</v>
      </c>
      <c r="U82" s="597"/>
      <c r="V82" s="489" t="e">
        <f ca="1">MAX(V$77:V$78)+IF($B$2="mil",1,0.0254)*DDR2Specs!$B$3</f>
        <v>#NAME?</v>
      </c>
      <c r="W82" s="489" t="e">
        <f ca="1">MIN(V$77:V$78)+IF($B$2="mil",1,0.0254)*DDR2Specs!$C$3</f>
        <v>#NAME?</v>
      </c>
      <c r="X82" s="21"/>
      <c r="Y82" s="598" t="e">
        <f t="shared" ca="1" si="141"/>
        <v>#REF!</v>
      </c>
      <c r="Z82" s="495" t="e">
        <f t="shared" ca="1" si="142"/>
        <v>#REF!</v>
      </c>
      <c r="AA82" s="21"/>
      <c r="AB82" s="489" t="e">
        <f ca="1">MAX(AB$77:AB$78)+IF($B$2="mil",1,0.0254)*DDR2Specs!$E$3</f>
        <v>#NAME?</v>
      </c>
      <c r="AC82" s="489" t="e">
        <f ca="1">MIN(AB$77:AB$78)+IF($B$2="mil",1,0.0254)*DDR2Specs!$F$3</f>
        <v>#NAME?</v>
      </c>
      <c r="AD82" s="21"/>
      <c r="AE82" s="598" t="e">
        <f t="shared" ca="1" si="127"/>
        <v>#REF!</v>
      </c>
      <c r="AF82" s="495" t="e">
        <f t="shared" ca="1" si="128"/>
        <v>#REF!</v>
      </c>
      <c r="AG82" s="495" t="e">
        <f t="shared" si="129"/>
        <v>#REF!</v>
      </c>
      <c r="AH82" s="495" t="e">
        <f t="shared" si="130"/>
        <v>#REF!</v>
      </c>
      <c r="AI82" s="495" t="e">
        <f t="shared" si="143"/>
        <v>#REF!</v>
      </c>
      <c r="AJ82" s="495" t="e">
        <f t="shared" ca="1" si="131"/>
        <v>#NAME?</v>
      </c>
      <c r="AK82" s="495" t="e">
        <f t="shared" si="144"/>
        <v>#REF!</v>
      </c>
      <c r="AL82" s="495" t="e">
        <f t="shared" si="145"/>
        <v>#REF!</v>
      </c>
      <c r="AM82" s="495" t="e">
        <f t="shared" ca="1" si="146"/>
        <v>#NAME?</v>
      </c>
      <c r="AN82" s="495" t="e">
        <f t="shared" ca="1" si="132"/>
        <v>#NAME?</v>
      </c>
      <c r="AO82" s="495" t="e">
        <f t="shared" si="133"/>
        <v>#REF!</v>
      </c>
      <c r="AP82" s="495" t="e">
        <f t="shared" si="134"/>
        <v>#REF!</v>
      </c>
      <c r="AQ82" s="495" t="e">
        <f t="shared" si="135"/>
        <v>#REF!</v>
      </c>
      <c r="AR82" s="495" t="e">
        <f t="shared" si="136"/>
        <v>#REF!</v>
      </c>
      <c r="AS82" s="21"/>
      <c r="AT82" s="3" t="e">
        <f t="shared" ca="1" si="137"/>
        <v>#REF!</v>
      </c>
      <c r="AU82" s="3"/>
      <c r="AV82" s="3"/>
      <c r="AW82" s="3"/>
      <c r="AX82" s="3"/>
      <c r="AY82" s="3"/>
      <c r="AZ82" s="3"/>
      <c r="BA82" s="3"/>
      <c r="BB82" s="3"/>
      <c r="BC82" s="3"/>
      <c r="BD82" s="3"/>
      <c r="BE82" s="3"/>
      <c r="BF82" s="3"/>
      <c r="BG82" s="3"/>
      <c r="BH82" s="3"/>
      <c r="BI82" s="3"/>
      <c r="BJ82" s="3"/>
    </row>
    <row r="83" spans="1:62">
      <c r="A83" s="630" t="s">
        <v>178</v>
      </c>
      <c r="B83" s="662" t="s">
        <v>371</v>
      </c>
      <c r="C83" s="658">
        <v>794.01574803149606</v>
      </c>
      <c r="D83" s="18"/>
      <c r="E83" s="277">
        <v>29.7</v>
      </c>
      <c r="F83" s="277">
        <v>0</v>
      </c>
      <c r="G83" s="438">
        <v>1634.8662992125981</v>
      </c>
      <c r="H83" s="305">
        <v>75.84</v>
      </c>
      <c r="I83" s="277">
        <v>0</v>
      </c>
      <c r="J83" s="305">
        <v>57.88</v>
      </c>
      <c r="K83" s="277">
        <v>40</v>
      </c>
      <c r="L83" s="305">
        <v>89.93</v>
      </c>
      <c r="M83" s="305">
        <v>1018.87</v>
      </c>
      <c r="N83" s="305">
        <v>74</v>
      </c>
      <c r="O83" s="69"/>
      <c r="P83" s="489">
        <f t="shared" si="138"/>
        <v>1740.406299212598</v>
      </c>
      <c r="Q83" s="489">
        <f t="shared" si="139"/>
        <v>2945.2462992125984</v>
      </c>
      <c r="R83" s="597"/>
      <c r="S83" s="489" t="e">
        <f t="shared" si="140"/>
        <v>#REF!</v>
      </c>
      <c r="T83" s="489" t="e">
        <f t="shared" si="126"/>
        <v>#REF!</v>
      </c>
      <c r="U83" s="597"/>
      <c r="V83" s="489" t="e">
        <f ca="1">MAX(V$77:V$78)+IF($B$2="mil",1,0.0254)*DDR2Specs!$B$3</f>
        <v>#NAME?</v>
      </c>
      <c r="W83" s="489" t="e">
        <f ca="1">MIN(V$77:V$78)+IF($B$2="mil",1,0.0254)*DDR2Specs!$C$3</f>
        <v>#NAME?</v>
      </c>
      <c r="X83" s="21"/>
      <c r="Y83" s="598" t="e">
        <f t="shared" ca="1" si="141"/>
        <v>#REF!</v>
      </c>
      <c r="Z83" s="495" t="e">
        <f t="shared" ca="1" si="142"/>
        <v>#REF!</v>
      </c>
      <c r="AA83" s="21"/>
      <c r="AB83" s="489" t="e">
        <f ca="1">MAX(AB$77:AB$78)+IF($B$2="mil",1,0.0254)*DDR2Specs!$E$3</f>
        <v>#NAME?</v>
      </c>
      <c r="AC83" s="489" t="e">
        <f ca="1">MIN(AB$77:AB$78)+IF($B$2="mil",1,0.0254)*DDR2Specs!$F$3</f>
        <v>#NAME?</v>
      </c>
      <c r="AD83" s="21"/>
      <c r="AE83" s="598" t="e">
        <f t="shared" ca="1" si="127"/>
        <v>#REF!</v>
      </c>
      <c r="AF83" s="495" t="e">
        <f t="shared" ca="1" si="128"/>
        <v>#REF!</v>
      </c>
      <c r="AG83" s="495" t="e">
        <f t="shared" si="129"/>
        <v>#REF!</v>
      </c>
      <c r="AH83" s="495" t="e">
        <f t="shared" si="130"/>
        <v>#REF!</v>
      </c>
      <c r="AI83" s="495" t="e">
        <f t="shared" si="143"/>
        <v>#REF!</v>
      </c>
      <c r="AJ83" s="495" t="e">
        <f t="shared" ca="1" si="131"/>
        <v>#NAME?</v>
      </c>
      <c r="AK83" s="495" t="e">
        <f t="shared" si="144"/>
        <v>#REF!</v>
      </c>
      <c r="AL83" s="495" t="e">
        <f t="shared" si="145"/>
        <v>#REF!</v>
      </c>
      <c r="AM83" s="495" t="e">
        <f t="shared" ca="1" si="146"/>
        <v>#NAME?</v>
      </c>
      <c r="AN83" s="495" t="e">
        <f t="shared" ca="1" si="132"/>
        <v>#NAME?</v>
      </c>
      <c r="AO83" s="495" t="e">
        <f t="shared" si="133"/>
        <v>#REF!</v>
      </c>
      <c r="AP83" s="495" t="e">
        <f t="shared" si="134"/>
        <v>#REF!</v>
      </c>
      <c r="AQ83" s="495" t="e">
        <f t="shared" si="135"/>
        <v>#REF!</v>
      </c>
      <c r="AR83" s="495" t="e">
        <f t="shared" si="136"/>
        <v>#REF!</v>
      </c>
      <c r="AS83" s="21"/>
      <c r="AT83" s="3" t="e">
        <f t="shared" ca="1" si="137"/>
        <v>#REF!</v>
      </c>
      <c r="AU83" s="3"/>
      <c r="AV83" s="3"/>
      <c r="AW83" s="3"/>
      <c r="AX83" s="3"/>
      <c r="AY83" s="3"/>
      <c r="AZ83" s="3"/>
      <c r="BA83" s="3"/>
      <c r="BB83" s="3"/>
      <c r="BC83" s="3"/>
      <c r="BD83" s="3"/>
      <c r="BE83" s="3"/>
      <c r="BF83" s="3"/>
      <c r="BG83" s="3"/>
      <c r="BH83" s="3"/>
      <c r="BI83" s="3"/>
      <c r="BJ83" s="3"/>
    </row>
    <row r="84" spans="1:62">
      <c r="A84" s="630" t="s">
        <v>179</v>
      </c>
      <c r="B84" s="662" t="s">
        <v>372</v>
      </c>
      <c r="C84" s="658">
        <v>766.88976377952758</v>
      </c>
      <c r="D84" s="18"/>
      <c r="E84" s="277">
        <v>29.7</v>
      </c>
      <c r="F84" s="277">
        <v>0</v>
      </c>
      <c r="G84" s="438">
        <v>1612.4123622047243</v>
      </c>
      <c r="H84" s="305">
        <v>114.79</v>
      </c>
      <c r="I84" s="277">
        <v>0</v>
      </c>
      <c r="J84" s="305">
        <v>105.62</v>
      </c>
      <c r="K84" s="277">
        <v>40</v>
      </c>
      <c r="L84" s="305">
        <v>89.93</v>
      </c>
      <c r="M84" s="305">
        <v>1008.12</v>
      </c>
      <c r="N84" s="305">
        <v>75.959999999999994</v>
      </c>
      <c r="O84" s="69"/>
      <c r="P84" s="489">
        <f t="shared" si="138"/>
        <v>1756.9023622047243</v>
      </c>
      <c r="Q84" s="489">
        <f t="shared" si="139"/>
        <v>2961.7423622047245</v>
      </c>
      <c r="R84" s="597"/>
      <c r="S84" s="489" t="e">
        <f t="shared" si="140"/>
        <v>#REF!</v>
      </c>
      <c r="T84" s="489" t="e">
        <f t="shared" si="126"/>
        <v>#REF!</v>
      </c>
      <c r="U84" s="597"/>
      <c r="V84" s="489" t="e">
        <f ca="1">MAX(V$77:V$78)+IF($B$2="mil",1,0.0254)*DDR2Specs!$B$3</f>
        <v>#NAME?</v>
      </c>
      <c r="W84" s="489" t="e">
        <f ca="1">MIN(V$77:V$78)+IF($B$2="mil",1,0.0254)*DDR2Specs!$C$3</f>
        <v>#NAME?</v>
      </c>
      <c r="X84" s="21"/>
      <c r="Y84" s="598" t="e">
        <f t="shared" ca="1" si="141"/>
        <v>#REF!</v>
      </c>
      <c r="Z84" s="495" t="e">
        <f t="shared" ca="1" si="142"/>
        <v>#REF!</v>
      </c>
      <c r="AA84" s="21"/>
      <c r="AB84" s="489" t="e">
        <f ca="1">MAX(AB$77:AB$78)+IF($B$2="mil",1,0.0254)*DDR2Specs!$E$3</f>
        <v>#NAME?</v>
      </c>
      <c r="AC84" s="489" t="e">
        <f ca="1">MIN(AB$77:AB$78)+IF($B$2="mil",1,0.0254)*DDR2Specs!$F$3</f>
        <v>#NAME?</v>
      </c>
      <c r="AD84" s="21"/>
      <c r="AE84" s="598" t="e">
        <f t="shared" ca="1" si="127"/>
        <v>#REF!</v>
      </c>
      <c r="AF84" s="495" t="e">
        <f t="shared" ca="1" si="128"/>
        <v>#REF!</v>
      </c>
      <c r="AG84" s="495" t="e">
        <f t="shared" si="129"/>
        <v>#REF!</v>
      </c>
      <c r="AH84" s="495" t="e">
        <f t="shared" si="130"/>
        <v>#REF!</v>
      </c>
      <c r="AI84" s="495" t="e">
        <f t="shared" si="143"/>
        <v>#REF!</v>
      </c>
      <c r="AJ84" s="495" t="e">
        <f t="shared" ca="1" si="131"/>
        <v>#NAME?</v>
      </c>
      <c r="AK84" s="495" t="e">
        <f t="shared" si="144"/>
        <v>#REF!</v>
      </c>
      <c r="AL84" s="495" t="e">
        <f t="shared" si="145"/>
        <v>#REF!</v>
      </c>
      <c r="AM84" s="495" t="e">
        <f t="shared" ca="1" si="146"/>
        <v>#NAME?</v>
      </c>
      <c r="AN84" s="495" t="e">
        <f t="shared" ca="1" si="132"/>
        <v>#NAME?</v>
      </c>
      <c r="AO84" s="495" t="e">
        <f t="shared" si="133"/>
        <v>#REF!</v>
      </c>
      <c r="AP84" s="495" t="e">
        <f t="shared" si="134"/>
        <v>#REF!</v>
      </c>
      <c r="AQ84" s="495" t="e">
        <f t="shared" si="135"/>
        <v>#REF!</v>
      </c>
      <c r="AR84" s="495" t="e">
        <f t="shared" si="136"/>
        <v>#REF!</v>
      </c>
      <c r="AS84" s="21"/>
      <c r="AT84" s="3" t="e">
        <f t="shared" ca="1" si="137"/>
        <v>#REF!</v>
      </c>
      <c r="AU84" s="3"/>
      <c r="AV84" s="3"/>
      <c r="AW84" s="3"/>
      <c r="AX84" s="3"/>
      <c r="AY84" s="3"/>
      <c r="AZ84" s="3"/>
      <c r="BA84" s="3"/>
      <c r="BB84" s="3"/>
      <c r="BC84" s="3"/>
      <c r="BD84" s="3"/>
      <c r="BE84" s="3"/>
      <c r="BF84" s="3"/>
      <c r="BG84" s="3"/>
      <c r="BH84" s="3"/>
      <c r="BI84" s="3"/>
      <c r="BJ84" s="3"/>
    </row>
    <row r="85" spans="1:62">
      <c r="A85" s="630" t="s">
        <v>180</v>
      </c>
      <c r="B85" s="662" t="s">
        <v>113</v>
      </c>
      <c r="C85" s="658">
        <v>662.00787401574814</v>
      </c>
      <c r="D85" s="18"/>
      <c r="E85" s="277">
        <v>29.7</v>
      </c>
      <c r="F85" s="277">
        <v>0</v>
      </c>
      <c r="G85" s="438">
        <v>1679.8723622047244</v>
      </c>
      <c r="H85" s="305">
        <v>97.33</v>
      </c>
      <c r="I85" s="277">
        <v>0</v>
      </c>
      <c r="J85" s="305">
        <v>52.5</v>
      </c>
      <c r="K85" s="277">
        <v>40</v>
      </c>
      <c r="L85" s="305">
        <v>115.06</v>
      </c>
      <c r="M85" s="305">
        <v>1018.94</v>
      </c>
      <c r="N85" s="305">
        <v>75.67</v>
      </c>
      <c r="O85" s="69"/>
      <c r="P85" s="489">
        <f t="shared" si="138"/>
        <v>1806.9023622047243</v>
      </c>
      <c r="Q85" s="489">
        <f t="shared" si="139"/>
        <v>3011.7423622047245</v>
      </c>
      <c r="R85" s="597"/>
      <c r="S85" s="489" t="e">
        <f t="shared" si="140"/>
        <v>#REF!</v>
      </c>
      <c r="T85" s="489" t="e">
        <f t="shared" si="126"/>
        <v>#REF!</v>
      </c>
      <c r="U85" s="597"/>
      <c r="V85" s="489" t="e">
        <f ca="1">MAX(V$77:V$78)+IF($B$2="mil",1,0.0254)*DDR2Specs!$B$3</f>
        <v>#NAME?</v>
      </c>
      <c r="W85" s="489" t="e">
        <f ca="1">MIN(V$77:V$78)+IF($B$2="mil",1,0.0254)*DDR2Specs!$C$3</f>
        <v>#NAME?</v>
      </c>
      <c r="X85" s="21"/>
      <c r="Y85" s="598" t="e">
        <f t="shared" ca="1" si="141"/>
        <v>#REF!</v>
      </c>
      <c r="Z85" s="495" t="e">
        <f t="shared" ca="1" si="142"/>
        <v>#REF!</v>
      </c>
      <c r="AA85" s="21"/>
      <c r="AB85" s="489" t="e">
        <f ca="1">MAX(AB$77:AB$78)+IF($B$2="mil",1,0.0254)*DDR2Specs!$E$3</f>
        <v>#NAME?</v>
      </c>
      <c r="AC85" s="489" t="e">
        <f ca="1">MIN(AB$77:AB$78)+IF($B$2="mil",1,0.0254)*DDR2Specs!$F$3</f>
        <v>#NAME?</v>
      </c>
      <c r="AD85" s="21"/>
      <c r="AE85" s="598" t="e">
        <f t="shared" ca="1" si="127"/>
        <v>#REF!</v>
      </c>
      <c r="AF85" s="495" t="e">
        <f t="shared" ca="1" si="128"/>
        <v>#REF!</v>
      </c>
      <c r="AG85" s="495" t="e">
        <f t="shared" si="129"/>
        <v>#REF!</v>
      </c>
      <c r="AH85" s="495" t="e">
        <f t="shared" si="130"/>
        <v>#REF!</v>
      </c>
      <c r="AI85" s="495" t="e">
        <f t="shared" si="143"/>
        <v>#REF!</v>
      </c>
      <c r="AJ85" s="495" t="e">
        <f t="shared" ca="1" si="131"/>
        <v>#NAME?</v>
      </c>
      <c r="AK85" s="495" t="e">
        <f t="shared" si="144"/>
        <v>#REF!</v>
      </c>
      <c r="AL85" s="495" t="e">
        <f t="shared" si="145"/>
        <v>#REF!</v>
      </c>
      <c r="AM85" s="495" t="e">
        <f t="shared" ca="1" si="146"/>
        <v>#NAME?</v>
      </c>
      <c r="AN85" s="495" t="e">
        <f t="shared" ca="1" si="132"/>
        <v>#NAME?</v>
      </c>
      <c r="AO85" s="495" t="e">
        <f t="shared" si="133"/>
        <v>#REF!</v>
      </c>
      <c r="AP85" s="495" t="e">
        <f t="shared" si="134"/>
        <v>#REF!</v>
      </c>
      <c r="AQ85" s="495" t="e">
        <f t="shared" si="135"/>
        <v>#REF!</v>
      </c>
      <c r="AR85" s="495" t="e">
        <f t="shared" si="136"/>
        <v>#REF!</v>
      </c>
      <c r="AS85" s="21"/>
      <c r="AT85" s="3" t="e">
        <f t="shared" ca="1" si="137"/>
        <v>#REF!</v>
      </c>
      <c r="AU85" s="3"/>
      <c r="AV85" s="3"/>
      <c r="AW85" s="3"/>
      <c r="AX85" s="3"/>
      <c r="AY85" s="3"/>
      <c r="AZ85" s="3"/>
      <c r="BA85" s="3"/>
      <c r="BB85" s="3"/>
      <c r="BC85" s="3"/>
      <c r="BD85" s="3"/>
      <c r="BE85" s="3"/>
      <c r="BF85" s="3"/>
      <c r="BG85" s="3"/>
      <c r="BH85" s="3"/>
      <c r="BI85" s="3"/>
      <c r="BJ85" s="3"/>
    </row>
    <row r="86" spans="1:62">
      <c r="A86" s="630" t="s">
        <v>181</v>
      </c>
      <c r="B86" s="662" t="s">
        <v>373</v>
      </c>
      <c r="C86" s="658">
        <v>655.43307086614175</v>
      </c>
      <c r="D86" s="18"/>
      <c r="E86" s="277">
        <v>29.7</v>
      </c>
      <c r="F86" s="277">
        <v>0</v>
      </c>
      <c r="G86" s="438">
        <v>1654.0892913385831</v>
      </c>
      <c r="H86" s="305">
        <v>107.68</v>
      </c>
      <c r="I86" s="277">
        <v>0</v>
      </c>
      <c r="J86" s="305">
        <v>97.86</v>
      </c>
      <c r="K86" s="277">
        <v>40</v>
      </c>
      <c r="L86" s="305">
        <v>87.86</v>
      </c>
      <c r="M86" s="305">
        <v>1011.8</v>
      </c>
      <c r="N86" s="305">
        <v>75</v>
      </c>
      <c r="O86" s="69"/>
      <c r="P86" s="489">
        <f t="shared" si="138"/>
        <v>1791.4692913385832</v>
      </c>
      <c r="Q86" s="489">
        <f t="shared" si="139"/>
        <v>2996.3092913385826</v>
      </c>
      <c r="R86" s="597"/>
      <c r="S86" s="489" t="e">
        <f t="shared" si="140"/>
        <v>#REF!</v>
      </c>
      <c r="T86" s="489" t="e">
        <f t="shared" si="126"/>
        <v>#REF!</v>
      </c>
      <c r="U86" s="597"/>
      <c r="V86" s="489" t="e">
        <f ca="1">MAX(V$77:V$78)+IF($B$2="mil",1,0.0254)*DDR2Specs!$B$3</f>
        <v>#NAME?</v>
      </c>
      <c r="W86" s="489" t="e">
        <f ca="1">MIN(V$77:V$78)+IF($B$2="mil",1,0.0254)*DDR2Specs!$C$3</f>
        <v>#NAME?</v>
      </c>
      <c r="X86" s="21"/>
      <c r="Y86" s="598" t="e">
        <f t="shared" ca="1" si="141"/>
        <v>#REF!</v>
      </c>
      <c r="Z86" s="495" t="e">
        <f t="shared" ca="1" si="142"/>
        <v>#REF!</v>
      </c>
      <c r="AA86" s="21"/>
      <c r="AB86" s="489" t="e">
        <f ca="1">MAX(AB$77:AB$78)+IF($B$2="mil",1,0.0254)*DDR2Specs!$E$3</f>
        <v>#NAME?</v>
      </c>
      <c r="AC86" s="489" t="e">
        <f ca="1">MIN(AB$77:AB$78)+IF($B$2="mil",1,0.0254)*DDR2Specs!$F$3</f>
        <v>#NAME?</v>
      </c>
      <c r="AD86" s="21"/>
      <c r="AE86" s="598" t="e">
        <f t="shared" ca="1" si="127"/>
        <v>#REF!</v>
      </c>
      <c r="AF86" s="495" t="e">
        <f t="shared" ca="1" si="128"/>
        <v>#REF!</v>
      </c>
      <c r="AG86" s="495" t="e">
        <f t="shared" si="129"/>
        <v>#REF!</v>
      </c>
      <c r="AH86" s="495" t="e">
        <f t="shared" si="130"/>
        <v>#REF!</v>
      </c>
      <c r="AI86" s="495" t="e">
        <f t="shared" si="143"/>
        <v>#REF!</v>
      </c>
      <c r="AJ86" s="495" t="e">
        <f t="shared" ca="1" si="131"/>
        <v>#NAME?</v>
      </c>
      <c r="AK86" s="495" t="e">
        <f t="shared" si="144"/>
        <v>#REF!</v>
      </c>
      <c r="AL86" s="495" t="e">
        <f t="shared" si="145"/>
        <v>#REF!</v>
      </c>
      <c r="AM86" s="495" t="e">
        <f t="shared" ca="1" si="146"/>
        <v>#NAME?</v>
      </c>
      <c r="AN86" s="495" t="e">
        <f t="shared" ca="1" si="132"/>
        <v>#NAME?</v>
      </c>
      <c r="AO86" s="495" t="e">
        <f t="shared" si="133"/>
        <v>#REF!</v>
      </c>
      <c r="AP86" s="495" t="e">
        <f t="shared" si="134"/>
        <v>#REF!</v>
      </c>
      <c r="AQ86" s="495" t="e">
        <f t="shared" si="135"/>
        <v>#REF!</v>
      </c>
      <c r="AR86" s="495" t="e">
        <f t="shared" si="136"/>
        <v>#REF!</v>
      </c>
      <c r="AS86" s="21"/>
      <c r="AT86" s="3" t="e">
        <f t="shared" ca="1" si="137"/>
        <v>#REF!</v>
      </c>
      <c r="AU86" s="3"/>
      <c r="AV86" s="3"/>
      <c r="AW86" s="3"/>
      <c r="AX86" s="3"/>
      <c r="AY86" s="3"/>
      <c r="AZ86" s="3"/>
      <c r="BA86" s="3"/>
      <c r="BB86" s="3"/>
      <c r="BC86" s="3"/>
      <c r="BD86" s="3"/>
      <c r="BE86" s="3"/>
      <c r="BF86" s="3"/>
      <c r="BG86" s="3"/>
      <c r="BH86" s="3"/>
      <c r="BI86" s="3"/>
      <c r="BJ86" s="3"/>
    </row>
    <row r="87" spans="1:62">
      <c r="A87" s="661" t="s">
        <v>182</v>
      </c>
      <c r="B87" s="662" t="s">
        <v>346</v>
      </c>
      <c r="C87" s="658">
        <v>709.09448818897636</v>
      </c>
      <c r="D87" s="18"/>
      <c r="E87" s="277">
        <v>29.7</v>
      </c>
      <c r="F87" s="277">
        <v>0</v>
      </c>
      <c r="G87" s="438">
        <v>1622.17</v>
      </c>
      <c r="H87" s="305">
        <v>132.72999999999999</v>
      </c>
      <c r="I87" s="277">
        <v>0</v>
      </c>
      <c r="J87" s="305">
        <v>104.64</v>
      </c>
      <c r="K87" s="277">
        <v>40</v>
      </c>
      <c r="L87" s="305">
        <v>46.64</v>
      </c>
      <c r="M87" s="305">
        <v>1114.8</v>
      </c>
      <c r="N87" s="305">
        <v>31.49</v>
      </c>
      <c r="O87" s="69"/>
      <c r="P87" s="489">
        <f t="shared" si="138"/>
        <v>1784.6000000000001</v>
      </c>
      <c r="Q87" s="489">
        <f t="shared" si="139"/>
        <v>2989.44</v>
      </c>
      <c r="R87" s="597"/>
      <c r="S87" s="489" t="e">
        <f t="shared" si="140"/>
        <v>#REF!</v>
      </c>
      <c r="T87" s="489" t="e">
        <f t="shared" si="126"/>
        <v>#REF!</v>
      </c>
      <c r="U87" s="597"/>
      <c r="V87" s="489" t="e">
        <f ca="1">MAX(V$77:V$78)+IF($B$2="mil",1,0.0254)*DDR2Specs!$B$3</f>
        <v>#NAME?</v>
      </c>
      <c r="W87" s="489" t="e">
        <f ca="1">MIN(V$77:V$78)+IF($B$2="mil",1,0.0254)*DDR2Specs!$C$3</f>
        <v>#NAME?</v>
      </c>
      <c r="X87" s="21"/>
      <c r="Y87" s="598" t="e">
        <f t="shared" ca="1" si="141"/>
        <v>#REF!</v>
      </c>
      <c r="Z87" s="495" t="e">
        <f t="shared" ca="1" si="142"/>
        <v>#REF!</v>
      </c>
      <c r="AA87" s="21"/>
      <c r="AB87" s="489" t="e">
        <f ca="1">MAX(AB$77:AB$78)+IF($B$2="mil",1,0.0254)*DDR2Specs!$E$3</f>
        <v>#NAME?</v>
      </c>
      <c r="AC87" s="489" t="e">
        <f ca="1">MIN(AB$77:AB$78)+IF($B$2="mil",1,0.0254)*DDR2Specs!$F$3</f>
        <v>#NAME?</v>
      </c>
      <c r="AD87" s="21"/>
      <c r="AE87" s="598" t="e">
        <f t="shared" ca="1" si="127"/>
        <v>#REF!</v>
      </c>
      <c r="AF87" s="495" t="e">
        <f t="shared" ca="1" si="128"/>
        <v>#REF!</v>
      </c>
      <c r="AG87" s="495" t="e">
        <f t="shared" si="129"/>
        <v>#REF!</v>
      </c>
      <c r="AH87" s="495" t="e">
        <f t="shared" si="130"/>
        <v>#REF!</v>
      </c>
      <c r="AI87" s="495" t="e">
        <f t="shared" si="143"/>
        <v>#REF!</v>
      </c>
      <c r="AJ87" s="495" t="e">
        <f t="shared" ca="1" si="131"/>
        <v>#NAME?</v>
      </c>
      <c r="AK87" s="495" t="e">
        <f t="shared" si="144"/>
        <v>#REF!</v>
      </c>
      <c r="AL87" s="495" t="e">
        <f t="shared" si="145"/>
        <v>#REF!</v>
      </c>
      <c r="AM87" s="495" t="e">
        <f t="shared" ca="1" si="146"/>
        <v>#NAME?</v>
      </c>
      <c r="AN87" s="495" t="e">
        <f t="shared" ca="1" si="132"/>
        <v>#NAME?</v>
      </c>
      <c r="AO87" s="495" t="e">
        <f t="shared" si="133"/>
        <v>#REF!</v>
      </c>
      <c r="AP87" s="495" t="e">
        <f t="shared" si="134"/>
        <v>#REF!</v>
      </c>
      <c r="AQ87" s="495" t="e">
        <f t="shared" si="135"/>
        <v>#REF!</v>
      </c>
      <c r="AR87" s="495" t="e">
        <f t="shared" si="136"/>
        <v>#REF!</v>
      </c>
      <c r="AS87" s="21"/>
      <c r="AT87" s="3" t="e">
        <f t="shared" ca="1" si="137"/>
        <v>#REF!</v>
      </c>
      <c r="AU87" s="3"/>
      <c r="AV87" s="3"/>
      <c r="AW87" s="3"/>
      <c r="AX87" s="3"/>
      <c r="AY87" s="3"/>
      <c r="AZ87" s="3"/>
      <c r="BA87" s="3"/>
      <c r="BB87" s="3"/>
      <c r="BC87" s="3"/>
      <c r="BD87" s="3"/>
      <c r="BE87" s="3"/>
      <c r="BF87" s="3"/>
      <c r="BG87" s="3"/>
      <c r="BH87" s="3"/>
      <c r="BI87" s="3"/>
      <c r="BJ87" s="3"/>
    </row>
    <row r="88" spans="1:62">
      <c r="A88" s="8" t="s">
        <v>204</v>
      </c>
      <c r="B88" s="663"/>
      <c r="C88" s="659"/>
      <c r="D88" s="62"/>
      <c r="E88" s="82"/>
      <c r="F88" s="82"/>
      <c r="G88" s="439"/>
      <c r="H88" s="295"/>
      <c r="I88" s="295"/>
      <c r="J88" s="295"/>
      <c r="K88" s="295"/>
      <c r="L88" s="295"/>
      <c r="M88" s="295"/>
      <c r="N88" s="295"/>
      <c r="O88" s="10"/>
      <c r="P88" s="82"/>
      <c r="Q88" s="82"/>
      <c r="R88" s="82"/>
      <c r="S88" s="605"/>
      <c r="T88" s="605"/>
      <c r="U88" s="605"/>
      <c r="V88" s="605"/>
      <c r="W88" s="606"/>
      <c r="X88" s="606"/>
      <c r="Y88" s="607"/>
      <c r="Z88" s="17"/>
      <c r="AA88" s="606"/>
      <c r="AB88" s="605"/>
      <c r="AC88" s="606"/>
      <c r="AD88" s="606"/>
      <c r="AE88" s="607"/>
      <c r="AF88" s="17"/>
      <c r="AG88" s="17"/>
      <c r="AH88" s="17"/>
      <c r="AI88" s="16"/>
      <c r="AJ88" s="16"/>
      <c r="AK88" s="16"/>
      <c r="AL88" s="16"/>
      <c r="AM88" s="16"/>
      <c r="AN88" s="16"/>
      <c r="AO88" s="16"/>
      <c r="AP88" s="16"/>
      <c r="AQ88" s="16"/>
      <c r="AR88" s="16"/>
      <c r="AS88" s="83"/>
      <c r="AT88" s="3"/>
      <c r="AU88" s="3"/>
      <c r="AV88" s="3"/>
      <c r="AW88" s="3"/>
      <c r="AX88" s="3"/>
      <c r="AY88" s="3"/>
      <c r="AZ88" s="3"/>
      <c r="BA88" s="3"/>
      <c r="BB88" s="3"/>
      <c r="BC88" s="3"/>
      <c r="BD88" s="3"/>
      <c r="BE88" s="3"/>
      <c r="BF88" s="3"/>
      <c r="BG88" s="3"/>
      <c r="BH88" s="3"/>
      <c r="BI88" s="3"/>
      <c r="BJ88" s="3"/>
    </row>
    <row r="89" spans="1:62">
      <c r="A89" s="52" t="str">
        <f>'DDR2 Strobes - 1x16'!$A$30</f>
        <v>SA_DQS7</v>
      </c>
      <c r="B89" s="674" t="str">
        <f>'DDR2 Strobes - 1x16'!$B$30</f>
        <v>AA12</v>
      </c>
      <c r="C89" s="660"/>
      <c r="D89" s="53"/>
      <c r="E89" s="81"/>
      <c r="F89" s="81"/>
      <c r="G89" s="440"/>
      <c r="H89" s="296"/>
      <c r="I89" s="296"/>
      <c r="J89" s="296"/>
      <c r="K89" s="296"/>
      <c r="L89" s="296"/>
      <c r="M89" s="296"/>
      <c r="N89" s="296"/>
      <c r="O89" s="81"/>
      <c r="P89" s="81"/>
      <c r="Q89" s="81"/>
      <c r="R89" s="81"/>
      <c r="S89" s="58"/>
      <c r="T89" s="58"/>
      <c r="U89" s="58"/>
      <c r="V89" s="58" t="e">
        <f ca="1">GetSODIMMStrbLen($A89)</f>
        <v>#NAME?</v>
      </c>
      <c r="W89" s="58"/>
      <c r="X89" s="58"/>
      <c r="Y89" s="58"/>
      <c r="Z89" s="608"/>
      <c r="AA89" s="617" t="e">
        <f>"Strobe Pair to " &amp;#REF!</f>
        <v>#REF!</v>
      </c>
      <c r="AB89" s="58" t="e">
        <f ca="1">GetStrbLen(#REF!, "P")</f>
        <v>#NAME?</v>
      </c>
      <c r="AC89" s="58"/>
      <c r="AD89" s="58"/>
      <c r="AE89" s="58"/>
      <c r="AF89" s="608"/>
      <c r="AG89" s="608"/>
      <c r="AH89" s="608"/>
      <c r="AI89" s="608"/>
      <c r="AJ89" s="608"/>
      <c r="AK89" s="608"/>
      <c r="AL89" s="608"/>
      <c r="AM89" s="608"/>
      <c r="AN89" s="608"/>
      <c r="AO89" s="608"/>
      <c r="AP89" s="608"/>
      <c r="AQ89" s="608"/>
      <c r="AR89" s="608"/>
      <c r="AS89" s="58"/>
      <c r="AT89" s="3"/>
      <c r="AU89" s="3"/>
      <c r="AV89" s="3"/>
      <c r="AW89" s="3"/>
      <c r="AX89" s="3"/>
      <c r="AY89" s="3"/>
      <c r="AZ89" s="3"/>
      <c r="BA89" s="3"/>
      <c r="BB89" s="3"/>
      <c r="BC89" s="3"/>
      <c r="BD89" s="3"/>
      <c r="BE89" s="3"/>
      <c r="BF89" s="3"/>
      <c r="BG89" s="3"/>
      <c r="BH89" s="3"/>
      <c r="BI89" s="3"/>
      <c r="BJ89" s="3"/>
    </row>
    <row r="90" spans="1:62">
      <c r="A90" s="52" t="str">
        <f>'DDR2 Strobes - 1x16'!$A$31</f>
        <v>SA_DQS7#</v>
      </c>
      <c r="B90" s="608" t="str">
        <f>'DDR2 Strobes - 1x16'!$B$31</f>
        <v>AB12</v>
      </c>
      <c r="C90" s="660"/>
      <c r="D90" s="53"/>
      <c r="E90" s="81"/>
      <c r="F90" s="81"/>
      <c r="G90" s="440"/>
      <c r="H90" s="296"/>
      <c r="I90" s="296"/>
      <c r="J90" s="296"/>
      <c r="K90" s="296"/>
      <c r="L90" s="296"/>
      <c r="M90" s="296"/>
      <c r="N90" s="296"/>
      <c r="O90" s="81"/>
      <c r="P90" s="81"/>
      <c r="Q90" s="602"/>
      <c r="R90" s="602"/>
      <c r="S90" s="603"/>
      <c r="T90" s="603"/>
      <c r="U90" s="58"/>
      <c r="V90" s="58" t="e">
        <f ca="1">GetSODIMMStrbLen($A90)</f>
        <v>#NAME?</v>
      </c>
      <c r="W90" s="58"/>
      <c r="X90" s="58"/>
      <c r="Y90" s="58"/>
      <c r="Z90" s="608"/>
      <c r="AA90" s="618" t="e">
        <f>"Strobe Pair to " &amp;#REF!</f>
        <v>#REF!</v>
      </c>
      <c r="AB90" s="58" t="e">
        <f ca="1">GetStrbLen(#REF!, "N")</f>
        <v>#NAME?</v>
      </c>
      <c r="AC90" s="58"/>
      <c r="AD90" s="58"/>
      <c r="AE90" s="58"/>
      <c r="AF90" s="608"/>
      <c r="AG90" s="608"/>
      <c r="AH90" s="608"/>
      <c r="AI90" s="609"/>
      <c r="AJ90" s="609"/>
      <c r="AK90" s="609"/>
      <c r="AL90" s="609"/>
      <c r="AM90" s="609"/>
      <c r="AN90" s="609"/>
      <c r="AO90" s="609"/>
      <c r="AP90" s="609"/>
      <c r="AQ90" s="609"/>
      <c r="AR90" s="609"/>
      <c r="AS90" s="58"/>
      <c r="AT90" s="3"/>
      <c r="AU90" s="3"/>
      <c r="AV90" s="3"/>
      <c r="AW90" s="3"/>
      <c r="AX90" s="3"/>
      <c r="AY90" s="3"/>
      <c r="AZ90" s="3"/>
      <c r="BA90" s="3"/>
      <c r="BB90" s="3"/>
      <c r="BC90" s="3"/>
      <c r="BD90" s="3"/>
      <c r="BE90" s="3"/>
      <c r="BF90" s="3"/>
      <c r="BG90" s="3"/>
      <c r="BH90" s="3"/>
      <c r="BI90" s="3"/>
      <c r="BJ90" s="3"/>
    </row>
    <row r="91" spans="1:62">
      <c r="A91" s="630" t="s">
        <v>183</v>
      </c>
      <c r="B91" s="662" t="s">
        <v>104</v>
      </c>
      <c r="C91" s="658">
        <v>818.89763779527561</v>
      </c>
      <c r="D91" s="18"/>
      <c r="E91" s="277">
        <v>29.7</v>
      </c>
      <c r="F91" s="277">
        <v>0</v>
      </c>
      <c r="G91" s="438">
        <v>1679.2</v>
      </c>
      <c r="H91" s="305">
        <v>85.84</v>
      </c>
      <c r="I91" s="277">
        <v>0</v>
      </c>
      <c r="J91" s="305">
        <v>55.78</v>
      </c>
      <c r="K91" s="277">
        <v>40</v>
      </c>
      <c r="L91" s="305">
        <v>108.5</v>
      </c>
      <c r="M91" s="305">
        <v>979.23999999999933</v>
      </c>
      <c r="N91" s="305">
        <v>75.73</v>
      </c>
      <c r="O91" s="69"/>
      <c r="P91" s="489">
        <f t="shared" ref="P91:P99" si="147" xml:space="preserve"> E91+F91+G91+H91</f>
        <v>1794.74</v>
      </c>
      <c r="Q91" s="489">
        <f t="shared" ref="Q91:Q99" si="148">SUM(E91:G91,I91:N91)</f>
        <v>2968.1499999999992</v>
      </c>
      <c r="R91" s="597"/>
      <c r="S91" s="489" t="e">
        <f>P91+IF($B$2="mil",1,0.0254)*C91</f>
        <v>#REF!</v>
      </c>
      <c r="T91" s="489" t="e">
        <f t="shared" ref="T91:T99" si="149">Q91+IF($B$2="mil",1,0.0254)*$C91</f>
        <v>#REF!</v>
      </c>
      <c r="U91" s="597"/>
      <c r="V91" s="489" t="e">
        <f ca="1">MAX(V$89:V$90)+IF($B$2="mil",1,0.0254)*DDR2Specs!$B$3</f>
        <v>#NAME?</v>
      </c>
      <c r="W91" s="489" t="e">
        <f ca="1">MIN(V$89:V$90)+IF($B$2="mil",1,0.0254)*DDR2Specs!$C$3</f>
        <v>#NAME?</v>
      </c>
      <c r="X91" s="21"/>
      <c r="Y91" s="598" t="e">
        <f ca="1">IF($S91&lt;$V91,$V91-$S91,"Pass")</f>
        <v>#REF!</v>
      </c>
      <c r="Z91" s="495" t="e">
        <f ca="1">IF($S91&gt;$W91,$S91-$W91,"Pass")</f>
        <v>#REF!</v>
      </c>
      <c r="AA91" s="21"/>
      <c r="AB91" s="489" t="e">
        <f ca="1">MAX(AB$89:AB$90)+IF($B$2="mil",1,0.0254)*DDR2Specs!$E$3</f>
        <v>#NAME?</v>
      </c>
      <c r="AC91" s="489" t="e">
        <f ca="1">MIN(AB$89:AB$90)+IF($B$2="mil",1,0.0254)*DDR2Specs!$F$3</f>
        <v>#NAME?</v>
      </c>
      <c r="AD91" s="21"/>
      <c r="AE91" s="598" t="e">
        <f t="shared" ref="AE91:AE99" ca="1" si="150">IF($T91&lt;$AB91,$AB91-$T91,"Pass")</f>
        <v>#REF!</v>
      </c>
      <c r="AF91" s="495" t="e">
        <f t="shared" ref="AF91:AF99" ca="1" si="151">IF($T91&gt;$AC91,$T91-$AC91,"Pass")</f>
        <v>#REF!</v>
      </c>
      <c r="AG91" s="495" t="e">
        <f t="shared" ref="AG91:AG99" si="152">IF($E91&lt;=IF($B$2="mil",1,0.0254)*50,"Pass",IF($B$2="mil",1,0.0254)*50-$E91)</f>
        <v>#REF!</v>
      </c>
      <c r="AH91" s="495" t="e">
        <f t="shared" ref="AH91:AH99" si="153">IF($F91&lt;=IF($B$2="mil",1,0.0254)*500,"Pass",IF($B$2="mil",1,0.0254)*500-$F91)</f>
        <v>#REF!</v>
      </c>
      <c r="AI91" s="495" t="e">
        <f>IF($H91&lt;=IF($B$2="mil",1,0.0254)*250,"Pass",IF($B$2="mil",1,0.0254)*250-$H91)</f>
        <v>#REF!</v>
      </c>
      <c r="AJ91" s="495" t="e">
        <f t="shared" ref="AJ91:AJ99" ca="1" si="154">CheckLength(IF($B$2="mil",1,0.0254)*1000, IF($B$2="mil",1,0.0254)*125-J91, 0, I91,J91,0)</f>
        <v>#NAME?</v>
      </c>
      <c r="AK91" s="495" t="e">
        <f>IF($J91&lt;=IF($B$2="mil",1,0.0254)*125,"Pass",IF($B$2="mil",1,0.0254)*125-$J91)</f>
        <v>#REF!</v>
      </c>
      <c r="AL91" s="495" t="e">
        <f>IF($L91&lt;=IF($B$2="mil",1,0.0254)*125,"Pass",IF($B$2="mil",1,0.0254)*125-$L91)</f>
        <v>#REF!</v>
      </c>
      <c r="AM91" s="495" t="e">
        <f ca="1">CheckLength(IF($B$2="mil",1,0.0254)*1250, IF($B$2="mil",1,0.0254)*125-L91, IF($B$2="mil",1,0.0254)*150-N91, M91,L91,N91)</f>
        <v>#NAME?</v>
      </c>
      <c r="AN91" s="495" t="e">
        <f t="shared" ref="AN91:AN99" ca="1" si="155">CheckLength2(IF($B$2="mil",1,0.0254)*1400,M91,N91,0)</f>
        <v>#NAME?</v>
      </c>
      <c r="AO91" s="495" t="e">
        <f t="shared" ref="AO91:AO99" si="156">IF(AND($P91&gt;=IF($B$2="mil",1,0.0254)*500, $P91&lt;=IF($B$2="mil",1,0.0254)*4000),"Pass",IF($B$2="mil",1,0.0254)*4000-$P91)</f>
        <v>#REF!</v>
      </c>
      <c r="AP91" s="495" t="e">
        <f t="shared" ref="AP91:AP99" si="157">IF(AND($S91&gt;=IF($B$2="mil",1,0.0254)*500, $S91&lt;=IF($B$2="mil",1,0.0254)*4500),"Pass",IF($B$2="mil",1,0.0254)*4500-$S91)</f>
        <v>#REF!</v>
      </c>
      <c r="AQ91" s="495" t="e">
        <f t="shared" ref="AQ91:AQ99" si="158">IF(AND($Q91&gt;=IF($B$2="mil",1,0.0254)*500, $Q91&lt;=IF($B$2="mil",1,0.0254)*5500),"Pass",IF($B$2="mil",1,0.0254)*5500-$Q91)</f>
        <v>#REF!</v>
      </c>
      <c r="AR91" s="495" t="e">
        <f t="shared" ref="AR91:AR99" si="159">IF(AND($T91&gt;=IF($B$2="mil",1,0.0254)*500, $T91&lt;=IF($B$2="mil",1,0.0254)*6000),"Pass",IF($B$2="mil",1,0.0254)*6000-$T91)</f>
        <v>#REF!</v>
      </c>
      <c r="AS91" s="21"/>
      <c r="AT91" s="3" t="e">
        <f t="shared" ref="AT91:AT99" ca="1" si="160">IF(AND(AG91="Pass",AP91="Pass",AI91="Pass",AH91="Pass",AO91="Pass",Y91="Pass",Z91="Pass",AN91="Pass",AM91="Pass",AL91="Pass",AK91="Pass",AJ91="Pass",AE91="Pass",AF91="Pass",AQ91="Pass",AR91="Pass"),"Pass","Fail")</f>
        <v>#REF!</v>
      </c>
      <c r="AU91" s="3" t="e">
        <f ca="1">IF(AND(AT91="Pass",AT92="Pass",AT93="Pass",AT94="Pass",AT95="Pass",AT96="Pass",AT97="Pass",AT98="Pass",AT99="Pass"),"Pass","Fail")</f>
        <v>#REF!</v>
      </c>
      <c r="AV91" s="3"/>
      <c r="AW91" s="3"/>
      <c r="AX91" s="3"/>
      <c r="AY91" s="3"/>
      <c r="AZ91" s="3"/>
      <c r="BA91" s="3"/>
      <c r="BB91" s="3"/>
      <c r="BC91" s="3"/>
      <c r="BD91" s="3"/>
      <c r="BE91" s="3"/>
      <c r="BF91" s="3"/>
      <c r="BG91" s="3"/>
      <c r="BH91" s="3"/>
      <c r="BI91" s="3"/>
      <c r="BJ91" s="3"/>
    </row>
    <row r="92" spans="1:62">
      <c r="A92" s="630" t="s">
        <v>184</v>
      </c>
      <c r="B92" s="662" t="s">
        <v>114</v>
      </c>
      <c r="C92" s="658">
        <v>680.03937007874015</v>
      </c>
      <c r="D92" s="18"/>
      <c r="E92" s="277">
        <v>29.7</v>
      </c>
      <c r="F92" s="277">
        <v>0</v>
      </c>
      <c r="G92" s="438">
        <v>1646.1322047244089</v>
      </c>
      <c r="H92" s="305">
        <v>111.27</v>
      </c>
      <c r="I92" s="277">
        <v>0</v>
      </c>
      <c r="J92" s="305">
        <v>90.78</v>
      </c>
      <c r="K92" s="277">
        <v>40</v>
      </c>
      <c r="L92" s="305">
        <v>86.78</v>
      </c>
      <c r="M92" s="305">
        <v>991.06</v>
      </c>
      <c r="N92" s="305">
        <v>76.06</v>
      </c>
      <c r="O92" s="69"/>
      <c r="P92" s="489">
        <f t="shared" si="147"/>
        <v>1787.1022047244089</v>
      </c>
      <c r="Q92" s="489">
        <f t="shared" si="148"/>
        <v>2960.512204724409</v>
      </c>
      <c r="R92" s="597"/>
      <c r="S92" s="489" t="e">
        <f t="shared" ref="S92:S99" si="161">P92+IF($B$2="mil",1,0.0254)*C92</f>
        <v>#REF!</v>
      </c>
      <c r="T92" s="489" t="e">
        <f t="shared" si="149"/>
        <v>#REF!</v>
      </c>
      <c r="U92" s="597"/>
      <c r="V92" s="489" t="e">
        <f ca="1">MAX(V$89:V$90)+IF($B$2="mil",1,0.0254)*DDR2Specs!$B$3</f>
        <v>#NAME?</v>
      </c>
      <c r="W92" s="489" t="e">
        <f ca="1">MIN(V$89:V$90)+IF($B$2="mil",1,0.0254)*DDR2Specs!$C$3</f>
        <v>#NAME?</v>
      </c>
      <c r="X92" s="21"/>
      <c r="Y92" s="598" t="e">
        <f t="shared" ref="Y92:Y99" ca="1" si="162">IF($S92&lt;$V92,$V92-$S92,"Pass")</f>
        <v>#REF!</v>
      </c>
      <c r="Z92" s="495" t="e">
        <f t="shared" ref="Z92:Z99" ca="1" si="163">IF($S92&gt;$W92,$S92-$W92,"Pass")</f>
        <v>#REF!</v>
      </c>
      <c r="AA92" s="21"/>
      <c r="AB92" s="489" t="e">
        <f ca="1">MAX(AB$89:AB$90)+IF($B$2="mil",1,0.0254)*DDR2Specs!$E$3</f>
        <v>#NAME?</v>
      </c>
      <c r="AC92" s="489" t="e">
        <f ca="1">MIN(AB$89:AB$90)+IF($B$2="mil",1,0.0254)*DDR2Specs!$F$3</f>
        <v>#NAME?</v>
      </c>
      <c r="AD92" s="21"/>
      <c r="AE92" s="598" t="e">
        <f t="shared" ca="1" si="150"/>
        <v>#REF!</v>
      </c>
      <c r="AF92" s="495" t="e">
        <f t="shared" ca="1" si="151"/>
        <v>#REF!</v>
      </c>
      <c r="AG92" s="495" t="e">
        <f t="shared" si="152"/>
        <v>#REF!</v>
      </c>
      <c r="AH92" s="495" t="e">
        <f t="shared" si="153"/>
        <v>#REF!</v>
      </c>
      <c r="AI92" s="495" t="e">
        <f t="shared" ref="AI92:AI99" si="164">IF($H92&lt;=IF($B$2="mil",1,0.0254)*250,"Pass",IF($B$2="mil",1,0.0254)*250-$H92)</f>
        <v>#REF!</v>
      </c>
      <c r="AJ92" s="495" t="e">
        <f t="shared" ca="1" si="154"/>
        <v>#NAME?</v>
      </c>
      <c r="AK92" s="495" t="e">
        <f t="shared" ref="AK92:AK99" si="165">IF($J92&lt;=IF($B$2="mil",1,0.0254)*125,"Pass",IF($B$2="mil",1,0.0254)*125-$J92)</f>
        <v>#REF!</v>
      </c>
      <c r="AL92" s="495" t="e">
        <f t="shared" ref="AL92:AL99" si="166">IF($L92&lt;=IF($B$2="mil",1,0.0254)*125,"Pass",IF($B$2="mil",1,0.0254)*125-$L92)</f>
        <v>#REF!</v>
      </c>
      <c r="AM92" s="495" t="e">
        <f t="shared" ref="AM92:AM99" ca="1" si="167">CheckLength(IF($B$2="mil",1,0.0254)*1250, IF($B$2="mil",1,0.0254)*125-L92, IF($B$2="mil",1,0.0254)*150-N92, M92,L92,N92)</f>
        <v>#NAME?</v>
      </c>
      <c r="AN92" s="495" t="e">
        <f t="shared" ca="1" si="155"/>
        <v>#NAME?</v>
      </c>
      <c r="AO92" s="495" t="e">
        <f t="shared" si="156"/>
        <v>#REF!</v>
      </c>
      <c r="AP92" s="495" t="e">
        <f t="shared" si="157"/>
        <v>#REF!</v>
      </c>
      <c r="AQ92" s="495" t="e">
        <f t="shared" si="158"/>
        <v>#REF!</v>
      </c>
      <c r="AR92" s="495" t="e">
        <f t="shared" si="159"/>
        <v>#REF!</v>
      </c>
      <c r="AS92" s="21"/>
      <c r="AT92" s="3" t="e">
        <f t="shared" ca="1" si="160"/>
        <v>#REF!</v>
      </c>
      <c r="AU92" s="3"/>
      <c r="AV92" s="3"/>
      <c r="AW92" s="3"/>
      <c r="AX92" s="3"/>
      <c r="AY92" s="3"/>
      <c r="AZ92" s="3"/>
      <c r="BA92" s="3"/>
      <c r="BB92" s="3"/>
      <c r="BC92" s="3"/>
      <c r="BD92" s="3"/>
      <c r="BE92" s="3"/>
      <c r="BF92" s="3"/>
      <c r="BG92" s="3"/>
      <c r="BH92" s="3"/>
      <c r="BI92" s="3"/>
      <c r="BJ92" s="3"/>
    </row>
    <row r="93" spans="1:62">
      <c r="A93" s="630" t="s">
        <v>185</v>
      </c>
      <c r="B93" s="662" t="s">
        <v>374</v>
      </c>
      <c r="C93" s="658">
        <v>657.40157480314963</v>
      </c>
      <c r="D93" s="18"/>
      <c r="E93" s="277">
        <v>29.7</v>
      </c>
      <c r="F93" s="277">
        <v>0</v>
      </c>
      <c r="G93" s="438">
        <v>1798.6376377952756</v>
      </c>
      <c r="H93" s="305">
        <v>70.3</v>
      </c>
      <c r="I93" s="277">
        <v>0</v>
      </c>
      <c r="J93" s="305">
        <v>55.78</v>
      </c>
      <c r="K93" s="277">
        <v>40</v>
      </c>
      <c r="L93" s="305">
        <v>96.78</v>
      </c>
      <c r="M93" s="305">
        <v>1019.65</v>
      </c>
      <c r="N93" s="305">
        <v>31.5</v>
      </c>
      <c r="O93" s="69"/>
      <c r="P93" s="489">
        <f t="shared" si="147"/>
        <v>1898.6376377952756</v>
      </c>
      <c r="Q93" s="489">
        <f t="shared" si="148"/>
        <v>3072.0476377952755</v>
      </c>
      <c r="R93" s="597"/>
      <c r="S93" s="489" t="e">
        <f t="shared" si="161"/>
        <v>#REF!</v>
      </c>
      <c r="T93" s="489" t="e">
        <f t="shared" si="149"/>
        <v>#REF!</v>
      </c>
      <c r="U93" s="597"/>
      <c r="V93" s="489" t="e">
        <f ca="1">MAX(V$89:V$90)+IF($B$2="mil",1,0.0254)*DDR2Specs!$B$3</f>
        <v>#NAME?</v>
      </c>
      <c r="W93" s="489" t="e">
        <f ca="1">MIN(V$89:V$90)+IF($B$2="mil",1,0.0254)*DDR2Specs!$C$3</f>
        <v>#NAME?</v>
      </c>
      <c r="X93" s="21"/>
      <c r="Y93" s="598" t="e">
        <f t="shared" ca="1" si="162"/>
        <v>#REF!</v>
      </c>
      <c r="Z93" s="495" t="e">
        <f t="shared" ca="1" si="163"/>
        <v>#REF!</v>
      </c>
      <c r="AA93" s="21"/>
      <c r="AB93" s="489" t="e">
        <f ca="1">MAX(AB$89:AB$90)+IF($B$2="mil",1,0.0254)*DDR2Specs!$E$3</f>
        <v>#NAME?</v>
      </c>
      <c r="AC93" s="489" t="e">
        <f ca="1">MIN(AB$89:AB$90)+IF($B$2="mil",1,0.0254)*DDR2Specs!$F$3</f>
        <v>#NAME?</v>
      </c>
      <c r="AD93" s="21"/>
      <c r="AE93" s="598" t="e">
        <f t="shared" ca="1" si="150"/>
        <v>#REF!</v>
      </c>
      <c r="AF93" s="495" t="e">
        <f t="shared" ca="1" si="151"/>
        <v>#REF!</v>
      </c>
      <c r="AG93" s="495" t="e">
        <f t="shared" si="152"/>
        <v>#REF!</v>
      </c>
      <c r="AH93" s="495" t="e">
        <f t="shared" si="153"/>
        <v>#REF!</v>
      </c>
      <c r="AI93" s="495" t="e">
        <f t="shared" si="164"/>
        <v>#REF!</v>
      </c>
      <c r="AJ93" s="495" t="e">
        <f t="shared" ca="1" si="154"/>
        <v>#NAME?</v>
      </c>
      <c r="AK93" s="495" t="e">
        <f t="shared" si="165"/>
        <v>#REF!</v>
      </c>
      <c r="AL93" s="495" t="e">
        <f t="shared" si="166"/>
        <v>#REF!</v>
      </c>
      <c r="AM93" s="495" t="e">
        <f t="shared" ca="1" si="167"/>
        <v>#NAME?</v>
      </c>
      <c r="AN93" s="495" t="e">
        <f t="shared" ca="1" si="155"/>
        <v>#NAME?</v>
      </c>
      <c r="AO93" s="495" t="e">
        <f t="shared" si="156"/>
        <v>#REF!</v>
      </c>
      <c r="AP93" s="495" t="e">
        <f t="shared" si="157"/>
        <v>#REF!</v>
      </c>
      <c r="AQ93" s="495" t="e">
        <f t="shared" si="158"/>
        <v>#REF!</v>
      </c>
      <c r="AR93" s="495" t="e">
        <f t="shared" si="159"/>
        <v>#REF!</v>
      </c>
      <c r="AS93" s="21"/>
      <c r="AT93" s="3" t="e">
        <f t="shared" ca="1" si="160"/>
        <v>#REF!</v>
      </c>
      <c r="AU93" s="3"/>
      <c r="AV93" s="3"/>
      <c r="AW93" s="3"/>
      <c r="AX93" s="3"/>
      <c r="AY93" s="3"/>
      <c r="AZ93" s="3"/>
      <c r="BA93" s="3"/>
      <c r="BB93" s="3"/>
      <c r="BC93" s="3"/>
      <c r="BD93" s="3"/>
      <c r="BE93" s="3"/>
      <c r="BF93" s="3"/>
      <c r="BG93" s="3"/>
      <c r="BH93" s="3"/>
      <c r="BI93" s="3"/>
      <c r="BJ93" s="3"/>
    </row>
    <row r="94" spans="1:62">
      <c r="A94" s="630" t="s">
        <v>186</v>
      </c>
      <c r="B94" s="662" t="s">
        <v>375</v>
      </c>
      <c r="C94" s="658">
        <v>678.70078740157487</v>
      </c>
      <c r="D94" s="18"/>
      <c r="E94" s="277">
        <v>29.7</v>
      </c>
      <c r="F94" s="277">
        <v>0</v>
      </c>
      <c r="G94" s="438">
        <v>1750.0372440944877</v>
      </c>
      <c r="H94" s="305">
        <v>112.05</v>
      </c>
      <c r="I94" s="277">
        <v>0</v>
      </c>
      <c r="J94" s="305">
        <v>90.78</v>
      </c>
      <c r="K94" s="277">
        <v>40</v>
      </c>
      <c r="L94" s="305">
        <v>61.78</v>
      </c>
      <c r="M94" s="305">
        <v>1061.42</v>
      </c>
      <c r="N94" s="305">
        <v>31.48</v>
      </c>
      <c r="O94" s="69"/>
      <c r="P94" s="489">
        <f t="shared" si="147"/>
        <v>1891.7872440944877</v>
      </c>
      <c r="Q94" s="489">
        <f t="shared" si="148"/>
        <v>3065.1972440944878</v>
      </c>
      <c r="R94" s="597"/>
      <c r="S94" s="489" t="e">
        <f t="shared" si="161"/>
        <v>#REF!</v>
      </c>
      <c r="T94" s="489" t="e">
        <f t="shared" si="149"/>
        <v>#REF!</v>
      </c>
      <c r="U94" s="597"/>
      <c r="V94" s="489" t="e">
        <f ca="1">MAX(V$89:V$90)+IF($B$2="mil",1,0.0254)*DDR2Specs!$B$3</f>
        <v>#NAME?</v>
      </c>
      <c r="W94" s="489" t="e">
        <f ca="1">MIN(V$89:V$90)+IF($B$2="mil",1,0.0254)*DDR2Specs!$C$3</f>
        <v>#NAME?</v>
      </c>
      <c r="X94" s="21"/>
      <c r="Y94" s="598" t="e">
        <f t="shared" ca="1" si="162"/>
        <v>#REF!</v>
      </c>
      <c r="Z94" s="495" t="e">
        <f t="shared" ca="1" si="163"/>
        <v>#REF!</v>
      </c>
      <c r="AA94" s="21"/>
      <c r="AB94" s="489" t="e">
        <f ca="1">MAX(AB$89:AB$90)+IF($B$2="mil",1,0.0254)*DDR2Specs!$E$3</f>
        <v>#NAME?</v>
      </c>
      <c r="AC94" s="489" t="e">
        <f ca="1">MIN(AB$89:AB$90)+IF($B$2="mil",1,0.0254)*DDR2Specs!$F$3</f>
        <v>#NAME?</v>
      </c>
      <c r="AD94" s="21"/>
      <c r="AE94" s="598" t="e">
        <f t="shared" ca="1" si="150"/>
        <v>#REF!</v>
      </c>
      <c r="AF94" s="495" t="e">
        <f t="shared" ca="1" si="151"/>
        <v>#REF!</v>
      </c>
      <c r="AG94" s="495" t="e">
        <f t="shared" si="152"/>
        <v>#REF!</v>
      </c>
      <c r="AH94" s="495" t="e">
        <f t="shared" si="153"/>
        <v>#REF!</v>
      </c>
      <c r="AI94" s="495" t="e">
        <f t="shared" si="164"/>
        <v>#REF!</v>
      </c>
      <c r="AJ94" s="495" t="e">
        <f t="shared" ca="1" si="154"/>
        <v>#NAME?</v>
      </c>
      <c r="AK94" s="495" t="e">
        <f t="shared" si="165"/>
        <v>#REF!</v>
      </c>
      <c r="AL94" s="495" t="e">
        <f t="shared" si="166"/>
        <v>#REF!</v>
      </c>
      <c r="AM94" s="495" t="e">
        <f t="shared" ca="1" si="167"/>
        <v>#NAME?</v>
      </c>
      <c r="AN94" s="495" t="e">
        <f t="shared" ca="1" si="155"/>
        <v>#NAME?</v>
      </c>
      <c r="AO94" s="495" t="e">
        <f t="shared" si="156"/>
        <v>#REF!</v>
      </c>
      <c r="AP94" s="495" t="e">
        <f t="shared" si="157"/>
        <v>#REF!</v>
      </c>
      <c r="AQ94" s="495" t="e">
        <f t="shared" si="158"/>
        <v>#REF!</v>
      </c>
      <c r="AR94" s="495" t="e">
        <f t="shared" si="159"/>
        <v>#REF!</v>
      </c>
      <c r="AS94" s="21"/>
      <c r="AT94" s="3" t="e">
        <f t="shared" ca="1" si="160"/>
        <v>#REF!</v>
      </c>
      <c r="AU94" s="3"/>
      <c r="AV94" s="3"/>
      <c r="AW94" s="3"/>
      <c r="AX94" s="3"/>
      <c r="AY94" s="3"/>
      <c r="AZ94" s="3"/>
      <c r="BA94" s="3"/>
      <c r="BB94" s="3"/>
      <c r="BC94" s="3"/>
      <c r="BD94" s="3"/>
      <c r="BE94" s="3"/>
      <c r="BF94" s="3"/>
      <c r="BG94" s="3"/>
      <c r="BH94" s="3"/>
      <c r="BI94" s="3"/>
      <c r="BJ94" s="3"/>
    </row>
    <row r="95" spans="1:62">
      <c r="A95" s="630" t="s">
        <v>187</v>
      </c>
      <c r="B95" s="662" t="s">
        <v>117</v>
      </c>
      <c r="C95" s="658">
        <v>732.83464566929138</v>
      </c>
      <c r="D95" s="18"/>
      <c r="E95" s="277">
        <v>29.7</v>
      </c>
      <c r="F95" s="277">
        <v>0</v>
      </c>
      <c r="G95" s="438">
        <v>1638.3108661417318</v>
      </c>
      <c r="H95" s="305">
        <v>124.8</v>
      </c>
      <c r="I95" s="277">
        <v>0</v>
      </c>
      <c r="J95" s="305">
        <v>95.78</v>
      </c>
      <c r="K95" s="277">
        <v>40</v>
      </c>
      <c r="L95" s="305">
        <v>89.93</v>
      </c>
      <c r="M95" s="305">
        <v>996.42</v>
      </c>
      <c r="N95" s="305">
        <v>76.08</v>
      </c>
      <c r="O95" s="69"/>
      <c r="P95" s="489">
        <f t="shared" si="147"/>
        <v>1792.8108661417318</v>
      </c>
      <c r="Q95" s="489">
        <f t="shared" si="148"/>
        <v>2966.2208661417317</v>
      </c>
      <c r="R95" s="597"/>
      <c r="S95" s="489" t="e">
        <f t="shared" si="161"/>
        <v>#REF!</v>
      </c>
      <c r="T95" s="489" t="e">
        <f t="shared" si="149"/>
        <v>#REF!</v>
      </c>
      <c r="U95" s="597"/>
      <c r="V95" s="489" t="e">
        <f ca="1">MAX(V$89:V$90)+IF($B$2="mil",1,0.0254)*DDR2Specs!$B$3</f>
        <v>#NAME?</v>
      </c>
      <c r="W95" s="489" t="e">
        <f ca="1">MIN(V$89:V$90)+IF($B$2="mil",1,0.0254)*DDR2Specs!$C$3</f>
        <v>#NAME?</v>
      </c>
      <c r="X95" s="21"/>
      <c r="Y95" s="598" t="e">
        <f t="shared" ca="1" si="162"/>
        <v>#REF!</v>
      </c>
      <c r="Z95" s="495" t="e">
        <f t="shared" ca="1" si="163"/>
        <v>#REF!</v>
      </c>
      <c r="AA95" s="21"/>
      <c r="AB95" s="489" t="e">
        <f ca="1">MAX(AB$89:AB$90)+IF($B$2="mil",1,0.0254)*DDR2Specs!$E$3</f>
        <v>#NAME?</v>
      </c>
      <c r="AC95" s="489" t="e">
        <f ca="1">MIN(AB$89:AB$90)+IF($B$2="mil",1,0.0254)*DDR2Specs!$F$3</f>
        <v>#NAME?</v>
      </c>
      <c r="AD95" s="21"/>
      <c r="AE95" s="598" t="e">
        <f t="shared" ca="1" si="150"/>
        <v>#REF!</v>
      </c>
      <c r="AF95" s="495" t="e">
        <f t="shared" ca="1" si="151"/>
        <v>#REF!</v>
      </c>
      <c r="AG95" s="495" t="e">
        <f t="shared" si="152"/>
        <v>#REF!</v>
      </c>
      <c r="AH95" s="495" t="e">
        <f t="shared" si="153"/>
        <v>#REF!</v>
      </c>
      <c r="AI95" s="495" t="e">
        <f t="shared" si="164"/>
        <v>#REF!</v>
      </c>
      <c r="AJ95" s="495" t="e">
        <f t="shared" ca="1" si="154"/>
        <v>#NAME?</v>
      </c>
      <c r="AK95" s="495" t="e">
        <f t="shared" si="165"/>
        <v>#REF!</v>
      </c>
      <c r="AL95" s="495" t="e">
        <f t="shared" si="166"/>
        <v>#REF!</v>
      </c>
      <c r="AM95" s="495" t="e">
        <f t="shared" ca="1" si="167"/>
        <v>#NAME?</v>
      </c>
      <c r="AN95" s="495" t="e">
        <f t="shared" ca="1" si="155"/>
        <v>#NAME?</v>
      </c>
      <c r="AO95" s="495" t="e">
        <f t="shared" si="156"/>
        <v>#REF!</v>
      </c>
      <c r="AP95" s="495" t="e">
        <f t="shared" si="157"/>
        <v>#REF!</v>
      </c>
      <c r="AQ95" s="495" t="e">
        <f t="shared" si="158"/>
        <v>#REF!</v>
      </c>
      <c r="AR95" s="495" t="e">
        <f t="shared" si="159"/>
        <v>#REF!</v>
      </c>
      <c r="AS95" s="21"/>
      <c r="AT95" s="3" t="e">
        <f t="shared" ca="1" si="160"/>
        <v>#REF!</v>
      </c>
      <c r="AU95" s="3"/>
      <c r="AV95" s="3"/>
      <c r="AW95" s="3"/>
      <c r="AX95" s="3"/>
      <c r="AY95" s="3"/>
      <c r="AZ95" s="3"/>
      <c r="BA95" s="3"/>
      <c r="BB95" s="3"/>
      <c r="BC95" s="3"/>
      <c r="BD95" s="3"/>
      <c r="BE95" s="3"/>
      <c r="BF95" s="3"/>
      <c r="BG95" s="3"/>
      <c r="BH95" s="3"/>
      <c r="BI95" s="3"/>
      <c r="BJ95" s="3"/>
    </row>
    <row r="96" spans="1:62">
      <c r="A96" s="630" t="s">
        <v>188</v>
      </c>
      <c r="B96" s="662" t="s">
        <v>118</v>
      </c>
      <c r="C96" s="658">
        <v>573.50393700787401</v>
      </c>
      <c r="D96" s="18"/>
      <c r="E96" s="277">
        <v>29.7</v>
      </c>
      <c r="F96" s="277">
        <v>0</v>
      </c>
      <c r="G96" s="438">
        <v>1628.2603149606298</v>
      </c>
      <c r="H96" s="305">
        <v>79.260000000000005</v>
      </c>
      <c r="I96" s="277">
        <v>0</v>
      </c>
      <c r="J96" s="305">
        <v>58.71</v>
      </c>
      <c r="K96" s="277">
        <v>40</v>
      </c>
      <c r="L96" s="305">
        <v>54.64</v>
      </c>
      <c r="M96" s="305">
        <v>1010.19</v>
      </c>
      <c r="N96" s="305">
        <v>89.13</v>
      </c>
      <c r="O96" s="69"/>
      <c r="P96" s="489">
        <f t="shared" si="147"/>
        <v>1737.2203149606298</v>
      </c>
      <c r="Q96" s="489">
        <f t="shared" si="148"/>
        <v>2910.6303149606301</v>
      </c>
      <c r="R96" s="597"/>
      <c r="S96" s="489" t="e">
        <f t="shared" si="161"/>
        <v>#REF!</v>
      </c>
      <c r="T96" s="489" t="e">
        <f t="shared" si="149"/>
        <v>#REF!</v>
      </c>
      <c r="U96" s="597"/>
      <c r="V96" s="489" t="e">
        <f ca="1">MAX(V$89:V$90)+IF($B$2="mil",1,0.0254)*DDR2Specs!$B$3</f>
        <v>#NAME?</v>
      </c>
      <c r="W96" s="489" t="e">
        <f ca="1">MIN(V$89:V$90)+IF($B$2="mil",1,0.0254)*DDR2Specs!$C$3</f>
        <v>#NAME?</v>
      </c>
      <c r="X96" s="21"/>
      <c r="Y96" s="598" t="e">
        <f t="shared" ca="1" si="162"/>
        <v>#REF!</v>
      </c>
      <c r="Z96" s="495" t="e">
        <f t="shared" ca="1" si="163"/>
        <v>#REF!</v>
      </c>
      <c r="AA96" s="21"/>
      <c r="AB96" s="489" t="e">
        <f ca="1">MAX(AB$89:AB$90)+IF($B$2="mil",1,0.0254)*DDR2Specs!$E$3</f>
        <v>#NAME?</v>
      </c>
      <c r="AC96" s="489" t="e">
        <f ca="1">MIN(AB$89:AB$90)+IF($B$2="mil",1,0.0254)*DDR2Specs!$F$3</f>
        <v>#NAME?</v>
      </c>
      <c r="AD96" s="21"/>
      <c r="AE96" s="598" t="e">
        <f t="shared" ca="1" si="150"/>
        <v>#REF!</v>
      </c>
      <c r="AF96" s="495" t="e">
        <f t="shared" ca="1" si="151"/>
        <v>#REF!</v>
      </c>
      <c r="AG96" s="495" t="e">
        <f t="shared" si="152"/>
        <v>#REF!</v>
      </c>
      <c r="AH96" s="495" t="e">
        <f t="shared" si="153"/>
        <v>#REF!</v>
      </c>
      <c r="AI96" s="495" t="e">
        <f t="shared" si="164"/>
        <v>#REF!</v>
      </c>
      <c r="AJ96" s="495" t="e">
        <f t="shared" ca="1" si="154"/>
        <v>#NAME?</v>
      </c>
      <c r="AK96" s="495" t="e">
        <f t="shared" si="165"/>
        <v>#REF!</v>
      </c>
      <c r="AL96" s="495" t="e">
        <f t="shared" si="166"/>
        <v>#REF!</v>
      </c>
      <c r="AM96" s="495" t="e">
        <f t="shared" ca="1" si="167"/>
        <v>#NAME?</v>
      </c>
      <c r="AN96" s="495" t="e">
        <f t="shared" ca="1" si="155"/>
        <v>#NAME?</v>
      </c>
      <c r="AO96" s="495" t="e">
        <f t="shared" si="156"/>
        <v>#REF!</v>
      </c>
      <c r="AP96" s="495" t="e">
        <f t="shared" si="157"/>
        <v>#REF!</v>
      </c>
      <c r="AQ96" s="495" t="e">
        <f t="shared" si="158"/>
        <v>#REF!</v>
      </c>
      <c r="AR96" s="495" t="e">
        <f t="shared" si="159"/>
        <v>#REF!</v>
      </c>
      <c r="AS96" s="21"/>
      <c r="AT96" s="3" t="e">
        <f t="shared" ca="1" si="160"/>
        <v>#REF!</v>
      </c>
      <c r="AU96" s="3"/>
      <c r="AV96" s="3"/>
      <c r="AW96" s="3"/>
      <c r="AX96" s="3"/>
      <c r="AY96" s="3"/>
      <c r="AZ96" s="3"/>
      <c r="BA96" s="3"/>
      <c r="BB96" s="3"/>
      <c r="BC96" s="3"/>
      <c r="BD96" s="3"/>
      <c r="BE96" s="3"/>
      <c r="BF96" s="3"/>
      <c r="BG96" s="3"/>
      <c r="BH96" s="3"/>
      <c r="BI96" s="3"/>
      <c r="BJ96" s="3"/>
    </row>
    <row r="97" spans="1:62">
      <c r="A97" s="630" t="s">
        <v>189</v>
      </c>
      <c r="B97" s="662" t="s">
        <v>120</v>
      </c>
      <c r="C97" s="658">
        <v>629.48818897637796</v>
      </c>
      <c r="D97" s="18"/>
      <c r="E97" s="277">
        <v>29.7</v>
      </c>
      <c r="F97" s="277">
        <v>0</v>
      </c>
      <c r="G97" s="438">
        <v>1771.380708661417</v>
      </c>
      <c r="H97" s="305">
        <v>117.99</v>
      </c>
      <c r="I97" s="277">
        <v>0</v>
      </c>
      <c r="J97" s="305">
        <v>108.75</v>
      </c>
      <c r="K97" s="277">
        <v>40</v>
      </c>
      <c r="L97" s="305">
        <v>88.78</v>
      </c>
      <c r="M97" s="305">
        <v>977.79</v>
      </c>
      <c r="N97" s="305">
        <v>76.08</v>
      </c>
      <c r="O97" s="69"/>
      <c r="P97" s="489">
        <f t="shared" si="147"/>
        <v>1919.070708661417</v>
      </c>
      <c r="Q97" s="489">
        <f t="shared" si="148"/>
        <v>3092.4807086614169</v>
      </c>
      <c r="R97" s="597"/>
      <c r="S97" s="489" t="e">
        <f t="shared" si="161"/>
        <v>#REF!</v>
      </c>
      <c r="T97" s="489" t="e">
        <f t="shared" si="149"/>
        <v>#REF!</v>
      </c>
      <c r="U97" s="597"/>
      <c r="V97" s="489" t="e">
        <f ca="1">MAX(V$89:V$90)+IF($B$2="mil",1,0.0254)*DDR2Specs!$B$3</f>
        <v>#NAME?</v>
      </c>
      <c r="W97" s="489" t="e">
        <f ca="1">MIN(V$89:V$90)+IF($B$2="mil",1,0.0254)*DDR2Specs!$C$3</f>
        <v>#NAME?</v>
      </c>
      <c r="X97" s="21"/>
      <c r="Y97" s="598" t="e">
        <f t="shared" ca="1" si="162"/>
        <v>#REF!</v>
      </c>
      <c r="Z97" s="495" t="e">
        <f t="shared" ca="1" si="163"/>
        <v>#REF!</v>
      </c>
      <c r="AA97" s="21"/>
      <c r="AB97" s="489" t="e">
        <f ca="1">MAX(AB$89:AB$90)+IF($B$2="mil",1,0.0254)*DDR2Specs!$E$3</f>
        <v>#NAME?</v>
      </c>
      <c r="AC97" s="489" t="e">
        <f ca="1">MIN(AB$89:AB$90)+IF($B$2="mil",1,0.0254)*DDR2Specs!$F$3</f>
        <v>#NAME?</v>
      </c>
      <c r="AD97" s="21"/>
      <c r="AE97" s="598" t="e">
        <f t="shared" ca="1" si="150"/>
        <v>#REF!</v>
      </c>
      <c r="AF97" s="495" t="e">
        <f t="shared" ca="1" si="151"/>
        <v>#REF!</v>
      </c>
      <c r="AG97" s="495" t="e">
        <f t="shared" si="152"/>
        <v>#REF!</v>
      </c>
      <c r="AH97" s="495" t="e">
        <f t="shared" si="153"/>
        <v>#REF!</v>
      </c>
      <c r="AI97" s="495" t="e">
        <f t="shared" si="164"/>
        <v>#REF!</v>
      </c>
      <c r="AJ97" s="495" t="e">
        <f t="shared" ca="1" si="154"/>
        <v>#NAME?</v>
      </c>
      <c r="AK97" s="495" t="e">
        <f t="shared" si="165"/>
        <v>#REF!</v>
      </c>
      <c r="AL97" s="495" t="e">
        <f t="shared" si="166"/>
        <v>#REF!</v>
      </c>
      <c r="AM97" s="495" t="e">
        <f t="shared" ca="1" si="167"/>
        <v>#NAME?</v>
      </c>
      <c r="AN97" s="495" t="e">
        <f t="shared" ca="1" si="155"/>
        <v>#NAME?</v>
      </c>
      <c r="AO97" s="495" t="e">
        <f t="shared" si="156"/>
        <v>#REF!</v>
      </c>
      <c r="AP97" s="495" t="e">
        <f t="shared" si="157"/>
        <v>#REF!</v>
      </c>
      <c r="AQ97" s="495" t="e">
        <f t="shared" si="158"/>
        <v>#REF!</v>
      </c>
      <c r="AR97" s="495" t="e">
        <f t="shared" si="159"/>
        <v>#REF!</v>
      </c>
      <c r="AS97" s="21"/>
      <c r="AT97" s="3" t="e">
        <f t="shared" ca="1" si="160"/>
        <v>#REF!</v>
      </c>
      <c r="AU97" s="3"/>
      <c r="AV97" s="3"/>
      <c r="AW97" s="3"/>
      <c r="AX97" s="3"/>
      <c r="AY97" s="3"/>
      <c r="AZ97" s="3"/>
      <c r="BA97" s="3"/>
      <c r="BB97" s="3"/>
      <c r="BC97" s="3"/>
      <c r="BD97" s="3"/>
      <c r="BE97" s="3"/>
      <c r="BF97" s="3"/>
      <c r="BG97" s="3"/>
      <c r="BH97" s="3"/>
      <c r="BI97" s="3"/>
      <c r="BJ97" s="3"/>
    </row>
    <row r="98" spans="1:62">
      <c r="A98" s="630" t="s">
        <v>190</v>
      </c>
      <c r="B98" s="662" t="s">
        <v>376</v>
      </c>
      <c r="C98" s="658">
        <v>637.44094488188978</v>
      </c>
      <c r="D98" s="18"/>
      <c r="E98" s="277">
        <v>29.7</v>
      </c>
      <c r="F98" s="277">
        <v>0</v>
      </c>
      <c r="G98" s="438">
        <v>1838.2695275590547</v>
      </c>
      <c r="H98" s="305">
        <v>65.55</v>
      </c>
      <c r="I98" s="277">
        <v>0</v>
      </c>
      <c r="J98" s="305">
        <v>55.59</v>
      </c>
      <c r="K98" s="277">
        <v>40</v>
      </c>
      <c r="L98" s="305">
        <v>50.78</v>
      </c>
      <c r="M98" s="305">
        <v>1025.1199999999999</v>
      </c>
      <c r="N98" s="305">
        <v>67.47</v>
      </c>
      <c r="O98" s="69"/>
      <c r="P98" s="489">
        <f t="shared" si="147"/>
        <v>1933.5195275590547</v>
      </c>
      <c r="Q98" s="489">
        <f t="shared" si="148"/>
        <v>3106.9295275590543</v>
      </c>
      <c r="R98" s="597"/>
      <c r="S98" s="489" t="e">
        <f t="shared" si="161"/>
        <v>#REF!</v>
      </c>
      <c r="T98" s="489" t="e">
        <f t="shared" si="149"/>
        <v>#REF!</v>
      </c>
      <c r="U98" s="597"/>
      <c r="V98" s="489" t="e">
        <f ca="1">MAX(V$89:V$90)+IF($B$2="mil",1,0.0254)*DDR2Specs!$B$3</f>
        <v>#NAME?</v>
      </c>
      <c r="W98" s="489" t="e">
        <f ca="1">MIN(V$89:V$90)+IF($B$2="mil",1,0.0254)*DDR2Specs!$C$3</f>
        <v>#NAME?</v>
      </c>
      <c r="X98" s="21"/>
      <c r="Y98" s="598" t="e">
        <f t="shared" ca="1" si="162"/>
        <v>#REF!</v>
      </c>
      <c r="Z98" s="495" t="e">
        <f t="shared" ca="1" si="163"/>
        <v>#REF!</v>
      </c>
      <c r="AA98" s="21"/>
      <c r="AB98" s="489" t="e">
        <f ca="1">MAX(AB$89:AB$90)+IF($B$2="mil",1,0.0254)*DDR2Specs!$E$3</f>
        <v>#NAME?</v>
      </c>
      <c r="AC98" s="489" t="e">
        <f ca="1">MIN(AB$89:AB$90)+IF($B$2="mil",1,0.0254)*DDR2Specs!$F$3</f>
        <v>#NAME?</v>
      </c>
      <c r="AD98" s="21"/>
      <c r="AE98" s="598" t="e">
        <f t="shared" ca="1" si="150"/>
        <v>#REF!</v>
      </c>
      <c r="AF98" s="495" t="e">
        <f t="shared" ca="1" si="151"/>
        <v>#REF!</v>
      </c>
      <c r="AG98" s="495" t="e">
        <f t="shared" si="152"/>
        <v>#REF!</v>
      </c>
      <c r="AH98" s="495" t="e">
        <f t="shared" si="153"/>
        <v>#REF!</v>
      </c>
      <c r="AI98" s="495" t="e">
        <f t="shared" si="164"/>
        <v>#REF!</v>
      </c>
      <c r="AJ98" s="495" t="e">
        <f t="shared" ca="1" si="154"/>
        <v>#NAME?</v>
      </c>
      <c r="AK98" s="495" t="e">
        <f t="shared" si="165"/>
        <v>#REF!</v>
      </c>
      <c r="AL98" s="495" t="e">
        <f t="shared" si="166"/>
        <v>#REF!</v>
      </c>
      <c r="AM98" s="495" t="e">
        <f t="shared" ca="1" si="167"/>
        <v>#NAME?</v>
      </c>
      <c r="AN98" s="495" t="e">
        <f t="shared" ca="1" si="155"/>
        <v>#NAME?</v>
      </c>
      <c r="AO98" s="495" t="e">
        <f t="shared" si="156"/>
        <v>#REF!</v>
      </c>
      <c r="AP98" s="495" t="e">
        <f t="shared" si="157"/>
        <v>#REF!</v>
      </c>
      <c r="AQ98" s="495" t="e">
        <f t="shared" si="158"/>
        <v>#REF!</v>
      </c>
      <c r="AR98" s="495" t="e">
        <f t="shared" si="159"/>
        <v>#REF!</v>
      </c>
      <c r="AS98" s="21"/>
      <c r="AT98" s="3" t="e">
        <f t="shared" ca="1" si="160"/>
        <v>#REF!</v>
      </c>
      <c r="AU98" s="3"/>
      <c r="AV98" s="3"/>
      <c r="AW98" s="3"/>
      <c r="AX98" s="3"/>
      <c r="AY98" s="3"/>
      <c r="AZ98" s="3"/>
      <c r="BA98" s="3"/>
      <c r="BB98" s="3"/>
      <c r="BC98" s="3"/>
      <c r="BD98" s="3"/>
      <c r="BE98" s="3"/>
      <c r="BF98" s="3"/>
      <c r="BG98" s="3"/>
      <c r="BH98" s="3"/>
      <c r="BI98" s="3"/>
      <c r="BJ98" s="3"/>
    </row>
    <row r="99" spans="1:62">
      <c r="A99" s="661" t="s">
        <v>191</v>
      </c>
      <c r="B99" s="662" t="s">
        <v>119</v>
      </c>
      <c r="C99" s="658">
        <v>711.69291338582684</v>
      </c>
      <c r="D99" s="18"/>
      <c r="E99" s="277">
        <v>29.7</v>
      </c>
      <c r="F99" s="277">
        <v>0</v>
      </c>
      <c r="G99" s="438">
        <v>1648.96</v>
      </c>
      <c r="H99" s="305">
        <v>73.28</v>
      </c>
      <c r="I99" s="277">
        <v>0</v>
      </c>
      <c r="J99" s="305">
        <v>55.78</v>
      </c>
      <c r="K99" s="277">
        <v>40</v>
      </c>
      <c r="L99" s="305">
        <v>90.86</v>
      </c>
      <c r="M99" s="305">
        <v>1028.57</v>
      </c>
      <c r="N99" s="305">
        <v>31.48</v>
      </c>
      <c r="O99" s="69"/>
      <c r="P99" s="489">
        <f t="shared" si="147"/>
        <v>1751.94</v>
      </c>
      <c r="Q99" s="489">
        <f t="shared" si="148"/>
        <v>2925.35</v>
      </c>
      <c r="R99" s="597"/>
      <c r="S99" s="489" t="e">
        <f t="shared" si="161"/>
        <v>#REF!</v>
      </c>
      <c r="T99" s="489" t="e">
        <f t="shared" si="149"/>
        <v>#REF!</v>
      </c>
      <c r="U99" s="597"/>
      <c r="V99" s="489" t="e">
        <f ca="1">MAX(V$89:V$90)+IF($B$2="mil",1,0.0254)*DDR2Specs!$B$3</f>
        <v>#NAME?</v>
      </c>
      <c r="W99" s="489" t="e">
        <f ca="1">MIN(V$89:V$90)+IF($B$2="mil",1,0.0254)*DDR2Specs!$C$3</f>
        <v>#NAME?</v>
      </c>
      <c r="X99" s="21"/>
      <c r="Y99" s="598" t="e">
        <f t="shared" ca="1" si="162"/>
        <v>#REF!</v>
      </c>
      <c r="Z99" s="495" t="e">
        <f t="shared" ca="1" si="163"/>
        <v>#REF!</v>
      </c>
      <c r="AA99" s="21"/>
      <c r="AB99" s="489" t="e">
        <f ca="1">MAX(AB$89:AB$90)+IF($B$2="mil",1,0.0254)*DDR2Specs!$E$3</f>
        <v>#NAME?</v>
      </c>
      <c r="AC99" s="489" t="e">
        <f ca="1">MIN(AB$89:AB$90)+IF($B$2="mil",1,0.0254)*DDR2Specs!$F$3</f>
        <v>#NAME?</v>
      </c>
      <c r="AD99" s="21"/>
      <c r="AE99" s="598" t="e">
        <f t="shared" ca="1" si="150"/>
        <v>#REF!</v>
      </c>
      <c r="AF99" s="495" t="e">
        <f t="shared" ca="1" si="151"/>
        <v>#REF!</v>
      </c>
      <c r="AG99" s="495" t="e">
        <f t="shared" si="152"/>
        <v>#REF!</v>
      </c>
      <c r="AH99" s="495" t="e">
        <f t="shared" si="153"/>
        <v>#REF!</v>
      </c>
      <c r="AI99" s="495" t="e">
        <f t="shared" si="164"/>
        <v>#REF!</v>
      </c>
      <c r="AJ99" s="495" t="e">
        <f t="shared" ca="1" si="154"/>
        <v>#NAME?</v>
      </c>
      <c r="AK99" s="495" t="e">
        <f t="shared" si="165"/>
        <v>#REF!</v>
      </c>
      <c r="AL99" s="495" t="e">
        <f t="shared" si="166"/>
        <v>#REF!</v>
      </c>
      <c r="AM99" s="495" t="e">
        <f t="shared" ca="1" si="167"/>
        <v>#NAME?</v>
      </c>
      <c r="AN99" s="495" t="e">
        <f t="shared" ca="1" si="155"/>
        <v>#NAME?</v>
      </c>
      <c r="AO99" s="495" t="e">
        <f t="shared" si="156"/>
        <v>#REF!</v>
      </c>
      <c r="AP99" s="495" t="e">
        <f t="shared" si="157"/>
        <v>#REF!</v>
      </c>
      <c r="AQ99" s="495" t="e">
        <f t="shared" si="158"/>
        <v>#REF!</v>
      </c>
      <c r="AR99" s="495" t="e">
        <f t="shared" si="159"/>
        <v>#REF!</v>
      </c>
      <c r="AS99" s="21"/>
      <c r="AT99" s="3" t="e">
        <f t="shared" ca="1" si="160"/>
        <v>#REF!</v>
      </c>
      <c r="AU99" s="3"/>
      <c r="AV99" s="3"/>
      <c r="AW99" s="3"/>
      <c r="AX99" s="3"/>
      <c r="AY99" s="3"/>
      <c r="AZ99" s="3"/>
      <c r="BA99" s="3"/>
      <c r="BB99" s="3"/>
      <c r="BC99" s="3"/>
      <c r="BD99" s="3"/>
      <c r="BE99" s="3"/>
      <c r="BF99" s="3"/>
      <c r="BG99" s="3"/>
      <c r="BH99" s="3"/>
      <c r="BI99" s="3"/>
      <c r="BJ99" s="3"/>
    </row>
    <row r="100" spans="1:62" ht="12.75" customHeight="1">
      <c r="A100" s="114"/>
      <c r="B100" s="487"/>
      <c r="C100" s="129"/>
      <c r="D100" s="84"/>
      <c r="E100" s="85"/>
      <c r="F100" s="85"/>
      <c r="G100" s="85"/>
      <c r="H100" s="85"/>
      <c r="I100" s="85"/>
      <c r="J100" s="85"/>
      <c r="K100" s="85"/>
      <c r="L100" s="85"/>
      <c r="M100" s="85"/>
      <c r="N100" s="85"/>
      <c r="O100" s="85"/>
      <c r="P100" s="611"/>
      <c r="Q100" s="611"/>
      <c r="R100" s="612"/>
      <c r="S100" s="611"/>
      <c r="T100" s="611"/>
      <c r="U100" s="612"/>
      <c r="V100" s="611"/>
      <c r="W100" s="611"/>
      <c r="X100" s="611"/>
      <c r="Y100" s="613"/>
      <c r="Z100" s="614"/>
      <c r="AA100" s="611"/>
      <c r="AB100" s="611"/>
      <c r="AC100" s="611"/>
      <c r="AD100" s="611"/>
      <c r="AE100" s="613"/>
      <c r="AF100" s="614"/>
      <c r="AG100" s="614"/>
      <c r="AH100" s="615"/>
      <c r="AI100" s="616"/>
      <c r="AJ100" s="616"/>
      <c r="AK100" s="616"/>
      <c r="AL100" s="616"/>
      <c r="AM100" s="616"/>
      <c r="AN100" s="616"/>
      <c r="AO100" s="616"/>
      <c r="AP100" s="616"/>
      <c r="AQ100" s="616"/>
      <c r="AR100" s="616"/>
      <c r="AS100" s="21"/>
      <c r="AT100" s="3"/>
      <c r="AU100" s="3"/>
      <c r="AV100" s="3"/>
      <c r="AW100" s="3"/>
      <c r="AX100" s="3"/>
      <c r="AY100" s="3"/>
      <c r="AZ100" s="3"/>
      <c r="BA100" s="3"/>
      <c r="BB100" s="3"/>
      <c r="BC100" s="3"/>
      <c r="BD100" s="3"/>
      <c r="BE100" s="3"/>
      <c r="BF100" s="3"/>
      <c r="BG100" s="3"/>
      <c r="BH100" s="3"/>
      <c r="BI100" s="3"/>
      <c r="BJ100" s="3"/>
    </row>
    <row r="101" spans="1:62" ht="25.5">
      <c r="A101" s="48" t="s">
        <v>9</v>
      </c>
      <c r="B101" s="28"/>
      <c r="C101" s="25"/>
      <c r="D101" s="26"/>
      <c r="E101" s="24"/>
      <c r="F101" s="24"/>
      <c r="G101" s="26"/>
      <c r="H101" s="26"/>
      <c r="I101" s="26"/>
      <c r="J101" s="26"/>
      <c r="K101" s="26"/>
      <c r="L101" s="26"/>
      <c r="M101" s="26"/>
      <c r="N101" s="26"/>
      <c r="P101" s="26"/>
      <c r="Q101" s="26"/>
      <c r="R101" s="25"/>
      <c r="S101" s="25"/>
      <c r="T101" s="25"/>
      <c r="U101" s="25"/>
      <c r="V101" s="24"/>
      <c r="W101" s="24"/>
      <c r="X101" s="24"/>
      <c r="Y101" s="26"/>
      <c r="Z101" s="26"/>
      <c r="AA101" s="24"/>
      <c r="AB101" s="24"/>
      <c r="AC101" s="24"/>
      <c r="AD101" s="24"/>
      <c r="AE101" s="26"/>
      <c r="AF101" s="26"/>
      <c r="AG101" s="24"/>
      <c r="AH101" s="24"/>
      <c r="AI101" s="28"/>
      <c r="AJ101" s="28"/>
      <c r="AK101" s="28"/>
      <c r="AL101" s="28"/>
      <c r="AM101" s="28"/>
      <c r="AN101" s="28"/>
      <c r="AO101" s="28"/>
      <c r="AP101" s="28"/>
      <c r="AQ101" s="28"/>
      <c r="AR101" s="28"/>
      <c r="AS101" s="28"/>
      <c r="AT101" s="28"/>
      <c r="AU101" s="28"/>
      <c r="AV101" s="24"/>
      <c r="AW101" s="28"/>
      <c r="AX101" s="28"/>
      <c r="AY101" s="28"/>
      <c r="AZ101" s="28"/>
      <c r="BA101" s="28"/>
      <c r="BB101" s="28"/>
      <c r="BC101" s="24"/>
      <c r="BD101" s="28"/>
      <c r="BE101" s="28"/>
      <c r="BF101" s="28"/>
      <c r="BG101" s="24"/>
      <c r="BH101" s="28"/>
      <c r="BI101" s="28"/>
      <c r="BJ101" s="28"/>
    </row>
    <row r="102" spans="1:62">
      <c r="A102" s="24"/>
      <c r="B102" s="28"/>
      <c r="C102" s="25"/>
      <c r="D102" s="26"/>
      <c r="E102" s="24"/>
      <c r="F102" s="24"/>
      <c r="G102" s="26"/>
      <c r="H102" s="26"/>
      <c r="I102" s="26"/>
      <c r="J102" s="26"/>
      <c r="K102" s="26"/>
      <c r="L102" s="26"/>
      <c r="M102" s="26"/>
      <c r="N102" s="26"/>
      <c r="P102" s="26"/>
      <c r="Q102" s="26"/>
      <c r="R102" s="25"/>
      <c r="S102" s="25"/>
      <c r="T102" s="25"/>
      <c r="U102" s="25"/>
      <c r="V102" s="24"/>
      <c r="W102" s="24"/>
      <c r="X102" s="24"/>
      <c r="Y102" s="26"/>
      <c r="Z102" s="26"/>
      <c r="AA102" s="24"/>
      <c r="AB102" s="24"/>
      <c r="AC102" s="24"/>
      <c r="AD102" s="24"/>
      <c r="AE102" s="26"/>
      <c r="AF102" s="26"/>
      <c r="AG102" s="24"/>
      <c r="AH102" s="24"/>
      <c r="AI102" s="28"/>
      <c r="AJ102" s="28"/>
      <c r="AK102" s="28"/>
      <c r="AL102" s="28"/>
      <c r="AM102" s="28"/>
      <c r="AN102" s="28"/>
      <c r="AO102" s="28"/>
      <c r="AP102" s="28"/>
      <c r="AQ102" s="28"/>
      <c r="AR102" s="28"/>
      <c r="AS102" s="28"/>
      <c r="AT102" s="28"/>
      <c r="AU102" s="28"/>
      <c r="AV102" s="24"/>
      <c r="AW102" s="28"/>
      <c r="AX102" s="28"/>
      <c r="AY102" s="28"/>
      <c r="AZ102" s="28"/>
      <c r="BA102" s="28"/>
      <c r="BB102" s="28"/>
      <c r="BC102" s="24"/>
      <c r="BD102" s="28"/>
      <c r="BE102" s="28"/>
      <c r="BF102" s="28"/>
      <c r="BG102" s="24"/>
      <c r="BH102" s="28"/>
      <c r="BI102" s="28"/>
      <c r="BJ102" s="28"/>
    </row>
    <row r="103" spans="1:62">
      <c r="A103" s="24"/>
      <c r="B103" s="28"/>
      <c r="C103" s="25"/>
      <c r="D103" s="26"/>
      <c r="E103" s="24"/>
      <c r="F103" s="24"/>
      <c r="G103" s="26"/>
      <c r="H103" s="26"/>
      <c r="I103" s="26"/>
      <c r="J103" s="26"/>
      <c r="K103" s="26"/>
      <c r="L103" s="26"/>
      <c r="M103" s="26"/>
      <c r="N103" s="26"/>
      <c r="P103" s="26"/>
      <c r="Q103" s="577"/>
      <c r="R103" s="25"/>
      <c r="S103" s="577"/>
      <c r="T103" s="25"/>
      <c r="U103" s="24"/>
      <c r="V103" s="24"/>
      <c r="W103" s="24"/>
      <c r="X103" s="26"/>
      <c r="Y103" s="26"/>
      <c r="Z103" s="24"/>
      <c r="AA103" s="24"/>
      <c r="AB103" s="24"/>
      <c r="AC103" s="24"/>
      <c r="AD103" s="26"/>
      <c r="AE103" s="26"/>
      <c r="AF103" s="24"/>
      <c r="AG103" s="24"/>
      <c r="AH103" s="28"/>
      <c r="AI103" s="28"/>
      <c r="AJ103" s="28"/>
      <c r="AK103" s="28"/>
      <c r="AL103" s="28"/>
      <c r="AM103" s="28"/>
      <c r="AN103" s="28"/>
      <c r="AO103" s="28"/>
      <c r="AP103" s="28"/>
      <c r="AQ103" s="28"/>
      <c r="AR103" s="28"/>
      <c r="AS103" s="28"/>
      <c r="AT103" s="28"/>
      <c r="AU103" s="24"/>
      <c r="AV103" s="28"/>
      <c r="AW103" s="28"/>
      <c r="AX103" s="28"/>
      <c r="AY103" s="28"/>
      <c r="AZ103" s="28"/>
      <c r="BA103" s="28"/>
      <c r="BB103" s="24"/>
      <c r="BC103" s="28"/>
      <c r="BD103" s="28"/>
      <c r="BE103" s="28"/>
      <c r="BF103" s="24"/>
      <c r="BG103" s="28"/>
      <c r="BH103" s="28"/>
      <c r="BI103" s="28"/>
      <c r="BJ103" s="3"/>
    </row>
    <row r="104" spans="1:62">
      <c r="A104" s="24"/>
      <c r="B104" s="28"/>
      <c r="C104" s="25"/>
      <c r="D104" s="26"/>
      <c r="E104" s="24"/>
      <c r="F104" s="24"/>
      <c r="G104" s="26"/>
      <c r="H104" s="26"/>
      <c r="I104" s="26"/>
      <c r="J104" s="26"/>
      <c r="K104" s="26"/>
      <c r="L104" s="26"/>
      <c r="M104" s="26"/>
      <c r="N104" s="26"/>
      <c r="P104" s="26"/>
      <c r="Q104" s="577"/>
      <c r="R104" s="25"/>
      <c r="S104" s="24"/>
      <c r="T104" s="24"/>
      <c r="U104" s="24"/>
      <c r="V104" s="26"/>
      <c r="W104" s="26"/>
      <c r="X104" s="24"/>
      <c r="Y104" s="24"/>
      <c r="Z104" s="24"/>
      <c r="AA104" s="24"/>
      <c r="AB104" s="26"/>
      <c r="AC104" s="26"/>
      <c r="AD104" s="24"/>
      <c r="AE104" s="24"/>
      <c r="AF104" s="28"/>
      <c r="AG104" s="28"/>
      <c r="AH104" s="28"/>
      <c r="AI104" s="28"/>
      <c r="AJ104" s="28"/>
      <c r="AK104" s="28"/>
      <c r="AL104" s="28"/>
      <c r="AM104" s="28"/>
      <c r="AN104" s="28"/>
      <c r="AO104" s="28"/>
      <c r="AP104" s="28"/>
      <c r="AQ104" s="28"/>
      <c r="AR104" s="28"/>
      <c r="AS104" s="24"/>
      <c r="AT104" s="28"/>
      <c r="AU104" s="28"/>
      <c r="AV104" s="28"/>
      <c r="AW104" s="28"/>
      <c r="AX104" s="28"/>
      <c r="AY104" s="28"/>
      <c r="AZ104" s="24"/>
      <c r="BA104" s="28"/>
      <c r="BB104" s="28"/>
      <c r="BC104" s="28"/>
      <c r="BD104" s="24"/>
      <c r="BE104" s="28"/>
      <c r="BF104" s="28"/>
      <c r="BG104" s="28"/>
      <c r="BH104" s="3"/>
      <c r="BI104" s="3"/>
      <c r="BJ104" s="3"/>
    </row>
    <row r="105" spans="1:62">
      <c r="A105" s="24"/>
      <c r="B105" s="28"/>
      <c r="C105" s="25"/>
      <c r="D105" s="26"/>
      <c r="E105" s="24"/>
      <c r="F105" s="24"/>
      <c r="G105" s="26"/>
      <c r="H105" s="26"/>
      <c r="I105" s="26"/>
      <c r="J105" s="26"/>
      <c r="K105" s="26"/>
      <c r="L105" s="26"/>
      <c r="M105" s="26"/>
      <c r="N105" s="26"/>
      <c r="P105" s="26"/>
      <c r="Q105" s="577"/>
      <c r="R105" s="25"/>
      <c r="S105" s="24"/>
      <c r="T105" s="24"/>
      <c r="U105" s="24"/>
      <c r="V105" s="26"/>
      <c r="W105" s="26"/>
      <c r="X105" s="24"/>
      <c r="Y105" s="24"/>
      <c r="Z105" s="24"/>
      <c r="AA105" s="24"/>
      <c r="AB105" s="26"/>
      <c r="AC105" s="26"/>
      <c r="AD105" s="24"/>
      <c r="AE105" s="24"/>
      <c r="AF105" s="28"/>
      <c r="AG105" s="28"/>
      <c r="AH105" s="28"/>
      <c r="AI105" s="28"/>
      <c r="AJ105" s="28"/>
      <c r="AK105" s="28"/>
      <c r="AL105" s="28"/>
      <c r="AM105" s="28"/>
      <c r="AN105" s="28"/>
      <c r="AO105" s="28"/>
      <c r="AP105" s="28"/>
      <c r="AQ105" s="28"/>
      <c r="AR105" s="28"/>
      <c r="AS105" s="24"/>
      <c r="AT105" s="28"/>
      <c r="AU105" s="28"/>
      <c r="AV105" s="28"/>
      <c r="AW105" s="28"/>
      <c r="AX105" s="28"/>
      <c r="AY105" s="28"/>
      <c r="AZ105" s="24"/>
      <c r="BA105" s="28"/>
      <c r="BB105" s="28"/>
      <c r="BC105" s="28"/>
      <c r="BD105" s="24"/>
      <c r="BE105" s="28"/>
      <c r="BF105" s="28"/>
      <c r="BG105" s="28"/>
      <c r="BH105" s="3"/>
      <c r="BI105" s="3"/>
      <c r="BJ105" s="3"/>
    </row>
    <row r="106" spans="1:62">
      <c r="A106" s="24"/>
      <c r="B106" s="28"/>
      <c r="C106" s="25"/>
      <c r="D106" s="26"/>
      <c r="E106" s="24"/>
      <c r="F106" s="24"/>
      <c r="G106" s="26"/>
      <c r="H106" s="3"/>
      <c r="I106" s="3"/>
      <c r="J106" s="3"/>
      <c r="K106" s="3"/>
      <c r="L106" s="3"/>
      <c r="M106" s="3"/>
      <c r="N106" s="3"/>
      <c r="P106" s="554"/>
      <c r="Q106" s="577"/>
      <c r="R106" s="25"/>
      <c r="S106" s="577"/>
      <c r="T106" s="25"/>
      <c r="U106" s="24"/>
      <c r="V106" s="24"/>
      <c r="W106" s="24"/>
      <c r="X106" s="26"/>
      <c r="Y106" s="26"/>
      <c r="Z106" s="24"/>
      <c r="AA106" s="24"/>
      <c r="AB106" s="24"/>
      <c r="AC106" s="24"/>
      <c r="AD106" s="26"/>
      <c r="AE106" s="26"/>
      <c r="AF106" s="24"/>
      <c r="AG106" s="24"/>
      <c r="AH106" s="28"/>
      <c r="AI106" s="28"/>
      <c r="AJ106" s="28"/>
      <c r="AK106" s="28"/>
      <c r="AL106" s="28"/>
      <c r="AM106" s="28"/>
      <c r="AN106" s="28"/>
      <c r="AO106" s="28"/>
      <c r="AP106" s="28"/>
      <c r="AQ106" s="28"/>
      <c r="AR106" s="28"/>
      <c r="AS106" s="28"/>
      <c r="AT106" s="28"/>
      <c r="AU106" s="24"/>
      <c r="AV106" s="28"/>
      <c r="AW106" s="28"/>
      <c r="AX106" s="28"/>
      <c r="AY106" s="28"/>
      <c r="AZ106" s="28"/>
      <c r="BA106" s="28"/>
      <c r="BB106" s="24"/>
      <c r="BC106" s="28"/>
      <c r="BD106" s="28"/>
      <c r="BE106" s="28"/>
      <c r="BF106" s="24"/>
      <c r="BG106" s="28"/>
      <c r="BH106" s="28"/>
      <c r="BI106" s="28"/>
      <c r="BJ106" s="3"/>
    </row>
    <row r="107" spans="1:62">
      <c r="A107" s="24"/>
      <c r="B107" s="28"/>
      <c r="C107" s="25"/>
      <c r="D107" s="26"/>
      <c r="E107" s="24"/>
      <c r="F107" s="24"/>
      <c r="G107" s="26"/>
      <c r="H107" s="26"/>
      <c r="I107" s="26"/>
      <c r="J107" s="26"/>
      <c r="K107" s="26"/>
      <c r="L107" s="26"/>
      <c r="M107" s="26"/>
      <c r="N107" s="26"/>
      <c r="P107" s="26"/>
      <c r="Q107" s="577"/>
      <c r="R107" s="25"/>
      <c r="S107" s="577"/>
      <c r="T107" s="25"/>
      <c r="U107" s="24"/>
      <c r="V107" s="24"/>
      <c r="W107" s="24"/>
      <c r="X107" s="26"/>
      <c r="Y107" s="26"/>
      <c r="Z107" s="24"/>
      <c r="AA107" s="24"/>
      <c r="AB107" s="24"/>
      <c r="AC107" s="24"/>
      <c r="AD107" s="26"/>
      <c r="AE107" s="26"/>
      <c r="AF107" s="24"/>
      <c r="AG107" s="24"/>
      <c r="AH107" s="28"/>
      <c r="AI107" s="28"/>
      <c r="AJ107" s="28"/>
      <c r="AK107" s="28"/>
      <c r="AL107" s="28"/>
      <c r="AM107" s="28"/>
      <c r="AN107" s="28"/>
      <c r="AO107" s="28"/>
      <c r="AP107" s="28"/>
      <c r="AQ107" s="28"/>
      <c r="AR107" s="28"/>
      <c r="AS107" s="28"/>
      <c r="AT107" s="28"/>
      <c r="AU107" s="24"/>
      <c r="AV107" s="28"/>
      <c r="AW107" s="28"/>
      <c r="AX107" s="28"/>
      <c r="AY107" s="28"/>
      <c r="AZ107" s="28"/>
      <c r="BA107" s="28"/>
      <c r="BB107" s="24"/>
      <c r="BC107" s="28"/>
      <c r="BD107" s="28"/>
      <c r="BE107" s="28"/>
      <c r="BF107" s="24"/>
      <c r="BG107" s="28"/>
      <c r="BH107" s="28"/>
      <c r="BI107" s="28"/>
      <c r="BJ107" s="3"/>
    </row>
    <row r="108" spans="1:62">
      <c r="A108" s="24"/>
      <c r="B108" s="28"/>
      <c r="C108" s="25"/>
      <c r="D108" s="26"/>
      <c r="E108" s="24"/>
      <c r="F108" s="24"/>
      <c r="G108" s="26"/>
      <c r="H108" s="26"/>
      <c r="I108" s="26"/>
      <c r="J108" s="26"/>
      <c r="K108" s="26"/>
      <c r="L108" s="26"/>
      <c r="M108" s="26"/>
      <c r="N108" s="26"/>
      <c r="P108" s="26"/>
      <c r="Q108" s="577"/>
      <c r="R108" s="25"/>
      <c r="S108" s="577"/>
      <c r="T108" s="25"/>
      <c r="U108" s="24"/>
      <c r="V108" s="24"/>
      <c r="W108" s="24"/>
      <c r="X108" s="26"/>
      <c r="Y108" s="26"/>
      <c r="Z108" s="24"/>
      <c r="AA108" s="24"/>
      <c r="AB108" s="24"/>
      <c r="AC108" s="24"/>
      <c r="AD108" s="26"/>
      <c r="AE108" s="26"/>
      <c r="AF108" s="24"/>
      <c r="AG108" s="24"/>
      <c r="AH108" s="28"/>
      <c r="AI108" s="28"/>
      <c r="AJ108" s="28"/>
      <c r="AK108" s="28"/>
      <c r="AL108" s="28"/>
      <c r="AM108" s="28"/>
      <c r="AN108" s="28"/>
      <c r="AO108" s="28"/>
      <c r="AP108" s="28"/>
      <c r="AQ108" s="28"/>
      <c r="AR108" s="28"/>
      <c r="AS108" s="28"/>
      <c r="AT108" s="28"/>
      <c r="AU108" s="24"/>
      <c r="AV108" s="28"/>
      <c r="AW108" s="28"/>
      <c r="AX108" s="28"/>
      <c r="AY108" s="28"/>
      <c r="AZ108" s="28"/>
      <c r="BA108" s="28"/>
      <c r="BB108" s="24"/>
      <c r="BC108" s="28"/>
      <c r="BD108" s="28"/>
      <c r="BE108" s="28"/>
      <c r="BF108" s="24"/>
      <c r="BG108" s="28"/>
      <c r="BH108" s="28"/>
      <c r="BI108" s="28"/>
      <c r="BJ108" s="3"/>
    </row>
    <row r="109" spans="1:62">
      <c r="A109" s="24"/>
      <c r="B109" s="28"/>
      <c r="C109" s="25"/>
      <c r="D109" s="26"/>
      <c r="E109" s="24"/>
      <c r="F109" s="24"/>
      <c r="G109" s="26"/>
      <c r="H109" s="26"/>
      <c r="I109" s="26"/>
      <c r="J109" s="26"/>
      <c r="K109" s="26"/>
      <c r="L109" s="26"/>
      <c r="M109" s="26"/>
      <c r="N109" s="26"/>
      <c r="P109" s="26"/>
      <c r="Q109" s="577"/>
      <c r="R109" s="25"/>
      <c r="S109" s="577"/>
      <c r="T109" s="25"/>
      <c r="U109" s="24"/>
      <c r="V109" s="24"/>
      <c r="W109" s="24"/>
      <c r="X109" s="26"/>
      <c r="Y109" s="26"/>
      <c r="Z109" s="24"/>
      <c r="AA109" s="24"/>
      <c r="AB109" s="24"/>
      <c r="AC109" s="24"/>
      <c r="AD109" s="26"/>
      <c r="AE109" s="26"/>
      <c r="AF109" s="24"/>
      <c r="AG109" s="24"/>
      <c r="AH109" s="28"/>
      <c r="AI109" s="28"/>
      <c r="AJ109" s="28"/>
      <c r="AK109" s="28"/>
      <c r="AL109" s="28"/>
      <c r="AM109" s="28"/>
      <c r="AN109" s="28"/>
      <c r="AO109" s="28"/>
      <c r="AP109" s="28"/>
      <c r="AQ109" s="28"/>
      <c r="AR109" s="28"/>
      <c r="AS109" s="28"/>
      <c r="AT109" s="28"/>
      <c r="AU109" s="24"/>
      <c r="AV109" s="28"/>
      <c r="AW109" s="28"/>
      <c r="AX109" s="28"/>
      <c r="AY109" s="28"/>
      <c r="AZ109" s="28"/>
      <c r="BA109" s="28"/>
      <c r="BB109" s="24"/>
      <c r="BC109" s="28"/>
      <c r="BD109" s="28"/>
      <c r="BE109" s="28"/>
      <c r="BF109" s="24"/>
      <c r="BG109" s="28"/>
      <c r="BH109" s="28"/>
      <c r="BI109" s="28"/>
      <c r="BJ109" s="3"/>
    </row>
    <row r="110" spans="1:62">
      <c r="A110" s="24"/>
      <c r="B110" s="28"/>
      <c r="C110" s="25"/>
      <c r="D110" s="26"/>
      <c r="E110" s="24"/>
      <c r="F110" s="24"/>
      <c r="G110" s="26"/>
      <c r="H110" s="26"/>
      <c r="I110" s="26"/>
      <c r="J110" s="26"/>
      <c r="K110" s="26"/>
      <c r="L110" s="26"/>
      <c r="M110" s="26"/>
      <c r="N110" s="26"/>
      <c r="P110" s="26"/>
      <c r="Q110" s="577"/>
      <c r="R110" s="25"/>
      <c r="S110" s="577"/>
      <c r="T110" s="25"/>
      <c r="U110" s="24"/>
      <c r="V110" s="24"/>
      <c r="W110" s="24"/>
      <c r="X110" s="26"/>
      <c r="Y110" s="26"/>
      <c r="Z110" s="24"/>
      <c r="AA110" s="24"/>
      <c r="AB110" s="24"/>
      <c r="AC110" s="24"/>
      <c r="AD110" s="26"/>
      <c r="AE110" s="26"/>
      <c r="AF110" s="24"/>
      <c r="AG110" s="24"/>
      <c r="AH110" s="28"/>
      <c r="AI110" s="28"/>
      <c r="AJ110" s="28"/>
      <c r="AK110" s="28"/>
      <c r="AL110" s="28"/>
      <c r="AM110" s="28"/>
      <c r="AN110" s="28"/>
      <c r="AO110" s="28"/>
      <c r="AP110" s="28"/>
      <c r="AQ110" s="28"/>
      <c r="AR110" s="28"/>
      <c r="AS110" s="28"/>
      <c r="AT110" s="28"/>
      <c r="AU110" s="24"/>
      <c r="AV110" s="28"/>
      <c r="AW110" s="28"/>
      <c r="AX110" s="28"/>
      <c r="AY110" s="28"/>
      <c r="AZ110" s="28"/>
      <c r="BA110" s="28"/>
      <c r="BB110" s="24"/>
      <c r="BC110" s="28"/>
      <c r="BD110" s="28"/>
      <c r="BE110" s="28"/>
      <c r="BF110" s="24"/>
      <c r="BG110" s="28"/>
      <c r="BH110" s="28"/>
      <c r="BI110" s="28"/>
      <c r="BJ110" s="3"/>
    </row>
    <row r="111" spans="1:62">
      <c r="A111" s="24"/>
      <c r="B111" s="28"/>
      <c r="C111" s="25"/>
      <c r="D111" s="26"/>
      <c r="E111" s="24"/>
      <c r="F111" s="24"/>
      <c r="G111" s="26"/>
      <c r="H111" s="26"/>
      <c r="I111" s="26"/>
      <c r="J111" s="26"/>
      <c r="K111" s="26"/>
      <c r="L111" s="26"/>
      <c r="M111" s="26"/>
      <c r="N111" s="26"/>
      <c r="P111" s="26"/>
      <c r="Q111" s="26"/>
      <c r="R111" s="25"/>
      <c r="S111" s="25"/>
      <c r="T111" s="25"/>
      <c r="U111" s="24"/>
      <c r="V111" s="24"/>
      <c r="W111" s="24"/>
      <c r="X111" s="26"/>
      <c r="Y111" s="26"/>
      <c r="Z111" s="24"/>
      <c r="AA111" s="24"/>
      <c r="AB111" s="24"/>
      <c r="AC111" s="24"/>
      <c r="AD111" s="26"/>
      <c r="AE111" s="26"/>
      <c r="AF111" s="24"/>
      <c r="AG111" s="24"/>
      <c r="AH111" s="28"/>
      <c r="AI111" s="28"/>
      <c r="AJ111" s="28"/>
      <c r="AK111" s="28"/>
      <c r="AL111" s="28"/>
      <c r="AM111" s="28"/>
      <c r="AN111" s="28"/>
      <c r="AO111" s="28"/>
      <c r="AP111" s="28"/>
      <c r="AQ111" s="28"/>
      <c r="AR111" s="28"/>
      <c r="AS111" s="28"/>
      <c r="AT111" s="28"/>
      <c r="AU111" s="24"/>
      <c r="AV111" s="28"/>
      <c r="AW111" s="28"/>
      <c r="AX111" s="28"/>
      <c r="AY111" s="28"/>
      <c r="AZ111" s="28"/>
      <c r="BA111" s="28"/>
      <c r="BB111" s="24"/>
      <c r="BC111" s="28"/>
      <c r="BD111" s="28"/>
      <c r="BE111" s="28"/>
      <c r="BF111" s="24"/>
      <c r="BG111" s="28"/>
      <c r="BH111" s="28"/>
      <c r="BI111" s="28"/>
      <c r="BJ111" s="3"/>
    </row>
    <row r="112" spans="1:62">
      <c r="A112" s="24"/>
      <c r="B112" s="28"/>
      <c r="C112" s="25"/>
      <c r="D112" s="26"/>
      <c r="E112" s="24"/>
      <c r="F112" s="24"/>
      <c r="G112" s="26"/>
      <c r="H112" s="26"/>
      <c r="I112" s="26"/>
      <c r="J112" s="26"/>
      <c r="K112" s="26"/>
      <c r="L112" s="26"/>
      <c r="M112" s="26"/>
      <c r="N112" s="26"/>
      <c r="P112" s="26"/>
      <c r="Q112" s="26"/>
      <c r="R112" s="25"/>
      <c r="S112" s="25"/>
      <c r="T112" s="25"/>
      <c r="U112" s="25"/>
      <c r="V112" s="24"/>
      <c r="W112" s="24"/>
      <c r="X112" s="24"/>
      <c r="Y112" s="26"/>
      <c r="Z112" s="26"/>
      <c r="AA112" s="24"/>
      <c r="AB112" s="24"/>
      <c r="AC112" s="24"/>
      <c r="AD112" s="24"/>
      <c r="AE112" s="26"/>
      <c r="AF112" s="26"/>
      <c r="AG112" s="24"/>
      <c r="AH112" s="24"/>
      <c r="AI112" s="28"/>
      <c r="AJ112" s="28"/>
      <c r="AK112" s="28"/>
      <c r="AL112" s="28"/>
      <c r="AM112" s="28"/>
      <c r="AN112" s="28"/>
      <c r="AO112" s="28"/>
      <c r="AP112" s="28"/>
      <c r="AQ112" s="28"/>
      <c r="AR112" s="28"/>
      <c r="AS112" s="28"/>
      <c r="AT112" s="28"/>
      <c r="AU112" s="28"/>
      <c r="AV112" s="24"/>
      <c r="AW112" s="28"/>
      <c r="AX112" s="28"/>
      <c r="AY112" s="28"/>
      <c r="AZ112" s="28"/>
      <c r="BA112" s="28"/>
      <c r="BB112" s="28"/>
      <c r="BC112" s="24"/>
      <c r="BD112" s="28"/>
      <c r="BE112" s="28"/>
      <c r="BF112" s="28"/>
      <c r="BG112" s="24"/>
      <c r="BH112" s="28"/>
      <c r="BI112" s="28"/>
      <c r="BJ112" s="28"/>
    </row>
    <row r="113" spans="1:62">
      <c r="A113" s="24"/>
      <c r="B113" s="28"/>
      <c r="C113" s="25"/>
      <c r="D113" s="26"/>
      <c r="E113" s="24"/>
      <c r="F113" s="24"/>
      <c r="G113" s="26"/>
      <c r="H113" s="26"/>
      <c r="I113" s="26"/>
      <c r="J113" s="26"/>
      <c r="K113" s="26"/>
      <c r="L113" s="26"/>
      <c r="M113" s="26"/>
      <c r="N113" s="26"/>
      <c r="P113" s="26"/>
      <c r="Q113" s="26"/>
      <c r="R113" s="25"/>
      <c r="S113" s="25"/>
      <c r="T113" s="25"/>
      <c r="U113" s="25"/>
      <c r="V113" s="24"/>
      <c r="W113" s="24"/>
      <c r="X113" s="24"/>
      <c r="Y113" s="26"/>
      <c r="Z113" s="26"/>
      <c r="AA113" s="24"/>
      <c r="AB113" s="24"/>
      <c r="AC113" s="24"/>
      <c r="AD113" s="24"/>
      <c r="AE113" s="26"/>
      <c r="AF113" s="26"/>
      <c r="AG113" s="24"/>
      <c r="AH113" s="24"/>
      <c r="AI113" s="28"/>
      <c r="AJ113" s="28"/>
      <c r="AK113" s="28"/>
      <c r="AL113" s="28"/>
      <c r="AM113" s="28"/>
      <c r="AN113" s="28"/>
      <c r="AO113" s="28"/>
      <c r="AP113" s="28"/>
      <c r="AQ113" s="28"/>
      <c r="AR113" s="28"/>
      <c r="AS113" s="28"/>
      <c r="AT113" s="28"/>
      <c r="AU113" s="28"/>
      <c r="AV113" s="24"/>
      <c r="AW113" s="28"/>
      <c r="AX113" s="28"/>
      <c r="AY113" s="28"/>
      <c r="AZ113" s="28"/>
      <c r="BA113" s="28"/>
      <c r="BB113" s="28"/>
      <c r="BC113" s="24"/>
      <c r="BD113" s="28"/>
      <c r="BE113" s="28"/>
      <c r="BF113" s="28"/>
      <c r="BG113" s="24"/>
      <c r="BH113" s="28"/>
      <c r="BI113" s="28"/>
      <c r="BJ113" s="28"/>
    </row>
    <row r="114" spans="1:62">
      <c r="A114" s="24"/>
      <c r="B114" s="28"/>
      <c r="C114" s="25"/>
      <c r="D114" s="26"/>
      <c r="E114" s="24"/>
      <c r="F114" s="24"/>
      <c r="G114" s="26"/>
      <c r="H114" s="26"/>
      <c r="I114" s="26"/>
      <c r="J114" s="26"/>
      <c r="K114" s="26"/>
      <c r="L114" s="26"/>
      <c r="M114" s="26"/>
      <c r="N114" s="26"/>
      <c r="P114" s="26"/>
      <c r="Q114" s="26"/>
      <c r="R114" s="25"/>
      <c r="S114" s="25"/>
      <c r="T114" s="25"/>
      <c r="U114" s="25"/>
      <c r="V114" s="24"/>
      <c r="W114" s="24"/>
      <c r="X114" s="24"/>
      <c r="Y114" s="26"/>
      <c r="Z114" s="26"/>
      <c r="AA114" s="24"/>
      <c r="AB114" s="24"/>
      <c r="AC114" s="24"/>
      <c r="AD114" s="24"/>
      <c r="AE114" s="26"/>
      <c r="AF114" s="26"/>
      <c r="AG114" s="24"/>
      <c r="AH114" s="24"/>
      <c r="AI114" s="28"/>
      <c r="AJ114" s="28"/>
      <c r="AK114" s="28"/>
      <c r="AL114" s="28"/>
      <c r="AM114" s="28"/>
      <c r="AN114" s="28"/>
      <c r="AO114" s="28"/>
      <c r="AP114" s="28"/>
      <c r="AQ114" s="28"/>
      <c r="AR114" s="28"/>
      <c r="AS114" s="28"/>
      <c r="AT114" s="28"/>
      <c r="AU114" s="28"/>
      <c r="AV114" s="24"/>
      <c r="AW114" s="28"/>
      <c r="AX114" s="28"/>
      <c r="AY114" s="28"/>
      <c r="AZ114" s="28"/>
      <c r="BA114" s="28"/>
      <c r="BB114" s="28"/>
      <c r="BC114" s="24"/>
      <c r="BD114" s="28"/>
      <c r="BE114" s="28"/>
      <c r="BF114" s="28"/>
      <c r="BG114" s="24"/>
      <c r="BH114" s="28"/>
      <c r="BI114" s="28"/>
      <c r="BJ114" s="28"/>
    </row>
    <row r="115" spans="1:62">
      <c r="A115" s="24"/>
      <c r="B115" s="28"/>
      <c r="C115" s="25"/>
      <c r="D115" s="26"/>
      <c r="E115" s="24"/>
      <c r="F115" s="24"/>
      <c r="G115" s="26"/>
      <c r="H115" s="26"/>
      <c r="I115" s="26"/>
      <c r="J115" s="26"/>
      <c r="K115" s="26"/>
      <c r="L115" s="26"/>
      <c r="M115" s="26"/>
      <c r="N115" s="26"/>
      <c r="P115" s="26"/>
      <c r="Q115" s="26"/>
      <c r="R115" s="25"/>
      <c r="S115" s="25"/>
      <c r="T115" s="25"/>
      <c r="U115" s="25"/>
      <c r="V115" s="24"/>
      <c r="W115" s="24"/>
      <c r="X115" s="24"/>
      <c r="Y115" s="26"/>
      <c r="Z115" s="26"/>
      <c r="AA115" s="24"/>
      <c r="AB115" s="24"/>
      <c r="AC115" s="24"/>
      <c r="AD115" s="24"/>
      <c r="AE115" s="26"/>
      <c r="AF115" s="26"/>
      <c r="AG115" s="24"/>
      <c r="AH115" s="24"/>
      <c r="AI115" s="28"/>
      <c r="AJ115" s="28"/>
      <c r="AK115" s="28"/>
      <c r="AL115" s="28"/>
      <c r="AM115" s="28"/>
      <c r="AN115" s="28"/>
      <c r="AO115" s="28"/>
      <c r="AP115" s="28"/>
      <c r="AQ115" s="28"/>
      <c r="AR115" s="28"/>
      <c r="AS115" s="28"/>
      <c r="AT115" s="28"/>
      <c r="AU115" s="28"/>
      <c r="AV115" s="24"/>
      <c r="AW115" s="28"/>
      <c r="AX115" s="28"/>
      <c r="AY115" s="28"/>
      <c r="AZ115" s="28"/>
      <c r="BA115" s="28"/>
      <c r="BB115" s="28"/>
      <c r="BC115" s="24"/>
      <c r="BD115" s="28"/>
      <c r="BE115" s="28"/>
      <c r="BF115" s="28"/>
      <c r="BG115" s="24"/>
      <c r="BH115" s="28"/>
      <c r="BI115" s="28"/>
      <c r="BJ115" s="28"/>
    </row>
    <row r="116" spans="1:62">
      <c r="A116" s="24"/>
      <c r="B116" s="28"/>
      <c r="C116" s="25"/>
      <c r="D116" s="26"/>
      <c r="E116" s="24"/>
      <c r="F116" s="24"/>
      <c r="G116" s="26"/>
      <c r="H116" s="26"/>
      <c r="I116" s="26"/>
      <c r="J116" s="26"/>
      <c r="K116" s="26"/>
      <c r="L116" s="26"/>
      <c r="M116" s="26"/>
      <c r="N116" s="26"/>
      <c r="P116" s="26"/>
      <c r="Q116" s="26"/>
      <c r="R116" s="25"/>
      <c r="S116" s="25"/>
      <c r="T116" s="25"/>
      <c r="U116" s="25"/>
      <c r="V116" s="24"/>
      <c r="W116" s="24"/>
      <c r="X116" s="24"/>
      <c r="Y116" s="26"/>
      <c r="Z116" s="26"/>
      <c r="AA116" s="24"/>
      <c r="AB116" s="24"/>
      <c r="AC116" s="24"/>
      <c r="AD116" s="24"/>
      <c r="AE116" s="26"/>
      <c r="AF116" s="26"/>
      <c r="AG116" s="24"/>
      <c r="AH116" s="24"/>
      <c r="AI116" s="28"/>
      <c r="AJ116" s="28"/>
      <c r="AK116" s="28"/>
      <c r="AL116" s="28"/>
      <c r="AM116" s="28"/>
      <c r="AN116" s="28"/>
      <c r="AO116" s="28"/>
      <c r="AP116" s="28"/>
      <c r="AQ116" s="28"/>
      <c r="AR116" s="28"/>
      <c r="AS116" s="28"/>
      <c r="AT116" s="28"/>
      <c r="AU116" s="28"/>
      <c r="AV116" s="24"/>
      <c r="AW116" s="28"/>
      <c r="AX116" s="28"/>
      <c r="AY116" s="28"/>
      <c r="AZ116" s="28"/>
      <c r="BA116" s="28"/>
      <c r="BB116" s="28"/>
      <c r="BC116" s="24"/>
      <c r="BD116" s="28"/>
      <c r="BE116" s="28"/>
      <c r="BF116" s="28"/>
      <c r="BG116" s="24"/>
      <c r="BH116" s="28"/>
      <c r="BI116" s="28"/>
      <c r="BJ116" s="28"/>
    </row>
    <row r="117" spans="1:62">
      <c r="A117" s="24"/>
      <c r="B117" s="28"/>
      <c r="C117" s="25"/>
      <c r="D117" s="26"/>
      <c r="E117" s="24"/>
      <c r="F117" s="24"/>
      <c r="G117" s="26"/>
      <c r="H117" s="26"/>
      <c r="I117" s="26"/>
      <c r="J117" s="26"/>
      <c r="K117" s="26"/>
      <c r="L117" s="26"/>
      <c r="M117" s="26"/>
      <c r="N117" s="26"/>
      <c r="P117" s="26"/>
      <c r="Q117" s="26"/>
      <c r="R117" s="25"/>
      <c r="S117" s="25"/>
      <c r="T117" s="25"/>
      <c r="U117" s="25"/>
      <c r="V117" s="24"/>
      <c r="W117" s="24"/>
      <c r="X117" s="24"/>
      <c r="Y117" s="26"/>
      <c r="Z117" s="26"/>
      <c r="AA117" s="24"/>
      <c r="AB117" s="24"/>
      <c r="AC117" s="24"/>
      <c r="AD117" s="24"/>
      <c r="AE117" s="26"/>
      <c r="AF117" s="26"/>
      <c r="AG117" s="24"/>
      <c r="AH117" s="24"/>
      <c r="AI117" s="28"/>
      <c r="AJ117" s="28"/>
      <c r="AK117" s="28"/>
      <c r="AL117" s="28"/>
      <c r="AM117" s="28"/>
      <c r="AN117" s="28"/>
      <c r="AO117" s="28"/>
      <c r="AP117" s="28"/>
      <c r="AQ117" s="28"/>
      <c r="AR117" s="28"/>
      <c r="AS117" s="28"/>
      <c r="AT117" s="28"/>
      <c r="AU117" s="28"/>
      <c r="AV117" s="24"/>
      <c r="AW117" s="28"/>
      <c r="AX117" s="28"/>
      <c r="AY117" s="28"/>
      <c r="AZ117" s="28"/>
      <c r="BA117" s="28"/>
      <c r="BB117" s="28"/>
      <c r="BC117" s="24"/>
      <c r="BD117" s="28"/>
      <c r="BE117" s="28"/>
      <c r="BF117" s="28"/>
      <c r="BG117" s="24"/>
      <c r="BH117" s="28"/>
      <c r="BI117" s="28"/>
      <c r="BJ117" s="28"/>
    </row>
    <row r="118" spans="1:62">
      <c r="A118" s="24"/>
      <c r="B118" s="28"/>
      <c r="C118" s="25"/>
      <c r="D118" s="26"/>
      <c r="E118" s="24"/>
      <c r="F118" s="24"/>
      <c r="G118" s="26"/>
      <c r="H118" s="26"/>
      <c r="I118" s="26"/>
      <c r="J118" s="26"/>
      <c r="K118" s="26"/>
      <c r="L118" s="26"/>
      <c r="M118" s="26"/>
      <c r="N118" s="26"/>
      <c r="P118" s="26"/>
      <c r="Q118" s="26"/>
      <c r="R118" s="25"/>
      <c r="S118" s="25"/>
      <c r="T118" s="25"/>
      <c r="U118" s="25"/>
      <c r="V118" s="24"/>
      <c r="W118" s="24"/>
      <c r="X118" s="24"/>
      <c r="Y118" s="26"/>
      <c r="Z118" s="26"/>
      <c r="AA118" s="24"/>
      <c r="AB118" s="24"/>
      <c r="AC118" s="24"/>
      <c r="AD118" s="24"/>
      <c r="AE118" s="26"/>
      <c r="AF118" s="26"/>
      <c r="AG118" s="24"/>
      <c r="AH118" s="24"/>
      <c r="AI118" s="28"/>
      <c r="AJ118" s="28"/>
      <c r="AK118" s="28"/>
      <c r="AL118" s="28"/>
      <c r="AM118" s="28"/>
      <c r="AN118" s="28"/>
      <c r="AO118" s="28"/>
      <c r="AP118" s="28"/>
      <c r="AQ118" s="28"/>
      <c r="AR118" s="28"/>
      <c r="AS118" s="28"/>
      <c r="AT118" s="28"/>
      <c r="AU118" s="28"/>
      <c r="AV118" s="24"/>
      <c r="AW118" s="28"/>
      <c r="AX118" s="28"/>
      <c r="AY118" s="28"/>
      <c r="AZ118" s="28"/>
      <c r="BA118" s="28"/>
      <c r="BB118" s="28"/>
      <c r="BC118" s="24"/>
      <c r="BD118" s="28"/>
      <c r="BE118" s="28"/>
      <c r="BF118" s="28"/>
      <c r="BG118" s="24"/>
      <c r="BH118" s="28"/>
      <c r="BI118" s="28"/>
      <c r="BJ118" s="28"/>
    </row>
    <row r="119" spans="1:62">
      <c r="A119" s="24"/>
      <c r="B119" s="28"/>
      <c r="C119" s="25"/>
      <c r="D119" s="26"/>
      <c r="E119" s="24"/>
      <c r="F119" s="24"/>
      <c r="G119" s="26"/>
      <c r="H119" s="26"/>
      <c r="I119" s="26"/>
      <c r="J119" s="26"/>
      <c r="K119" s="26"/>
      <c r="L119" s="26"/>
      <c r="M119" s="26"/>
      <c r="N119" s="26"/>
      <c r="P119" s="26"/>
      <c r="Q119" s="26"/>
      <c r="R119" s="25"/>
      <c r="S119" s="25"/>
      <c r="T119" s="25"/>
      <c r="U119" s="25"/>
      <c r="V119" s="24"/>
      <c r="W119" s="24"/>
      <c r="X119" s="24"/>
      <c r="Y119" s="26"/>
      <c r="Z119" s="26"/>
      <c r="AA119" s="24"/>
      <c r="AB119" s="24"/>
      <c r="AC119" s="24"/>
      <c r="AD119" s="24"/>
      <c r="AE119" s="26"/>
      <c r="AF119" s="26"/>
      <c r="AG119" s="24"/>
      <c r="AH119" s="24"/>
      <c r="AI119" s="28"/>
      <c r="AJ119" s="28"/>
      <c r="AK119" s="28"/>
      <c r="AL119" s="28"/>
      <c r="AM119" s="28"/>
      <c r="AN119" s="28"/>
      <c r="AO119" s="28"/>
      <c r="AP119" s="28"/>
      <c r="AQ119" s="28"/>
      <c r="AR119" s="28"/>
      <c r="AS119" s="28"/>
      <c r="AT119" s="28"/>
      <c r="AU119" s="28"/>
      <c r="AV119" s="24"/>
      <c r="AW119" s="28"/>
      <c r="AX119" s="28"/>
      <c r="AY119" s="28"/>
      <c r="AZ119" s="28"/>
      <c r="BA119" s="28"/>
      <c r="BB119" s="28"/>
      <c r="BC119" s="24"/>
      <c r="BD119" s="28"/>
      <c r="BE119" s="28"/>
      <c r="BF119" s="28"/>
      <c r="BG119" s="24"/>
      <c r="BH119" s="28"/>
      <c r="BI119" s="28"/>
      <c r="BJ119" s="28"/>
    </row>
    <row r="120" spans="1:62">
      <c r="A120" s="24"/>
      <c r="B120" s="28"/>
      <c r="C120" s="25"/>
      <c r="D120" s="26"/>
      <c r="E120" s="24"/>
      <c r="F120" s="24"/>
      <c r="G120" s="26"/>
      <c r="H120" s="26"/>
      <c r="I120" s="26"/>
      <c r="J120" s="26"/>
      <c r="K120" s="26"/>
      <c r="L120" s="26"/>
      <c r="M120" s="26"/>
      <c r="N120" s="26"/>
      <c r="P120" s="26"/>
      <c r="Q120" s="26"/>
      <c r="R120" s="25"/>
      <c r="S120" s="25"/>
      <c r="T120" s="25"/>
      <c r="U120" s="25"/>
      <c r="V120" s="24"/>
      <c r="W120" s="24"/>
      <c r="X120" s="24"/>
      <c r="Y120" s="26"/>
      <c r="Z120" s="26"/>
      <c r="AA120" s="24"/>
      <c r="AB120" s="24"/>
      <c r="AC120" s="24"/>
      <c r="AD120" s="24"/>
      <c r="AE120" s="26"/>
      <c r="AF120" s="26"/>
      <c r="AG120" s="24"/>
      <c r="AH120" s="24"/>
      <c r="AI120" s="28"/>
      <c r="AJ120" s="28"/>
      <c r="AK120" s="28"/>
      <c r="AL120" s="28"/>
      <c r="AM120" s="28"/>
      <c r="AN120" s="28"/>
      <c r="AO120" s="28"/>
      <c r="AP120" s="28"/>
      <c r="AQ120" s="28"/>
      <c r="AR120" s="28"/>
      <c r="AS120" s="28"/>
      <c r="AT120" s="28"/>
      <c r="AU120" s="28"/>
      <c r="AV120" s="24"/>
      <c r="AW120" s="28"/>
      <c r="AX120" s="28"/>
      <c r="AY120" s="28"/>
      <c r="AZ120" s="28"/>
      <c r="BA120" s="28"/>
      <c r="BB120" s="28"/>
      <c r="BC120" s="24"/>
      <c r="BD120" s="28"/>
      <c r="BE120" s="28"/>
      <c r="BF120" s="28"/>
      <c r="BG120" s="24"/>
      <c r="BH120" s="28"/>
      <c r="BI120" s="28"/>
      <c r="BJ120" s="28"/>
    </row>
    <row r="121" spans="1:62">
      <c r="A121" s="24"/>
      <c r="B121" s="28"/>
      <c r="C121" s="25"/>
      <c r="D121" s="26"/>
      <c r="E121" s="24"/>
      <c r="F121" s="24"/>
      <c r="G121" s="26"/>
      <c r="H121" s="26"/>
      <c r="I121" s="26"/>
      <c r="J121" s="26"/>
      <c r="K121" s="26"/>
      <c r="L121" s="26"/>
      <c r="M121" s="26"/>
      <c r="N121" s="26"/>
      <c r="P121" s="26"/>
      <c r="Q121" s="26"/>
      <c r="R121" s="25"/>
      <c r="S121" s="25"/>
      <c r="T121" s="25"/>
      <c r="U121" s="25"/>
      <c r="V121" s="24"/>
      <c r="W121" s="24"/>
      <c r="X121" s="24"/>
      <c r="Y121" s="26"/>
      <c r="Z121" s="26"/>
      <c r="AA121" s="24"/>
      <c r="AB121" s="24"/>
      <c r="AC121" s="24"/>
      <c r="AD121" s="24"/>
      <c r="AE121" s="26"/>
      <c r="AF121" s="26"/>
      <c r="AG121" s="24"/>
      <c r="AH121" s="24"/>
      <c r="AI121" s="28"/>
      <c r="AJ121" s="28"/>
      <c r="AK121" s="28"/>
      <c r="AL121" s="28"/>
      <c r="AM121" s="28"/>
      <c r="AN121" s="28"/>
      <c r="AO121" s="28"/>
      <c r="AP121" s="28"/>
      <c r="AQ121" s="28"/>
      <c r="AR121" s="28"/>
      <c r="AS121" s="28"/>
      <c r="AT121" s="28"/>
      <c r="AU121" s="28"/>
      <c r="AV121" s="24"/>
      <c r="AW121" s="28"/>
      <c r="AX121" s="28"/>
      <c r="AY121" s="28"/>
      <c r="AZ121" s="28"/>
      <c r="BA121" s="28"/>
      <c r="BB121" s="28"/>
      <c r="BC121" s="24"/>
      <c r="BD121" s="28"/>
      <c r="BE121" s="28"/>
      <c r="BF121" s="28"/>
      <c r="BG121" s="24"/>
      <c r="BH121" s="28"/>
      <c r="BI121" s="28"/>
      <c r="BJ121" s="28"/>
    </row>
    <row r="122" spans="1:62">
      <c r="A122" s="24"/>
      <c r="B122" s="28"/>
      <c r="C122" s="25"/>
      <c r="D122" s="26"/>
      <c r="E122" s="24"/>
      <c r="F122" s="24"/>
      <c r="G122" s="26"/>
      <c r="H122" s="26"/>
      <c r="I122" s="26"/>
      <c r="J122" s="26"/>
      <c r="K122" s="26"/>
      <c r="L122" s="26"/>
      <c r="M122" s="26"/>
      <c r="N122" s="26"/>
      <c r="P122" s="26"/>
      <c r="Q122" s="26"/>
      <c r="R122" s="25"/>
      <c r="S122" s="25"/>
      <c r="T122" s="25"/>
      <c r="U122" s="25"/>
      <c r="V122" s="24"/>
      <c r="W122" s="24"/>
      <c r="X122" s="24"/>
      <c r="Y122" s="26"/>
      <c r="Z122" s="26"/>
      <c r="AA122" s="24"/>
      <c r="AB122" s="24"/>
      <c r="AC122" s="24"/>
      <c r="AD122" s="24"/>
      <c r="AE122" s="26"/>
      <c r="AF122" s="26"/>
      <c r="AG122" s="24"/>
      <c r="AH122" s="24"/>
      <c r="AI122" s="28"/>
      <c r="AJ122" s="28"/>
      <c r="AK122" s="28"/>
      <c r="AL122" s="28"/>
      <c r="AM122" s="28"/>
      <c r="AN122" s="28"/>
      <c r="AO122" s="28"/>
      <c r="AP122" s="28"/>
      <c r="AQ122" s="28"/>
      <c r="AR122" s="28"/>
      <c r="AS122" s="28"/>
      <c r="AT122" s="28"/>
      <c r="AU122" s="28"/>
      <c r="AV122" s="24"/>
      <c r="AW122" s="28"/>
      <c r="AX122" s="28"/>
      <c r="AY122" s="28"/>
      <c r="AZ122" s="28"/>
      <c r="BA122" s="28"/>
      <c r="BB122" s="28"/>
      <c r="BC122" s="24"/>
      <c r="BD122" s="28"/>
      <c r="BE122" s="28"/>
      <c r="BF122" s="28"/>
      <c r="BG122" s="24"/>
      <c r="BH122" s="28"/>
      <c r="BI122" s="28"/>
      <c r="BJ122" s="28"/>
    </row>
    <row r="123" spans="1:62">
      <c r="A123" s="24"/>
      <c r="B123" s="28"/>
      <c r="C123" s="25"/>
      <c r="D123" s="26"/>
      <c r="E123" s="24"/>
      <c r="F123" s="24"/>
      <c r="G123" s="26"/>
      <c r="H123" s="26"/>
      <c r="I123" s="26"/>
      <c r="J123" s="26"/>
      <c r="K123" s="26"/>
      <c r="L123" s="26"/>
      <c r="M123" s="26"/>
      <c r="N123" s="26"/>
      <c r="P123" s="26"/>
      <c r="Q123" s="26"/>
      <c r="R123" s="25"/>
      <c r="S123" s="25"/>
      <c r="T123" s="25"/>
      <c r="U123" s="25"/>
      <c r="V123" s="24"/>
      <c r="W123" s="24"/>
      <c r="X123" s="24"/>
      <c r="Y123" s="26"/>
      <c r="Z123" s="26"/>
      <c r="AA123" s="24"/>
      <c r="AB123" s="24"/>
      <c r="AC123" s="24"/>
      <c r="AD123" s="24"/>
      <c r="AE123" s="26"/>
      <c r="AF123" s="26"/>
      <c r="AG123" s="24"/>
      <c r="AH123" s="24"/>
      <c r="AI123" s="28"/>
      <c r="AJ123" s="28"/>
      <c r="AK123" s="28"/>
      <c r="AL123" s="28"/>
      <c r="AM123" s="28"/>
      <c r="AN123" s="28"/>
      <c r="AO123" s="28"/>
      <c r="AP123" s="28"/>
      <c r="AQ123" s="28"/>
      <c r="AR123" s="28"/>
      <c r="AS123" s="28"/>
      <c r="AT123" s="28"/>
      <c r="AU123" s="28"/>
      <c r="AV123" s="24"/>
      <c r="AW123" s="28"/>
      <c r="AX123" s="28"/>
      <c r="AY123" s="28"/>
      <c r="AZ123" s="28"/>
      <c r="BA123" s="28"/>
      <c r="BB123" s="28"/>
      <c r="BC123" s="24"/>
      <c r="BD123" s="28"/>
      <c r="BE123" s="28"/>
      <c r="BF123" s="28"/>
      <c r="BG123" s="24"/>
      <c r="BH123" s="28"/>
      <c r="BI123" s="28"/>
      <c r="BJ123" s="28"/>
    </row>
    <row r="124" spans="1:62">
      <c r="A124" s="24"/>
      <c r="B124" s="28"/>
      <c r="C124" s="25"/>
      <c r="D124" s="26"/>
      <c r="E124" s="24"/>
      <c r="F124" s="24"/>
      <c r="G124" s="26"/>
      <c r="H124" s="26"/>
      <c r="I124" s="26"/>
      <c r="J124" s="26"/>
      <c r="K124" s="26"/>
      <c r="L124" s="26"/>
      <c r="M124" s="26"/>
      <c r="N124" s="26"/>
      <c r="P124" s="26"/>
      <c r="Q124" s="26"/>
      <c r="R124" s="25"/>
      <c r="S124" s="25"/>
      <c r="T124" s="25"/>
      <c r="U124" s="25"/>
      <c r="V124" s="24"/>
      <c r="W124" s="24"/>
      <c r="X124" s="24"/>
      <c r="Y124" s="26"/>
      <c r="Z124" s="26"/>
      <c r="AA124" s="24"/>
      <c r="AB124" s="24"/>
      <c r="AC124" s="24"/>
      <c r="AD124" s="24"/>
      <c r="AE124" s="26"/>
      <c r="AF124" s="26"/>
      <c r="AG124" s="24"/>
      <c r="AH124" s="24"/>
      <c r="AI124" s="28"/>
      <c r="AJ124" s="28"/>
      <c r="AK124" s="28"/>
      <c r="AL124" s="28"/>
      <c r="AM124" s="28"/>
      <c r="AN124" s="28"/>
      <c r="AO124" s="28"/>
      <c r="AP124" s="28"/>
      <c r="AQ124" s="28"/>
      <c r="AR124" s="28"/>
      <c r="AS124" s="28"/>
      <c r="AT124" s="28"/>
      <c r="AU124" s="28"/>
      <c r="AV124" s="24"/>
      <c r="AW124" s="28"/>
      <c r="AX124" s="28"/>
      <c r="AY124" s="28"/>
      <c r="AZ124" s="28"/>
      <c r="BA124" s="28"/>
      <c r="BB124" s="28"/>
      <c r="BC124" s="24"/>
      <c r="BD124" s="28"/>
      <c r="BE124" s="28"/>
      <c r="BF124" s="28"/>
      <c r="BG124" s="24"/>
      <c r="BH124" s="28"/>
      <c r="BI124" s="28"/>
      <c r="BJ124" s="28"/>
    </row>
    <row r="125" spans="1:62">
      <c r="A125" s="24"/>
      <c r="B125" s="28"/>
      <c r="C125" s="25"/>
      <c r="D125" s="26"/>
      <c r="E125" s="24"/>
      <c r="F125" s="24"/>
      <c r="G125" s="26"/>
      <c r="H125" s="26"/>
      <c r="I125" s="26"/>
      <c r="J125" s="26"/>
      <c r="K125" s="26"/>
      <c r="L125" s="26"/>
      <c r="M125" s="26"/>
      <c r="N125" s="26"/>
      <c r="P125" s="26"/>
      <c r="Q125" s="26"/>
      <c r="R125" s="25"/>
      <c r="S125" s="25"/>
      <c r="T125" s="25"/>
      <c r="U125" s="25"/>
      <c r="V125" s="24"/>
      <c r="W125" s="24"/>
      <c r="X125" s="24"/>
      <c r="Y125" s="26"/>
      <c r="Z125" s="26"/>
      <c r="AA125" s="24"/>
      <c r="AB125" s="24"/>
      <c r="AC125" s="24"/>
      <c r="AD125" s="24"/>
      <c r="AE125" s="26"/>
      <c r="AF125" s="26"/>
      <c r="AG125" s="24"/>
      <c r="AH125" s="24"/>
      <c r="AI125" s="28"/>
      <c r="AJ125" s="28"/>
      <c r="AK125" s="28"/>
      <c r="AL125" s="28"/>
      <c r="AM125" s="28"/>
      <c r="AN125" s="28"/>
      <c r="AO125" s="28"/>
      <c r="AP125" s="28"/>
      <c r="AQ125" s="28"/>
      <c r="AR125" s="28"/>
      <c r="AS125" s="28"/>
      <c r="AT125" s="28"/>
      <c r="AU125" s="28"/>
      <c r="AV125" s="24"/>
      <c r="AW125" s="28"/>
      <c r="AX125" s="28"/>
      <c r="AY125" s="28"/>
      <c r="AZ125" s="28"/>
      <c r="BA125" s="28"/>
      <c r="BB125" s="28"/>
      <c r="BC125" s="24"/>
      <c r="BD125" s="28"/>
      <c r="BE125" s="28"/>
      <c r="BF125" s="28"/>
      <c r="BG125" s="24"/>
      <c r="BH125" s="28"/>
      <c r="BI125" s="28"/>
      <c r="BJ125" s="28"/>
    </row>
    <row r="126" spans="1:62">
      <c r="A126" s="24"/>
      <c r="B126" s="28"/>
      <c r="C126" s="25"/>
      <c r="D126" s="26"/>
      <c r="E126" s="24"/>
      <c r="F126" s="24"/>
      <c r="G126" s="26"/>
      <c r="H126" s="26"/>
      <c r="I126" s="26"/>
      <c r="J126" s="26"/>
      <c r="K126" s="26"/>
      <c r="L126" s="26"/>
      <c r="M126" s="26"/>
      <c r="N126" s="26"/>
      <c r="P126" s="26"/>
      <c r="Q126" s="26"/>
      <c r="R126" s="25"/>
      <c r="S126" s="25"/>
      <c r="T126" s="25"/>
      <c r="U126" s="25"/>
      <c r="V126" s="24"/>
      <c r="W126" s="24"/>
      <c r="X126" s="24"/>
      <c r="Y126" s="26"/>
      <c r="Z126" s="26"/>
      <c r="AA126" s="24"/>
      <c r="AB126" s="24"/>
      <c r="AC126" s="24"/>
      <c r="AD126" s="24"/>
      <c r="AE126" s="26"/>
      <c r="AF126" s="26"/>
      <c r="AG126" s="24"/>
      <c r="AH126" s="24"/>
      <c r="AI126" s="28"/>
      <c r="AJ126" s="28"/>
      <c r="AK126" s="28"/>
      <c r="AL126" s="28"/>
      <c r="AM126" s="28"/>
      <c r="AN126" s="28"/>
      <c r="AO126" s="28"/>
      <c r="AP126" s="28"/>
      <c r="AQ126" s="28"/>
      <c r="AR126" s="28"/>
      <c r="AS126" s="28"/>
      <c r="AT126" s="28"/>
      <c r="AU126" s="28"/>
      <c r="AV126" s="24"/>
      <c r="AW126" s="28"/>
      <c r="AX126" s="28"/>
      <c r="AY126" s="28"/>
      <c r="AZ126" s="28"/>
      <c r="BA126" s="28"/>
      <c r="BB126" s="28"/>
      <c r="BC126" s="24"/>
      <c r="BD126" s="28"/>
      <c r="BE126" s="28"/>
      <c r="BF126" s="28"/>
      <c r="BG126" s="24"/>
      <c r="BH126" s="28"/>
      <c r="BI126" s="28"/>
      <c r="BJ126" s="28"/>
    </row>
    <row r="127" spans="1:62">
      <c r="A127" s="24"/>
      <c r="B127" s="28"/>
      <c r="C127" s="25"/>
      <c r="D127" s="26"/>
      <c r="E127" s="24"/>
      <c r="F127" s="24"/>
      <c r="G127" s="26"/>
      <c r="H127" s="26"/>
      <c r="I127" s="26"/>
      <c r="J127" s="26"/>
      <c r="K127" s="26"/>
      <c r="L127" s="26"/>
      <c r="M127" s="26"/>
      <c r="N127" s="26"/>
      <c r="P127" s="26"/>
      <c r="Q127" s="26"/>
      <c r="R127" s="25"/>
      <c r="S127" s="25"/>
      <c r="T127" s="25"/>
      <c r="U127" s="25"/>
      <c r="V127" s="24"/>
      <c r="W127" s="24"/>
      <c r="X127" s="24"/>
      <c r="Y127" s="26"/>
      <c r="Z127" s="26"/>
      <c r="AA127" s="24"/>
      <c r="AB127" s="24"/>
      <c r="AC127" s="24"/>
      <c r="AD127" s="24"/>
      <c r="AE127" s="26"/>
      <c r="AF127" s="26"/>
      <c r="AG127" s="24"/>
      <c r="AH127" s="24"/>
      <c r="AI127" s="28"/>
      <c r="AJ127" s="28"/>
      <c r="AK127" s="28"/>
      <c r="AL127" s="28"/>
      <c r="AM127" s="28"/>
      <c r="AN127" s="28"/>
      <c r="AO127" s="28"/>
      <c r="AP127" s="28"/>
      <c r="AQ127" s="28"/>
      <c r="AR127" s="28"/>
      <c r="AS127" s="28"/>
      <c r="AT127" s="28"/>
      <c r="AU127" s="28"/>
      <c r="AV127" s="24"/>
      <c r="AW127" s="28"/>
      <c r="AX127" s="28"/>
      <c r="AY127" s="28"/>
      <c r="AZ127" s="28"/>
      <c r="BA127" s="28"/>
      <c r="BB127" s="28"/>
      <c r="BC127" s="24"/>
      <c r="BD127" s="28"/>
      <c r="BE127" s="28"/>
      <c r="BF127" s="28"/>
      <c r="BG127" s="24"/>
      <c r="BH127" s="28"/>
      <c r="BI127" s="28"/>
      <c r="BJ127" s="28"/>
    </row>
    <row r="128" spans="1:62">
      <c r="A128" s="24"/>
      <c r="B128" s="28"/>
      <c r="C128" s="25"/>
      <c r="D128" s="26"/>
      <c r="E128" s="24"/>
      <c r="F128" s="24"/>
      <c r="G128" s="26"/>
      <c r="H128" s="26"/>
      <c r="I128" s="26"/>
      <c r="J128" s="26"/>
      <c r="K128" s="26"/>
      <c r="L128" s="26"/>
      <c r="M128" s="26"/>
      <c r="N128" s="26"/>
      <c r="P128" s="26"/>
      <c r="Q128" s="26"/>
      <c r="R128" s="25"/>
      <c r="S128" s="25"/>
      <c r="T128" s="25"/>
      <c r="U128" s="25"/>
      <c r="V128" s="24"/>
      <c r="W128" s="24"/>
      <c r="X128" s="24"/>
      <c r="Y128" s="26"/>
      <c r="Z128" s="26"/>
      <c r="AA128" s="24"/>
      <c r="AB128" s="24"/>
      <c r="AC128" s="24"/>
      <c r="AD128" s="24"/>
      <c r="AE128" s="26"/>
      <c r="AF128" s="26"/>
      <c r="AG128" s="24"/>
      <c r="AH128" s="24"/>
      <c r="AI128" s="28"/>
      <c r="AJ128" s="28"/>
      <c r="AK128" s="28"/>
      <c r="AL128" s="28"/>
      <c r="AM128" s="28"/>
      <c r="AN128" s="28"/>
      <c r="AO128" s="28"/>
      <c r="AP128" s="28"/>
      <c r="AQ128" s="28"/>
      <c r="AR128" s="28"/>
      <c r="AS128" s="28"/>
      <c r="AT128" s="28"/>
      <c r="AU128" s="28"/>
      <c r="AV128" s="24"/>
      <c r="AW128" s="28"/>
      <c r="AX128" s="28"/>
      <c r="AY128" s="28"/>
      <c r="AZ128" s="28"/>
      <c r="BA128" s="28"/>
      <c r="BB128" s="28"/>
      <c r="BC128" s="24"/>
      <c r="BD128" s="28"/>
      <c r="BE128" s="28"/>
      <c r="BF128" s="28"/>
      <c r="BG128" s="24"/>
      <c r="BH128" s="28"/>
      <c r="BI128" s="28"/>
      <c r="BJ128" s="28"/>
    </row>
    <row r="129" spans="1:62">
      <c r="A129" s="24"/>
      <c r="B129" s="28"/>
      <c r="C129" s="25"/>
      <c r="D129" s="26"/>
      <c r="E129" s="24"/>
      <c r="F129" s="24"/>
      <c r="G129" s="26"/>
      <c r="H129" s="26"/>
      <c r="I129" s="26"/>
      <c r="J129" s="26"/>
      <c r="K129" s="26"/>
      <c r="L129" s="26"/>
      <c r="M129" s="26"/>
      <c r="N129" s="26"/>
      <c r="P129" s="26"/>
      <c r="Q129" s="26"/>
      <c r="R129" s="25"/>
      <c r="S129" s="25"/>
      <c r="T129" s="25"/>
      <c r="U129" s="25"/>
      <c r="V129" s="24"/>
      <c r="W129" s="24"/>
      <c r="X129" s="24"/>
      <c r="Y129" s="26"/>
      <c r="Z129" s="26"/>
      <c r="AA129" s="24"/>
      <c r="AB129" s="24"/>
      <c r="AC129" s="24"/>
      <c r="AD129" s="24"/>
      <c r="AE129" s="26"/>
      <c r="AF129" s="26"/>
      <c r="AG129" s="24"/>
      <c r="AH129" s="24"/>
      <c r="AI129" s="28"/>
      <c r="AJ129" s="28"/>
      <c r="AK129" s="28"/>
      <c r="AL129" s="28"/>
      <c r="AM129" s="28"/>
      <c r="AN129" s="28"/>
      <c r="AO129" s="28"/>
      <c r="AP129" s="28"/>
      <c r="AQ129" s="28"/>
      <c r="AR129" s="28"/>
      <c r="AS129" s="28"/>
      <c r="AT129" s="28"/>
      <c r="AU129" s="28"/>
      <c r="AV129" s="24"/>
      <c r="AW129" s="28"/>
      <c r="AX129" s="28"/>
      <c r="AY129" s="28"/>
      <c r="AZ129" s="28"/>
      <c r="BA129" s="28"/>
      <c r="BB129" s="28"/>
      <c r="BC129" s="24"/>
      <c r="BD129" s="28"/>
      <c r="BE129" s="28"/>
      <c r="BF129" s="28"/>
      <c r="BG129" s="24"/>
      <c r="BH129" s="28"/>
      <c r="BI129" s="28"/>
      <c r="BJ129" s="28"/>
    </row>
    <row r="130" spans="1:62">
      <c r="A130" s="24"/>
      <c r="B130" s="28"/>
      <c r="C130" s="25"/>
      <c r="D130" s="26"/>
      <c r="E130" s="24"/>
      <c r="F130" s="24"/>
      <c r="G130" s="26"/>
      <c r="H130" s="26"/>
      <c r="I130" s="26"/>
      <c r="J130" s="26"/>
      <c r="K130" s="26"/>
      <c r="L130" s="26"/>
      <c r="M130" s="26"/>
      <c r="N130" s="26"/>
      <c r="P130" s="26"/>
      <c r="Q130" s="26"/>
      <c r="R130" s="25"/>
      <c r="S130" s="25"/>
      <c r="T130" s="25"/>
      <c r="U130" s="25"/>
      <c r="V130" s="24"/>
      <c r="W130" s="24"/>
      <c r="X130" s="24"/>
      <c r="Y130" s="26"/>
      <c r="Z130" s="26"/>
      <c r="AA130" s="24"/>
      <c r="AB130" s="24"/>
      <c r="AC130" s="24"/>
      <c r="AD130" s="24"/>
      <c r="AE130" s="26"/>
      <c r="AF130" s="26"/>
      <c r="AG130" s="24"/>
      <c r="AH130" s="24"/>
      <c r="AI130" s="28"/>
      <c r="AJ130" s="28"/>
      <c r="AK130" s="28"/>
      <c r="AL130" s="28"/>
      <c r="AM130" s="28"/>
      <c r="AN130" s="28"/>
      <c r="AO130" s="28"/>
      <c r="AP130" s="28"/>
      <c r="AQ130" s="28"/>
      <c r="AR130" s="28"/>
      <c r="AS130" s="28"/>
      <c r="AT130" s="28"/>
      <c r="AU130" s="28"/>
      <c r="AV130" s="24"/>
      <c r="AW130" s="28"/>
      <c r="AX130" s="28"/>
      <c r="AY130" s="28"/>
      <c r="AZ130" s="28"/>
      <c r="BA130" s="28"/>
      <c r="BB130" s="28"/>
      <c r="BC130" s="24"/>
      <c r="BD130" s="28"/>
      <c r="BE130" s="28"/>
      <c r="BF130" s="28"/>
      <c r="BG130" s="24"/>
      <c r="BH130" s="28"/>
      <c r="BI130" s="28"/>
      <c r="BJ130" s="28"/>
    </row>
    <row r="131" spans="1:62">
      <c r="A131" s="24"/>
      <c r="B131" s="28"/>
      <c r="C131" s="25"/>
      <c r="D131" s="26"/>
      <c r="E131" s="24"/>
      <c r="F131" s="24"/>
      <c r="G131" s="26"/>
      <c r="H131" s="26"/>
      <c r="I131" s="26"/>
      <c r="J131" s="26"/>
      <c r="K131" s="26"/>
      <c r="L131" s="26"/>
      <c r="M131" s="26"/>
      <c r="N131" s="26"/>
      <c r="P131" s="26"/>
      <c r="Q131" s="26"/>
      <c r="R131" s="25"/>
      <c r="S131" s="25"/>
      <c r="T131" s="25"/>
      <c r="U131" s="25"/>
      <c r="V131" s="24"/>
      <c r="W131" s="24"/>
      <c r="X131" s="24"/>
      <c r="Y131" s="26"/>
      <c r="Z131" s="26"/>
      <c r="AA131" s="24"/>
      <c r="AB131" s="24"/>
      <c r="AC131" s="24"/>
      <c r="AD131" s="24"/>
      <c r="AE131" s="26"/>
      <c r="AF131" s="26"/>
      <c r="AG131" s="24"/>
      <c r="AH131" s="24"/>
      <c r="AI131" s="28"/>
      <c r="AJ131" s="28"/>
      <c r="AK131" s="28"/>
      <c r="AL131" s="28"/>
      <c r="AM131" s="28"/>
      <c r="AN131" s="28"/>
      <c r="AO131" s="28"/>
      <c r="AP131" s="28"/>
      <c r="AQ131" s="28"/>
      <c r="AR131" s="28"/>
      <c r="AS131" s="28"/>
      <c r="AT131" s="28"/>
      <c r="AU131" s="28"/>
      <c r="AV131" s="24"/>
      <c r="AW131" s="28"/>
      <c r="AX131" s="28"/>
      <c r="AY131" s="28"/>
      <c r="AZ131" s="28"/>
      <c r="BA131" s="28"/>
      <c r="BB131" s="28"/>
      <c r="BC131" s="24"/>
      <c r="BD131" s="28"/>
      <c r="BE131" s="28"/>
      <c r="BF131" s="28"/>
      <c r="BG131" s="24"/>
      <c r="BH131" s="28"/>
      <c r="BI131" s="28"/>
      <c r="BJ131" s="28"/>
    </row>
    <row r="132" spans="1:62">
      <c r="A132" s="24"/>
      <c r="B132" s="28"/>
      <c r="C132" s="25"/>
      <c r="D132" s="26"/>
      <c r="E132" s="24"/>
      <c r="F132" s="24"/>
      <c r="G132" s="26"/>
      <c r="H132" s="26"/>
      <c r="I132" s="26"/>
      <c r="J132" s="26"/>
      <c r="K132" s="26"/>
      <c r="L132" s="26"/>
      <c r="M132" s="26"/>
      <c r="N132" s="26"/>
      <c r="P132" s="26"/>
      <c r="Q132" s="26"/>
      <c r="R132" s="25"/>
      <c r="S132" s="25"/>
      <c r="T132" s="25"/>
      <c r="U132" s="25"/>
      <c r="V132" s="24"/>
      <c r="W132" s="24"/>
      <c r="X132" s="24"/>
      <c r="Y132" s="26"/>
      <c r="Z132" s="26"/>
      <c r="AA132" s="24"/>
      <c r="AB132" s="24"/>
      <c r="AC132" s="24"/>
      <c r="AD132" s="24"/>
      <c r="AE132" s="26"/>
      <c r="AF132" s="26"/>
      <c r="AG132" s="24"/>
      <c r="AH132" s="24"/>
      <c r="AI132" s="28"/>
      <c r="AJ132" s="28"/>
      <c r="AK132" s="28"/>
      <c r="AL132" s="28"/>
      <c r="AM132" s="28"/>
      <c r="AN132" s="28"/>
      <c r="AO132" s="28"/>
      <c r="AP132" s="28"/>
      <c r="AQ132" s="28"/>
      <c r="AR132" s="28"/>
      <c r="AS132" s="28"/>
      <c r="AT132" s="28"/>
      <c r="AU132" s="28"/>
      <c r="AV132" s="24"/>
      <c r="AW132" s="28"/>
      <c r="AX132" s="28"/>
      <c r="AY132" s="28"/>
      <c r="AZ132" s="28"/>
      <c r="BA132" s="28"/>
      <c r="BB132" s="28"/>
      <c r="BC132" s="24"/>
      <c r="BD132" s="28"/>
      <c r="BE132" s="28"/>
      <c r="BF132" s="28"/>
      <c r="BG132" s="24"/>
      <c r="BH132" s="28"/>
      <c r="BI132" s="28"/>
      <c r="BJ132" s="28"/>
    </row>
    <row r="133" spans="1:62">
      <c r="A133" s="24"/>
      <c r="B133" s="28"/>
      <c r="C133" s="25"/>
      <c r="D133" s="26"/>
      <c r="E133" s="24"/>
      <c r="F133" s="24"/>
      <c r="G133" s="26"/>
      <c r="H133" s="26"/>
      <c r="I133" s="26"/>
      <c r="J133" s="26"/>
      <c r="K133" s="26"/>
      <c r="L133" s="26"/>
      <c r="M133" s="26"/>
      <c r="N133" s="26"/>
      <c r="P133" s="26"/>
      <c r="Q133" s="26"/>
      <c r="R133" s="25"/>
      <c r="S133" s="25"/>
      <c r="T133" s="25"/>
      <c r="U133" s="25"/>
      <c r="V133" s="24"/>
      <c r="W133" s="24"/>
      <c r="X133" s="24"/>
      <c r="Y133" s="26"/>
      <c r="Z133" s="26"/>
      <c r="AA133" s="24"/>
      <c r="AB133" s="24"/>
      <c r="AC133" s="24"/>
      <c r="AD133" s="24"/>
      <c r="AE133" s="26"/>
      <c r="AF133" s="26"/>
      <c r="AG133" s="24"/>
      <c r="AH133" s="24"/>
      <c r="AI133" s="28"/>
      <c r="AJ133" s="28"/>
      <c r="AK133" s="28"/>
      <c r="AL133" s="28"/>
      <c r="AM133" s="28"/>
      <c r="AN133" s="28"/>
      <c r="AO133" s="28"/>
      <c r="AP133" s="28"/>
      <c r="AQ133" s="28"/>
      <c r="AR133" s="28"/>
      <c r="AS133" s="28"/>
      <c r="AT133" s="28"/>
      <c r="AU133" s="28"/>
      <c r="AV133" s="24"/>
      <c r="AW133" s="28"/>
      <c r="AX133" s="28"/>
      <c r="AY133" s="28"/>
      <c r="AZ133" s="28"/>
      <c r="BA133" s="28"/>
      <c r="BB133" s="28"/>
      <c r="BC133" s="24"/>
      <c r="BD133" s="28"/>
      <c r="BE133" s="28"/>
      <c r="BF133" s="28"/>
      <c r="BG133" s="24"/>
      <c r="BH133" s="28"/>
      <c r="BI133" s="28"/>
      <c r="BJ133" s="28"/>
    </row>
    <row r="134" spans="1:62">
      <c r="A134" s="24"/>
      <c r="B134" s="28"/>
      <c r="C134" s="25"/>
      <c r="D134" s="26"/>
      <c r="E134" s="24"/>
      <c r="F134" s="24"/>
      <c r="G134" s="26"/>
      <c r="H134" s="26"/>
      <c r="I134" s="26"/>
      <c r="J134" s="26"/>
      <c r="K134" s="26"/>
      <c r="L134" s="26"/>
      <c r="M134" s="26"/>
      <c r="N134" s="26"/>
      <c r="P134" s="26"/>
      <c r="Q134" s="26"/>
      <c r="R134" s="25"/>
      <c r="S134" s="25"/>
      <c r="T134" s="25"/>
      <c r="U134" s="25"/>
      <c r="V134" s="24"/>
      <c r="W134" s="24"/>
      <c r="X134" s="24"/>
      <c r="Y134" s="26"/>
      <c r="Z134" s="26"/>
      <c r="AA134" s="24"/>
      <c r="AB134" s="24"/>
      <c r="AC134" s="24"/>
      <c r="AD134" s="24"/>
      <c r="AE134" s="26"/>
      <c r="AF134" s="26"/>
      <c r="AG134" s="24"/>
      <c r="AH134" s="24"/>
      <c r="AI134" s="28"/>
      <c r="AJ134" s="28"/>
      <c r="AK134" s="28"/>
      <c r="AL134" s="28"/>
      <c r="AM134" s="28"/>
      <c r="AN134" s="28"/>
      <c r="AO134" s="28"/>
      <c r="AP134" s="28"/>
      <c r="AQ134" s="28"/>
      <c r="AR134" s="28"/>
      <c r="AS134" s="28"/>
      <c r="AT134" s="28"/>
      <c r="AU134" s="28"/>
      <c r="AV134" s="24"/>
      <c r="AW134" s="28"/>
      <c r="AX134" s="28"/>
      <c r="AY134" s="28"/>
      <c r="AZ134" s="28"/>
      <c r="BA134" s="28"/>
      <c r="BB134" s="28"/>
      <c r="BC134" s="24"/>
      <c r="BD134" s="28"/>
      <c r="BE134" s="28"/>
      <c r="BF134" s="28"/>
      <c r="BG134" s="24"/>
      <c r="BH134" s="28"/>
      <c r="BI134" s="28"/>
      <c r="BJ134" s="28"/>
    </row>
    <row r="135" spans="1:62">
      <c r="A135" s="24"/>
      <c r="B135" s="28"/>
      <c r="C135" s="25"/>
      <c r="D135" s="26"/>
      <c r="E135" s="24"/>
      <c r="F135" s="24"/>
      <c r="G135" s="26"/>
      <c r="H135" s="26"/>
      <c r="I135" s="26"/>
      <c r="J135" s="26"/>
      <c r="K135" s="26"/>
      <c r="L135" s="26"/>
      <c r="M135" s="26"/>
      <c r="N135" s="26"/>
      <c r="P135" s="26"/>
      <c r="Q135" s="26"/>
      <c r="R135" s="25"/>
      <c r="S135" s="25"/>
      <c r="T135" s="25"/>
      <c r="U135" s="25"/>
      <c r="V135" s="24"/>
      <c r="W135" s="24"/>
      <c r="X135" s="24"/>
      <c r="Y135" s="26"/>
      <c r="Z135" s="26"/>
      <c r="AA135" s="24"/>
      <c r="AB135" s="24"/>
      <c r="AC135" s="24"/>
      <c r="AD135" s="24"/>
      <c r="AE135" s="26"/>
      <c r="AF135" s="26"/>
      <c r="AG135" s="24"/>
      <c r="AH135" s="24"/>
      <c r="AI135" s="28"/>
      <c r="AJ135" s="28"/>
      <c r="AK135" s="28"/>
      <c r="AL135" s="28"/>
      <c r="AM135" s="28"/>
      <c r="AN135" s="28"/>
      <c r="AO135" s="28"/>
      <c r="AP135" s="28"/>
      <c r="AQ135" s="28"/>
      <c r="AR135" s="28"/>
      <c r="AS135" s="28"/>
      <c r="AT135" s="28"/>
      <c r="AU135" s="28"/>
      <c r="AV135" s="24"/>
      <c r="AW135" s="28"/>
      <c r="AX135" s="28"/>
      <c r="AY135" s="28"/>
      <c r="AZ135" s="28"/>
      <c r="BA135" s="28"/>
      <c r="BB135" s="28"/>
      <c r="BC135" s="24"/>
      <c r="BD135" s="28"/>
      <c r="BE135" s="28"/>
      <c r="BF135" s="28"/>
      <c r="BG135" s="24"/>
      <c r="BH135" s="28"/>
      <c r="BI135" s="28"/>
      <c r="BJ135" s="28"/>
    </row>
    <row r="136" spans="1:62">
      <c r="A136" s="24"/>
      <c r="B136" s="28"/>
      <c r="C136" s="25"/>
      <c r="D136" s="26"/>
      <c r="E136" s="24"/>
      <c r="F136" s="24"/>
      <c r="G136" s="26"/>
      <c r="H136" s="26"/>
      <c r="I136" s="26"/>
      <c r="J136" s="26"/>
      <c r="K136" s="26"/>
      <c r="L136" s="26"/>
      <c r="M136" s="26"/>
      <c r="N136" s="26"/>
      <c r="P136" s="26"/>
      <c r="Q136" s="26"/>
      <c r="R136" s="25"/>
      <c r="S136" s="25"/>
      <c r="T136" s="25"/>
      <c r="U136" s="25"/>
      <c r="V136" s="24"/>
      <c r="W136" s="24"/>
      <c r="X136" s="24"/>
      <c r="Y136" s="26"/>
      <c r="Z136" s="26"/>
      <c r="AA136" s="24"/>
      <c r="AB136" s="24"/>
      <c r="AC136" s="24"/>
      <c r="AD136" s="24"/>
      <c r="AE136" s="26"/>
      <c r="AF136" s="26"/>
      <c r="AG136" s="24"/>
      <c r="AH136" s="24"/>
      <c r="AI136" s="28"/>
      <c r="AJ136" s="28"/>
      <c r="AK136" s="28"/>
      <c r="AL136" s="28"/>
      <c r="AM136" s="28"/>
      <c r="AN136" s="28"/>
      <c r="AO136" s="28"/>
      <c r="AP136" s="28"/>
      <c r="AQ136" s="28"/>
      <c r="AR136" s="28"/>
      <c r="AS136" s="28"/>
      <c r="AT136" s="28"/>
      <c r="AU136" s="28"/>
      <c r="AV136" s="24"/>
      <c r="AW136" s="28"/>
      <c r="AX136" s="28"/>
      <c r="AY136" s="28"/>
      <c r="AZ136" s="28"/>
      <c r="BA136" s="28"/>
      <c r="BB136" s="28"/>
      <c r="BC136" s="24"/>
      <c r="BD136" s="28"/>
      <c r="BE136" s="28"/>
      <c r="BF136" s="28"/>
      <c r="BG136" s="24"/>
      <c r="BH136" s="28"/>
      <c r="BI136" s="28"/>
      <c r="BJ136" s="28"/>
    </row>
    <row r="137" spans="1:62">
      <c r="A137" s="24"/>
      <c r="B137" s="28"/>
      <c r="C137" s="25"/>
      <c r="D137" s="26"/>
      <c r="E137" s="24"/>
      <c r="F137" s="24"/>
      <c r="G137" s="26"/>
      <c r="H137" s="26"/>
      <c r="I137" s="26"/>
      <c r="J137" s="26"/>
      <c r="K137" s="26"/>
      <c r="L137" s="26"/>
      <c r="M137" s="26"/>
      <c r="N137" s="26"/>
      <c r="P137" s="26"/>
      <c r="Q137" s="26"/>
      <c r="R137" s="25"/>
      <c r="S137" s="25"/>
      <c r="T137" s="25"/>
      <c r="U137" s="25"/>
      <c r="V137" s="24"/>
      <c r="W137" s="24"/>
      <c r="X137" s="24"/>
      <c r="Y137" s="26"/>
      <c r="Z137" s="26"/>
      <c r="AA137" s="24"/>
      <c r="AB137" s="24"/>
      <c r="AC137" s="24"/>
      <c r="AD137" s="24"/>
      <c r="AE137" s="26"/>
      <c r="AF137" s="26"/>
      <c r="AG137" s="24"/>
      <c r="AH137" s="24"/>
      <c r="AI137" s="28"/>
      <c r="AJ137" s="28"/>
      <c r="AK137" s="28"/>
      <c r="AL137" s="28"/>
      <c r="AM137" s="28"/>
      <c r="AN137" s="28"/>
      <c r="AO137" s="28"/>
      <c r="AP137" s="28"/>
      <c r="AQ137" s="28"/>
      <c r="AR137" s="28"/>
      <c r="AS137" s="28"/>
      <c r="AT137" s="28"/>
      <c r="AU137" s="28"/>
      <c r="AV137" s="24"/>
      <c r="AW137" s="28"/>
      <c r="AX137" s="28"/>
      <c r="AY137" s="28"/>
      <c r="AZ137" s="28"/>
      <c r="BA137" s="28"/>
      <c r="BB137" s="28"/>
      <c r="BC137" s="24"/>
      <c r="BD137" s="28"/>
      <c r="BE137" s="28"/>
      <c r="BF137" s="28"/>
      <c r="BG137" s="24"/>
      <c r="BH137" s="28"/>
      <c r="BI137" s="28"/>
      <c r="BJ137" s="28"/>
    </row>
    <row r="138" spans="1:62">
      <c r="A138" s="24"/>
      <c r="B138" s="28"/>
      <c r="C138" s="25"/>
      <c r="D138" s="26"/>
      <c r="E138" s="24"/>
      <c r="F138" s="24"/>
      <c r="G138" s="26"/>
      <c r="H138" s="26"/>
      <c r="I138" s="26"/>
      <c r="J138" s="26"/>
      <c r="K138" s="26"/>
      <c r="L138" s="26"/>
      <c r="M138" s="26"/>
      <c r="N138" s="26"/>
      <c r="P138" s="26"/>
      <c r="Q138" s="26"/>
      <c r="R138" s="25"/>
      <c r="S138" s="25"/>
      <c r="T138" s="25"/>
      <c r="U138" s="25"/>
      <c r="V138" s="24"/>
      <c r="W138" s="24"/>
      <c r="X138" s="24"/>
      <c r="Y138" s="26"/>
      <c r="Z138" s="26"/>
      <c r="AA138" s="24"/>
      <c r="AB138" s="24"/>
      <c r="AC138" s="24"/>
      <c r="AD138" s="24"/>
      <c r="AE138" s="26"/>
      <c r="AF138" s="26"/>
      <c r="AG138" s="24"/>
      <c r="AH138" s="24"/>
      <c r="AI138" s="28"/>
      <c r="AJ138" s="28"/>
      <c r="AK138" s="28"/>
      <c r="AL138" s="28"/>
      <c r="AM138" s="28"/>
      <c r="AN138" s="28"/>
      <c r="AO138" s="28"/>
      <c r="AP138" s="28"/>
      <c r="AQ138" s="28"/>
      <c r="AR138" s="28"/>
      <c r="AS138" s="28"/>
      <c r="AT138" s="28"/>
      <c r="AU138" s="28"/>
      <c r="AV138" s="24"/>
      <c r="AW138" s="28"/>
      <c r="AX138" s="28"/>
      <c r="AY138" s="28"/>
      <c r="AZ138" s="28"/>
      <c r="BA138" s="28"/>
      <c r="BB138" s="28"/>
      <c r="BC138" s="24"/>
      <c r="BD138" s="28"/>
      <c r="BE138" s="28"/>
      <c r="BF138" s="28"/>
      <c r="BG138" s="24"/>
      <c r="BH138" s="28"/>
      <c r="BI138" s="28"/>
      <c r="BJ138" s="28"/>
    </row>
    <row r="139" spans="1:62">
      <c r="A139" s="24"/>
      <c r="B139" s="28"/>
      <c r="C139" s="25"/>
      <c r="D139" s="26"/>
      <c r="E139" s="24"/>
      <c r="F139" s="24"/>
      <c r="G139" s="26"/>
      <c r="H139" s="26"/>
      <c r="I139" s="26"/>
      <c r="J139" s="26"/>
      <c r="K139" s="26"/>
      <c r="L139" s="26"/>
      <c r="M139" s="26"/>
      <c r="N139" s="26"/>
      <c r="P139" s="26"/>
      <c r="Q139" s="26"/>
      <c r="R139" s="25"/>
      <c r="S139" s="25"/>
      <c r="T139" s="25"/>
      <c r="U139" s="25"/>
      <c r="V139" s="24"/>
      <c r="W139" s="24"/>
      <c r="X139" s="24"/>
      <c r="Y139" s="26"/>
      <c r="Z139" s="26"/>
      <c r="AA139" s="24"/>
      <c r="AB139" s="24"/>
      <c r="AC139" s="24"/>
      <c r="AD139" s="24"/>
      <c r="AE139" s="26"/>
      <c r="AF139" s="26"/>
      <c r="AG139" s="24"/>
      <c r="AH139" s="24"/>
      <c r="AI139" s="28"/>
      <c r="AJ139" s="28"/>
      <c r="AK139" s="28"/>
      <c r="AL139" s="28"/>
      <c r="AM139" s="28"/>
      <c r="AN139" s="28"/>
      <c r="AO139" s="28"/>
      <c r="AP139" s="28"/>
      <c r="AQ139" s="28"/>
      <c r="AR139" s="28"/>
      <c r="AS139" s="28"/>
      <c r="AT139" s="28"/>
      <c r="AU139" s="28"/>
      <c r="AV139" s="24"/>
      <c r="AW139" s="28"/>
      <c r="AX139" s="28"/>
      <c r="AY139" s="28"/>
      <c r="AZ139" s="28"/>
      <c r="BA139" s="28"/>
      <c r="BB139" s="28"/>
      <c r="BC139" s="24"/>
      <c r="BD139" s="28"/>
      <c r="BE139" s="28"/>
      <c r="BF139" s="28"/>
      <c r="BG139" s="24"/>
      <c r="BH139" s="28"/>
      <c r="BI139" s="28"/>
      <c r="BJ139" s="28"/>
    </row>
    <row r="140" spans="1:62">
      <c r="A140" s="24"/>
      <c r="B140" s="28"/>
      <c r="C140" s="25"/>
      <c r="D140" s="26"/>
      <c r="E140" s="24"/>
      <c r="F140" s="24"/>
      <c r="G140" s="26"/>
      <c r="H140" s="26"/>
      <c r="I140" s="26"/>
      <c r="J140" s="26"/>
      <c r="K140" s="26"/>
      <c r="L140" s="26"/>
      <c r="M140" s="26"/>
      <c r="N140" s="26"/>
      <c r="P140" s="26"/>
      <c r="Q140" s="26"/>
      <c r="R140" s="25"/>
      <c r="S140" s="25"/>
      <c r="T140" s="25"/>
      <c r="U140" s="25"/>
      <c r="V140" s="24"/>
      <c r="W140" s="24"/>
      <c r="X140" s="24"/>
      <c r="Y140" s="26"/>
      <c r="Z140" s="26"/>
      <c r="AA140" s="24"/>
      <c r="AB140" s="24"/>
      <c r="AC140" s="24"/>
      <c r="AD140" s="24"/>
      <c r="AE140" s="26"/>
      <c r="AF140" s="26"/>
      <c r="AG140" s="24"/>
      <c r="AH140" s="24"/>
      <c r="AI140" s="28"/>
      <c r="AJ140" s="28"/>
      <c r="AK140" s="28"/>
      <c r="AL140" s="28"/>
      <c r="AM140" s="28"/>
      <c r="AN140" s="28"/>
      <c r="AO140" s="28"/>
      <c r="AP140" s="28"/>
      <c r="AQ140" s="28"/>
      <c r="AR140" s="28"/>
      <c r="AS140" s="28"/>
      <c r="AT140" s="28"/>
      <c r="AU140" s="28"/>
      <c r="AV140" s="24"/>
      <c r="AW140" s="28"/>
      <c r="AX140" s="28"/>
      <c r="AY140" s="28"/>
      <c r="AZ140" s="28"/>
      <c r="BA140" s="28"/>
      <c r="BB140" s="28"/>
      <c r="BC140" s="24"/>
      <c r="BD140" s="28"/>
      <c r="BE140" s="28"/>
      <c r="BF140" s="28"/>
      <c r="BG140" s="24"/>
      <c r="BH140" s="28"/>
      <c r="BI140" s="28"/>
      <c r="BJ140" s="28"/>
    </row>
    <row r="141" spans="1:62">
      <c r="A141" s="24"/>
      <c r="B141" s="28"/>
      <c r="C141" s="25"/>
      <c r="D141" s="26"/>
      <c r="E141" s="24"/>
      <c r="F141" s="24"/>
      <c r="G141" s="26"/>
      <c r="H141" s="26"/>
      <c r="I141" s="26"/>
      <c r="J141" s="26"/>
      <c r="K141" s="26"/>
      <c r="L141" s="26"/>
      <c r="M141" s="26"/>
      <c r="N141" s="26"/>
      <c r="P141" s="26"/>
      <c r="Q141" s="26"/>
      <c r="R141" s="25"/>
      <c r="S141" s="25"/>
      <c r="T141" s="25"/>
      <c r="U141" s="25"/>
      <c r="V141" s="24"/>
      <c r="W141" s="24"/>
      <c r="X141" s="24"/>
      <c r="Y141" s="26"/>
      <c r="Z141" s="26"/>
      <c r="AA141" s="24"/>
      <c r="AB141" s="24"/>
      <c r="AC141" s="24"/>
      <c r="AD141" s="24"/>
      <c r="AE141" s="26"/>
      <c r="AF141" s="26"/>
      <c r="AG141" s="24"/>
      <c r="AH141" s="24"/>
      <c r="AI141" s="28"/>
      <c r="AJ141" s="28"/>
      <c r="AK141" s="28"/>
      <c r="AL141" s="28"/>
      <c r="AM141" s="28"/>
      <c r="AN141" s="28"/>
      <c r="AO141" s="28"/>
      <c r="AP141" s="28"/>
      <c r="AQ141" s="28"/>
      <c r="AR141" s="28"/>
      <c r="AS141" s="28"/>
      <c r="AT141" s="28"/>
      <c r="AU141" s="28"/>
      <c r="AV141" s="24"/>
      <c r="AW141" s="28"/>
      <c r="AX141" s="28"/>
      <c r="AY141" s="28"/>
      <c r="AZ141" s="28"/>
      <c r="BA141" s="28"/>
      <c r="BB141" s="28"/>
      <c r="BC141" s="24"/>
      <c r="BD141" s="28"/>
      <c r="BE141" s="28"/>
      <c r="BF141" s="28"/>
      <c r="BG141" s="24"/>
      <c r="BH141" s="28"/>
      <c r="BI141" s="28"/>
      <c r="BJ141" s="28"/>
    </row>
    <row r="142" spans="1:62">
      <c r="A142" s="24"/>
      <c r="B142" s="28"/>
      <c r="C142" s="25"/>
      <c r="D142" s="26"/>
      <c r="E142" s="24"/>
      <c r="F142" s="24"/>
      <c r="G142" s="26"/>
      <c r="H142" s="26"/>
      <c r="I142" s="26"/>
      <c r="J142" s="26"/>
      <c r="K142" s="26"/>
      <c r="L142" s="26"/>
      <c r="M142" s="26"/>
      <c r="N142" s="26"/>
      <c r="P142" s="26"/>
      <c r="Q142" s="26"/>
      <c r="R142" s="25"/>
      <c r="S142" s="25"/>
      <c r="T142" s="25"/>
      <c r="U142" s="25"/>
      <c r="V142" s="24"/>
      <c r="W142" s="24"/>
      <c r="X142" s="24"/>
      <c r="Y142" s="26"/>
      <c r="Z142" s="26"/>
      <c r="AA142" s="24"/>
      <c r="AB142" s="24"/>
      <c r="AC142" s="24"/>
      <c r="AD142" s="24"/>
      <c r="AE142" s="26"/>
      <c r="AF142" s="26"/>
      <c r="AG142" s="24"/>
      <c r="AH142" s="24"/>
      <c r="AI142" s="28"/>
      <c r="AJ142" s="28"/>
      <c r="AK142" s="28"/>
      <c r="AL142" s="28"/>
      <c r="AM142" s="28"/>
      <c r="AN142" s="28"/>
      <c r="AO142" s="28"/>
      <c r="AP142" s="28"/>
      <c r="AQ142" s="28"/>
      <c r="AR142" s="28"/>
      <c r="AS142" s="28"/>
      <c r="AT142" s="28"/>
      <c r="AU142" s="28"/>
      <c r="AV142" s="24"/>
      <c r="AW142" s="28"/>
      <c r="AX142" s="28"/>
      <c r="AY142" s="28"/>
      <c r="AZ142" s="28"/>
      <c r="BA142" s="28"/>
      <c r="BB142" s="28"/>
      <c r="BC142" s="24"/>
      <c r="BD142" s="28"/>
      <c r="BE142" s="28"/>
      <c r="BF142" s="28"/>
      <c r="BG142" s="24"/>
      <c r="BH142" s="28"/>
      <c r="BI142" s="28"/>
      <c r="BJ142" s="28"/>
    </row>
    <row r="143" spans="1:62">
      <c r="A143" s="24"/>
      <c r="B143" s="28"/>
      <c r="C143" s="25"/>
      <c r="D143" s="26"/>
      <c r="E143" s="24"/>
      <c r="F143" s="24"/>
      <c r="G143" s="26"/>
      <c r="H143" s="26"/>
      <c r="I143" s="26"/>
      <c r="J143" s="26"/>
      <c r="K143" s="26"/>
      <c r="L143" s="26"/>
      <c r="M143" s="26"/>
      <c r="N143" s="26"/>
      <c r="P143" s="26"/>
      <c r="Q143" s="26"/>
      <c r="R143" s="25"/>
      <c r="S143" s="25"/>
      <c r="T143" s="25"/>
      <c r="U143" s="25"/>
      <c r="V143" s="24"/>
      <c r="W143" s="24"/>
      <c r="X143" s="24"/>
      <c r="Y143" s="26"/>
      <c r="Z143" s="26"/>
      <c r="AA143" s="24"/>
      <c r="AB143" s="24"/>
      <c r="AC143" s="24"/>
      <c r="AD143" s="24"/>
      <c r="AE143" s="26"/>
      <c r="AF143" s="26"/>
      <c r="AG143" s="24"/>
      <c r="AH143" s="24"/>
      <c r="AI143" s="28"/>
      <c r="AJ143" s="28"/>
      <c r="AK143" s="28"/>
      <c r="AL143" s="28"/>
      <c r="AM143" s="28"/>
      <c r="AN143" s="28"/>
      <c r="AO143" s="28"/>
      <c r="AP143" s="28"/>
      <c r="AQ143" s="28"/>
      <c r="AR143" s="28"/>
      <c r="AS143" s="28"/>
      <c r="AT143" s="28"/>
      <c r="AU143" s="28"/>
      <c r="AV143" s="24"/>
      <c r="AW143" s="28"/>
      <c r="AX143" s="28"/>
      <c r="AY143" s="28"/>
      <c r="AZ143" s="28"/>
      <c r="BA143" s="28"/>
      <c r="BB143" s="28"/>
      <c r="BC143" s="24"/>
      <c r="BD143" s="28"/>
      <c r="BE143" s="28"/>
      <c r="BF143" s="28"/>
      <c r="BG143" s="24"/>
      <c r="BH143" s="28"/>
      <c r="BI143" s="28"/>
      <c r="BJ143" s="28"/>
    </row>
    <row r="144" spans="1:62">
      <c r="A144" s="24"/>
      <c r="B144" s="28"/>
      <c r="C144" s="25"/>
      <c r="D144" s="26"/>
      <c r="E144" s="24"/>
      <c r="F144" s="24"/>
      <c r="G144" s="26"/>
      <c r="H144" s="26"/>
      <c r="I144" s="26"/>
      <c r="J144" s="26"/>
      <c r="K144" s="26"/>
      <c r="L144" s="26"/>
      <c r="M144" s="26"/>
      <c r="N144" s="26"/>
      <c r="P144" s="26"/>
      <c r="Q144" s="26"/>
      <c r="R144" s="25"/>
      <c r="S144" s="25"/>
      <c r="T144" s="25"/>
      <c r="U144" s="25"/>
      <c r="V144" s="24"/>
      <c r="W144" s="24"/>
      <c r="X144" s="24"/>
      <c r="Y144" s="26"/>
      <c r="Z144" s="26"/>
      <c r="AA144" s="24"/>
      <c r="AB144" s="24"/>
      <c r="AC144" s="24"/>
      <c r="AD144" s="24"/>
      <c r="AE144" s="26"/>
      <c r="AF144" s="26"/>
      <c r="AG144" s="24"/>
      <c r="AH144" s="24"/>
      <c r="AI144" s="28"/>
      <c r="AJ144" s="28"/>
      <c r="AK144" s="28"/>
      <c r="AL144" s="28"/>
      <c r="AM144" s="28"/>
      <c r="AN144" s="28"/>
      <c r="AO144" s="28"/>
      <c r="AP144" s="28"/>
      <c r="AQ144" s="28"/>
      <c r="AR144" s="28"/>
      <c r="AS144" s="28"/>
      <c r="AT144" s="28"/>
      <c r="AU144" s="28"/>
      <c r="AV144" s="24"/>
      <c r="AW144" s="28"/>
      <c r="AX144" s="28"/>
      <c r="AY144" s="28"/>
      <c r="AZ144" s="28"/>
      <c r="BA144" s="28"/>
      <c r="BB144" s="28"/>
      <c r="BC144" s="24"/>
      <c r="BD144" s="28"/>
      <c r="BE144" s="28"/>
      <c r="BF144" s="28"/>
      <c r="BG144" s="24"/>
      <c r="BH144" s="28"/>
      <c r="BI144" s="28"/>
      <c r="BJ144" s="28"/>
    </row>
    <row r="145" spans="1:62">
      <c r="A145" s="24"/>
      <c r="B145" s="28"/>
      <c r="C145" s="25"/>
      <c r="D145" s="26"/>
      <c r="E145" s="24"/>
      <c r="F145" s="24"/>
      <c r="G145" s="26"/>
      <c r="H145" s="26"/>
      <c r="I145" s="26"/>
      <c r="J145" s="26"/>
      <c r="K145" s="26"/>
      <c r="L145" s="26"/>
      <c r="M145" s="26"/>
      <c r="N145" s="26"/>
      <c r="P145" s="26"/>
      <c r="Q145" s="26"/>
      <c r="R145" s="25"/>
      <c r="S145" s="25"/>
      <c r="T145" s="25"/>
      <c r="U145" s="25"/>
      <c r="V145" s="24"/>
      <c r="W145" s="24"/>
      <c r="X145" s="24"/>
      <c r="Y145" s="26"/>
      <c r="Z145" s="26"/>
      <c r="AA145" s="24"/>
      <c r="AB145" s="24"/>
      <c r="AC145" s="24"/>
      <c r="AD145" s="24"/>
      <c r="AE145" s="26"/>
      <c r="AF145" s="26"/>
      <c r="AG145" s="24"/>
      <c r="AH145" s="24"/>
      <c r="AI145" s="28"/>
      <c r="AJ145" s="28"/>
      <c r="AK145" s="28"/>
      <c r="AL145" s="28"/>
      <c r="AM145" s="28"/>
      <c r="AN145" s="28"/>
      <c r="AO145" s="28"/>
      <c r="AP145" s="28"/>
      <c r="AQ145" s="28"/>
      <c r="AR145" s="28"/>
      <c r="AS145" s="28"/>
      <c r="AT145" s="28"/>
      <c r="AU145" s="28"/>
      <c r="AV145" s="24"/>
      <c r="AW145" s="28"/>
      <c r="AX145" s="28"/>
      <c r="AY145" s="28"/>
      <c r="AZ145" s="28"/>
      <c r="BA145" s="28"/>
      <c r="BB145" s="28"/>
      <c r="BC145" s="24"/>
      <c r="BD145" s="28"/>
      <c r="BE145" s="28"/>
      <c r="BF145" s="28"/>
      <c r="BG145" s="24"/>
      <c r="BH145" s="28"/>
      <c r="BI145" s="28"/>
      <c r="BJ145" s="28"/>
    </row>
    <row r="146" spans="1:62">
      <c r="A146" s="24"/>
      <c r="B146" s="28"/>
      <c r="C146" s="25"/>
      <c r="D146" s="26"/>
      <c r="E146" s="24"/>
      <c r="F146" s="24"/>
      <c r="G146" s="26"/>
      <c r="H146" s="26"/>
      <c r="I146" s="26"/>
      <c r="J146" s="26"/>
      <c r="K146" s="26"/>
      <c r="L146" s="26"/>
      <c r="M146" s="26"/>
      <c r="N146" s="26"/>
      <c r="P146" s="26"/>
      <c r="Q146" s="26"/>
      <c r="R146" s="25"/>
      <c r="S146" s="25"/>
      <c r="T146" s="25"/>
      <c r="U146" s="25"/>
      <c r="V146" s="24"/>
      <c r="W146" s="24"/>
      <c r="X146" s="24"/>
      <c r="Y146" s="26"/>
      <c r="Z146" s="26"/>
      <c r="AA146" s="24"/>
      <c r="AB146" s="24"/>
      <c r="AC146" s="24"/>
      <c r="AD146" s="24"/>
      <c r="AE146" s="26"/>
      <c r="AF146" s="26"/>
      <c r="AG146" s="24"/>
      <c r="AH146" s="24"/>
      <c r="AI146" s="28"/>
      <c r="AJ146" s="28"/>
      <c r="AK146" s="28"/>
      <c r="AL146" s="28"/>
      <c r="AM146" s="28"/>
      <c r="AN146" s="28"/>
      <c r="AO146" s="28"/>
      <c r="AP146" s="28"/>
      <c r="AQ146" s="28"/>
      <c r="AR146" s="28"/>
      <c r="AS146" s="28"/>
      <c r="AT146" s="28"/>
      <c r="AU146" s="28"/>
      <c r="AV146" s="24"/>
      <c r="AW146" s="28"/>
      <c r="AX146" s="28"/>
      <c r="AY146" s="28"/>
      <c r="AZ146" s="28"/>
      <c r="BA146" s="28"/>
      <c r="BB146" s="28"/>
      <c r="BC146" s="24"/>
      <c r="BD146" s="28"/>
      <c r="BE146" s="28"/>
      <c r="BF146" s="28"/>
      <c r="BG146" s="24"/>
      <c r="BH146" s="28"/>
      <c r="BI146" s="28"/>
      <c r="BJ146" s="28"/>
    </row>
    <row r="147" spans="1:62">
      <c r="A147" s="24"/>
      <c r="B147" s="28"/>
      <c r="C147" s="25"/>
      <c r="D147" s="26"/>
      <c r="E147" s="24"/>
      <c r="F147" s="24"/>
      <c r="G147" s="26"/>
      <c r="H147" s="26"/>
      <c r="I147" s="26"/>
      <c r="J147" s="26"/>
      <c r="K147" s="26"/>
      <c r="L147" s="26"/>
      <c r="M147" s="26"/>
      <c r="N147" s="26"/>
      <c r="P147" s="26"/>
      <c r="Q147" s="26"/>
      <c r="R147" s="25"/>
      <c r="S147" s="25"/>
      <c r="T147" s="25"/>
      <c r="U147" s="25"/>
      <c r="V147" s="24"/>
      <c r="W147" s="24"/>
      <c r="X147" s="24"/>
      <c r="Y147" s="26"/>
      <c r="Z147" s="26"/>
      <c r="AA147" s="24"/>
      <c r="AB147" s="24"/>
      <c r="AC147" s="24"/>
      <c r="AD147" s="24"/>
      <c r="AE147" s="26"/>
      <c r="AF147" s="26"/>
      <c r="AG147" s="24"/>
      <c r="AH147" s="24"/>
      <c r="AI147" s="28"/>
      <c r="AJ147" s="28"/>
      <c r="AK147" s="28"/>
      <c r="AL147" s="28"/>
      <c r="AM147" s="28"/>
      <c r="AN147" s="28"/>
      <c r="AO147" s="28"/>
      <c r="AP147" s="28"/>
      <c r="AQ147" s="28"/>
      <c r="AR147" s="28"/>
      <c r="AS147" s="28"/>
      <c r="AT147" s="28"/>
      <c r="AU147" s="28"/>
      <c r="AV147" s="24"/>
      <c r="AW147" s="28"/>
      <c r="AX147" s="28"/>
      <c r="AY147" s="28"/>
      <c r="AZ147" s="28"/>
      <c r="BA147" s="28"/>
      <c r="BB147" s="28"/>
      <c r="BC147" s="24"/>
      <c r="BD147" s="28"/>
      <c r="BE147" s="28"/>
      <c r="BF147" s="28"/>
      <c r="BG147" s="24"/>
      <c r="BH147" s="28"/>
      <c r="BI147" s="28"/>
      <c r="BJ147" s="28"/>
    </row>
    <row r="148" spans="1:62">
      <c r="A148" s="24"/>
      <c r="B148" s="28"/>
      <c r="C148" s="25"/>
      <c r="D148" s="26"/>
      <c r="E148" s="24"/>
      <c r="F148" s="24"/>
      <c r="G148" s="26"/>
      <c r="H148" s="26"/>
      <c r="I148" s="26"/>
      <c r="J148" s="26"/>
      <c r="K148" s="26"/>
      <c r="L148" s="26"/>
      <c r="M148" s="26"/>
      <c r="N148" s="26"/>
      <c r="P148" s="26"/>
      <c r="Q148" s="26"/>
      <c r="R148" s="25"/>
      <c r="S148" s="25"/>
      <c r="T148" s="25"/>
      <c r="U148" s="25"/>
      <c r="V148" s="24"/>
      <c r="W148" s="24"/>
      <c r="X148" s="24"/>
      <c r="Y148" s="26"/>
      <c r="Z148" s="26"/>
      <c r="AA148" s="24"/>
      <c r="AB148" s="24"/>
      <c r="AC148" s="24"/>
      <c r="AD148" s="24"/>
      <c r="AE148" s="26"/>
      <c r="AF148" s="26"/>
      <c r="AG148" s="24"/>
      <c r="AH148" s="24"/>
      <c r="AI148" s="28"/>
      <c r="AJ148" s="28"/>
      <c r="AK148" s="28"/>
      <c r="AL148" s="28"/>
      <c r="AM148" s="28"/>
      <c r="AN148" s="28"/>
      <c r="AO148" s="28"/>
      <c r="AP148" s="28"/>
      <c r="AQ148" s="28"/>
      <c r="AR148" s="28"/>
      <c r="AS148" s="28"/>
      <c r="AT148" s="28"/>
      <c r="AU148" s="28"/>
      <c r="AV148" s="24"/>
      <c r="AW148" s="28"/>
      <c r="AX148" s="28"/>
      <c r="AY148" s="28"/>
      <c r="AZ148" s="28"/>
      <c r="BA148" s="28"/>
      <c r="BB148" s="28"/>
      <c r="BC148" s="24"/>
      <c r="BD148" s="28"/>
      <c r="BE148" s="28"/>
      <c r="BF148" s="28"/>
      <c r="BG148" s="24"/>
      <c r="BH148" s="28"/>
      <c r="BI148" s="28"/>
      <c r="BJ148" s="28"/>
    </row>
    <row r="149" spans="1:62">
      <c r="A149" s="24"/>
      <c r="B149" s="28"/>
      <c r="C149" s="25"/>
      <c r="D149" s="26"/>
      <c r="E149" s="24"/>
      <c r="F149" s="24"/>
      <c r="G149" s="26"/>
      <c r="H149" s="26"/>
      <c r="I149" s="26"/>
      <c r="J149" s="26"/>
      <c r="K149" s="26"/>
      <c r="L149" s="26"/>
      <c r="M149" s="26"/>
      <c r="N149" s="26"/>
      <c r="P149" s="26"/>
      <c r="Q149" s="26"/>
      <c r="R149" s="25"/>
      <c r="S149" s="25"/>
      <c r="T149" s="25"/>
      <c r="U149" s="25"/>
      <c r="V149" s="24"/>
      <c r="W149" s="24"/>
      <c r="X149" s="24"/>
      <c r="Y149" s="26"/>
      <c r="Z149" s="26"/>
      <c r="AA149" s="24"/>
      <c r="AB149" s="24"/>
      <c r="AC149" s="24"/>
      <c r="AD149" s="24"/>
      <c r="AE149" s="26"/>
      <c r="AF149" s="26"/>
      <c r="AG149" s="24"/>
      <c r="AH149" s="24"/>
      <c r="AI149" s="28"/>
      <c r="AJ149" s="28"/>
      <c r="AK149" s="28"/>
      <c r="AL149" s="28"/>
      <c r="AM149" s="28"/>
      <c r="AN149" s="28"/>
      <c r="AO149" s="28"/>
      <c r="AP149" s="28"/>
      <c r="AQ149" s="28"/>
      <c r="AR149" s="28"/>
      <c r="AS149" s="28"/>
      <c r="AT149" s="28"/>
      <c r="AU149" s="28"/>
      <c r="AV149" s="24"/>
      <c r="AW149" s="28"/>
      <c r="AX149" s="28"/>
      <c r="AY149" s="28"/>
      <c r="AZ149" s="28"/>
      <c r="BA149" s="28"/>
      <c r="BB149" s="28"/>
      <c r="BC149" s="24"/>
      <c r="BD149" s="28"/>
      <c r="BE149" s="28"/>
      <c r="BF149" s="28"/>
      <c r="BG149" s="24"/>
      <c r="BH149" s="28"/>
      <c r="BI149" s="28"/>
      <c r="BJ149" s="28"/>
    </row>
    <row r="150" spans="1:62">
      <c r="A150" s="24"/>
      <c r="B150" s="28"/>
      <c r="C150" s="25"/>
      <c r="D150" s="26"/>
      <c r="E150" s="24"/>
      <c r="F150" s="24"/>
      <c r="G150" s="26"/>
      <c r="H150" s="26"/>
      <c r="I150" s="26"/>
      <c r="J150" s="26"/>
      <c r="K150" s="26"/>
      <c r="L150" s="26"/>
      <c r="M150" s="26"/>
      <c r="N150" s="26"/>
      <c r="P150" s="26"/>
      <c r="Q150" s="26"/>
      <c r="R150" s="25"/>
      <c r="S150" s="25"/>
      <c r="T150" s="25"/>
      <c r="U150" s="25"/>
      <c r="V150" s="24"/>
      <c r="W150" s="24"/>
      <c r="X150" s="24"/>
      <c r="Y150" s="26"/>
      <c r="Z150" s="26"/>
      <c r="AA150" s="24"/>
      <c r="AB150" s="24"/>
      <c r="AC150" s="24"/>
      <c r="AD150" s="24"/>
      <c r="AE150" s="26"/>
      <c r="AF150" s="26"/>
      <c r="AG150" s="24"/>
      <c r="AH150" s="24"/>
      <c r="AI150" s="28"/>
      <c r="AJ150" s="28"/>
      <c r="AK150" s="28"/>
      <c r="AL150" s="28"/>
      <c r="AM150" s="28"/>
      <c r="AN150" s="28"/>
      <c r="AO150" s="28"/>
      <c r="AP150" s="28"/>
      <c r="AQ150" s="28"/>
      <c r="AR150" s="28"/>
      <c r="AS150" s="28"/>
      <c r="AT150" s="28"/>
      <c r="AU150" s="28"/>
      <c r="AV150" s="24"/>
      <c r="AW150" s="28"/>
      <c r="AX150" s="28"/>
      <c r="AY150" s="28"/>
      <c r="AZ150" s="28"/>
      <c r="BA150" s="28"/>
      <c r="BB150" s="28"/>
      <c r="BC150" s="24"/>
      <c r="BD150" s="28"/>
      <c r="BE150" s="28"/>
      <c r="BF150" s="28"/>
      <c r="BG150" s="24"/>
      <c r="BH150" s="28"/>
      <c r="BI150" s="28"/>
      <c r="BJ150" s="28"/>
    </row>
    <row r="151" spans="1:62">
      <c r="A151" s="24"/>
      <c r="B151" s="28"/>
      <c r="C151" s="25"/>
      <c r="D151" s="26"/>
      <c r="E151" s="24"/>
      <c r="F151" s="24"/>
      <c r="G151" s="26"/>
      <c r="H151" s="26"/>
      <c r="I151" s="26"/>
      <c r="J151" s="26"/>
      <c r="K151" s="26"/>
      <c r="L151" s="26"/>
      <c r="M151" s="26"/>
      <c r="N151" s="26"/>
      <c r="P151" s="26"/>
      <c r="Q151" s="26"/>
      <c r="R151" s="25"/>
      <c r="S151" s="25"/>
      <c r="T151" s="25"/>
      <c r="U151" s="25"/>
      <c r="V151" s="24"/>
      <c r="W151" s="24"/>
      <c r="X151" s="24"/>
      <c r="Y151" s="26"/>
      <c r="Z151" s="26"/>
      <c r="AA151" s="24"/>
      <c r="AB151" s="24"/>
      <c r="AC151" s="24"/>
      <c r="AD151" s="24"/>
      <c r="AE151" s="26"/>
      <c r="AF151" s="26"/>
      <c r="AG151" s="24"/>
      <c r="AH151" s="24"/>
      <c r="AI151" s="28"/>
      <c r="AJ151" s="28"/>
      <c r="AK151" s="28"/>
      <c r="AL151" s="28"/>
      <c r="AM151" s="28"/>
      <c r="AN151" s="28"/>
      <c r="AO151" s="28"/>
      <c r="AP151" s="28"/>
      <c r="AQ151" s="28"/>
      <c r="AR151" s="28"/>
      <c r="AS151" s="28"/>
      <c r="AT151" s="28"/>
      <c r="AU151" s="28"/>
      <c r="AV151" s="24"/>
      <c r="AW151" s="28"/>
      <c r="AX151" s="28"/>
      <c r="AY151" s="28"/>
      <c r="AZ151" s="28"/>
      <c r="BA151" s="28"/>
      <c r="BB151" s="28"/>
      <c r="BC151" s="24"/>
      <c r="BD151" s="28"/>
      <c r="BE151" s="28"/>
      <c r="BF151" s="28"/>
      <c r="BG151" s="24"/>
      <c r="BH151" s="28"/>
      <c r="BI151" s="28"/>
      <c r="BJ151" s="28"/>
    </row>
    <row r="152" spans="1:62">
      <c r="A152" s="24"/>
      <c r="B152" s="28"/>
      <c r="C152" s="25"/>
      <c r="D152" s="26"/>
      <c r="E152" s="24"/>
      <c r="F152" s="24"/>
      <c r="G152" s="26"/>
      <c r="H152" s="26"/>
      <c r="I152" s="26"/>
      <c r="J152" s="26"/>
      <c r="K152" s="26"/>
      <c r="L152" s="26"/>
      <c r="M152" s="26"/>
      <c r="N152" s="26"/>
      <c r="P152" s="26"/>
      <c r="Q152" s="26"/>
      <c r="R152" s="25"/>
      <c r="S152" s="25"/>
      <c r="T152" s="25"/>
      <c r="U152" s="25"/>
      <c r="V152" s="24"/>
      <c r="W152" s="24"/>
      <c r="X152" s="24"/>
      <c r="Y152" s="26"/>
      <c r="Z152" s="26"/>
      <c r="AA152" s="24"/>
      <c r="AB152" s="24"/>
      <c r="AC152" s="24"/>
      <c r="AD152" s="24"/>
      <c r="AE152" s="26"/>
      <c r="AF152" s="26"/>
      <c r="AG152" s="24"/>
      <c r="AH152" s="24"/>
      <c r="AI152" s="28"/>
      <c r="AJ152" s="28"/>
      <c r="AK152" s="28"/>
      <c r="AL152" s="28"/>
      <c r="AM152" s="28"/>
      <c r="AN152" s="28"/>
      <c r="AO152" s="28"/>
      <c r="AP152" s="28"/>
      <c r="AQ152" s="28"/>
      <c r="AR152" s="28"/>
      <c r="AS152" s="28"/>
      <c r="AT152" s="28"/>
      <c r="AU152" s="28"/>
      <c r="AV152" s="24"/>
      <c r="AW152" s="28"/>
      <c r="AX152" s="28"/>
      <c r="AY152" s="28"/>
      <c r="AZ152" s="28"/>
      <c r="BA152" s="28"/>
      <c r="BB152" s="28"/>
      <c r="BC152" s="24"/>
      <c r="BD152" s="28"/>
      <c r="BE152" s="28"/>
      <c r="BF152" s="28"/>
      <c r="BG152" s="24"/>
      <c r="BH152" s="28"/>
      <c r="BI152" s="28"/>
      <c r="BJ152" s="28"/>
    </row>
    <row r="153" spans="1:62">
      <c r="A153" s="24"/>
      <c r="B153" s="28"/>
      <c r="C153" s="25"/>
      <c r="D153" s="26"/>
      <c r="E153" s="24"/>
      <c r="F153" s="24"/>
      <c r="G153" s="26"/>
      <c r="H153" s="26"/>
      <c r="I153" s="26"/>
      <c r="J153" s="26"/>
      <c r="K153" s="26"/>
      <c r="L153" s="26"/>
      <c r="M153" s="26"/>
      <c r="N153" s="26"/>
      <c r="P153" s="26"/>
      <c r="Q153" s="26"/>
      <c r="R153" s="25"/>
      <c r="S153" s="25"/>
      <c r="T153" s="25"/>
      <c r="U153" s="25"/>
      <c r="V153" s="24"/>
      <c r="W153" s="24"/>
      <c r="X153" s="24"/>
      <c r="Y153" s="26"/>
      <c r="Z153" s="26"/>
      <c r="AA153" s="24"/>
      <c r="AB153" s="24"/>
      <c r="AC153" s="24"/>
      <c r="AD153" s="24"/>
      <c r="AE153" s="26"/>
      <c r="AF153" s="26"/>
      <c r="AG153" s="24"/>
      <c r="AH153" s="24"/>
      <c r="AI153" s="28"/>
      <c r="AJ153" s="28"/>
      <c r="AK153" s="28"/>
      <c r="AL153" s="28"/>
      <c r="AM153" s="28"/>
      <c r="AN153" s="28"/>
      <c r="AO153" s="28"/>
      <c r="AP153" s="28"/>
      <c r="AQ153" s="28"/>
      <c r="AR153" s="28"/>
      <c r="AS153" s="28"/>
      <c r="AT153" s="28"/>
      <c r="AU153" s="28"/>
      <c r="AV153" s="24"/>
      <c r="AW153" s="28"/>
      <c r="AX153" s="28"/>
      <c r="AY153" s="28"/>
      <c r="AZ153" s="28"/>
      <c r="BA153" s="28"/>
      <c r="BB153" s="28"/>
      <c r="BC153" s="24"/>
      <c r="BD153" s="28"/>
      <c r="BE153" s="28"/>
      <c r="BF153" s="28"/>
      <c r="BG153" s="24"/>
      <c r="BH153" s="28"/>
      <c r="BI153" s="28"/>
      <c r="BJ153" s="28"/>
    </row>
    <row r="154" spans="1:62">
      <c r="A154" s="24"/>
      <c r="B154" s="28"/>
      <c r="C154" s="25"/>
      <c r="D154" s="26"/>
      <c r="E154" s="24"/>
      <c r="F154" s="24"/>
      <c r="G154" s="26"/>
      <c r="H154" s="26"/>
      <c r="I154" s="26"/>
      <c r="J154" s="26"/>
      <c r="K154" s="26"/>
      <c r="L154" s="26"/>
      <c r="M154" s="26"/>
      <c r="N154" s="26"/>
      <c r="P154" s="26"/>
      <c r="Q154" s="26"/>
      <c r="R154" s="25"/>
      <c r="S154" s="25"/>
      <c r="T154" s="25"/>
      <c r="U154" s="25"/>
      <c r="V154" s="24"/>
      <c r="W154" s="24"/>
      <c r="X154" s="24"/>
      <c r="Y154" s="26"/>
      <c r="Z154" s="26"/>
      <c r="AA154" s="24"/>
      <c r="AB154" s="24"/>
      <c r="AC154" s="24"/>
      <c r="AD154" s="24"/>
      <c r="AE154" s="26"/>
      <c r="AF154" s="26"/>
      <c r="AG154" s="24"/>
      <c r="AH154" s="24"/>
      <c r="AI154" s="28"/>
      <c r="AJ154" s="28"/>
      <c r="AK154" s="28"/>
      <c r="AL154" s="28"/>
      <c r="AM154" s="28"/>
      <c r="AN154" s="28"/>
      <c r="AO154" s="28"/>
      <c r="AP154" s="28"/>
      <c r="AQ154" s="28"/>
      <c r="AR154" s="28"/>
      <c r="AS154" s="28"/>
      <c r="AT154" s="28"/>
      <c r="AU154" s="28"/>
      <c r="AV154" s="24"/>
      <c r="AW154" s="28"/>
      <c r="AX154" s="28"/>
      <c r="AY154" s="28"/>
      <c r="AZ154" s="28"/>
      <c r="BA154" s="28"/>
      <c r="BB154" s="28"/>
      <c r="BC154" s="24"/>
      <c r="BD154" s="28"/>
      <c r="BE154" s="28"/>
      <c r="BF154" s="28"/>
      <c r="BG154" s="24"/>
      <c r="BH154" s="28"/>
      <c r="BI154" s="28"/>
      <c r="BJ154" s="28"/>
    </row>
    <row r="155" spans="1:62">
      <c r="A155" s="24"/>
      <c r="B155" s="28"/>
      <c r="C155" s="25"/>
      <c r="D155" s="26"/>
      <c r="E155" s="24"/>
      <c r="F155" s="24"/>
      <c r="G155" s="26"/>
      <c r="H155" s="26"/>
      <c r="I155" s="26"/>
      <c r="J155" s="26"/>
      <c r="K155" s="26"/>
      <c r="L155" s="26"/>
      <c r="M155" s="26"/>
      <c r="N155" s="26"/>
      <c r="P155" s="26"/>
      <c r="Q155" s="26"/>
      <c r="R155" s="25"/>
      <c r="S155" s="25"/>
      <c r="T155" s="25"/>
      <c r="U155" s="25"/>
      <c r="V155" s="24"/>
      <c r="W155" s="24"/>
      <c r="X155" s="24"/>
      <c r="Y155" s="26"/>
      <c r="Z155" s="26"/>
      <c r="AA155" s="24"/>
      <c r="AB155" s="24"/>
      <c r="AC155" s="24"/>
      <c r="AD155" s="24"/>
      <c r="AE155" s="26"/>
      <c r="AF155" s="26"/>
      <c r="AG155" s="24"/>
      <c r="AH155" s="24"/>
      <c r="AI155" s="28"/>
      <c r="AJ155" s="28"/>
      <c r="AK155" s="28"/>
      <c r="AL155" s="28"/>
      <c r="AM155" s="28"/>
      <c r="AN155" s="28"/>
      <c r="AO155" s="28"/>
      <c r="AP155" s="28"/>
      <c r="AQ155" s="28"/>
      <c r="AR155" s="28"/>
      <c r="AS155" s="28"/>
      <c r="AT155" s="28"/>
      <c r="AU155" s="28"/>
      <c r="AV155" s="24"/>
      <c r="AW155" s="28"/>
      <c r="AX155" s="28"/>
      <c r="AY155" s="28"/>
      <c r="AZ155" s="28"/>
      <c r="BA155" s="28"/>
      <c r="BB155" s="28"/>
      <c r="BC155" s="24"/>
      <c r="BD155" s="28"/>
      <c r="BE155" s="28"/>
      <c r="BF155" s="28"/>
      <c r="BG155" s="24"/>
      <c r="BH155" s="28"/>
      <c r="BI155" s="28"/>
      <c r="BJ155" s="28"/>
    </row>
    <row r="156" spans="1:62">
      <c r="A156" s="24"/>
      <c r="B156" s="28"/>
      <c r="C156" s="25"/>
      <c r="D156" s="26"/>
      <c r="E156" s="24"/>
      <c r="F156" s="24"/>
      <c r="G156" s="26"/>
      <c r="H156" s="26"/>
      <c r="I156" s="26"/>
      <c r="J156" s="26"/>
      <c r="K156" s="26"/>
      <c r="L156" s="26"/>
      <c r="M156" s="26"/>
      <c r="N156" s="26"/>
      <c r="P156" s="26"/>
      <c r="Q156" s="26"/>
      <c r="R156" s="25"/>
      <c r="S156" s="25"/>
      <c r="T156" s="25"/>
      <c r="U156" s="25"/>
      <c r="V156" s="24"/>
      <c r="W156" s="24"/>
      <c r="X156" s="24"/>
      <c r="Y156" s="26"/>
      <c r="Z156" s="26"/>
      <c r="AA156" s="24"/>
      <c r="AB156" s="24"/>
      <c r="AC156" s="24"/>
      <c r="AD156" s="24"/>
      <c r="AE156" s="26"/>
      <c r="AF156" s="26"/>
      <c r="AG156" s="24"/>
      <c r="AH156" s="24"/>
      <c r="AI156" s="28"/>
      <c r="AJ156" s="28"/>
      <c r="AK156" s="28"/>
      <c r="AL156" s="28"/>
      <c r="AM156" s="28"/>
      <c r="AN156" s="28"/>
      <c r="AO156" s="28"/>
      <c r="AP156" s="28"/>
      <c r="AQ156" s="28"/>
      <c r="AR156" s="28"/>
      <c r="AS156" s="28"/>
      <c r="AT156" s="28"/>
      <c r="AU156" s="28"/>
      <c r="AV156" s="24"/>
      <c r="AW156" s="28"/>
      <c r="AX156" s="28"/>
      <c r="AY156" s="28"/>
      <c r="AZ156" s="28"/>
      <c r="BA156" s="28"/>
      <c r="BB156" s="28"/>
      <c r="BC156" s="24"/>
      <c r="BD156" s="28"/>
      <c r="BE156" s="28"/>
      <c r="BF156" s="28"/>
      <c r="BG156" s="24"/>
      <c r="BH156" s="28"/>
      <c r="BI156" s="28"/>
      <c r="BJ156" s="28"/>
    </row>
    <row r="157" spans="1:62">
      <c r="A157" s="24"/>
      <c r="B157" s="28"/>
      <c r="C157" s="25"/>
      <c r="D157" s="26"/>
      <c r="E157" s="24"/>
      <c r="F157" s="24"/>
      <c r="G157" s="26"/>
      <c r="H157" s="26"/>
      <c r="I157" s="26"/>
      <c r="J157" s="26"/>
      <c r="K157" s="26"/>
      <c r="L157" s="26"/>
      <c r="M157" s="26"/>
      <c r="N157" s="26"/>
      <c r="P157" s="26"/>
      <c r="Q157" s="26"/>
      <c r="R157" s="25"/>
      <c r="S157" s="25"/>
      <c r="T157" s="25"/>
      <c r="U157" s="25"/>
      <c r="V157" s="24"/>
      <c r="W157" s="24"/>
      <c r="X157" s="24"/>
      <c r="Y157" s="26"/>
      <c r="Z157" s="26"/>
      <c r="AA157" s="24"/>
      <c r="AB157" s="24"/>
      <c r="AC157" s="24"/>
      <c r="AD157" s="24"/>
      <c r="AE157" s="26"/>
      <c r="AF157" s="26"/>
      <c r="AG157" s="24"/>
      <c r="AH157" s="24"/>
      <c r="AI157" s="28"/>
      <c r="AJ157" s="28"/>
      <c r="AK157" s="28"/>
      <c r="AL157" s="28"/>
      <c r="AM157" s="28"/>
      <c r="AN157" s="28"/>
      <c r="AO157" s="28"/>
      <c r="AP157" s="28"/>
      <c r="AQ157" s="28"/>
      <c r="AR157" s="28"/>
      <c r="AS157" s="28"/>
      <c r="AT157" s="28"/>
      <c r="AU157" s="28"/>
      <c r="AV157" s="24"/>
      <c r="AW157" s="28"/>
      <c r="AX157" s="28"/>
      <c r="AY157" s="28"/>
      <c r="AZ157" s="28"/>
      <c r="BA157" s="28"/>
      <c r="BB157" s="28"/>
      <c r="BC157" s="24"/>
      <c r="BD157" s="28"/>
      <c r="BE157" s="28"/>
      <c r="BF157" s="28"/>
      <c r="BG157" s="24"/>
      <c r="BH157" s="28"/>
      <c r="BI157" s="28"/>
      <c r="BJ157" s="28"/>
    </row>
    <row r="158" spans="1:62">
      <c r="A158" s="24"/>
      <c r="B158" s="28"/>
      <c r="C158" s="25"/>
      <c r="D158" s="26"/>
      <c r="E158" s="24"/>
      <c r="F158" s="24"/>
      <c r="G158" s="26"/>
      <c r="H158" s="26"/>
      <c r="I158" s="26"/>
      <c r="J158" s="26"/>
      <c r="K158" s="26"/>
      <c r="L158" s="26"/>
      <c r="M158" s="26"/>
      <c r="N158" s="26"/>
      <c r="P158" s="26"/>
      <c r="Q158" s="26"/>
      <c r="R158" s="25"/>
      <c r="S158" s="25"/>
      <c r="T158" s="25"/>
      <c r="U158" s="25"/>
      <c r="V158" s="24"/>
      <c r="W158" s="24"/>
      <c r="X158" s="24"/>
      <c r="Y158" s="26"/>
      <c r="Z158" s="26"/>
      <c r="AA158" s="24"/>
      <c r="AB158" s="24"/>
      <c r="AC158" s="24"/>
      <c r="AD158" s="24"/>
      <c r="AE158" s="26"/>
      <c r="AF158" s="26"/>
      <c r="AG158" s="24"/>
      <c r="AH158" s="24"/>
      <c r="AI158" s="28"/>
      <c r="AJ158" s="28"/>
      <c r="AK158" s="28"/>
      <c r="AL158" s="28"/>
      <c r="AM158" s="28"/>
      <c r="AN158" s="28"/>
      <c r="AO158" s="28"/>
      <c r="AP158" s="28"/>
      <c r="AQ158" s="28"/>
      <c r="AR158" s="28"/>
      <c r="AS158" s="28"/>
      <c r="AT158" s="28"/>
      <c r="AU158" s="28"/>
      <c r="AV158" s="24"/>
      <c r="AW158" s="28"/>
      <c r="AX158" s="28"/>
      <c r="AY158" s="28"/>
      <c r="AZ158" s="28"/>
      <c r="BA158" s="28"/>
      <c r="BB158" s="28"/>
      <c r="BC158" s="24"/>
      <c r="BD158" s="28"/>
      <c r="BE158" s="28"/>
      <c r="BF158" s="28"/>
      <c r="BG158" s="24"/>
      <c r="BH158" s="28"/>
      <c r="BI158" s="28"/>
      <c r="BJ158" s="28"/>
    </row>
    <row r="159" spans="1:62">
      <c r="A159" s="24"/>
      <c r="B159" s="28"/>
      <c r="C159" s="25"/>
      <c r="D159" s="26"/>
      <c r="E159" s="24"/>
      <c r="F159" s="24"/>
      <c r="G159" s="26"/>
      <c r="H159" s="26"/>
      <c r="I159" s="26"/>
      <c r="J159" s="26"/>
      <c r="K159" s="26"/>
      <c r="L159" s="26"/>
      <c r="M159" s="26"/>
      <c r="N159" s="26"/>
      <c r="P159" s="26"/>
      <c r="Q159" s="26"/>
      <c r="R159" s="25"/>
      <c r="S159" s="25"/>
      <c r="T159" s="25"/>
      <c r="U159" s="25"/>
      <c r="V159" s="24"/>
      <c r="W159" s="24"/>
      <c r="X159" s="24"/>
      <c r="Y159" s="26"/>
      <c r="Z159" s="26"/>
      <c r="AA159" s="24"/>
      <c r="AB159" s="24"/>
      <c r="AC159" s="24"/>
      <c r="AD159" s="24"/>
      <c r="AE159" s="26"/>
      <c r="AF159" s="26"/>
      <c r="AG159" s="24"/>
      <c r="AH159" s="24"/>
      <c r="AI159" s="28"/>
      <c r="AJ159" s="28"/>
      <c r="AK159" s="28"/>
      <c r="AL159" s="28"/>
      <c r="AM159" s="28"/>
      <c r="AN159" s="28"/>
      <c r="AO159" s="28"/>
      <c r="AP159" s="28"/>
      <c r="AQ159" s="28"/>
      <c r="AR159" s="28"/>
      <c r="AS159" s="28"/>
      <c r="AT159" s="28"/>
      <c r="AU159" s="28"/>
      <c r="AV159" s="24"/>
      <c r="AW159" s="28"/>
      <c r="AX159" s="28"/>
      <c r="AY159" s="28"/>
      <c r="AZ159" s="28"/>
      <c r="BA159" s="28"/>
      <c r="BB159" s="28"/>
      <c r="BC159" s="24"/>
      <c r="BD159" s="28"/>
      <c r="BE159" s="28"/>
      <c r="BF159" s="28"/>
      <c r="BG159" s="24"/>
      <c r="BH159" s="28"/>
      <c r="BI159" s="28"/>
      <c r="BJ159" s="28"/>
    </row>
    <row r="160" spans="1:62">
      <c r="A160" s="24"/>
      <c r="B160" s="28"/>
      <c r="C160" s="25"/>
      <c r="D160" s="26"/>
      <c r="E160" s="24"/>
      <c r="F160" s="24"/>
      <c r="G160" s="26"/>
      <c r="H160" s="26"/>
      <c r="I160" s="26"/>
      <c r="J160" s="26"/>
      <c r="K160" s="26"/>
      <c r="L160" s="26"/>
      <c r="M160" s="26"/>
      <c r="N160" s="26"/>
      <c r="P160" s="26"/>
      <c r="Q160" s="26"/>
      <c r="R160" s="25"/>
      <c r="S160" s="25"/>
      <c r="T160" s="25"/>
      <c r="U160" s="25"/>
      <c r="V160" s="24"/>
      <c r="W160" s="24"/>
      <c r="X160" s="24"/>
      <c r="Y160" s="26"/>
      <c r="Z160" s="26"/>
      <c r="AA160" s="24"/>
      <c r="AB160" s="24"/>
      <c r="AC160" s="24"/>
      <c r="AD160" s="24"/>
      <c r="AE160" s="26"/>
      <c r="AF160" s="26"/>
      <c r="AG160" s="24"/>
      <c r="AH160" s="24"/>
      <c r="AI160" s="28"/>
      <c r="AJ160" s="28"/>
      <c r="AK160" s="28"/>
      <c r="AL160" s="28"/>
      <c r="AM160" s="28"/>
      <c r="AN160" s="28"/>
      <c r="AO160" s="28"/>
      <c r="AP160" s="28"/>
      <c r="AQ160" s="28"/>
      <c r="AR160" s="28"/>
      <c r="AS160" s="28"/>
      <c r="AT160" s="28"/>
      <c r="AU160" s="28"/>
      <c r="AV160" s="24"/>
      <c r="AW160" s="28"/>
      <c r="AX160" s="28"/>
      <c r="AY160" s="28"/>
      <c r="AZ160" s="28"/>
      <c r="BA160" s="28"/>
      <c r="BB160" s="28"/>
      <c r="BC160" s="24"/>
      <c r="BD160" s="28"/>
      <c r="BE160" s="28"/>
      <c r="BF160" s="28"/>
      <c r="BG160" s="24"/>
      <c r="BH160" s="28"/>
      <c r="BI160" s="28"/>
      <c r="BJ160" s="28"/>
    </row>
    <row r="161" spans="1:62">
      <c r="A161" s="24"/>
      <c r="B161" s="28"/>
      <c r="C161" s="25"/>
      <c r="D161" s="26"/>
      <c r="E161" s="24"/>
      <c r="F161" s="24"/>
      <c r="G161" s="26"/>
      <c r="H161" s="26"/>
      <c r="I161" s="26"/>
      <c r="J161" s="26"/>
      <c r="K161" s="26"/>
      <c r="L161" s="26"/>
      <c r="M161" s="26"/>
      <c r="N161" s="26"/>
      <c r="P161" s="26"/>
      <c r="Q161" s="26"/>
      <c r="R161" s="25"/>
      <c r="S161" s="25"/>
      <c r="T161" s="25"/>
      <c r="U161" s="25"/>
      <c r="V161" s="24"/>
      <c r="W161" s="24"/>
      <c r="X161" s="24"/>
      <c r="Y161" s="26"/>
      <c r="Z161" s="26"/>
      <c r="AA161" s="24"/>
      <c r="AB161" s="24"/>
      <c r="AC161" s="24"/>
      <c r="AD161" s="24"/>
      <c r="AE161" s="26"/>
      <c r="AF161" s="26"/>
      <c r="AG161" s="24"/>
      <c r="AH161" s="24"/>
      <c r="AI161" s="28"/>
      <c r="AJ161" s="28"/>
      <c r="AK161" s="28"/>
      <c r="AL161" s="28"/>
      <c r="AM161" s="28"/>
      <c r="AN161" s="28"/>
      <c r="AO161" s="28"/>
      <c r="AP161" s="28"/>
      <c r="AQ161" s="28"/>
      <c r="AR161" s="28"/>
      <c r="AS161" s="28"/>
      <c r="AT161" s="28"/>
      <c r="AU161" s="28"/>
      <c r="AV161" s="24"/>
      <c r="AW161" s="28"/>
      <c r="AX161" s="28"/>
      <c r="AY161" s="28"/>
      <c r="AZ161" s="28"/>
      <c r="BA161" s="28"/>
      <c r="BB161" s="28"/>
      <c r="BC161" s="24"/>
      <c r="BD161" s="28"/>
      <c r="BE161" s="28"/>
      <c r="BF161" s="28"/>
      <c r="BG161" s="24"/>
      <c r="BH161" s="28"/>
      <c r="BI161" s="28"/>
      <c r="BJ161" s="28"/>
    </row>
    <row r="162" spans="1:62">
      <c r="A162" s="24"/>
      <c r="B162" s="28"/>
      <c r="C162" s="25"/>
      <c r="D162" s="26"/>
      <c r="E162" s="24"/>
      <c r="F162" s="24"/>
      <c r="G162" s="26"/>
      <c r="H162" s="26"/>
      <c r="I162" s="26"/>
      <c r="J162" s="26"/>
      <c r="K162" s="26"/>
      <c r="L162" s="26"/>
      <c r="M162" s="26"/>
      <c r="N162" s="26"/>
      <c r="P162" s="26"/>
      <c r="Q162" s="26"/>
      <c r="R162" s="25"/>
      <c r="S162" s="25"/>
      <c r="T162" s="25"/>
      <c r="U162" s="25"/>
      <c r="V162" s="24"/>
      <c r="W162" s="24"/>
      <c r="X162" s="24"/>
      <c r="Y162" s="26"/>
      <c r="Z162" s="26"/>
      <c r="AA162" s="24"/>
      <c r="AB162" s="24"/>
      <c r="AC162" s="24"/>
      <c r="AD162" s="24"/>
      <c r="AE162" s="26"/>
      <c r="AF162" s="26"/>
      <c r="AG162" s="24"/>
      <c r="AH162" s="24"/>
      <c r="AI162" s="28"/>
      <c r="AJ162" s="28"/>
      <c r="AK162" s="28"/>
      <c r="AL162" s="28"/>
      <c r="AM162" s="28"/>
      <c r="AN162" s="28"/>
      <c r="AO162" s="28"/>
      <c r="AP162" s="28"/>
      <c r="AQ162" s="28"/>
      <c r="AR162" s="28"/>
      <c r="AS162" s="28"/>
      <c r="AT162" s="28"/>
      <c r="AU162" s="28"/>
      <c r="AV162" s="24"/>
      <c r="AW162" s="28"/>
      <c r="AX162" s="28"/>
      <c r="AY162" s="28"/>
      <c r="AZ162" s="28"/>
      <c r="BA162" s="28"/>
      <c r="BB162" s="28"/>
      <c r="BC162" s="24"/>
      <c r="BD162" s="28"/>
      <c r="BE162" s="28"/>
      <c r="BF162" s="28"/>
      <c r="BG162" s="24"/>
      <c r="BH162" s="28"/>
      <c r="BI162" s="28"/>
      <c r="BJ162" s="28"/>
    </row>
    <row r="163" spans="1:62">
      <c r="A163" s="24"/>
      <c r="B163" s="28"/>
      <c r="C163" s="25"/>
      <c r="D163" s="26"/>
      <c r="E163" s="24"/>
      <c r="F163" s="24"/>
      <c r="G163" s="26"/>
      <c r="H163" s="26"/>
      <c r="I163" s="26"/>
      <c r="J163" s="26"/>
      <c r="K163" s="26"/>
      <c r="L163" s="26"/>
      <c r="M163" s="26"/>
      <c r="N163" s="26"/>
      <c r="P163" s="26"/>
      <c r="Q163" s="26"/>
      <c r="R163" s="25"/>
      <c r="S163" s="25"/>
      <c r="T163" s="25"/>
      <c r="U163" s="25"/>
      <c r="V163" s="24"/>
      <c r="W163" s="24"/>
      <c r="X163" s="24"/>
      <c r="Y163" s="26"/>
      <c r="Z163" s="26"/>
      <c r="AA163" s="24"/>
      <c r="AB163" s="24"/>
      <c r="AC163" s="24"/>
      <c r="AD163" s="24"/>
      <c r="AE163" s="26"/>
      <c r="AF163" s="26"/>
      <c r="AG163" s="24"/>
      <c r="AH163" s="24"/>
      <c r="AI163" s="28"/>
      <c r="AJ163" s="28"/>
      <c r="AK163" s="28"/>
      <c r="AL163" s="28"/>
      <c r="AM163" s="28"/>
      <c r="AN163" s="28"/>
      <c r="AO163" s="28"/>
      <c r="AP163" s="28"/>
      <c r="AQ163" s="28"/>
      <c r="AR163" s="28"/>
      <c r="AS163" s="28"/>
      <c r="AT163" s="28"/>
      <c r="AU163" s="28"/>
      <c r="AV163" s="24"/>
      <c r="AW163" s="28"/>
      <c r="AX163" s="28"/>
      <c r="AY163" s="28"/>
      <c r="AZ163" s="28"/>
      <c r="BA163" s="28"/>
      <c r="BB163" s="28"/>
      <c r="BC163" s="24"/>
      <c r="BD163" s="28"/>
      <c r="BE163" s="28"/>
      <c r="BF163" s="28"/>
      <c r="BG163" s="24"/>
      <c r="BH163" s="28"/>
      <c r="BI163" s="28"/>
      <c r="BJ163" s="28"/>
    </row>
    <row r="164" spans="1:62">
      <c r="A164" s="24"/>
      <c r="B164" s="28"/>
      <c r="C164" s="25"/>
      <c r="D164" s="26"/>
      <c r="E164" s="24"/>
      <c r="F164" s="24"/>
      <c r="G164" s="26"/>
      <c r="H164" s="26"/>
      <c r="I164" s="26"/>
      <c r="J164" s="26"/>
      <c r="K164" s="26"/>
      <c r="L164" s="26"/>
      <c r="M164" s="26"/>
      <c r="N164" s="26"/>
      <c r="P164" s="26"/>
      <c r="Q164" s="26"/>
      <c r="R164" s="25"/>
      <c r="S164" s="25"/>
      <c r="T164" s="25"/>
      <c r="U164" s="25"/>
      <c r="V164" s="24"/>
      <c r="W164" s="24"/>
      <c r="X164" s="24"/>
      <c r="Y164" s="26"/>
      <c r="Z164" s="26"/>
      <c r="AA164" s="24"/>
      <c r="AB164" s="24"/>
      <c r="AC164" s="24"/>
      <c r="AD164" s="24"/>
      <c r="AE164" s="26"/>
      <c r="AF164" s="26"/>
      <c r="AG164" s="24"/>
      <c r="AH164" s="24"/>
      <c r="AI164" s="28"/>
      <c r="AJ164" s="28"/>
      <c r="AK164" s="28"/>
      <c r="AL164" s="28"/>
      <c r="AM164" s="28"/>
      <c r="AN164" s="28"/>
      <c r="AO164" s="28"/>
      <c r="AP164" s="28"/>
      <c r="AQ164" s="28"/>
      <c r="AR164" s="28"/>
      <c r="AS164" s="28"/>
      <c r="AT164" s="28"/>
      <c r="AU164" s="28"/>
      <c r="AV164" s="24"/>
      <c r="AW164" s="28"/>
      <c r="AX164" s="28"/>
      <c r="AY164" s="28"/>
      <c r="AZ164" s="28"/>
      <c r="BA164" s="28"/>
      <c r="BB164" s="28"/>
      <c r="BC164" s="24"/>
      <c r="BD164" s="28"/>
      <c r="BE164" s="28"/>
      <c r="BF164" s="28"/>
      <c r="BG164" s="24"/>
      <c r="BH164" s="28"/>
      <c r="BI164" s="28"/>
      <c r="BJ164" s="28"/>
    </row>
    <row r="165" spans="1:62">
      <c r="A165" s="24"/>
      <c r="B165" s="28"/>
      <c r="C165" s="25"/>
      <c r="D165" s="26"/>
      <c r="E165" s="24"/>
      <c r="F165" s="24"/>
      <c r="G165" s="26"/>
      <c r="H165" s="26"/>
      <c r="I165" s="26"/>
      <c r="J165" s="26"/>
      <c r="K165" s="26"/>
      <c r="L165" s="26"/>
      <c r="M165" s="26"/>
      <c r="N165" s="26"/>
      <c r="P165" s="26"/>
      <c r="Q165" s="26"/>
      <c r="R165" s="25"/>
      <c r="S165" s="25"/>
      <c r="T165" s="25"/>
      <c r="U165" s="25"/>
      <c r="V165" s="24"/>
      <c r="W165" s="24"/>
      <c r="X165" s="24"/>
      <c r="Y165" s="26"/>
      <c r="Z165" s="26"/>
      <c r="AA165" s="24"/>
      <c r="AB165" s="24"/>
      <c r="AC165" s="24"/>
      <c r="AD165" s="24"/>
      <c r="AE165" s="26"/>
      <c r="AF165" s="26"/>
      <c r="AG165" s="24"/>
      <c r="AH165" s="24"/>
      <c r="AI165" s="28"/>
      <c r="AJ165" s="28"/>
      <c r="AK165" s="28"/>
      <c r="AL165" s="28"/>
      <c r="AM165" s="28"/>
      <c r="AN165" s="28"/>
      <c r="AO165" s="28"/>
      <c r="AP165" s="28"/>
      <c r="AQ165" s="28"/>
      <c r="AR165" s="28"/>
      <c r="AS165" s="28"/>
      <c r="AT165" s="28"/>
      <c r="AU165" s="28"/>
      <c r="AV165" s="24"/>
      <c r="AW165" s="28"/>
      <c r="AX165" s="28"/>
      <c r="AY165" s="28"/>
      <c r="AZ165" s="28"/>
      <c r="BA165" s="28"/>
      <c r="BB165" s="28"/>
      <c r="BC165" s="24"/>
      <c r="BD165" s="28"/>
      <c r="BE165" s="28"/>
      <c r="BF165" s="28"/>
      <c r="BG165" s="24"/>
      <c r="BH165" s="28"/>
      <c r="BI165" s="28"/>
      <c r="BJ165" s="28"/>
    </row>
    <row r="166" spans="1:62">
      <c r="A166" s="24"/>
      <c r="B166" s="28"/>
      <c r="C166" s="25"/>
      <c r="D166" s="26"/>
      <c r="E166" s="24"/>
      <c r="F166" s="24"/>
      <c r="G166" s="26"/>
      <c r="H166" s="26"/>
      <c r="I166" s="26"/>
      <c r="J166" s="26"/>
      <c r="K166" s="26"/>
      <c r="L166" s="26"/>
      <c r="M166" s="26"/>
      <c r="N166" s="26"/>
      <c r="P166" s="26"/>
      <c r="Q166" s="26"/>
      <c r="R166" s="25"/>
      <c r="S166" s="25"/>
      <c r="T166" s="25"/>
      <c r="U166" s="25"/>
      <c r="V166" s="24"/>
      <c r="W166" s="24"/>
      <c r="X166" s="24"/>
      <c r="Y166" s="26"/>
      <c r="Z166" s="26"/>
      <c r="AA166" s="24"/>
      <c r="AB166" s="24"/>
      <c r="AC166" s="24"/>
      <c r="AD166" s="24"/>
      <c r="AE166" s="26"/>
      <c r="AF166" s="26"/>
      <c r="AG166" s="24"/>
      <c r="AH166" s="24"/>
      <c r="AI166" s="28"/>
      <c r="AJ166" s="28"/>
      <c r="AK166" s="28"/>
      <c r="AL166" s="28"/>
      <c r="AM166" s="28"/>
      <c r="AN166" s="28"/>
      <c r="AO166" s="28"/>
      <c r="AP166" s="28"/>
      <c r="AQ166" s="28"/>
      <c r="AR166" s="28"/>
      <c r="AS166" s="28"/>
      <c r="AT166" s="28"/>
      <c r="AU166" s="28"/>
      <c r="AV166" s="24"/>
      <c r="AW166" s="28"/>
      <c r="AX166" s="28"/>
      <c r="AY166" s="28"/>
      <c r="AZ166" s="28"/>
      <c r="BA166" s="28"/>
      <c r="BB166" s="28"/>
      <c r="BC166" s="24"/>
      <c r="BD166" s="28"/>
      <c r="BE166" s="28"/>
      <c r="BF166" s="28"/>
      <c r="BG166" s="24"/>
      <c r="BH166" s="28"/>
      <c r="BI166" s="28"/>
      <c r="BJ166" s="28"/>
    </row>
    <row r="167" spans="1:62">
      <c r="A167" s="24"/>
      <c r="B167" s="28"/>
      <c r="C167" s="25"/>
      <c r="D167" s="26"/>
      <c r="E167" s="24"/>
      <c r="F167" s="24"/>
      <c r="G167" s="26"/>
      <c r="H167" s="26"/>
      <c r="I167" s="26"/>
      <c r="J167" s="26"/>
      <c r="K167" s="26"/>
      <c r="L167" s="26"/>
      <c r="M167" s="26"/>
      <c r="N167" s="26"/>
      <c r="P167" s="26"/>
      <c r="Q167" s="26"/>
      <c r="R167" s="25"/>
      <c r="S167" s="25"/>
      <c r="T167" s="25"/>
      <c r="U167" s="25"/>
      <c r="V167" s="24"/>
      <c r="W167" s="24"/>
      <c r="X167" s="24"/>
      <c r="Y167" s="26"/>
      <c r="Z167" s="26"/>
      <c r="AA167" s="24"/>
      <c r="AB167" s="24"/>
      <c r="AC167" s="24"/>
      <c r="AD167" s="24"/>
      <c r="AE167" s="26"/>
      <c r="AF167" s="26"/>
      <c r="AG167" s="24"/>
      <c r="AH167" s="24"/>
      <c r="AI167" s="28"/>
      <c r="AJ167" s="28"/>
      <c r="AK167" s="28"/>
      <c r="AL167" s="28"/>
      <c r="AM167" s="28"/>
      <c r="AN167" s="28"/>
      <c r="AO167" s="28"/>
      <c r="AP167" s="28"/>
      <c r="AQ167" s="28"/>
      <c r="AR167" s="28"/>
      <c r="AS167" s="28"/>
      <c r="AT167" s="28"/>
      <c r="AU167" s="28"/>
      <c r="AV167" s="24"/>
      <c r="AW167" s="28"/>
      <c r="AX167" s="28"/>
      <c r="AY167" s="28"/>
      <c r="AZ167" s="28"/>
      <c r="BA167" s="28"/>
      <c r="BB167" s="28"/>
      <c r="BC167" s="24"/>
      <c r="BD167" s="28"/>
      <c r="BE167" s="28"/>
      <c r="BF167" s="28"/>
      <c r="BG167" s="24"/>
      <c r="BH167" s="28"/>
      <c r="BI167" s="28"/>
      <c r="BJ167" s="28"/>
    </row>
    <row r="168" spans="1:62">
      <c r="A168" s="24"/>
      <c r="B168" s="28"/>
      <c r="C168" s="25"/>
      <c r="D168" s="26"/>
      <c r="E168" s="24"/>
      <c r="F168" s="24"/>
      <c r="G168" s="26"/>
      <c r="H168" s="26"/>
      <c r="I168" s="26"/>
      <c r="J168" s="26"/>
      <c r="K168" s="26"/>
      <c r="L168" s="26"/>
      <c r="M168" s="26"/>
      <c r="N168" s="26"/>
      <c r="P168" s="26"/>
      <c r="Q168" s="26"/>
      <c r="R168" s="25"/>
      <c r="S168" s="25"/>
      <c r="T168" s="25"/>
      <c r="U168" s="25"/>
      <c r="V168" s="24"/>
      <c r="W168" s="24"/>
      <c r="X168" s="24"/>
      <c r="Y168" s="26"/>
      <c r="Z168" s="26"/>
      <c r="AA168" s="24"/>
      <c r="AB168" s="24"/>
      <c r="AC168" s="24"/>
      <c r="AD168" s="24"/>
      <c r="AE168" s="26"/>
      <c r="AF168" s="26"/>
      <c r="AG168" s="24"/>
      <c r="AH168" s="24"/>
      <c r="AI168" s="28"/>
      <c r="AJ168" s="28"/>
      <c r="AK168" s="28"/>
      <c r="AL168" s="28"/>
      <c r="AM168" s="28"/>
      <c r="AN168" s="28"/>
      <c r="AO168" s="28"/>
      <c r="AP168" s="28"/>
      <c r="AQ168" s="28"/>
      <c r="AR168" s="28"/>
      <c r="AS168" s="28"/>
      <c r="AT168" s="28"/>
      <c r="AU168" s="28"/>
      <c r="AV168" s="24"/>
      <c r="AW168" s="28"/>
      <c r="AX168" s="28"/>
      <c r="AY168" s="28"/>
      <c r="AZ168" s="28"/>
      <c r="BA168" s="28"/>
      <c r="BB168" s="28"/>
      <c r="BC168" s="24"/>
      <c r="BD168" s="28"/>
      <c r="BE168" s="28"/>
      <c r="BF168" s="28"/>
      <c r="BG168" s="24"/>
      <c r="BH168" s="28"/>
      <c r="BI168" s="28"/>
      <c r="BJ168" s="28"/>
    </row>
    <row r="169" spans="1:62">
      <c r="A169" s="24"/>
      <c r="B169" s="28"/>
      <c r="C169" s="25"/>
      <c r="D169" s="26"/>
      <c r="E169" s="24"/>
      <c r="F169" s="24"/>
      <c r="G169" s="26"/>
      <c r="H169" s="26"/>
      <c r="I169" s="26"/>
      <c r="J169" s="26"/>
      <c r="K169" s="26"/>
      <c r="L169" s="26"/>
      <c r="M169" s="26"/>
      <c r="N169" s="26"/>
      <c r="P169" s="26"/>
      <c r="Q169" s="26"/>
      <c r="R169" s="25"/>
      <c r="S169" s="25"/>
      <c r="T169" s="25"/>
      <c r="U169" s="25"/>
      <c r="V169" s="24"/>
      <c r="W169" s="24"/>
      <c r="X169" s="24"/>
      <c r="Y169" s="26"/>
      <c r="Z169" s="26"/>
      <c r="AA169" s="24"/>
      <c r="AB169" s="24"/>
      <c r="AC169" s="24"/>
      <c r="AD169" s="24"/>
      <c r="AE169" s="26"/>
      <c r="AF169" s="26"/>
      <c r="AG169" s="24"/>
      <c r="AH169" s="24"/>
      <c r="AI169" s="28"/>
      <c r="AJ169" s="28"/>
      <c r="AK169" s="28"/>
      <c r="AL169" s="28"/>
      <c r="AM169" s="28"/>
      <c r="AN169" s="28"/>
      <c r="AO169" s="28"/>
      <c r="AP169" s="28"/>
      <c r="AQ169" s="28"/>
      <c r="AR169" s="28"/>
      <c r="AS169" s="28"/>
      <c r="AT169" s="28"/>
      <c r="AU169" s="28"/>
      <c r="AV169" s="24"/>
      <c r="AW169" s="28"/>
      <c r="AX169" s="28"/>
      <c r="AY169" s="28"/>
      <c r="AZ169" s="28"/>
      <c r="BA169" s="28"/>
      <c r="BB169" s="28"/>
      <c r="BC169" s="24"/>
      <c r="BD169" s="28"/>
      <c r="BE169" s="28"/>
      <c r="BF169" s="28"/>
      <c r="BG169" s="24"/>
      <c r="BH169" s="28"/>
      <c r="BI169" s="28"/>
      <c r="BJ169" s="28"/>
    </row>
    <row r="170" spans="1:62">
      <c r="A170" s="24"/>
      <c r="B170" s="28"/>
      <c r="C170" s="25"/>
      <c r="D170" s="26"/>
      <c r="E170" s="24"/>
      <c r="F170" s="24"/>
      <c r="G170" s="26"/>
      <c r="H170" s="26"/>
      <c r="I170" s="26"/>
      <c r="J170" s="26"/>
      <c r="K170" s="26"/>
      <c r="L170" s="26"/>
      <c r="M170" s="26"/>
      <c r="N170" s="26"/>
      <c r="P170" s="26"/>
      <c r="Q170" s="26"/>
      <c r="R170" s="25"/>
      <c r="S170" s="25"/>
      <c r="T170" s="25"/>
      <c r="U170" s="25"/>
      <c r="V170" s="24"/>
      <c r="W170" s="24"/>
      <c r="X170" s="24"/>
      <c r="Y170" s="26"/>
      <c r="Z170" s="26"/>
      <c r="AA170" s="24"/>
      <c r="AB170" s="24"/>
      <c r="AC170" s="24"/>
      <c r="AD170" s="24"/>
      <c r="AE170" s="26"/>
      <c r="AF170" s="26"/>
      <c r="AG170" s="24"/>
      <c r="AH170" s="24"/>
      <c r="AI170" s="28"/>
      <c r="AJ170" s="28"/>
      <c r="AK170" s="28"/>
      <c r="AL170" s="28"/>
      <c r="AM170" s="28"/>
      <c r="AN170" s="28"/>
      <c r="AO170" s="28"/>
      <c r="AP170" s="28"/>
      <c r="AQ170" s="28"/>
      <c r="AR170" s="28"/>
      <c r="AS170" s="28"/>
      <c r="AT170" s="28"/>
      <c r="AU170" s="28"/>
      <c r="AV170" s="24"/>
      <c r="AW170" s="28"/>
      <c r="AX170" s="28"/>
      <c r="AY170" s="28"/>
      <c r="AZ170" s="28"/>
      <c r="BA170" s="28"/>
      <c r="BB170" s="28"/>
      <c r="BC170" s="24"/>
      <c r="BD170" s="28"/>
      <c r="BE170" s="28"/>
      <c r="BF170" s="28"/>
      <c r="BG170" s="24"/>
      <c r="BH170" s="28"/>
      <c r="BI170" s="28"/>
      <c r="BJ170" s="28"/>
    </row>
    <row r="171" spans="1:62">
      <c r="A171" s="24"/>
      <c r="B171" s="28"/>
      <c r="C171" s="25"/>
      <c r="D171" s="26"/>
      <c r="E171" s="24"/>
      <c r="F171" s="24"/>
      <c r="G171" s="26"/>
      <c r="H171" s="26"/>
      <c r="I171" s="26"/>
      <c r="J171" s="26"/>
      <c r="K171" s="26"/>
      <c r="L171" s="26"/>
      <c r="M171" s="26"/>
      <c r="N171" s="26"/>
      <c r="P171" s="26"/>
      <c r="Q171" s="26"/>
      <c r="R171" s="25"/>
      <c r="S171" s="25"/>
      <c r="T171" s="25"/>
      <c r="U171" s="25"/>
      <c r="V171" s="24"/>
      <c r="W171" s="24"/>
      <c r="X171" s="24"/>
      <c r="Y171" s="26"/>
      <c r="Z171" s="26"/>
      <c r="AA171" s="24"/>
      <c r="AB171" s="24"/>
      <c r="AC171" s="24"/>
      <c r="AD171" s="24"/>
      <c r="AE171" s="26"/>
      <c r="AF171" s="26"/>
      <c r="AG171" s="24"/>
      <c r="AH171" s="24"/>
      <c r="AI171" s="28"/>
      <c r="AJ171" s="28"/>
      <c r="AK171" s="28"/>
      <c r="AL171" s="28"/>
      <c r="AM171" s="28"/>
      <c r="AN171" s="28"/>
      <c r="AO171" s="28"/>
      <c r="AP171" s="28"/>
      <c r="AQ171" s="28"/>
      <c r="AR171" s="28"/>
      <c r="AS171" s="28"/>
      <c r="AT171" s="28"/>
      <c r="AU171" s="28"/>
      <c r="AV171" s="24"/>
      <c r="AW171" s="28"/>
      <c r="AX171" s="28"/>
      <c r="AY171" s="28"/>
      <c r="AZ171" s="28"/>
      <c r="BA171" s="28"/>
      <c r="BB171" s="28"/>
      <c r="BC171" s="24"/>
      <c r="BD171" s="28"/>
      <c r="BE171" s="28"/>
      <c r="BF171" s="28"/>
      <c r="BG171" s="24"/>
      <c r="BH171" s="28"/>
      <c r="BI171" s="28"/>
      <c r="BJ171" s="28"/>
    </row>
    <row r="172" spans="1:62">
      <c r="A172" s="24"/>
      <c r="B172" s="28"/>
      <c r="C172" s="25"/>
      <c r="D172" s="26"/>
      <c r="E172" s="24"/>
      <c r="F172" s="24"/>
      <c r="G172" s="26"/>
      <c r="H172" s="26"/>
      <c r="I172" s="26"/>
      <c r="J172" s="26"/>
      <c r="K172" s="26"/>
      <c r="L172" s="26"/>
      <c r="M172" s="26"/>
      <c r="N172" s="26"/>
      <c r="P172" s="26"/>
      <c r="Q172" s="26"/>
      <c r="R172" s="25"/>
      <c r="S172" s="25"/>
      <c r="T172" s="25"/>
      <c r="U172" s="25"/>
      <c r="V172" s="24"/>
      <c r="W172" s="24"/>
      <c r="X172" s="24"/>
      <c r="Y172" s="26"/>
      <c r="Z172" s="26"/>
      <c r="AA172" s="24"/>
      <c r="AB172" s="24"/>
      <c r="AC172" s="24"/>
      <c r="AD172" s="24"/>
      <c r="AE172" s="26"/>
      <c r="AF172" s="26"/>
      <c r="AG172" s="24"/>
      <c r="AH172" s="24"/>
      <c r="AI172" s="28"/>
      <c r="AJ172" s="28"/>
      <c r="AK172" s="28"/>
      <c r="AL172" s="28"/>
      <c r="AM172" s="28"/>
      <c r="AN172" s="28"/>
      <c r="AO172" s="28"/>
      <c r="AP172" s="28"/>
      <c r="AQ172" s="28"/>
      <c r="AR172" s="28"/>
      <c r="AS172" s="28"/>
      <c r="AT172" s="28"/>
      <c r="AU172" s="28"/>
      <c r="AV172" s="24"/>
      <c r="AW172" s="28"/>
      <c r="AX172" s="28"/>
      <c r="AY172" s="28"/>
      <c r="AZ172" s="28"/>
      <c r="BA172" s="28"/>
      <c r="BB172" s="28"/>
      <c r="BC172" s="24"/>
      <c r="BD172" s="28"/>
      <c r="BE172" s="28"/>
      <c r="BF172" s="28"/>
      <c r="BG172" s="24"/>
      <c r="BH172" s="28"/>
      <c r="BI172" s="28"/>
      <c r="BJ172" s="28"/>
    </row>
    <row r="173" spans="1:62">
      <c r="A173" s="24"/>
      <c r="B173" s="28"/>
      <c r="C173" s="25"/>
      <c r="D173" s="26"/>
      <c r="E173" s="24"/>
      <c r="F173" s="24"/>
      <c r="G173" s="26"/>
      <c r="H173" s="26"/>
      <c r="I173" s="26"/>
      <c r="J173" s="26"/>
      <c r="K173" s="26"/>
      <c r="L173" s="26"/>
      <c r="M173" s="26"/>
      <c r="N173" s="26"/>
      <c r="P173" s="26"/>
      <c r="Q173" s="26"/>
      <c r="R173" s="25"/>
      <c r="S173" s="25"/>
      <c r="T173" s="25"/>
      <c r="U173" s="25"/>
      <c r="V173" s="24"/>
      <c r="W173" s="24"/>
      <c r="X173" s="24"/>
      <c r="Y173" s="26"/>
      <c r="Z173" s="26"/>
      <c r="AA173" s="24"/>
      <c r="AB173" s="24"/>
      <c r="AC173" s="24"/>
      <c r="AD173" s="24"/>
      <c r="AE173" s="26"/>
      <c r="AF173" s="26"/>
      <c r="AG173" s="24"/>
      <c r="AH173" s="24"/>
      <c r="AI173" s="28"/>
      <c r="AJ173" s="28"/>
      <c r="AK173" s="28"/>
      <c r="AL173" s="28"/>
      <c r="AM173" s="28"/>
      <c r="AN173" s="28"/>
      <c r="AO173" s="28"/>
      <c r="AP173" s="28"/>
      <c r="AQ173" s="28"/>
      <c r="AR173" s="28"/>
      <c r="AS173" s="28"/>
      <c r="AT173" s="28"/>
      <c r="AU173" s="28"/>
      <c r="AV173" s="24"/>
      <c r="AW173" s="28"/>
      <c r="AX173" s="28"/>
      <c r="AY173" s="28"/>
      <c r="AZ173" s="28"/>
      <c r="BA173" s="28"/>
      <c r="BB173" s="28"/>
      <c r="BC173" s="24"/>
      <c r="BD173" s="28"/>
      <c r="BE173" s="28"/>
      <c r="BF173" s="28"/>
      <c r="BG173" s="24"/>
      <c r="BH173" s="28"/>
      <c r="BI173" s="28"/>
      <c r="BJ173" s="28"/>
    </row>
    <row r="174" spans="1:62">
      <c r="A174" s="24"/>
      <c r="B174" s="28"/>
      <c r="C174" s="25"/>
      <c r="D174" s="26"/>
      <c r="E174" s="24"/>
      <c r="F174" s="24"/>
      <c r="G174" s="26"/>
      <c r="H174" s="26"/>
      <c r="I174" s="26"/>
      <c r="J174" s="26"/>
      <c r="K174" s="26"/>
      <c r="L174" s="26"/>
      <c r="M174" s="26"/>
      <c r="N174" s="26"/>
      <c r="P174" s="26"/>
      <c r="Q174" s="26"/>
      <c r="R174" s="25"/>
      <c r="S174" s="25"/>
      <c r="T174" s="25"/>
      <c r="U174" s="25"/>
      <c r="V174" s="24"/>
      <c r="W174" s="24"/>
      <c r="X174" s="24"/>
      <c r="Y174" s="26"/>
      <c r="Z174" s="26"/>
      <c r="AA174" s="24"/>
      <c r="AB174" s="24"/>
      <c r="AC174" s="24"/>
      <c r="AD174" s="24"/>
      <c r="AE174" s="26"/>
      <c r="AF174" s="26"/>
      <c r="AG174" s="24"/>
      <c r="AH174" s="24"/>
      <c r="AI174" s="28"/>
      <c r="AJ174" s="28"/>
      <c r="AK174" s="28"/>
      <c r="AL174" s="28"/>
      <c r="AM174" s="28"/>
      <c r="AN174" s="28"/>
      <c r="AO174" s="28"/>
      <c r="AP174" s="28"/>
      <c r="AQ174" s="28"/>
      <c r="AR174" s="28"/>
      <c r="AS174" s="28"/>
      <c r="AT174" s="28"/>
      <c r="AU174" s="28"/>
      <c r="AV174" s="24"/>
      <c r="AW174" s="28"/>
      <c r="AX174" s="28"/>
      <c r="AY174" s="28"/>
      <c r="AZ174" s="28"/>
      <c r="BA174" s="28"/>
      <c r="BB174" s="28"/>
      <c r="BC174" s="24"/>
      <c r="BD174" s="28"/>
      <c r="BE174" s="28"/>
      <c r="BF174" s="28"/>
      <c r="BG174" s="24"/>
      <c r="BH174" s="28"/>
      <c r="BI174" s="28"/>
      <c r="BJ174" s="28"/>
    </row>
    <row r="175" spans="1:62">
      <c r="A175" s="24"/>
      <c r="B175" s="28"/>
      <c r="C175" s="25"/>
      <c r="D175" s="26"/>
      <c r="E175" s="24"/>
      <c r="F175" s="24"/>
      <c r="G175" s="26"/>
      <c r="H175" s="26"/>
      <c r="I175" s="26"/>
      <c r="J175" s="26"/>
      <c r="K175" s="26"/>
      <c r="L175" s="26"/>
      <c r="M175" s="26"/>
      <c r="N175" s="26"/>
      <c r="P175" s="26"/>
      <c r="Q175" s="26"/>
      <c r="R175" s="25"/>
      <c r="S175" s="25"/>
      <c r="T175" s="25"/>
      <c r="U175" s="25"/>
      <c r="V175" s="24"/>
      <c r="W175" s="24"/>
      <c r="X175" s="24"/>
      <c r="Y175" s="26"/>
      <c r="Z175" s="26"/>
      <c r="AA175" s="24"/>
      <c r="AB175" s="24"/>
      <c r="AC175" s="24"/>
      <c r="AD175" s="24"/>
      <c r="AE175" s="26"/>
      <c r="AF175" s="26"/>
      <c r="AG175" s="24"/>
      <c r="AH175" s="24"/>
      <c r="AI175" s="28"/>
      <c r="AJ175" s="28"/>
      <c r="AK175" s="28"/>
      <c r="AL175" s="28"/>
      <c r="AM175" s="28"/>
      <c r="AN175" s="28"/>
      <c r="AO175" s="28"/>
      <c r="AP175" s="28"/>
      <c r="AQ175" s="28"/>
      <c r="AR175" s="28"/>
      <c r="AS175" s="28"/>
      <c r="AT175" s="28"/>
      <c r="AU175" s="28"/>
      <c r="AV175" s="24"/>
      <c r="AW175" s="28"/>
      <c r="AX175" s="28"/>
      <c r="AY175" s="28"/>
      <c r="AZ175" s="28"/>
      <c r="BA175" s="28"/>
      <c r="BB175" s="28"/>
      <c r="BC175" s="24"/>
      <c r="BD175" s="28"/>
      <c r="BE175" s="28"/>
      <c r="BF175" s="28"/>
      <c r="BG175" s="24"/>
      <c r="BH175" s="28"/>
      <c r="BI175" s="28"/>
      <c r="BJ175" s="28"/>
    </row>
    <row r="176" spans="1:62">
      <c r="A176" s="24"/>
      <c r="B176" s="28"/>
      <c r="C176" s="25"/>
      <c r="D176" s="26"/>
      <c r="E176" s="24"/>
      <c r="F176" s="24"/>
      <c r="G176" s="26"/>
      <c r="H176" s="26"/>
      <c r="I176" s="26"/>
      <c r="J176" s="26"/>
      <c r="K176" s="26"/>
      <c r="L176" s="26"/>
      <c r="M176" s="26"/>
      <c r="N176" s="26"/>
      <c r="P176" s="26"/>
      <c r="Q176" s="26"/>
      <c r="R176" s="25"/>
      <c r="S176" s="25"/>
      <c r="T176" s="25"/>
      <c r="U176" s="25"/>
      <c r="V176" s="24"/>
      <c r="W176" s="24"/>
      <c r="X176" s="24"/>
      <c r="Y176" s="26"/>
      <c r="Z176" s="26"/>
      <c r="AA176" s="24"/>
      <c r="AB176" s="24"/>
      <c r="AC176" s="24"/>
      <c r="AD176" s="24"/>
      <c r="AE176" s="26"/>
      <c r="AF176" s="26"/>
      <c r="AG176" s="24"/>
      <c r="AH176" s="24"/>
      <c r="AI176" s="28"/>
      <c r="AJ176" s="28"/>
      <c r="AK176" s="28"/>
      <c r="AL176" s="28"/>
      <c r="AM176" s="28"/>
      <c r="AN176" s="28"/>
      <c r="AO176" s="28"/>
      <c r="AP176" s="28"/>
      <c r="AQ176" s="28"/>
      <c r="AR176" s="28"/>
      <c r="AS176" s="28"/>
      <c r="AT176" s="28"/>
      <c r="AU176" s="28"/>
      <c r="AV176" s="24"/>
      <c r="AW176" s="28"/>
      <c r="AX176" s="28"/>
      <c r="AY176" s="28"/>
      <c r="AZ176" s="28"/>
      <c r="BA176" s="28"/>
      <c r="BB176" s="28"/>
      <c r="BC176" s="24"/>
      <c r="BD176" s="28"/>
      <c r="BE176" s="28"/>
      <c r="BF176" s="28"/>
      <c r="BG176" s="24"/>
      <c r="BH176" s="28"/>
      <c r="BI176" s="28"/>
      <c r="BJ176" s="28"/>
    </row>
    <row r="177" spans="1:62">
      <c r="A177" s="24"/>
      <c r="B177" s="28"/>
      <c r="C177" s="25"/>
      <c r="D177" s="26"/>
      <c r="E177" s="24"/>
      <c r="F177" s="24"/>
      <c r="G177" s="26"/>
      <c r="H177" s="26"/>
      <c r="I177" s="26"/>
      <c r="J177" s="26"/>
      <c r="K177" s="26"/>
      <c r="L177" s="26"/>
      <c r="M177" s="26"/>
      <c r="N177" s="26"/>
      <c r="P177" s="26"/>
      <c r="Q177" s="26"/>
      <c r="R177" s="25"/>
      <c r="S177" s="25"/>
      <c r="T177" s="25"/>
      <c r="U177" s="25"/>
      <c r="V177" s="24"/>
      <c r="W177" s="24"/>
      <c r="X177" s="24"/>
      <c r="Y177" s="26"/>
      <c r="Z177" s="26"/>
      <c r="AA177" s="24"/>
      <c r="AB177" s="24"/>
      <c r="AC177" s="24"/>
      <c r="AD177" s="24"/>
      <c r="AE177" s="26"/>
      <c r="AF177" s="26"/>
      <c r="AG177" s="24"/>
      <c r="AH177" s="24"/>
      <c r="AI177" s="28"/>
      <c r="AJ177" s="28"/>
      <c r="AK177" s="28"/>
      <c r="AL177" s="28"/>
      <c r="AM177" s="28"/>
      <c r="AN177" s="28"/>
      <c r="AO177" s="28"/>
      <c r="AP177" s="28"/>
      <c r="AQ177" s="28"/>
      <c r="AR177" s="28"/>
      <c r="AS177" s="28"/>
      <c r="AT177" s="28"/>
      <c r="AU177" s="28"/>
      <c r="AV177" s="24"/>
      <c r="AW177" s="28"/>
      <c r="AX177" s="28"/>
      <c r="AY177" s="28"/>
      <c r="AZ177" s="28"/>
      <c r="BA177" s="28"/>
      <c r="BB177" s="28"/>
      <c r="BC177" s="24"/>
      <c r="BD177" s="28"/>
      <c r="BE177" s="28"/>
      <c r="BF177" s="28"/>
      <c r="BG177" s="24"/>
      <c r="BH177" s="28"/>
      <c r="BI177" s="28"/>
      <c r="BJ177" s="28"/>
    </row>
    <row r="178" spans="1:62">
      <c r="A178" s="24"/>
      <c r="B178" s="28"/>
      <c r="C178" s="25"/>
      <c r="D178" s="26"/>
      <c r="E178" s="24"/>
      <c r="F178" s="24"/>
      <c r="G178" s="26"/>
      <c r="H178" s="26"/>
      <c r="I178" s="26"/>
      <c r="J178" s="26"/>
      <c r="K178" s="26"/>
      <c r="L178" s="26"/>
      <c r="M178" s="26"/>
      <c r="N178" s="26"/>
      <c r="P178" s="26"/>
      <c r="Q178" s="26"/>
      <c r="R178" s="25"/>
      <c r="S178" s="25"/>
      <c r="T178" s="25"/>
      <c r="U178" s="25"/>
      <c r="V178" s="24"/>
      <c r="W178" s="24"/>
      <c r="X178" s="24"/>
      <c r="Y178" s="26"/>
      <c r="Z178" s="26"/>
      <c r="AA178" s="24"/>
      <c r="AB178" s="24"/>
      <c r="AC178" s="24"/>
      <c r="AD178" s="24"/>
      <c r="AE178" s="26"/>
      <c r="AF178" s="26"/>
      <c r="AG178" s="24"/>
      <c r="AH178" s="24"/>
      <c r="AI178" s="28"/>
      <c r="AJ178" s="28"/>
      <c r="AK178" s="28"/>
      <c r="AL178" s="28"/>
      <c r="AM178" s="28"/>
      <c r="AN178" s="28"/>
      <c r="AO178" s="28"/>
      <c r="AP178" s="28"/>
      <c r="AQ178" s="28"/>
      <c r="AR178" s="28"/>
      <c r="AS178" s="28"/>
      <c r="AT178" s="28"/>
      <c r="AU178" s="28"/>
      <c r="AV178" s="24"/>
      <c r="AW178" s="28"/>
      <c r="AX178" s="28"/>
      <c r="AY178" s="28"/>
      <c r="AZ178" s="28"/>
      <c r="BA178" s="28"/>
      <c r="BB178" s="28"/>
      <c r="BC178" s="24"/>
      <c r="BD178" s="28"/>
      <c r="BE178" s="28"/>
      <c r="BF178" s="28"/>
      <c r="BG178" s="24"/>
      <c r="BH178" s="28"/>
      <c r="BI178" s="28"/>
      <c r="BJ178" s="28"/>
    </row>
    <row r="179" spans="1:62">
      <c r="A179" s="24"/>
      <c r="B179" s="28"/>
      <c r="C179" s="25"/>
      <c r="D179" s="26"/>
      <c r="E179" s="24"/>
      <c r="F179" s="24"/>
      <c r="G179" s="26"/>
      <c r="H179" s="26"/>
      <c r="I179" s="26"/>
      <c r="J179" s="26"/>
      <c r="K179" s="26"/>
      <c r="L179" s="26"/>
      <c r="M179" s="26"/>
      <c r="N179" s="26"/>
      <c r="P179" s="26"/>
      <c r="Q179" s="26"/>
      <c r="R179" s="25"/>
      <c r="S179" s="25"/>
      <c r="T179" s="25"/>
      <c r="U179" s="25"/>
      <c r="V179" s="24"/>
      <c r="W179" s="24"/>
      <c r="X179" s="24"/>
      <c r="Y179" s="26"/>
      <c r="Z179" s="26"/>
      <c r="AA179" s="24"/>
      <c r="AB179" s="24"/>
      <c r="AC179" s="24"/>
      <c r="AD179" s="24"/>
      <c r="AE179" s="26"/>
      <c r="AF179" s="26"/>
      <c r="AG179" s="24"/>
      <c r="AH179" s="24"/>
      <c r="AI179" s="28"/>
      <c r="AJ179" s="28"/>
      <c r="AK179" s="28"/>
      <c r="AL179" s="28"/>
      <c r="AM179" s="28"/>
      <c r="AN179" s="28"/>
      <c r="AO179" s="28"/>
      <c r="AP179" s="28"/>
      <c r="AQ179" s="28"/>
      <c r="AR179" s="28"/>
      <c r="AS179" s="28"/>
      <c r="AT179" s="28"/>
      <c r="AU179" s="28"/>
      <c r="AV179" s="24"/>
      <c r="AW179" s="28"/>
      <c r="AX179" s="28"/>
      <c r="AY179" s="28"/>
      <c r="AZ179" s="28"/>
      <c r="BA179" s="28"/>
      <c r="BB179" s="28"/>
      <c r="BC179" s="24"/>
      <c r="BD179" s="28"/>
      <c r="BE179" s="28"/>
      <c r="BF179" s="28"/>
      <c r="BG179" s="24"/>
      <c r="BH179" s="28"/>
      <c r="BI179" s="28"/>
      <c r="BJ179" s="28"/>
    </row>
    <row r="180" spans="1:62">
      <c r="A180" s="24"/>
      <c r="B180" s="28"/>
      <c r="C180" s="25"/>
      <c r="D180" s="26"/>
      <c r="E180" s="24"/>
      <c r="F180" s="24"/>
      <c r="G180" s="26"/>
      <c r="H180" s="26"/>
      <c r="I180" s="26"/>
      <c r="J180" s="26"/>
      <c r="K180" s="26"/>
      <c r="L180" s="26"/>
      <c r="M180" s="26"/>
      <c r="N180" s="26"/>
      <c r="P180" s="26"/>
      <c r="Q180" s="26"/>
      <c r="R180" s="25"/>
      <c r="S180" s="25"/>
      <c r="T180" s="25"/>
      <c r="U180" s="25"/>
      <c r="V180" s="24"/>
      <c r="W180" s="24"/>
      <c r="X180" s="24"/>
      <c r="Y180" s="26"/>
      <c r="Z180" s="26"/>
      <c r="AA180" s="24"/>
      <c r="AB180" s="24"/>
      <c r="AC180" s="24"/>
      <c r="AD180" s="24"/>
      <c r="AE180" s="26"/>
      <c r="AF180" s="26"/>
      <c r="AG180" s="24"/>
      <c r="AH180" s="24"/>
      <c r="AI180" s="28"/>
      <c r="AJ180" s="28"/>
      <c r="AK180" s="28"/>
      <c r="AL180" s="28"/>
      <c r="AM180" s="28"/>
      <c r="AN180" s="28"/>
      <c r="AO180" s="28"/>
      <c r="AP180" s="28"/>
      <c r="AQ180" s="28"/>
      <c r="AR180" s="28"/>
      <c r="AS180" s="28"/>
      <c r="AT180" s="28"/>
      <c r="AU180" s="28"/>
      <c r="AV180" s="24"/>
      <c r="AW180" s="28"/>
      <c r="AX180" s="28"/>
      <c r="AY180" s="28"/>
      <c r="AZ180" s="28"/>
      <c r="BA180" s="28"/>
      <c r="BB180" s="28"/>
      <c r="BC180" s="24"/>
      <c r="BD180" s="28"/>
      <c r="BE180" s="28"/>
      <c r="BF180" s="28"/>
      <c r="BG180" s="24"/>
      <c r="BH180" s="28"/>
      <c r="BI180" s="28"/>
      <c r="BJ180" s="28"/>
    </row>
    <row r="181" spans="1:62">
      <c r="A181" s="24"/>
      <c r="B181" s="28"/>
      <c r="C181" s="25"/>
      <c r="D181" s="26"/>
      <c r="E181" s="24"/>
      <c r="F181" s="24"/>
      <c r="G181" s="26"/>
      <c r="H181" s="26"/>
      <c r="I181" s="26"/>
      <c r="J181" s="26"/>
      <c r="K181" s="26"/>
      <c r="L181" s="26"/>
      <c r="M181" s="26"/>
      <c r="N181" s="26"/>
      <c r="P181" s="26"/>
      <c r="Q181" s="26"/>
      <c r="R181" s="25"/>
      <c r="S181" s="25"/>
      <c r="T181" s="25"/>
      <c r="U181" s="25"/>
      <c r="V181" s="24"/>
      <c r="W181" s="24"/>
      <c r="X181" s="24"/>
      <c r="Y181" s="26"/>
      <c r="Z181" s="26"/>
      <c r="AA181" s="24"/>
      <c r="AB181" s="24"/>
      <c r="AC181" s="24"/>
      <c r="AD181" s="24"/>
      <c r="AE181" s="26"/>
      <c r="AF181" s="26"/>
      <c r="AG181" s="24"/>
      <c r="AH181" s="24"/>
      <c r="AI181" s="28"/>
      <c r="AJ181" s="28"/>
      <c r="AK181" s="28"/>
      <c r="AL181" s="28"/>
      <c r="AM181" s="28"/>
      <c r="AN181" s="28"/>
      <c r="AO181" s="28"/>
      <c r="AP181" s="28"/>
      <c r="AQ181" s="28"/>
      <c r="AR181" s="28"/>
      <c r="AS181" s="28"/>
      <c r="AT181" s="28"/>
      <c r="AU181" s="28"/>
      <c r="AV181" s="24"/>
      <c r="AW181" s="28"/>
      <c r="AX181" s="28"/>
      <c r="AY181" s="28"/>
      <c r="AZ181" s="28"/>
      <c r="BA181" s="28"/>
      <c r="BB181" s="28"/>
      <c r="BC181" s="24"/>
      <c r="BD181" s="28"/>
      <c r="BE181" s="28"/>
      <c r="BF181" s="28"/>
      <c r="BG181" s="24"/>
      <c r="BH181" s="28"/>
      <c r="BI181" s="28"/>
      <c r="BJ181" s="28"/>
    </row>
    <row r="182" spans="1:62">
      <c r="A182" s="24"/>
      <c r="B182" s="28"/>
      <c r="C182" s="25"/>
      <c r="D182" s="26"/>
      <c r="E182" s="24"/>
      <c r="F182" s="24"/>
      <c r="G182" s="26"/>
      <c r="H182" s="26"/>
      <c r="I182" s="26"/>
      <c r="J182" s="26"/>
      <c r="K182" s="26"/>
      <c r="L182" s="26"/>
      <c r="M182" s="26"/>
      <c r="N182" s="26"/>
      <c r="P182" s="26"/>
      <c r="Q182" s="26"/>
      <c r="R182" s="25"/>
      <c r="S182" s="25"/>
      <c r="T182" s="25"/>
      <c r="U182" s="25"/>
      <c r="V182" s="24"/>
      <c r="W182" s="24"/>
      <c r="X182" s="24"/>
      <c r="Y182" s="26"/>
      <c r="Z182" s="26"/>
      <c r="AA182" s="24"/>
      <c r="AB182" s="24"/>
      <c r="AC182" s="24"/>
      <c r="AD182" s="24"/>
      <c r="AE182" s="26"/>
      <c r="AF182" s="26"/>
      <c r="AG182" s="24"/>
      <c r="AH182" s="24"/>
      <c r="AI182" s="28"/>
      <c r="AJ182" s="28"/>
      <c r="AK182" s="28"/>
      <c r="AL182" s="28"/>
      <c r="AM182" s="28"/>
      <c r="AN182" s="28"/>
      <c r="AO182" s="28"/>
      <c r="AP182" s="28"/>
      <c r="AQ182" s="28"/>
      <c r="AR182" s="28"/>
      <c r="AS182" s="28"/>
      <c r="AT182" s="28"/>
      <c r="AU182" s="28"/>
      <c r="AV182" s="24"/>
      <c r="AW182" s="28"/>
      <c r="AX182" s="28"/>
      <c r="AY182" s="28"/>
      <c r="AZ182" s="28"/>
      <c r="BA182" s="28"/>
      <c r="BB182" s="28"/>
      <c r="BC182" s="24"/>
      <c r="BD182" s="28"/>
      <c r="BE182" s="28"/>
      <c r="BF182" s="28"/>
      <c r="BG182" s="24"/>
      <c r="BH182" s="28"/>
      <c r="BI182" s="28"/>
      <c r="BJ182" s="28"/>
    </row>
    <row r="183" spans="1:62">
      <c r="A183" s="24"/>
      <c r="B183" s="28"/>
      <c r="C183" s="25"/>
      <c r="D183" s="26"/>
      <c r="E183" s="24"/>
      <c r="F183" s="24"/>
      <c r="G183" s="26"/>
      <c r="H183" s="26"/>
      <c r="I183" s="26"/>
      <c r="J183" s="26"/>
      <c r="K183" s="26"/>
      <c r="L183" s="26"/>
      <c r="M183" s="26"/>
      <c r="N183" s="26"/>
      <c r="P183" s="26"/>
      <c r="Q183" s="26"/>
      <c r="R183" s="25"/>
      <c r="S183" s="25"/>
      <c r="T183" s="25"/>
      <c r="U183" s="25"/>
      <c r="V183" s="24"/>
      <c r="W183" s="24"/>
      <c r="X183" s="24"/>
      <c r="Y183" s="26"/>
      <c r="Z183" s="26"/>
      <c r="AA183" s="24"/>
      <c r="AB183" s="24"/>
      <c r="AC183" s="24"/>
      <c r="AD183" s="24"/>
      <c r="AE183" s="26"/>
      <c r="AF183" s="26"/>
      <c r="AG183" s="24"/>
      <c r="AH183" s="24"/>
      <c r="AI183" s="28"/>
      <c r="AJ183" s="28"/>
      <c r="AK183" s="28"/>
      <c r="AL183" s="28"/>
      <c r="AM183" s="28"/>
      <c r="AN183" s="28"/>
      <c r="AO183" s="28"/>
      <c r="AP183" s="28"/>
      <c r="AQ183" s="28"/>
      <c r="AR183" s="28"/>
      <c r="AS183" s="28"/>
      <c r="AT183" s="28"/>
      <c r="AU183" s="28"/>
      <c r="AV183" s="24"/>
      <c r="AW183" s="28"/>
      <c r="AX183" s="28"/>
      <c r="AY183" s="28"/>
      <c r="AZ183" s="28"/>
      <c r="BA183" s="28"/>
      <c r="BB183" s="28"/>
      <c r="BC183" s="24"/>
      <c r="BD183" s="28"/>
      <c r="BE183" s="28"/>
      <c r="BF183" s="28"/>
      <c r="BG183" s="24"/>
      <c r="BH183" s="28"/>
      <c r="BI183" s="28"/>
      <c r="BJ183" s="28"/>
    </row>
    <row r="184" spans="1:62">
      <c r="A184" s="24"/>
      <c r="B184" s="28"/>
      <c r="C184" s="25"/>
      <c r="D184" s="26"/>
      <c r="E184" s="24"/>
      <c r="F184" s="24"/>
      <c r="G184" s="26"/>
      <c r="H184" s="26"/>
      <c r="I184" s="26"/>
      <c r="J184" s="26"/>
      <c r="K184" s="26"/>
      <c r="L184" s="26"/>
      <c r="M184" s="26"/>
      <c r="N184" s="26"/>
      <c r="P184" s="26"/>
      <c r="Q184" s="26"/>
      <c r="R184" s="25"/>
      <c r="S184" s="25"/>
      <c r="T184" s="25"/>
      <c r="U184" s="25"/>
      <c r="V184" s="24"/>
      <c r="W184" s="24"/>
      <c r="X184" s="24"/>
      <c r="Y184" s="26"/>
      <c r="Z184" s="26"/>
      <c r="AA184" s="24"/>
      <c r="AB184" s="24"/>
      <c r="AC184" s="24"/>
      <c r="AD184" s="24"/>
      <c r="AE184" s="26"/>
      <c r="AF184" s="26"/>
      <c r="AG184" s="24"/>
      <c r="AH184" s="24"/>
      <c r="AI184" s="28"/>
      <c r="AJ184" s="28"/>
      <c r="AK184" s="28"/>
      <c r="AL184" s="28"/>
      <c r="AM184" s="28"/>
      <c r="AN184" s="28"/>
      <c r="AO184" s="28"/>
      <c r="AP184" s="28"/>
      <c r="AQ184" s="28"/>
      <c r="AR184" s="28"/>
      <c r="AS184" s="28"/>
      <c r="AT184" s="28"/>
      <c r="AU184" s="28"/>
      <c r="AV184" s="24"/>
      <c r="AW184" s="28"/>
      <c r="AX184" s="28"/>
      <c r="AY184" s="28"/>
      <c r="AZ184" s="28"/>
      <c r="BA184" s="28"/>
      <c r="BB184" s="28"/>
      <c r="BC184" s="24"/>
      <c r="BD184" s="28"/>
      <c r="BE184" s="28"/>
      <c r="BF184" s="28"/>
      <c r="BG184" s="24"/>
      <c r="BH184" s="28"/>
      <c r="BI184" s="28"/>
      <c r="BJ184" s="28"/>
    </row>
    <row r="185" spans="1:62">
      <c r="A185" s="24"/>
      <c r="B185" s="28"/>
      <c r="C185" s="25"/>
      <c r="D185" s="26"/>
      <c r="E185" s="24"/>
      <c r="F185" s="24"/>
      <c r="G185" s="26"/>
      <c r="H185" s="26"/>
      <c r="I185" s="26"/>
      <c r="J185" s="26"/>
      <c r="K185" s="26"/>
      <c r="L185" s="26"/>
      <c r="M185" s="26"/>
      <c r="N185" s="26"/>
      <c r="P185" s="26"/>
      <c r="Q185" s="26"/>
      <c r="R185" s="25"/>
      <c r="S185" s="25"/>
      <c r="T185" s="25"/>
      <c r="U185" s="25"/>
      <c r="V185" s="24"/>
      <c r="W185" s="24"/>
      <c r="X185" s="24"/>
      <c r="Y185" s="26"/>
      <c r="Z185" s="26"/>
      <c r="AA185" s="24"/>
      <c r="AB185" s="24"/>
      <c r="AC185" s="24"/>
      <c r="AD185" s="24"/>
      <c r="AE185" s="26"/>
      <c r="AF185" s="26"/>
      <c r="AG185" s="24"/>
      <c r="AH185" s="24"/>
      <c r="AI185" s="28"/>
      <c r="AJ185" s="28"/>
      <c r="AK185" s="28"/>
      <c r="AL185" s="28"/>
      <c r="AM185" s="28"/>
      <c r="AN185" s="28"/>
      <c r="AO185" s="28"/>
      <c r="AP185" s="28"/>
      <c r="AQ185" s="28"/>
      <c r="AR185" s="28"/>
      <c r="AS185" s="28"/>
      <c r="AT185" s="28"/>
      <c r="AU185" s="28"/>
      <c r="AV185" s="24"/>
      <c r="AW185" s="28"/>
      <c r="AX185" s="28"/>
      <c r="AY185" s="28"/>
      <c r="AZ185" s="28"/>
      <c r="BA185" s="28"/>
      <c r="BB185" s="28"/>
      <c r="BC185" s="24"/>
      <c r="BD185" s="28"/>
      <c r="BE185" s="28"/>
      <c r="BF185" s="28"/>
      <c r="BG185" s="24"/>
      <c r="BH185" s="28"/>
      <c r="BI185" s="28"/>
      <c r="BJ185" s="28"/>
    </row>
    <row r="186" spans="1:62">
      <c r="A186" s="24"/>
      <c r="B186" s="28"/>
      <c r="C186" s="25"/>
      <c r="D186" s="26"/>
      <c r="E186" s="24"/>
      <c r="F186" s="24"/>
      <c r="G186" s="26"/>
      <c r="H186" s="26"/>
      <c r="I186" s="26"/>
      <c r="J186" s="26"/>
      <c r="K186" s="26"/>
      <c r="L186" s="26"/>
      <c r="M186" s="26"/>
      <c r="N186" s="26"/>
      <c r="P186" s="26"/>
      <c r="Q186" s="26"/>
      <c r="R186" s="25"/>
      <c r="S186" s="25"/>
      <c r="T186" s="25"/>
      <c r="U186" s="25"/>
      <c r="V186" s="24"/>
      <c r="W186" s="24"/>
      <c r="X186" s="24"/>
      <c r="Y186" s="26"/>
      <c r="Z186" s="26"/>
      <c r="AA186" s="24"/>
      <c r="AB186" s="24"/>
      <c r="AC186" s="24"/>
      <c r="AD186" s="24"/>
      <c r="AE186" s="26"/>
      <c r="AF186" s="26"/>
      <c r="AG186" s="24"/>
      <c r="AH186" s="24"/>
      <c r="AI186" s="28"/>
      <c r="AJ186" s="28"/>
      <c r="AK186" s="28"/>
      <c r="AL186" s="28"/>
      <c r="AM186" s="28"/>
      <c r="AN186" s="28"/>
      <c r="AO186" s="28"/>
      <c r="AP186" s="28"/>
      <c r="AQ186" s="28"/>
      <c r="AR186" s="28"/>
      <c r="AS186" s="28"/>
      <c r="AT186" s="28"/>
      <c r="AU186" s="28"/>
      <c r="AV186" s="24"/>
      <c r="AW186" s="28"/>
      <c r="AX186" s="28"/>
      <c r="AY186" s="28"/>
      <c r="AZ186" s="28"/>
      <c r="BA186" s="28"/>
      <c r="BB186" s="28"/>
      <c r="BC186" s="24"/>
      <c r="BD186" s="28"/>
      <c r="BE186" s="28"/>
      <c r="BF186" s="28"/>
      <c r="BG186" s="24"/>
      <c r="BH186" s="28"/>
      <c r="BI186" s="28"/>
      <c r="BJ186" s="28"/>
    </row>
    <row r="187" spans="1:62">
      <c r="A187" s="24"/>
      <c r="B187" s="28"/>
      <c r="C187" s="25"/>
      <c r="D187" s="26"/>
      <c r="E187" s="24"/>
      <c r="F187" s="24"/>
      <c r="G187" s="26"/>
      <c r="H187" s="26"/>
      <c r="I187" s="26"/>
      <c r="J187" s="26"/>
      <c r="K187" s="26"/>
      <c r="L187" s="26"/>
      <c r="M187" s="26"/>
      <c r="N187" s="26"/>
      <c r="P187" s="26"/>
      <c r="Q187" s="26"/>
      <c r="R187" s="25"/>
      <c r="S187" s="25"/>
      <c r="T187" s="25"/>
      <c r="U187" s="25"/>
      <c r="V187" s="24"/>
      <c r="W187" s="24"/>
      <c r="X187" s="24"/>
      <c r="Y187" s="26"/>
      <c r="Z187" s="26"/>
      <c r="AA187" s="24"/>
      <c r="AB187" s="24"/>
      <c r="AC187" s="24"/>
      <c r="AD187" s="24"/>
      <c r="AE187" s="26"/>
      <c r="AF187" s="26"/>
      <c r="AG187" s="24"/>
      <c r="AH187" s="24"/>
      <c r="AI187" s="28"/>
      <c r="AJ187" s="28"/>
      <c r="AK187" s="28"/>
      <c r="AL187" s="28"/>
      <c r="AM187" s="28"/>
      <c r="AN187" s="28"/>
      <c r="AO187" s="28"/>
      <c r="AP187" s="28"/>
      <c r="AQ187" s="28"/>
      <c r="AR187" s="28"/>
      <c r="AS187" s="28"/>
      <c r="AT187" s="28"/>
      <c r="AU187" s="28"/>
      <c r="AV187" s="24"/>
      <c r="AW187" s="28"/>
      <c r="AX187" s="28"/>
      <c r="AY187" s="28"/>
      <c r="AZ187" s="28"/>
      <c r="BA187" s="28"/>
      <c r="BB187" s="28"/>
      <c r="BC187" s="24"/>
      <c r="BD187" s="28"/>
      <c r="BE187" s="28"/>
      <c r="BF187" s="28"/>
      <c r="BG187" s="24"/>
      <c r="BH187" s="28"/>
      <c r="BI187" s="28"/>
      <c r="BJ187" s="28"/>
    </row>
    <row r="188" spans="1:62">
      <c r="A188" s="24"/>
      <c r="B188" s="28"/>
      <c r="C188" s="25"/>
      <c r="D188" s="26"/>
      <c r="E188" s="24"/>
      <c r="F188" s="24"/>
      <c r="G188" s="26"/>
      <c r="H188" s="26"/>
      <c r="I188" s="26"/>
      <c r="J188" s="26"/>
      <c r="K188" s="26"/>
      <c r="L188" s="26"/>
      <c r="M188" s="26"/>
      <c r="N188" s="26"/>
      <c r="P188" s="26"/>
      <c r="Q188" s="26"/>
      <c r="R188" s="25"/>
      <c r="S188" s="25"/>
      <c r="T188" s="25"/>
      <c r="U188" s="25"/>
      <c r="V188" s="24"/>
      <c r="W188" s="24"/>
      <c r="X188" s="24"/>
      <c r="Y188" s="26"/>
      <c r="Z188" s="26"/>
      <c r="AA188" s="24"/>
      <c r="AB188" s="24"/>
      <c r="AC188" s="24"/>
      <c r="AD188" s="24"/>
      <c r="AE188" s="26"/>
      <c r="AF188" s="26"/>
      <c r="AG188" s="24"/>
      <c r="AH188" s="24"/>
      <c r="AI188" s="28"/>
      <c r="AJ188" s="28"/>
      <c r="AK188" s="28"/>
      <c r="AL188" s="28"/>
      <c r="AM188" s="28"/>
      <c r="AN188" s="28"/>
      <c r="AO188" s="28"/>
      <c r="AP188" s="28"/>
      <c r="AQ188" s="28"/>
      <c r="AR188" s="28"/>
      <c r="AS188" s="28"/>
      <c r="AT188" s="28"/>
      <c r="AU188" s="28"/>
      <c r="AV188" s="24"/>
      <c r="AW188" s="28"/>
      <c r="AX188" s="28"/>
      <c r="AY188" s="28"/>
      <c r="AZ188" s="28"/>
      <c r="BA188" s="28"/>
      <c r="BB188" s="28"/>
      <c r="BC188" s="24"/>
      <c r="BD188" s="28"/>
      <c r="BE188" s="28"/>
      <c r="BF188" s="28"/>
      <c r="BG188" s="24"/>
      <c r="BH188" s="28"/>
      <c r="BI188" s="28"/>
      <c r="BJ188" s="28"/>
    </row>
    <row r="189" spans="1:62">
      <c r="A189" s="24"/>
      <c r="B189" s="28"/>
      <c r="C189" s="25"/>
      <c r="D189" s="26"/>
      <c r="E189" s="24"/>
      <c r="F189" s="24"/>
      <c r="G189" s="26"/>
      <c r="H189" s="26"/>
      <c r="I189" s="26"/>
      <c r="J189" s="26"/>
      <c r="K189" s="26"/>
      <c r="L189" s="26"/>
      <c r="M189" s="26"/>
      <c r="N189" s="26"/>
      <c r="P189" s="26"/>
      <c r="Q189" s="26"/>
      <c r="R189" s="25"/>
      <c r="S189" s="25"/>
      <c r="T189" s="25"/>
      <c r="U189" s="25"/>
      <c r="V189" s="24"/>
      <c r="W189" s="24"/>
      <c r="X189" s="24"/>
      <c r="Y189" s="26"/>
      <c r="Z189" s="26"/>
      <c r="AA189" s="24"/>
      <c r="AB189" s="24"/>
      <c r="AC189" s="24"/>
      <c r="AD189" s="24"/>
      <c r="AE189" s="26"/>
      <c r="AF189" s="26"/>
      <c r="AG189" s="24"/>
      <c r="AH189" s="24"/>
      <c r="AI189" s="28"/>
      <c r="AJ189" s="28"/>
      <c r="AK189" s="28"/>
      <c r="AL189" s="28"/>
      <c r="AM189" s="28"/>
      <c r="AN189" s="28"/>
      <c r="AO189" s="28"/>
      <c r="AP189" s="28"/>
      <c r="AQ189" s="28"/>
      <c r="AR189" s="28"/>
      <c r="AS189" s="28"/>
      <c r="AT189" s="28"/>
      <c r="AU189" s="28"/>
      <c r="AV189" s="24"/>
      <c r="AW189" s="28"/>
      <c r="AX189" s="28"/>
      <c r="AY189" s="28"/>
      <c r="AZ189" s="28"/>
      <c r="BA189" s="28"/>
      <c r="BB189" s="28"/>
      <c r="BC189" s="24"/>
      <c r="BD189" s="28"/>
      <c r="BE189" s="28"/>
      <c r="BF189" s="28"/>
      <c r="BG189" s="24"/>
      <c r="BH189" s="28"/>
      <c r="BI189" s="28"/>
      <c r="BJ189" s="28"/>
    </row>
    <row r="190" spans="1:62">
      <c r="A190" s="24"/>
      <c r="B190" s="28"/>
      <c r="C190" s="25"/>
      <c r="D190" s="26"/>
      <c r="E190" s="24"/>
      <c r="F190" s="24"/>
      <c r="G190" s="26"/>
      <c r="H190" s="26"/>
      <c r="I190" s="26"/>
      <c r="J190" s="26"/>
      <c r="K190" s="26"/>
      <c r="L190" s="26"/>
      <c r="M190" s="26"/>
      <c r="N190" s="26"/>
      <c r="P190" s="26"/>
      <c r="Q190" s="26"/>
      <c r="R190" s="25"/>
      <c r="S190" s="25"/>
      <c r="T190" s="25"/>
      <c r="U190" s="25"/>
      <c r="V190" s="24"/>
      <c r="W190" s="24"/>
      <c r="X190" s="24"/>
      <c r="Y190" s="26"/>
      <c r="Z190" s="26"/>
      <c r="AA190" s="24"/>
      <c r="AB190" s="24"/>
      <c r="AC190" s="24"/>
      <c r="AD190" s="24"/>
      <c r="AE190" s="26"/>
      <c r="AF190" s="26"/>
      <c r="AG190" s="24"/>
      <c r="AH190" s="24"/>
      <c r="AI190" s="28"/>
      <c r="AJ190" s="28"/>
      <c r="AK190" s="28"/>
      <c r="AL190" s="28"/>
      <c r="AM190" s="28"/>
      <c r="AN190" s="28"/>
      <c r="AO190" s="28"/>
      <c r="AP190" s="28"/>
      <c r="AQ190" s="28"/>
      <c r="AR190" s="28"/>
      <c r="AS190" s="28"/>
      <c r="AT190" s="28"/>
      <c r="AU190" s="28"/>
      <c r="AV190" s="24"/>
      <c r="AW190" s="28"/>
      <c r="AX190" s="28"/>
      <c r="AY190" s="28"/>
      <c r="AZ190" s="28"/>
      <c r="BA190" s="28"/>
      <c r="BB190" s="28"/>
      <c r="BC190" s="24"/>
      <c r="BD190" s="28"/>
      <c r="BE190" s="28"/>
      <c r="BF190" s="28"/>
      <c r="BG190" s="24"/>
      <c r="BH190" s="28"/>
      <c r="BI190" s="28"/>
      <c r="BJ190" s="28"/>
    </row>
    <row r="191" spans="1:62">
      <c r="A191" s="24"/>
      <c r="B191" s="28"/>
      <c r="C191" s="25"/>
      <c r="D191" s="26"/>
      <c r="E191" s="24"/>
      <c r="F191" s="24"/>
      <c r="G191" s="26"/>
      <c r="H191" s="26"/>
      <c r="I191" s="26"/>
      <c r="J191" s="26"/>
      <c r="K191" s="26"/>
      <c r="L191" s="26"/>
      <c r="M191" s="26"/>
      <c r="N191" s="26"/>
      <c r="P191" s="26"/>
      <c r="Q191" s="26"/>
      <c r="R191" s="25"/>
      <c r="S191" s="25"/>
      <c r="T191" s="25"/>
      <c r="U191" s="25"/>
      <c r="V191" s="24"/>
      <c r="W191" s="24"/>
      <c r="X191" s="24"/>
      <c r="Y191" s="26"/>
      <c r="Z191" s="26"/>
      <c r="AA191" s="24"/>
      <c r="AB191" s="24"/>
      <c r="AC191" s="24"/>
      <c r="AD191" s="24"/>
      <c r="AE191" s="26"/>
      <c r="AF191" s="26"/>
      <c r="AG191" s="24"/>
      <c r="AH191" s="24"/>
      <c r="AI191" s="28"/>
      <c r="AJ191" s="28"/>
      <c r="AK191" s="28"/>
      <c r="AL191" s="28"/>
      <c r="AM191" s="28"/>
      <c r="AN191" s="28"/>
      <c r="AO191" s="28"/>
      <c r="AP191" s="28"/>
      <c r="AQ191" s="28"/>
      <c r="AR191" s="28"/>
      <c r="AS191" s="28"/>
      <c r="AT191" s="28"/>
      <c r="AU191" s="28"/>
      <c r="AV191" s="24"/>
      <c r="AW191" s="28"/>
      <c r="AX191" s="28"/>
      <c r="AY191" s="28"/>
      <c r="AZ191" s="28"/>
      <c r="BA191" s="28"/>
      <c r="BB191" s="28"/>
      <c r="BC191" s="24"/>
      <c r="BD191" s="28"/>
      <c r="BE191" s="28"/>
      <c r="BF191" s="28"/>
      <c r="BG191" s="24"/>
      <c r="BH191" s="28"/>
      <c r="BI191" s="28"/>
      <c r="BJ191" s="28"/>
    </row>
    <row r="192" spans="1:62">
      <c r="A192" s="24"/>
      <c r="B192" s="28"/>
      <c r="C192" s="25"/>
      <c r="D192" s="26"/>
      <c r="E192" s="24"/>
      <c r="F192" s="24"/>
      <c r="G192" s="26"/>
      <c r="H192" s="26"/>
      <c r="I192" s="26"/>
      <c r="J192" s="26"/>
      <c r="K192" s="26"/>
      <c r="L192" s="26"/>
      <c r="M192" s="26"/>
      <c r="N192" s="26"/>
      <c r="P192" s="26"/>
      <c r="Q192" s="26"/>
      <c r="R192" s="25"/>
      <c r="S192" s="25"/>
      <c r="T192" s="25"/>
      <c r="U192" s="25"/>
      <c r="V192" s="24"/>
      <c r="W192" s="24"/>
      <c r="X192" s="24"/>
      <c r="Y192" s="26"/>
      <c r="Z192" s="26"/>
      <c r="AA192" s="24"/>
      <c r="AB192" s="24"/>
      <c r="AC192" s="24"/>
      <c r="AD192" s="24"/>
      <c r="AE192" s="26"/>
      <c r="AF192" s="26"/>
      <c r="AG192" s="24"/>
      <c r="AH192" s="24"/>
      <c r="AI192" s="28"/>
      <c r="AJ192" s="28"/>
      <c r="AK192" s="28"/>
      <c r="AL192" s="28"/>
      <c r="AM192" s="28"/>
      <c r="AN192" s="28"/>
      <c r="AO192" s="28"/>
      <c r="AP192" s="28"/>
      <c r="AQ192" s="28"/>
      <c r="AR192" s="28"/>
      <c r="AS192" s="28"/>
      <c r="AT192" s="28"/>
      <c r="AU192" s="28"/>
      <c r="AV192" s="24"/>
      <c r="AW192" s="28"/>
      <c r="AX192" s="28"/>
      <c r="AY192" s="28"/>
      <c r="AZ192" s="28"/>
      <c r="BA192" s="28"/>
      <c r="BB192" s="28"/>
      <c r="BC192" s="24"/>
      <c r="BD192" s="28"/>
      <c r="BE192" s="28"/>
      <c r="BF192" s="28"/>
      <c r="BG192" s="24"/>
      <c r="BH192" s="28"/>
      <c r="BI192" s="28"/>
      <c r="BJ192" s="28"/>
    </row>
    <row r="193" spans="1:62">
      <c r="A193" s="24"/>
      <c r="B193" s="28"/>
      <c r="C193" s="25"/>
      <c r="D193" s="26"/>
      <c r="E193" s="24"/>
      <c r="F193" s="24"/>
      <c r="G193" s="26"/>
      <c r="H193" s="26"/>
      <c r="I193" s="26"/>
      <c r="J193" s="26"/>
      <c r="K193" s="26"/>
      <c r="L193" s="26"/>
      <c r="M193" s="26"/>
      <c r="N193" s="26"/>
      <c r="P193" s="26"/>
      <c r="Q193" s="26"/>
      <c r="R193" s="25"/>
      <c r="S193" s="25"/>
      <c r="T193" s="25"/>
      <c r="U193" s="25"/>
      <c r="V193" s="24"/>
      <c r="W193" s="24"/>
      <c r="X193" s="24"/>
      <c r="Y193" s="26"/>
      <c r="Z193" s="26"/>
      <c r="AA193" s="24"/>
      <c r="AB193" s="24"/>
      <c r="AC193" s="24"/>
      <c r="AD193" s="24"/>
      <c r="AE193" s="26"/>
      <c r="AF193" s="26"/>
      <c r="AG193" s="24"/>
      <c r="AH193" s="24"/>
      <c r="AI193" s="28"/>
      <c r="AJ193" s="28"/>
      <c r="AK193" s="28"/>
      <c r="AL193" s="28"/>
      <c r="AM193" s="28"/>
      <c r="AN193" s="28"/>
      <c r="AO193" s="28"/>
      <c r="AP193" s="28"/>
      <c r="AQ193" s="28"/>
      <c r="AR193" s="28"/>
      <c r="AS193" s="28"/>
      <c r="AT193" s="28"/>
      <c r="AU193" s="28"/>
      <c r="AV193" s="24"/>
      <c r="AW193" s="28"/>
      <c r="AX193" s="28"/>
      <c r="AY193" s="28"/>
      <c r="AZ193" s="28"/>
      <c r="BA193" s="28"/>
      <c r="BB193" s="28"/>
      <c r="BC193" s="24"/>
      <c r="BD193" s="28"/>
      <c r="BE193" s="28"/>
      <c r="BF193" s="28"/>
      <c r="BG193" s="24"/>
      <c r="BH193" s="28"/>
      <c r="BI193" s="28"/>
      <c r="BJ193" s="28"/>
    </row>
    <row r="194" spans="1:62">
      <c r="A194" s="24"/>
      <c r="B194" s="28"/>
      <c r="C194" s="25"/>
      <c r="D194" s="26"/>
      <c r="E194" s="24"/>
      <c r="F194" s="24"/>
      <c r="G194" s="26"/>
      <c r="H194" s="26"/>
      <c r="I194" s="26"/>
      <c r="J194" s="26"/>
      <c r="K194" s="26"/>
      <c r="L194" s="26"/>
      <c r="M194" s="26"/>
      <c r="N194" s="26"/>
      <c r="P194" s="26"/>
      <c r="Q194" s="26"/>
      <c r="R194" s="25"/>
      <c r="S194" s="25"/>
      <c r="T194" s="25"/>
      <c r="U194" s="25"/>
      <c r="V194" s="24"/>
      <c r="W194" s="24"/>
      <c r="X194" s="24"/>
      <c r="Y194" s="26"/>
      <c r="Z194" s="26"/>
      <c r="AA194" s="24"/>
      <c r="AB194" s="24"/>
      <c r="AC194" s="24"/>
      <c r="AD194" s="24"/>
      <c r="AE194" s="26"/>
      <c r="AF194" s="26"/>
      <c r="AG194" s="24"/>
      <c r="AH194" s="24"/>
      <c r="AI194" s="28"/>
      <c r="AJ194" s="28"/>
      <c r="AK194" s="28"/>
      <c r="AL194" s="28"/>
      <c r="AM194" s="28"/>
      <c r="AN194" s="28"/>
      <c r="AO194" s="28"/>
      <c r="AP194" s="28"/>
      <c r="AQ194" s="28"/>
      <c r="AR194" s="28"/>
      <c r="AS194" s="28"/>
      <c r="AT194" s="28"/>
      <c r="AU194" s="28"/>
      <c r="AV194" s="24"/>
      <c r="AW194" s="28"/>
      <c r="AX194" s="28"/>
      <c r="AY194" s="28"/>
      <c r="AZ194" s="28"/>
      <c r="BA194" s="28"/>
      <c r="BB194" s="28"/>
      <c r="BC194" s="24"/>
      <c r="BD194" s="28"/>
      <c r="BE194" s="28"/>
      <c r="BF194" s="28"/>
      <c r="BG194" s="24"/>
      <c r="BH194" s="28"/>
      <c r="BI194" s="28"/>
      <c r="BJ194" s="28"/>
    </row>
    <row r="195" spans="1:62">
      <c r="A195" s="24"/>
      <c r="B195" s="28"/>
      <c r="C195" s="25"/>
      <c r="D195" s="26"/>
      <c r="E195" s="24"/>
      <c r="F195" s="24"/>
      <c r="G195" s="26"/>
      <c r="H195" s="26"/>
      <c r="I195" s="26"/>
      <c r="J195" s="26"/>
      <c r="K195" s="26"/>
      <c r="L195" s="26"/>
      <c r="M195" s="26"/>
      <c r="N195" s="26"/>
      <c r="P195" s="26"/>
      <c r="Q195" s="26"/>
      <c r="R195" s="25"/>
      <c r="S195" s="25"/>
      <c r="T195" s="25"/>
      <c r="U195" s="25"/>
      <c r="V195" s="24"/>
      <c r="W195" s="24"/>
      <c r="X195" s="24"/>
      <c r="Y195" s="26"/>
      <c r="Z195" s="26"/>
      <c r="AA195" s="24"/>
      <c r="AB195" s="24"/>
      <c r="AC195" s="24"/>
      <c r="AD195" s="24"/>
      <c r="AE195" s="26"/>
      <c r="AF195" s="26"/>
      <c r="AG195" s="24"/>
      <c r="AH195" s="24"/>
      <c r="AI195" s="28"/>
      <c r="AJ195" s="28"/>
      <c r="AK195" s="28"/>
      <c r="AL195" s="28"/>
      <c r="AM195" s="28"/>
      <c r="AN195" s="28"/>
      <c r="AO195" s="28"/>
      <c r="AP195" s="28"/>
      <c r="AQ195" s="28"/>
      <c r="AR195" s="28"/>
      <c r="AS195" s="28"/>
      <c r="AT195" s="28"/>
      <c r="AU195" s="28"/>
      <c r="AV195" s="24"/>
      <c r="AW195" s="28"/>
      <c r="AX195" s="28"/>
      <c r="AY195" s="28"/>
      <c r="AZ195" s="28"/>
      <c r="BA195" s="28"/>
      <c r="BB195" s="28"/>
      <c r="BC195" s="24"/>
      <c r="BD195" s="28"/>
      <c r="BE195" s="28"/>
      <c r="BF195" s="28"/>
      <c r="BG195" s="24"/>
      <c r="BH195" s="28"/>
      <c r="BI195" s="28"/>
      <c r="BJ195" s="28"/>
    </row>
    <row r="196" spans="1:62">
      <c r="A196" s="24"/>
      <c r="B196" s="28"/>
      <c r="C196" s="25"/>
      <c r="D196" s="26"/>
      <c r="E196" s="24"/>
      <c r="F196" s="24"/>
      <c r="G196" s="26"/>
      <c r="H196" s="26"/>
      <c r="I196" s="26"/>
      <c r="J196" s="26"/>
      <c r="K196" s="26"/>
      <c r="L196" s="26"/>
      <c r="M196" s="26"/>
      <c r="N196" s="26"/>
      <c r="P196" s="26"/>
      <c r="Q196" s="26"/>
      <c r="R196" s="25"/>
      <c r="S196" s="25"/>
      <c r="T196" s="25"/>
      <c r="U196" s="25"/>
      <c r="V196" s="24"/>
      <c r="W196" s="24"/>
      <c r="X196" s="24"/>
      <c r="Y196" s="26"/>
      <c r="Z196" s="26"/>
      <c r="AA196" s="24"/>
      <c r="AB196" s="24"/>
      <c r="AC196" s="24"/>
      <c r="AD196" s="24"/>
      <c r="AE196" s="26"/>
      <c r="AF196" s="26"/>
      <c r="AG196" s="24"/>
      <c r="AH196" s="24"/>
      <c r="AI196" s="28"/>
      <c r="AJ196" s="28"/>
      <c r="AK196" s="28"/>
      <c r="AL196" s="28"/>
      <c r="AM196" s="28"/>
      <c r="AN196" s="28"/>
      <c r="AO196" s="28"/>
      <c r="AP196" s="28"/>
      <c r="AQ196" s="28"/>
      <c r="AR196" s="28"/>
      <c r="AS196" s="28"/>
      <c r="AT196" s="28"/>
      <c r="AU196" s="28"/>
      <c r="AV196" s="24"/>
      <c r="AW196" s="28"/>
      <c r="AX196" s="28"/>
      <c r="AY196" s="28"/>
      <c r="AZ196" s="28"/>
      <c r="BA196" s="28"/>
      <c r="BB196" s="28"/>
      <c r="BC196" s="24"/>
      <c r="BD196" s="28"/>
      <c r="BE196" s="28"/>
      <c r="BF196" s="28"/>
      <c r="BG196" s="24"/>
      <c r="BH196" s="28"/>
      <c r="BI196" s="28"/>
      <c r="BJ196" s="28"/>
    </row>
    <row r="197" spans="1:62">
      <c r="A197" s="24"/>
      <c r="B197" s="28"/>
      <c r="C197" s="25"/>
      <c r="D197" s="26"/>
      <c r="E197" s="24"/>
      <c r="F197" s="24"/>
      <c r="G197" s="26"/>
      <c r="H197" s="26"/>
      <c r="I197" s="26"/>
      <c r="J197" s="26"/>
      <c r="K197" s="26"/>
      <c r="L197" s="26"/>
      <c r="M197" s="26"/>
      <c r="N197" s="26"/>
      <c r="P197" s="26"/>
      <c r="Q197" s="26"/>
      <c r="R197" s="25"/>
      <c r="S197" s="25"/>
      <c r="T197" s="25"/>
      <c r="U197" s="25"/>
      <c r="V197" s="24"/>
      <c r="W197" s="24"/>
      <c r="X197" s="24"/>
      <c r="Y197" s="26"/>
      <c r="Z197" s="26"/>
      <c r="AA197" s="24"/>
      <c r="AB197" s="24"/>
      <c r="AC197" s="24"/>
      <c r="AD197" s="24"/>
      <c r="AE197" s="26"/>
      <c r="AF197" s="26"/>
      <c r="AG197" s="24"/>
      <c r="AH197" s="24"/>
      <c r="AI197" s="28"/>
      <c r="AJ197" s="28"/>
      <c r="AK197" s="28"/>
      <c r="AL197" s="28"/>
      <c r="AM197" s="28"/>
      <c r="AN197" s="28"/>
      <c r="AO197" s="28"/>
      <c r="AP197" s="28"/>
      <c r="AQ197" s="28"/>
      <c r="AR197" s="28"/>
      <c r="AS197" s="28"/>
      <c r="AT197" s="28"/>
      <c r="AU197" s="28"/>
      <c r="AV197" s="24"/>
      <c r="AW197" s="28"/>
      <c r="AX197" s="28"/>
      <c r="AY197" s="28"/>
      <c r="AZ197" s="28"/>
      <c r="BA197" s="28"/>
      <c r="BB197" s="28"/>
      <c r="BC197" s="24"/>
      <c r="BD197" s="28"/>
      <c r="BE197" s="28"/>
      <c r="BF197" s="28"/>
      <c r="BG197" s="24"/>
      <c r="BH197" s="28"/>
      <c r="BI197" s="28"/>
      <c r="BJ197" s="28"/>
    </row>
    <row r="198" spans="1:62">
      <c r="A198" s="24"/>
      <c r="B198" s="28"/>
      <c r="C198" s="25"/>
      <c r="D198" s="26"/>
      <c r="E198" s="24"/>
      <c r="F198" s="24"/>
      <c r="G198" s="26"/>
      <c r="H198" s="26"/>
      <c r="I198" s="26"/>
      <c r="J198" s="26"/>
      <c r="K198" s="26"/>
      <c r="L198" s="26"/>
      <c r="M198" s="26"/>
      <c r="N198" s="26"/>
      <c r="P198" s="26"/>
      <c r="Q198" s="26"/>
      <c r="R198" s="25"/>
      <c r="S198" s="25"/>
      <c r="T198" s="25"/>
      <c r="U198" s="25"/>
      <c r="V198" s="24"/>
      <c r="W198" s="24"/>
      <c r="X198" s="24"/>
      <c r="Y198" s="26"/>
      <c r="Z198" s="26"/>
      <c r="AA198" s="24"/>
      <c r="AB198" s="24"/>
      <c r="AC198" s="24"/>
      <c r="AD198" s="24"/>
      <c r="AE198" s="26"/>
      <c r="AF198" s="26"/>
      <c r="AG198" s="24"/>
      <c r="AH198" s="24"/>
      <c r="AI198" s="28"/>
      <c r="AJ198" s="28"/>
      <c r="AK198" s="28"/>
      <c r="AL198" s="28"/>
      <c r="AM198" s="28"/>
      <c r="AN198" s="28"/>
      <c r="AO198" s="28"/>
      <c r="AP198" s="28"/>
      <c r="AQ198" s="28"/>
      <c r="AR198" s="28"/>
      <c r="AS198" s="28"/>
      <c r="AT198" s="28"/>
      <c r="AU198" s="28"/>
      <c r="AV198" s="24"/>
      <c r="AW198" s="28"/>
      <c r="AX198" s="28"/>
      <c r="AY198" s="28"/>
      <c r="AZ198" s="28"/>
      <c r="BA198" s="28"/>
      <c r="BB198" s="28"/>
      <c r="BC198" s="24"/>
      <c r="BD198" s="28"/>
      <c r="BE198" s="28"/>
      <c r="BF198" s="28"/>
      <c r="BG198" s="24"/>
      <c r="BH198" s="28"/>
      <c r="BI198" s="28"/>
      <c r="BJ198" s="28"/>
    </row>
    <row r="199" spans="1:62">
      <c r="A199" s="24"/>
      <c r="B199" s="28"/>
      <c r="C199" s="25"/>
      <c r="D199" s="26"/>
      <c r="E199" s="24"/>
      <c r="F199" s="24"/>
      <c r="G199" s="26"/>
      <c r="H199" s="26"/>
      <c r="I199" s="26"/>
      <c r="J199" s="26"/>
      <c r="K199" s="26"/>
      <c r="L199" s="26"/>
      <c r="M199" s="26"/>
      <c r="N199" s="26"/>
      <c r="P199" s="26"/>
      <c r="Q199" s="26"/>
      <c r="R199" s="25"/>
      <c r="S199" s="25"/>
      <c r="T199" s="25"/>
      <c r="U199" s="25"/>
      <c r="V199" s="24"/>
      <c r="W199" s="24"/>
      <c r="X199" s="24"/>
      <c r="Y199" s="26"/>
      <c r="Z199" s="26"/>
      <c r="AA199" s="24"/>
      <c r="AB199" s="24"/>
      <c r="AC199" s="24"/>
      <c r="AD199" s="24"/>
      <c r="AE199" s="26"/>
      <c r="AF199" s="26"/>
      <c r="AG199" s="24"/>
      <c r="AH199" s="24"/>
      <c r="AI199" s="28"/>
      <c r="AJ199" s="28"/>
      <c r="AK199" s="28"/>
      <c r="AL199" s="28"/>
      <c r="AM199" s="28"/>
      <c r="AN199" s="28"/>
      <c r="AO199" s="28"/>
      <c r="AP199" s="28"/>
      <c r="AQ199" s="28"/>
      <c r="AR199" s="28"/>
      <c r="AS199" s="28"/>
      <c r="AT199" s="28"/>
      <c r="AU199" s="28"/>
      <c r="AV199" s="24"/>
      <c r="AW199" s="28"/>
      <c r="AX199" s="28"/>
      <c r="AY199" s="28"/>
      <c r="AZ199" s="28"/>
      <c r="BA199" s="28"/>
      <c r="BB199" s="28"/>
      <c r="BC199" s="24"/>
      <c r="BD199" s="28"/>
      <c r="BE199" s="28"/>
      <c r="BF199" s="28"/>
      <c r="BG199" s="24"/>
      <c r="BH199" s="28"/>
      <c r="BI199" s="28"/>
      <c r="BJ199" s="28"/>
    </row>
    <row r="200" spans="1:62">
      <c r="A200" s="24"/>
      <c r="B200" s="28"/>
      <c r="C200" s="25"/>
      <c r="D200" s="26"/>
      <c r="E200" s="24"/>
      <c r="F200" s="24"/>
      <c r="G200" s="26"/>
      <c r="H200" s="26"/>
      <c r="I200" s="26"/>
      <c r="J200" s="26"/>
      <c r="K200" s="26"/>
      <c r="L200" s="26"/>
      <c r="M200" s="26"/>
      <c r="N200" s="26"/>
      <c r="P200" s="26"/>
      <c r="Q200" s="26"/>
      <c r="R200" s="25"/>
      <c r="S200" s="25"/>
      <c r="T200" s="25"/>
      <c r="U200" s="25"/>
      <c r="V200" s="24"/>
      <c r="W200" s="24"/>
      <c r="X200" s="24"/>
      <c r="Y200" s="26"/>
      <c r="Z200" s="26"/>
      <c r="AA200" s="24"/>
      <c r="AB200" s="24"/>
      <c r="AC200" s="24"/>
      <c r="AD200" s="24"/>
      <c r="AE200" s="26"/>
      <c r="AF200" s="26"/>
      <c r="AG200" s="24"/>
      <c r="AH200" s="24"/>
      <c r="AI200" s="28"/>
      <c r="AJ200" s="28"/>
      <c r="AK200" s="28"/>
      <c r="AL200" s="28"/>
      <c r="AM200" s="28"/>
      <c r="AN200" s="28"/>
      <c r="AO200" s="28"/>
      <c r="AP200" s="28"/>
      <c r="AQ200" s="28"/>
      <c r="AR200" s="28"/>
      <c r="AS200" s="28"/>
      <c r="AT200" s="28"/>
      <c r="AU200" s="28"/>
      <c r="AV200" s="24"/>
      <c r="AW200" s="28"/>
      <c r="AX200" s="28"/>
      <c r="AY200" s="28"/>
      <c r="AZ200" s="28"/>
      <c r="BA200" s="28"/>
      <c r="BB200" s="28"/>
      <c r="BC200" s="24"/>
      <c r="BD200" s="28"/>
      <c r="BE200" s="28"/>
      <c r="BF200" s="28"/>
      <c r="BG200" s="24"/>
      <c r="BH200" s="28"/>
      <c r="BI200" s="28"/>
      <c r="BJ200" s="28"/>
    </row>
    <row r="201" spans="1:62">
      <c r="A201" s="24"/>
      <c r="B201" s="28"/>
      <c r="C201" s="25"/>
      <c r="D201" s="26"/>
      <c r="E201" s="24"/>
      <c r="F201" s="24"/>
      <c r="G201" s="26"/>
      <c r="H201" s="26"/>
      <c r="I201" s="26"/>
      <c r="J201" s="26"/>
      <c r="K201" s="26"/>
      <c r="L201" s="26"/>
      <c r="M201" s="26"/>
      <c r="N201" s="26"/>
      <c r="P201" s="26"/>
      <c r="Q201" s="26"/>
      <c r="R201" s="25"/>
      <c r="S201" s="25"/>
      <c r="T201" s="25"/>
      <c r="U201" s="25"/>
      <c r="V201" s="24"/>
      <c r="W201" s="24"/>
      <c r="X201" s="24"/>
      <c r="Y201" s="26"/>
      <c r="Z201" s="26"/>
      <c r="AA201" s="24"/>
      <c r="AB201" s="24"/>
      <c r="AC201" s="24"/>
      <c r="AD201" s="24"/>
      <c r="AE201" s="26"/>
      <c r="AF201" s="26"/>
      <c r="AG201" s="24"/>
      <c r="AH201" s="24"/>
      <c r="AI201" s="28"/>
      <c r="AJ201" s="28"/>
      <c r="AK201" s="28"/>
      <c r="AL201" s="28"/>
      <c r="AM201" s="28"/>
      <c r="AN201" s="28"/>
      <c r="AO201" s="28"/>
      <c r="AP201" s="28"/>
      <c r="AQ201" s="28"/>
      <c r="AR201" s="28"/>
      <c r="AS201" s="28"/>
      <c r="AT201" s="28"/>
      <c r="AU201" s="28"/>
      <c r="AV201" s="24"/>
      <c r="AW201" s="28"/>
      <c r="AX201" s="28"/>
      <c r="AY201" s="28"/>
      <c r="AZ201" s="28"/>
      <c r="BA201" s="28"/>
      <c r="BB201" s="28"/>
      <c r="BC201" s="24"/>
      <c r="BD201" s="28"/>
      <c r="BE201" s="28"/>
      <c r="BF201" s="28"/>
      <c r="BG201" s="24"/>
      <c r="BH201" s="28"/>
      <c r="BI201" s="28"/>
      <c r="BJ201" s="28"/>
    </row>
    <row r="202" spans="1:62">
      <c r="A202" s="24"/>
      <c r="B202" s="28"/>
      <c r="C202" s="25"/>
      <c r="D202" s="26"/>
      <c r="E202" s="24"/>
      <c r="F202" s="24"/>
      <c r="G202" s="26"/>
      <c r="H202" s="26"/>
      <c r="I202" s="26"/>
      <c r="J202" s="26"/>
      <c r="K202" s="26"/>
      <c r="L202" s="26"/>
      <c r="M202" s="26"/>
      <c r="N202" s="26"/>
      <c r="P202" s="26"/>
      <c r="Q202" s="26"/>
      <c r="R202" s="25"/>
      <c r="S202" s="25"/>
      <c r="T202" s="25"/>
      <c r="U202" s="25"/>
      <c r="V202" s="24"/>
      <c r="W202" s="24"/>
      <c r="X202" s="24"/>
      <c r="Y202" s="26"/>
      <c r="Z202" s="26"/>
      <c r="AA202" s="24"/>
      <c r="AB202" s="24"/>
      <c r="AC202" s="24"/>
      <c r="AD202" s="24"/>
      <c r="AE202" s="26"/>
      <c r="AF202" s="26"/>
      <c r="AG202" s="24"/>
      <c r="AH202" s="24"/>
      <c r="AI202" s="28"/>
      <c r="AJ202" s="28"/>
      <c r="AK202" s="28"/>
      <c r="AL202" s="28"/>
      <c r="AM202" s="28"/>
      <c r="AN202" s="28"/>
      <c r="AO202" s="28"/>
      <c r="AP202" s="28"/>
      <c r="AQ202" s="28"/>
      <c r="AR202" s="28"/>
      <c r="AS202" s="28"/>
      <c r="AT202" s="28"/>
      <c r="AU202" s="28"/>
      <c r="AV202" s="24"/>
      <c r="AW202" s="28"/>
      <c r="AX202" s="28"/>
      <c r="AY202" s="28"/>
      <c r="AZ202" s="28"/>
      <c r="BA202" s="28"/>
      <c r="BB202" s="28"/>
      <c r="BC202" s="24"/>
      <c r="BD202" s="28"/>
      <c r="BE202" s="28"/>
      <c r="BF202" s="28"/>
      <c r="BG202" s="24"/>
      <c r="BH202" s="28"/>
      <c r="BI202" s="28"/>
      <c r="BJ202" s="28"/>
    </row>
    <row r="203" spans="1:62">
      <c r="A203" s="24"/>
      <c r="B203" s="28"/>
      <c r="C203" s="25"/>
      <c r="D203" s="26"/>
      <c r="E203" s="24"/>
      <c r="F203" s="24"/>
      <c r="G203" s="26"/>
      <c r="H203" s="26"/>
      <c r="I203" s="26"/>
      <c r="J203" s="26"/>
      <c r="K203" s="26"/>
      <c r="L203" s="26"/>
      <c r="M203" s="26"/>
      <c r="N203" s="26"/>
      <c r="P203" s="26"/>
      <c r="Q203" s="26"/>
      <c r="R203" s="25"/>
      <c r="S203" s="25"/>
      <c r="T203" s="25"/>
      <c r="U203" s="25"/>
      <c r="V203" s="24"/>
      <c r="W203" s="24"/>
      <c r="X203" s="24"/>
      <c r="Y203" s="26"/>
      <c r="Z203" s="26"/>
      <c r="AA203" s="24"/>
      <c r="AB203" s="24"/>
      <c r="AC203" s="24"/>
      <c r="AD203" s="24"/>
      <c r="AE203" s="26"/>
      <c r="AF203" s="26"/>
      <c r="AG203" s="24"/>
      <c r="AH203" s="24"/>
      <c r="AI203" s="28"/>
      <c r="AJ203" s="28"/>
      <c r="AK203" s="28"/>
      <c r="AL203" s="28"/>
      <c r="AM203" s="28"/>
      <c r="AN203" s="28"/>
      <c r="AO203" s="28"/>
      <c r="AP203" s="28"/>
      <c r="AQ203" s="28"/>
      <c r="AR203" s="28"/>
      <c r="AS203" s="28"/>
      <c r="AT203" s="28"/>
      <c r="AU203" s="28"/>
      <c r="AV203" s="24"/>
      <c r="AW203" s="28"/>
      <c r="AX203" s="28"/>
      <c r="AY203" s="28"/>
      <c r="AZ203" s="28"/>
      <c r="BA203" s="28"/>
      <c r="BB203" s="28"/>
      <c r="BC203" s="24"/>
      <c r="BD203" s="28"/>
      <c r="BE203" s="28"/>
      <c r="BF203" s="28"/>
      <c r="BG203" s="24"/>
      <c r="BH203" s="28"/>
      <c r="BI203" s="28"/>
      <c r="BJ203" s="28"/>
    </row>
    <row r="204" spans="1:62">
      <c r="A204" s="24"/>
      <c r="B204" s="28"/>
      <c r="C204" s="25"/>
      <c r="D204" s="26"/>
      <c r="E204" s="24"/>
      <c r="F204" s="24"/>
      <c r="G204" s="26"/>
      <c r="H204" s="26"/>
      <c r="I204" s="26"/>
      <c r="J204" s="26"/>
      <c r="K204" s="26"/>
      <c r="L204" s="26"/>
      <c r="M204" s="26"/>
      <c r="N204" s="26"/>
      <c r="P204" s="26"/>
      <c r="Q204" s="26"/>
      <c r="R204" s="25"/>
      <c r="S204" s="25"/>
      <c r="T204" s="25"/>
      <c r="U204" s="25"/>
      <c r="V204" s="24"/>
      <c r="W204" s="24"/>
      <c r="X204" s="24"/>
      <c r="Y204" s="26"/>
      <c r="Z204" s="26"/>
      <c r="AA204" s="24"/>
      <c r="AB204" s="24"/>
      <c r="AC204" s="24"/>
      <c r="AD204" s="24"/>
      <c r="AE204" s="26"/>
      <c r="AF204" s="26"/>
      <c r="AG204" s="24"/>
      <c r="AH204" s="24"/>
      <c r="AI204" s="28"/>
      <c r="AJ204" s="28"/>
      <c r="AK204" s="28"/>
      <c r="AL204" s="28"/>
      <c r="AM204" s="28"/>
      <c r="AN204" s="28"/>
      <c r="AO204" s="28"/>
      <c r="AP204" s="28"/>
      <c r="AQ204" s="28"/>
      <c r="AR204" s="28"/>
      <c r="AS204" s="28"/>
      <c r="AT204" s="28"/>
      <c r="AU204" s="28"/>
      <c r="AV204" s="24"/>
      <c r="AW204" s="28"/>
      <c r="AX204" s="28"/>
      <c r="AY204" s="28"/>
      <c r="AZ204" s="28"/>
      <c r="BA204" s="28"/>
      <c r="BB204" s="28"/>
      <c r="BC204" s="24"/>
      <c r="BD204" s="28"/>
      <c r="BE204" s="28"/>
      <c r="BF204" s="28"/>
      <c r="BG204" s="24"/>
      <c r="BH204" s="28"/>
      <c r="BI204" s="28"/>
      <c r="BJ204" s="28"/>
    </row>
    <row r="205" spans="1:62">
      <c r="A205" s="24"/>
      <c r="B205" s="28"/>
      <c r="C205" s="25"/>
      <c r="D205" s="26"/>
      <c r="E205" s="24"/>
      <c r="F205" s="24"/>
      <c r="G205" s="26"/>
      <c r="H205" s="26"/>
      <c r="I205" s="26"/>
      <c r="J205" s="26"/>
      <c r="K205" s="26"/>
      <c r="L205" s="26"/>
      <c r="M205" s="26"/>
      <c r="N205" s="26"/>
      <c r="P205" s="26"/>
      <c r="Q205" s="26"/>
      <c r="R205" s="25"/>
      <c r="S205" s="25"/>
      <c r="T205" s="25"/>
      <c r="U205" s="25"/>
      <c r="V205" s="24"/>
      <c r="W205" s="24"/>
      <c r="X205" s="24"/>
      <c r="Y205" s="26"/>
      <c r="Z205" s="26"/>
      <c r="AA205" s="24"/>
      <c r="AB205" s="24"/>
      <c r="AC205" s="24"/>
      <c r="AD205" s="24"/>
      <c r="AE205" s="26"/>
      <c r="AF205" s="26"/>
      <c r="AG205" s="24"/>
      <c r="AH205" s="24"/>
      <c r="AI205" s="28"/>
      <c r="AJ205" s="28"/>
      <c r="AK205" s="28"/>
      <c r="AL205" s="28"/>
      <c r="AM205" s="28"/>
      <c r="AN205" s="28"/>
      <c r="AO205" s="28"/>
      <c r="AP205" s="28"/>
      <c r="AQ205" s="28"/>
      <c r="AR205" s="28"/>
      <c r="AS205" s="28"/>
      <c r="AT205" s="28"/>
      <c r="AU205" s="28"/>
      <c r="AV205" s="24"/>
      <c r="AW205" s="28"/>
      <c r="AX205" s="28"/>
      <c r="AY205" s="28"/>
      <c r="AZ205" s="28"/>
      <c r="BA205" s="28"/>
      <c r="BB205" s="28"/>
      <c r="BC205" s="24"/>
      <c r="BD205" s="28"/>
      <c r="BE205" s="28"/>
      <c r="BF205" s="28"/>
      <c r="BG205" s="24"/>
      <c r="BH205" s="28"/>
      <c r="BI205" s="28"/>
      <c r="BJ205" s="28"/>
    </row>
    <row r="206" spans="1:62">
      <c r="A206" s="24"/>
      <c r="B206" s="28"/>
      <c r="C206" s="25"/>
      <c r="D206" s="26"/>
      <c r="E206" s="24"/>
      <c r="F206" s="24"/>
      <c r="G206" s="26"/>
      <c r="H206" s="26"/>
      <c r="I206" s="26"/>
      <c r="J206" s="26"/>
      <c r="K206" s="26"/>
      <c r="L206" s="26"/>
      <c r="M206" s="26"/>
      <c r="N206" s="26"/>
      <c r="P206" s="26"/>
      <c r="Q206" s="26"/>
      <c r="R206" s="25"/>
      <c r="S206" s="25"/>
      <c r="T206" s="25"/>
      <c r="U206" s="25"/>
      <c r="V206" s="24"/>
      <c r="W206" s="24"/>
      <c r="X206" s="24"/>
      <c r="Y206" s="26"/>
      <c r="Z206" s="26"/>
      <c r="AA206" s="24"/>
      <c r="AB206" s="24"/>
      <c r="AC206" s="24"/>
      <c r="AD206" s="24"/>
      <c r="AE206" s="26"/>
      <c r="AF206" s="26"/>
      <c r="AG206" s="24"/>
      <c r="AH206" s="24"/>
      <c r="AI206" s="28"/>
      <c r="AJ206" s="28"/>
      <c r="AK206" s="28"/>
      <c r="AL206" s="28"/>
      <c r="AM206" s="28"/>
      <c r="AN206" s="28"/>
      <c r="AO206" s="28"/>
      <c r="AP206" s="28"/>
      <c r="AQ206" s="28"/>
      <c r="AR206" s="28"/>
      <c r="AS206" s="28"/>
      <c r="AT206" s="28"/>
      <c r="AU206" s="28"/>
      <c r="AV206" s="24"/>
      <c r="AW206" s="28"/>
      <c r="AX206" s="28"/>
      <c r="AY206" s="28"/>
      <c r="AZ206" s="28"/>
      <c r="BA206" s="28"/>
      <c r="BB206" s="28"/>
      <c r="BC206" s="24"/>
      <c r="BD206" s="28"/>
      <c r="BE206" s="28"/>
      <c r="BF206" s="28"/>
      <c r="BG206" s="24"/>
      <c r="BH206" s="28"/>
      <c r="BI206" s="28"/>
      <c r="BJ206" s="28"/>
    </row>
    <row r="207" spans="1:62">
      <c r="A207" s="24"/>
      <c r="B207" s="28"/>
      <c r="C207" s="25"/>
      <c r="D207" s="26"/>
      <c r="E207" s="24"/>
      <c r="F207" s="24"/>
      <c r="G207" s="26"/>
      <c r="H207" s="26"/>
      <c r="I207" s="26"/>
      <c r="J207" s="26"/>
      <c r="K207" s="26"/>
      <c r="L207" s="26"/>
      <c r="M207" s="26"/>
      <c r="N207" s="26"/>
      <c r="P207" s="26"/>
      <c r="Q207" s="26"/>
      <c r="R207" s="25"/>
      <c r="S207" s="25"/>
      <c r="T207" s="25"/>
      <c r="U207" s="25"/>
      <c r="V207" s="24"/>
      <c r="W207" s="24"/>
      <c r="X207" s="24"/>
      <c r="Y207" s="26"/>
      <c r="Z207" s="26"/>
      <c r="AA207" s="24"/>
      <c r="AB207" s="24"/>
      <c r="AC207" s="24"/>
      <c r="AD207" s="24"/>
      <c r="AE207" s="26"/>
      <c r="AF207" s="26"/>
      <c r="AG207" s="24"/>
      <c r="AH207" s="24"/>
      <c r="AI207" s="28"/>
      <c r="AJ207" s="28"/>
      <c r="AK207" s="28"/>
      <c r="AL207" s="28"/>
      <c r="AM207" s="28"/>
      <c r="AN207" s="28"/>
      <c r="AO207" s="28"/>
      <c r="AP207" s="28"/>
      <c r="AQ207" s="28"/>
      <c r="AR207" s="28"/>
      <c r="AS207" s="28"/>
      <c r="AT207" s="28"/>
      <c r="AU207" s="28"/>
      <c r="AV207" s="24"/>
      <c r="AW207" s="28"/>
      <c r="AX207" s="28"/>
      <c r="AY207" s="28"/>
      <c r="AZ207" s="28"/>
      <c r="BA207" s="28"/>
      <c r="BB207" s="28"/>
      <c r="BC207" s="24"/>
      <c r="BD207" s="28"/>
      <c r="BE207" s="28"/>
      <c r="BF207" s="28"/>
      <c r="BG207" s="24"/>
      <c r="BH207" s="28"/>
      <c r="BI207" s="28"/>
      <c r="BJ207" s="28"/>
    </row>
    <row r="208" spans="1:62">
      <c r="A208" s="24"/>
      <c r="B208" s="28"/>
      <c r="C208" s="25"/>
      <c r="D208" s="26"/>
      <c r="E208" s="24"/>
      <c r="F208" s="24"/>
      <c r="G208" s="26"/>
      <c r="H208" s="26"/>
      <c r="I208" s="26"/>
      <c r="J208" s="26"/>
      <c r="K208" s="26"/>
      <c r="L208" s="26"/>
      <c r="M208" s="26"/>
      <c r="N208" s="26"/>
      <c r="P208" s="26"/>
      <c r="Q208" s="26"/>
      <c r="R208" s="25"/>
      <c r="S208" s="25"/>
      <c r="T208" s="25"/>
      <c r="U208" s="25"/>
      <c r="V208" s="24"/>
      <c r="W208" s="24"/>
      <c r="X208" s="24"/>
      <c r="Y208" s="26"/>
      <c r="Z208" s="26"/>
      <c r="AA208" s="24"/>
      <c r="AB208" s="24"/>
      <c r="AC208" s="24"/>
      <c r="AD208" s="24"/>
      <c r="AE208" s="26"/>
      <c r="AF208" s="26"/>
      <c r="AG208" s="24"/>
      <c r="AH208" s="24"/>
      <c r="AI208" s="28"/>
      <c r="AJ208" s="28"/>
      <c r="AK208" s="28"/>
      <c r="AL208" s="28"/>
      <c r="AM208" s="28"/>
      <c r="AN208" s="28"/>
      <c r="AO208" s="28"/>
      <c r="AP208" s="28"/>
      <c r="AQ208" s="28"/>
      <c r="AR208" s="28"/>
      <c r="AS208" s="28"/>
      <c r="AT208" s="28"/>
      <c r="AU208" s="28"/>
      <c r="AV208" s="24"/>
      <c r="AW208" s="28"/>
      <c r="AX208" s="28"/>
      <c r="AY208" s="28"/>
      <c r="AZ208" s="28"/>
      <c r="BA208" s="28"/>
      <c r="BB208" s="28"/>
      <c r="BC208" s="24"/>
      <c r="BD208" s="28"/>
      <c r="BE208" s="28"/>
      <c r="BF208" s="28"/>
      <c r="BG208" s="24"/>
      <c r="BH208" s="28"/>
      <c r="BI208" s="28"/>
      <c r="BJ208" s="28"/>
    </row>
    <row r="209" spans="1:62">
      <c r="A209" s="24"/>
      <c r="B209" s="28"/>
      <c r="C209" s="25"/>
      <c r="D209" s="26"/>
      <c r="E209" s="24"/>
      <c r="F209" s="24"/>
      <c r="G209" s="26"/>
      <c r="H209" s="26"/>
      <c r="I209" s="26"/>
      <c r="J209" s="26"/>
      <c r="K209" s="26"/>
      <c r="L209" s="26"/>
      <c r="M209" s="26"/>
      <c r="N209" s="26"/>
      <c r="P209" s="26"/>
      <c r="Q209" s="26"/>
      <c r="R209" s="25"/>
      <c r="S209" s="25"/>
      <c r="T209" s="25"/>
      <c r="U209" s="25"/>
      <c r="V209" s="24"/>
      <c r="W209" s="24"/>
      <c r="X209" s="24"/>
      <c r="Y209" s="26"/>
      <c r="Z209" s="26"/>
      <c r="AA209" s="24"/>
      <c r="AB209" s="24"/>
      <c r="AC209" s="24"/>
      <c r="AD209" s="24"/>
      <c r="AE209" s="26"/>
      <c r="AF209" s="26"/>
      <c r="AG209" s="24"/>
      <c r="AH209" s="24"/>
      <c r="AI209" s="28"/>
      <c r="AJ209" s="28"/>
      <c r="AK209" s="28"/>
      <c r="AL209" s="28"/>
      <c r="AM209" s="28"/>
      <c r="AN209" s="28"/>
      <c r="AO209" s="28"/>
      <c r="AP209" s="28"/>
      <c r="AQ209" s="28"/>
      <c r="AR209" s="28"/>
      <c r="AS209" s="28"/>
      <c r="AT209" s="28"/>
      <c r="AU209" s="28"/>
      <c r="AV209" s="24"/>
      <c r="AW209" s="28"/>
      <c r="AX209" s="28"/>
      <c r="AY209" s="28"/>
      <c r="AZ209" s="28"/>
      <c r="BA209" s="28"/>
      <c r="BB209" s="28"/>
      <c r="BC209" s="24"/>
      <c r="BD209" s="28"/>
      <c r="BE209" s="28"/>
      <c r="BF209" s="28"/>
      <c r="BG209" s="24"/>
      <c r="BH209" s="28"/>
      <c r="BI209" s="28"/>
      <c r="BJ209" s="28"/>
    </row>
    <row r="210" spans="1:62">
      <c r="A210" s="24"/>
      <c r="B210" s="28"/>
      <c r="C210" s="25"/>
      <c r="D210" s="26"/>
      <c r="E210" s="24"/>
      <c r="F210" s="24"/>
      <c r="G210" s="26"/>
      <c r="H210" s="26"/>
      <c r="I210" s="26"/>
      <c r="J210" s="26"/>
      <c r="K210" s="26"/>
      <c r="L210" s="26"/>
      <c r="M210" s="26"/>
      <c r="N210" s="26"/>
      <c r="P210" s="26"/>
      <c r="Q210" s="26"/>
      <c r="R210" s="25"/>
      <c r="S210" s="25"/>
      <c r="T210" s="25"/>
      <c r="U210" s="25"/>
      <c r="V210" s="24"/>
      <c r="W210" s="24"/>
      <c r="X210" s="24"/>
      <c r="Y210" s="26"/>
      <c r="Z210" s="26"/>
      <c r="AA210" s="24"/>
      <c r="AB210" s="24"/>
      <c r="AC210" s="24"/>
      <c r="AD210" s="24"/>
      <c r="AE210" s="26"/>
      <c r="AF210" s="26"/>
      <c r="AG210" s="24"/>
      <c r="AH210" s="24"/>
      <c r="AI210" s="28"/>
      <c r="AJ210" s="28"/>
      <c r="AK210" s="28"/>
      <c r="AL210" s="28"/>
      <c r="AM210" s="28"/>
      <c r="AN210" s="28"/>
      <c r="AO210" s="28"/>
      <c r="AP210" s="28"/>
      <c r="AQ210" s="28"/>
      <c r="AR210" s="28"/>
      <c r="AS210" s="28"/>
      <c r="AT210" s="28"/>
      <c r="AU210" s="28"/>
      <c r="AV210" s="24"/>
      <c r="AW210" s="28"/>
      <c r="AX210" s="28"/>
      <c r="AY210" s="28"/>
      <c r="AZ210" s="28"/>
      <c r="BA210" s="28"/>
      <c r="BB210" s="28"/>
      <c r="BC210" s="24"/>
      <c r="BD210" s="28"/>
      <c r="BE210" s="28"/>
      <c r="BF210" s="28"/>
      <c r="BG210" s="24"/>
      <c r="BH210" s="28"/>
      <c r="BI210" s="28"/>
      <c r="BJ210" s="28"/>
    </row>
    <row r="211" spans="1:62">
      <c r="A211" s="24"/>
      <c r="B211" s="28"/>
      <c r="C211" s="25"/>
      <c r="D211" s="26"/>
      <c r="E211" s="24"/>
      <c r="F211" s="24"/>
      <c r="G211" s="26"/>
      <c r="H211" s="26"/>
      <c r="I211" s="26"/>
      <c r="J211" s="26"/>
      <c r="K211" s="26"/>
      <c r="L211" s="26"/>
      <c r="M211" s="26"/>
      <c r="N211" s="26"/>
      <c r="P211" s="26"/>
      <c r="Q211" s="26"/>
      <c r="R211" s="25"/>
      <c r="S211" s="25"/>
      <c r="T211" s="25"/>
      <c r="U211" s="25"/>
      <c r="V211" s="24"/>
      <c r="W211" s="24"/>
      <c r="X211" s="24"/>
      <c r="Y211" s="26"/>
      <c r="Z211" s="26"/>
      <c r="AA211" s="24"/>
      <c r="AB211" s="24"/>
      <c r="AC211" s="24"/>
      <c r="AD211" s="24"/>
      <c r="AE211" s="26"/>
      <c r="AF211" s="26"/>
      <c r="AG211" s="24"/>
      <c r="AH211" s="24"/>
      <c r="AI211" s="28"/>
      <c r="AJ211" s="28"/>
      <c r="AK211" s="28"/>
      <c r="AL211" s="28"/>
      <c r="AM211" s="28"/>
      <c r="AN211" s="28"/>
      <c r="AO211" s="28"/>
      <c r="AP211" s="28"/>
      <c r="AQ211" s="28"/>
      <c r="AR211" s="28"/>
      <c r="AS211" s="28"/>
      <c r="AT211" s="28"/>
      <c r="AU211" s="28"/>
      <c r="AV211" s="24"/>
      <c r="AW211" s="28"/>
      <c r="AX211" s="28"/>
      <c r="AY211" s="28"/>
      <c r="AZ211" s="28"/>
      <c r="BA211" s="28"/>
      <c r="BB211" s="28"/>
      <c r="BC211" s="24"/>
      <c r="BD211" s="28"/>
      <c r="BE211" s="28"/>
      <c r="BF211" s="28"/>
      <c r="BG211" s="24"/>
      <c r="BH211" s="28"/>
      <c r="BI211" s="28"/>
      <c r="BJ211" s="28"/>
    </row>
    <row r="212" spans="1:62">
      <c r="A212" s="24"/>
      <c r="B212" s="28"/>
      <c r="C212" s="25"/>
      <c r="D212" s="26"/>
      <c r="E212" s="24"/>
      <c r="F212" s="24"/>
      <c r="G212" s="26"/>
      <c r="H212" s="26"/>
      <c r="I212" s="26"/>
      <c r="J212" s="26"/>
      <c r="K212" s="26"/>
      <c r="L212" s="26"/>
      <c r="M212" s="26"/>
      <c r="N212" s="26"/>
      <c r="P212" s="26"/>
      <c r="Q212" s="26"/>
      <c r="R212" s="25"/>
      <c r="S212" s="25"/>
      <c r="T212" s="25"/>
      <c r="U212" s="25"/>
      <c r="V212" s="24"/>
      <c r="W212" s="24"/>
      <c r="X212" s="24"/>
      <c r="Y212" s="26"/>
      <c r="Z212" s="26"/>
      <c r="AA212" s="24"/>
      <c r="AB212" s="24"/>
      <c r="AC212" s="24"/>
      <c r="AD212" s="24"/>
      <c r="AE212" s="26"/>
      <c r="AF212" s="26"/>
      <c r="AG212" s="24"/>
      <c r="AH212" s="24"/>
      <c r="AI212" s="28"/>
      <c r="AJ212" s="28"/>
      <c r="AK212" s="28"/>
      <c r="AL212" s="28"/>
      <c r="AM212" s="28"/>
      <c r="AN212" s="28"/>
      <c r="AO212" s="28"/>
      <c r="AP212" s="28"/>
      <c r="AQ212" s="28"/>
      <c r="AR212" s="28"/>
      <c r="AS212" s="28"/>
      <c r="AT212" s="28"/>
      <c r="AU212" s="28"/>
      <c r="AV212" s="24"/>
      <c r="AW212" s="28"/>
      <c r="AX212" s="28"/>
      <c r="AY212" s="28"/>
      <c r="AZ212" s="28"/>
      <c r="BA212" s="28"/>
      <c r="BB212" s="28"/>
      <c r="BC212" s="24"/>
      <c r="BD212" s="28"/>
      <c r="BE212" s="28"/>
      <c r="BF212" s="28"/>
      <c r="BG212" s="24"/>
      <c r="BH212" s="28"/>
      <c r="BI212" s="28"/>
      <c r="BJ212" s="28"/>
    </row>
    <row r="213" spans="1:62">
      <c r="A213" s="24"/>
      <c r="B213" s="28"/>
      <c r="C213" s="25"/>
      <c r="D213" s="26"/>
      <c r="E213" s="24"/>
      <c r="F213" s="24"/>
      <c r="G213" s="26"/>
      <c r="H213" s="26"/>
      <c r="I213" s="26"/>
      <c r="J213" s="26"/>
      <c r="K213" s="26"/>
      <c r="L213" s="26"/>
      <c r="M213" s="26"/>
      <c r="N213" s="26"/>
      <c r="P213" s="26"/>
      <c r="Q213" s="26"/>
      <c r="R213" s="25"/>
      <c r="S213" s="25"/>
      <c r="T213" s="25"/>
      <c r="U213" s="25"/>
      <c r="V213" s="24"/>
      <c r="W213" s="24"/>
      <c r="X213" s="24"/>
      <c r="Y213" s="26"/>
      <c r="Z213" s="26"/>
      <c r="AA213" s="24"/>
      <c r="AB213" s="24"/>
      <c r="AC213" s="24"/>
      <c r="AD213" s="24"/>
      <c r="AE213" s="26"/>
      <c r="AF213" s="26"/>
      <c r="AG213" s="24"/>
      <c r="AH213" s="24"/>
      <c r="AI213" s="28"/>
      <c r="AJ213" s="28"/>
      <c r="AK213" s="28"/>
      <c r="AL213" s="28"/>
      <c r="AM213" s="28"/>
      <c r="AN213" s="28"/>
      <c r="AO213" s="28"/>
      <c r="AP213" s="28"/>
      <c r="AQ213" s="28"/>
      <c r="AR213" s="28"/>
      <c r="AS213" s="28"/>
      <c r="AT213" s="28"/>
      <c r="AU213" s="28"/>
      <c r="AV213" s="24"/>
      <c r="AW213" s="28"/>
      <c r="AX213" s="28"/>
      <c r="AY213" s="28"/>
      <c r="AZ213" s="28"/>
      <c r="BA213" s="28"/>
      <c r="BB213" s="28"/>
      <c r="BC213" s="24"/>
      <c r="BD213" s="28"/>
      <c r="BE213" s="28"/>
      <c r="BF213" s="28"/>
      <c r="BG213" s="24"/>
      <c r="BH213" s="28"/>
      <c r="BI213" s="28"/>
      <c r="BJ213" s="28"/>
    </row>
    <row r="214" spans="1:62">
      <c r="A214" s="24"/>
      <c r="B214" s="28"/>
      <c r="C214" s="25"/>
      <c r="D214" s="26"/>
      <c r="E214" s="24"/>
      <c r="F214" s="24"/>
      <c r="G214" s="26"/>
      <c r="H214" s="26"/>
      <c r="I214" s="26"/>
      <c r="J214" s="26"/>
      <c r="K214" s="26"/>
      <c r="L214" s="26"/>
      <c r="M214" s="26"/>
      <c r="N214" s="26"/>
      <c r="P214" s="26"/>
      <c r="Q214" s="26"/>
      <c r="R214" s="25"/>
      <c r="S214" s="25"/>
      <c r="T214" s="25"/>
      <c r="U214" s="25"/>
      <c r="V214" s="24"/>
      <c r="W214" s="24"/>
      <c r="X214" s="24"/>
      <c r="Y214" s="26"/>
      <c r="Z214" s="26"/>
      <c r="AA214" s="24"/>
      <c r="AB214" s="24"/>
      <c r="AC214" s="24"/>
      <c r="AD214" s="24"/>
      <c r="AE214" s="26"/>
      <c r="AF214" s="26"/>
      <c r="AG214" s="24"/>
      <c r="AH214" s="24"/>
      <c r="AI214" s="28"/>
      <c r="AJ214" s="28"/>
      <c r="AK214" s="28"/>
      <c r="AL214" s="28"/>
      <c r="AM214" s="28"/>
      <c r="AN214" s="28"/>
      <c r="AO214" s="28"/>
      <c r="AP214" s="28"/>
      <c r="AQ214" s="28"/>
      <c r="AR214" s="28"/>
      <c r="AS214" s="28"/>
      <c r="AT214" s="28"/>
      <c r="AU214" s="28"/>
      <c r="AV214" s="24"/>
      <c r="AW214" s="28"/>
      <c r="AX214" s="28"/>
      <c r="AY214" s="28"/>
      <c r="AZ214" s="28"/>
      <c r="BA214" s="28"/>
      <c r="BB214" s="28"/>
      <c r="BC214" s="24"/>
      <c r="BD214" s="28"/>
      <c r="BE214" s="28"/>
      <c r="BF214" s="28"/>
      <c r="BG214" s="24"/>
      <c r="BH214" s="28"/>
      <c r="BI214" s="28"/>
      <c r="BJ214" s="28"/>
    </row>
    <row r="215" spans="1:62">
      <c r="A215" s="24"/>
      <c r="B215" s="28"/>
      <c r="C215" s="25"/>
      <c r="D215" s="26"/>
      <c r="E215" s="24"/>
      <c r="F215" s="24"/>
      <c r="G215" s="26"/>
      <c r="H215" s="26"/>
      <c r="I215" s="26"/>
      <c r="J215" s="26"/>
      <c r="K215" s="26"/>
      <c r="L215" s="26"/>
      <c r="M215" s="26"/>
      <c r="N215" s="26"/>
      <c r="P215" s="26"/>
      <c r="Q215" s="26"/>
      <c r="R215" s="25"/>
      <c r="S215" s="25"/>
      <c r="T215" s="25"/>
      <c r="U215" s="25"/>
      <c r="V215" s="24"/>
      <c r="W215" s="24"/>
      <c r="X215" s="24"/>
      <c r="Y215" s="26"/>
      <c r="Z215" s="26"/>
      <c r="AA215" s="24"/>
      <c r="AB215" s="24"/>
      <c r="AC215" s="24"/>
      <c r="AD215" s="24"/>
      <c r="AE215" s="26"/>
      <c r="AF215" s="26"/>
      <c r="AG215" s="24"/>
      <c r="AH215" s="24"/>
      <c r="AI215" s="28"/>
      <c r="AJ215" s="28"/>
      <c r="AK215" s="28"/>
      <c r="AL215" s="28"/>
      <c r="AM215" s="28"/>
      <c r="AN215" s="28"/>
      <c r="AO215" s="28"/>
      <c r="AP215" s="28"/>
      <c r="AQ215" s="28"/>
      <c r="AR215" s="28"/>
      <c r="AS215" s="28"/>
      <c r="AT215" s="28"/>
      <c r="AU215" s="28"/>
      <c r="AV215" s="24"/>
      <c r="AW215" s="28"/>
      <c r="AX215" s="28"/>
      <c r="AY215" s="28"/>
      <c r="AZ215" s="28"/>
      <c r="BA215" s="28"/>
      <c r="BB215" s="28"/>
      <c r="BC215" s="24"/>
      <c r="BD215" s="28"/>
      <c r="BE215" s="28"/>
      <c r="BF215" s="28"/>
      <c r="BG215" s="24"/>
      <c r="BH215" s="28"/>
      <c r="BI215" s="28"/>
      <c r="BJ215" s="28"/>
    </row>
    <row r="216" spans="1:62">
      <c r="A216" s="24"/>
      <c r="B216" s="28"/>
      <c r="C216" s="25"/>
      <c r="D216" s="26"/>
      <c r="E216" s="24"/>
      <c r="F216" s="24"/>
      <c r="G216" s="26"/>
      <c r="H216" s="26"/>
      <c r="I216" s="26"/>
      <c r="J216" s="26"/>
      <c r="K216" s="26"/>
      <c r="L216" s="26"/>
      <c r="M216" s="26"/>
      <c r="N216" s="26"/>
      <c r="P216" s="26"/>
      <c r="Q216" s="26"/>
      <c r="R216" s="25"/>
      <c r="S216" s="25"/>
      <c r="T216" s="25"/>
      <c r="U216" s="25"/>
      <c r="V216" s="24"/>
      <c r="W216" s="24"/>
      <c r="X216" s="24"/>
      <c r="Y216" s="26"/>
      <c r="Z216" s="26"/>
      <c r="AA216" s="24"/>
      <c r="AB216" s="24"/>
      <c r="AC216" s="24"/>
      <c r="AD216" s="24"/>
      <c r="AE216" s="26"/>
      <c r="AF216" s="26"/>
      <c r="AG216" s="24"/>
      <c r="AH216" s="24"/>
      <c r="AI216" s="28"/>
      <c r="AJ216" s="28"/>
      <c r="AK216" s="28"/>
      <c r="AL216" s="28"/>
      <c r="AM216" s="28"/>
      <c r="AN216" s="28"/>
      <c r="AO216" s="28"/>
      <c r="AP216" s="28"/>
      <c r="AQ216" s="28"/>
      <c r="AR216" s="28"/>
      <c r="AS216" s="28"/>
      <c r="AT216" s="28"/>
      <c r="AU216" s="28"/>
      <c r="AV216" s="24"/>
      <c r="AW216" s="28"/>
      <c r="AX216" s="28"/>
      <c r="AY216" s="28"/>
      <c r="AZ216" s="28"/>
      <c r="BA216" s="28"/>
      <c r="BB216" s="28"/>
      <c r="BC216" s="24"/>
      <c r="BD216" s="28"/>
      <c r="BE216" s="28"/>
      <c r="BF216" s="28"/>
      <c r="BG216" s="24"/>
      <c r="BH216" s="28"/>
      <c r="BI216" s="28"/>
      <c r="BJ216" s="28"/>
    </row>
    <row r="217" spans="1:62">
      <c r="A217" s="24"/>
      <c r="B217" s="28"/>
      <c r="C217" s="25"/>
      <c r="D217" s="26"/>
      <c r="E217" s="24"/>
      <c r="F217" s="24"/>
      <c r="G217" s="26"/>
      <c r="H217" s="26"/>
      <c r="I217" s="26"/>
      <c r="J217" s="26"/>
      <c r="K217" s="26"/>
      <c r="L217" s="26"/>
      <c r="M217" s="26"/>
      <c r="N217" s="26"/>
      <c r="P217" s="26"/>
      <c r="Q217" s="26"/>
      <c r="R217" s="25"/>
      <c r="S217" s="25"/>
      <c r="T217" s="25"/>
      <c r="U217" s="25"/>
      <c r="V217" s="24"/>
      <c r="W217" s="24"/>
      <c r="X217" s="24"/>
      <c r="Y217" s="26"/>
      <c r="Z217" s="26"/>
      <c r="AA217" s="24"/>
      <c r="AB217" s="24"/>
      <c r="AC217" s="24"/>
      <c r="AD217" s="24"/>
      <c r="AE217" s="26"/>
      <c r="AF217" s="26"/>
      <c r="AG217" s="24"/>
      <c r="AH217" s="24"/>
      <c r="AI217" s="28"/>
      <c r="AJ217" s="28"/>
      <c r="AK217" s="28"/>
      <c r="AL217" s="28"/>
      <c r="AM217" s="28"/>
      <c r="AN217" s="28"/>
      <c r="AO217" s="28"/>
      <c r="AP217" s="28"/>
      <c r="AQ217" s="28"/>
      <c r="AR217" s="28"/>
      <c r="AS217" s="28"/>
      <c r="AT217" s="28"/>
      <c r="AU217" s="28"/>
      <c r="AV217" s="24"/>
      <c r="AW217" s="28"/>
      <c r="AX217" s="28"/>
      <c r="AY217" s="28"/>
      <c r="AZ217" s="28"/>
      <c r="BA217" s="28"/>
      <c r="BB217" s="28"/>
      <c r="BC217" s="24"/>
      <c r="BD217" s="28"/>
      <c r="BE217" s="28"/>
      <c r="BF217" s="28"/>
      <c r="BG217" s="24"/>
      <c r="BH217" s="28"/>
      <c r="BI217" s="28"/>
      <c r="BJ217" s="28"/>
    </row>
    <row r="218" spans="1:62">
      <c r="A218" s="24"/>
      <c r="B218" s="28"/>
      <c r="C218" s="25"/>
      <c r="D218" s="26"/>
      <c r="E218" s="24"/>
      <c r="F218" s="24"/>
      <c r="G218" s="26"/>
      <c r="H218" s="26"/>
      <c r="I218" s="26"/>
      <c r="J218" s="26"/>
      <c r="K218" s="26"/>
      <c r="L218" s="26"/>
      <c r="M218" s="26"/>
      <c r="N218" s="26"/>
      <c r="P218" s="26"/>
      <c r="Q218" s="26"/>
      <c r="R218" s="25"/>
      <c r="S218" s="25"/>
      <c r="T218" s="25"/>
      <c r="U218" s="25"/>
      <c r="V218" s="24"/>
      <c r="W218" s="24"/>
      <c r="X218" s="24"/>
      <c r="Y218" s="26"/>
      <c r="Z218" s="26"/>
      <c r="AA218" s="24"/>
      <c r="AB218" s="24"/>
      <c r="AC218" s="24"/>
      <c r="AD218" s="24"/>
      <c r="AE218" s="26"/>
      <c r="AF218" s="26"/>
      <c r="AG218" s="24"/>
      <c r="AH218" s="24"/>
      <c r="AI218" s="28"/>
      <c r="AJ218" s="28"/>
      <c r="AK218" s="28"/>
      <c r="AL218" s="28"/>
      <c r="AM218" s="28"/>
      <c r="AN218" s="28"/>
      <c r="AO218" s="28"/>
      <c r="AP218" s="28"/>
      <c r="AQ218" s="28"/>
      <c r="AR218" s="28"/>
      <c r="AS218" s="28"/>
      <c r="AT218" s="28"/>
      <c r="AU218" s="28"/>
      <c r="AV218" s="24"/>
      <c r="AW218" s="28"/>
      <c r="AX218" s="28"/>
      <c r="AY218" s="28"/>
      <c r="AZ218" s="28"/>
      <c r="BA218" s="28"/>
      <c r="BB218" s="28"/>
      <c r="BC218" s="24"/>
      <c r="BD218" s="28"/>
      <c r="BE218" s="28"/>
      <c r="BF218" s="28"/>
      <c r="BG218" s="24"/>
      <c r="BH218" s="28"/>
      <c r="BI218" s="28"/>
      <c r="BJ218" s="28"/>
    </row>
    <row r="219" spans="1:62">
      <c r="A219" s="24"/>
      <c r="B219" s="28"/>
      <c r="C219" s="25"/>
      <c r="D219" s="26"/>
      <c r="E219" s="24"/>
      <c r="F219" s="24"/>
      <c r="G219" s="26"/>
      <c r="H219" s="26"/>
      <c r="I219" s="26"/>
      <c r="J219" s="26"/>
      <c r="K219" s="26"/>
      <c r="L219" s="26"/>
      <c r="M219" s="26"/>
      <c r="N219" s="26"/>
      <c r="P219" s="26"/>
      <c r="Q219" s="26"/>
      <c r="R219" s="25"/>
      <c r="S219" s="25"/>
      <c r="T219" s="25"/>
      <c r="U219" s="25"/>
      <c r="V219" s="24"/>
      <c r="W219" s="24"/>
      <c r="X219" s="24"/>
      <c r="Y219" s="26"/>
      <c r="Z219" s="26"/>
      <c r="AA219" s="24"/>
      <c r="AB219" s="24"/>
      <c r="AC219" s="24"/>
      <c r="AD219" s="24"/>
      <c r="AE219" s="26"/>
      <c r="AF219" s="26"/>
      <c r="AG219" s="24"/>
      <c r="AH219" s="24"/>
      <c r="AI219" s="28"/>
      <c r="AJ219" s="28"/>
      <c r="AK219" s="28"/>
      <c r="AL219" s="28"/>
      <c r="AM219" s="28"/>
      <c r="AN219" s="28"/>
      <c r="AO219" s="28"/>
      <c r="AP219" s="28"/>
      <c r="AQ219" s="28"/>
      <c r="AR219" s="28"/>
      <c r="AS219" s="28"/>
      <c r="AT219" s="28"/>
      <c r="AU219" s="28"/>
      <c r="AV219" s="24"/>
      <c r="AW219" s="28"/>
      <c r="AX219" s="28"/>
      <c r="AY219" s="28"/>
      <c r="AZ219" s="28"/>
      <c r="BA219" s="28"/>
      <c r="BB219" s="28"/>
      <c r="BC219" s="24"/>
      <c r="BD219" s="28"/>
      <c r="BE219" s="28"/>
      <c r="BF219" s="28"/>
      <c r="BG219" s="24"/>
      <c r="BH219" s="28"/>
      <c r="BI219" s="28"/>
      <c r="BJ219" s="28"/>
    </row>
    <row r="220" spans="1:62">
      <c r="A220" s="24"/>
      <c r="B220" s="28"/>
      <c r="C220" s="25"/>
      <c r="D220" s="26"/>
      <c r="E220" s="24"/>
      <c r="F220" s="24"/>
      <c r="G220" s="26"/>
      <c r="H220" s="26"/>
      <c r="I220" s="26"/>
      <c r="J220" s="26"/>
      <c r="K220" s="26"/>
      <c r="L220" s="26"/>
      <c r="M220" s="26"/>
      <c r="N220" s="26"/>
      <c r="P220" s="26"/>
      <c r="Q220" s="26"/>
      <c r="R220" s="25"/>
      <c r="S220" s="25"/>
      <c r="T220" s="25"/>
      <c r="U220" s="25"/>
      <c r="V220" s="24"/>
      <c r="W220" s="24"/>
      <c r="X220" s="24"/>
      <c r="Y220" s="26"/>
      <c r="Z220" s="26"/>
      <c r="AA220" s="24"/>
      <c r="AB220" s="24"/>
      <c r="AC220" s="24"/>
      <c r="AD220" s="24"/>
      <c r="AE220" s="26"/>
      <c r="AF220" s="26"/>
      <c r="AG220" s="24"/>
      <c r="AH220" s="24"/>
      <c r="AI220" s="28"/>
      <c r="AJ220" s="28"/>
      <c r="AK220" s="28"/>
      <c r="AL220" s="28"/>
      <c r="AM220" s="28"/>
      <c r="AN220" s="28"/>
      <c r="AO220" s="28"/>
      <c r="AP220" s="28"/>
      <c r="AQ220" s="28"/>
      <c r="AR220" s="28"/>
      <c r="AS220" s="28"/>
      <c r="AT220" s="28"/>
      <c r="AU220" s="28"/>
      <c r="AV220" s="24"/>
      <c r="AW220" s="28"/>
      <c r="AX220" s="28"/>
      <c r="AY220" s="28"/>
      <c r="AZ220" s="28"/>
      <c r="BA220" s="28"/>
      <c r="BB220" s="28"/>
      <c r="BC220" s="24"/>
      <c r="BD220" s="28"/>
      <c r="BE220" s="28"/>
      <c r="BF220" s="28"/>
      <c r="BG220" s="24"/>
      <c r="BH220" s="28"/>
      <c r="BI220" s="28"/>
      <c r="BJ220" s="28"/>
    </row>
    <row r="221" spans="1:62">
      <c r="A221" s="24"/>
      <c r="B221" s="28"/>
      <c r="C221" s="25"/>
      <c r="D221" s="26"/>
      <c r="E221" s="24"/>
      <c r="F221" s="24"/>
      <c r="G221" s="26"/>
      <c r="H221" s="26"/>
      <c r="I221" s="26"/>
      <c r="J221" s="26"/>
      <c r="K221" s="26"/>
      <c r="L221" s="26"/>
      <c r="M221" s="26"/>
      <c r="N221" s="26"/>
      <c r="P221" s="26"/>
      <c r="Q221" s="26"/>
      <c r="R221" s="25"/>
      <c r="S221" s="25"/>
      <c r="T221" s="25"/>
      <c r="U221" s="25"/>
      <c r="V221" s="24"/>
      <c r="W221" s="24"/>
      <c r="X221" s="24"/>
      <c r="Y221" s="26"/>
      <c r="Z221" s="26"/>
      <c r="AA221" s="24"/>
      <c r="AB221" s="24"/>
      <c r="AC221" s="24"/>
      <c r="AD221" s="24"/>
      <c r="AE221" s="26"/>
      <c r="AF221" s="26"/>
      <c r="AG221" s="24"/>
      <c r="AH221" s="24"/>
      <c r="AI221" s="28"/>
      <c r="AJ221" s="28"/>
      <c r="AK221" s="28"/>
      <c r="AL221" s="28"/>
      <c r="AM221" s="28"/>
      <c r="AN221" s="28"/>
      <c r="AO221" s="28"/>
      <c r="AP221" s="28"/>
      <c r="AQ221" s="28"/>
      <c r="AR221" s="28"/>
      <c r="AS221" s="28"/>
      <c r="AT221" s="28"/>
      <c r="AU221" s="28"/>
      <c r="AV221" s="24"/>
      <c r="AW221" s="28"/>
      <c r="AX221" s="28"/>
      <c r="AY221" s="28"/>
      <c r="AZ221" s="28"/>
      <c r="BA221" s="28"/>
      <c r="BB221" s="28"/>
      <c r="BC221" s="24"/>
      <c r="BD221" s="28"/>
      <c r="BE221" s="28"/>
      <c r="BF221" s="28"/>
      <c r="BG221" s="24"/>
      <c r="BH221" s="28"/>
      <c r="BI221" s="28"/>
      <c r="BJ221" s="28"/>
    </row>
    <row r="222" spans="1:62">
      <c r="A222" s="24"/>
      <c r="B222" s="28"/>
      <c r="C222" s="25"/>
      <c r="D222" s="26"/>
      <c r="E222" s="24"/>
      <c r="F222" s="24"/>
      <c r="G222" s="26"/>
      <c r="H222" s="26"/>
      <c r="I222" s="26"/>
      <c r="J222" s="26"/>
      <c r="K222" s="26"/>
      <c r="L222" s="26"/>
      <c r="M222" s="26"/>
      <c r="N222" s="26"/>
      <c r="P222" s="26"/>
      <c r="Q222" s="26"/>
      <c r="R222" s="25"/>
      <c r="S222" s="25"/>
      <c r="T222" s="25"/>
      <c r="U222" s="25"/>
      <c r="V222" s="24"/>
      <c r="W222" s="24"/>
      <c r="X222" s="24"/>
      <c r="Y222" s="26"/>
      <c r="Z222" s="26"/>
      <c r="AA222" s="24"/>
      <c r="AB222" s="24"/>
      <c r="AC222" s="24"/>
      <c r="AD222" s="24"/>
      <c r="AE222" s="26"/>
      <c r="AF222" s="26"/>
      <c r="AG222" s="24"/>
      <c r="AH222" s="24"/>
      <c r="AI222" s="28"/>
      <c r="AJ222" s="28"/>
      <c r="AK222" s="28"/>
      <c r="AL222" s="28"/>
      <c r="AM222" s="28"/>
      <c r="AN222" s="28"/>
      <c r="AO222" s="28"/>
      <c r="AP222" s="28"/>
      <c r="AQ222" s="28"/>
      <c r="AR222" s="28"/>
      <c r="AS222" s="28"/>
      <c r="AT222" s="28"/>
      <c r="AU222" s="28"/>
      <c r="AV222" s="24"/>
      <c r="AW222" s="28"/>
      <c r="AX222" s="28"/>
      <c r="AY222" s="28"/>
      <c r="AZ222" s="28"/>
      <c r="BA222" s="28"/>
      <c r="BB222" s="28"/>
      <c r="BC222" s="24"/>
      <c r="BD222" s="28"/>
      <c r="BE222" s="28"/>
      <c r="BF222" s="28"/>
      <c r="BG222" s="24"/>
      <c r="BH222" s="28"/>
      <c r="BI222" s="28"/>
      <c r="BJ222" s="28"/>
    </row>
    <row r="223" spans="1:62">
      <c r="A223" s="24"/>
      <c r="B223" s="28"/>
      <c r="C223" s="25"/>
      <c r="D223" s="26"/>
      <c r="E223" s="24"/>
      <c r="F223" s="24"/>
      <c r="G223" s="26"/>
      <c r="H223" s="26"/>
      <c r="I223" s="26"/>
      <c r="J223" s="26"/>
      <c r="K223" s="26"/>
      <c r="L223" s="26"/>
      <c r="M223" s="26"/>
      <c r="N223" s="26"/>
      <c r="P223" s="26"/>
      <c r="Q223" s="26"/>
      <c r="R223" s="25"/>
      <c r="S223" s="25"/>
      <c r="T223" s="25"/>
      <c r="U223" s="25"/>
      <c r="V223" s="24"/>
      <c r="W223" s="24"/>
      <c r="X223" s="24"/>
      <c r="Y223" s="26"/>
      <c r="Z223" s="26"/>
      <c r="AA223" s="24"/>
      <c r="AB223" s="24"/>
      <c r="AC223" s="24"/>
      <c r="AD223" s="24"/>
      <c r="AE223" s="26"/>
      <c r="AF223" s="26"/>
      <c r="AG223" s="24"/>
      <c r="AH223" s="24"/>
      <c r="AI223" s="28"/>
      <c r="AJ223" s="28"/>
      <c r="AK223" s="28"/>
      <c r="AL223" s="28"/>
      <c r="AM223" s="28"/>
      <c r="AN223" s="28"/>
      <c r="AO223" s="28"/>
      <c r="AP223" s="28"/>
      <c r="AQ223" s="28"/>
      <c r="AR223" s="28"/>
      <c r="AS223" s="28"/>
      <c r="AT223" s="28"/>
      <c r="AU223" s="28"/>
      <c r="AV223" s="24"/>
      <c r="AW223" s="28"/>
      <c r="AX223" s="28"/>
      <c r="AY223" s="28"/>
      <c r="AZ223" s="28"/>
      <c r="BA223" s="28"/>
      <c r="BB223" s="28"/>
      <c r="BC223" s="24"/>
      <c r="BD223" s="28"/>
      <c r="BE223" s="28"/>
      <c r="BF223" s="28"/>
      <c r="BG223" s="24"/>
      <c r="BH223" s="28"/>
      <c r="BI223" s="28"/>
      <c r="BJ223" s="28"/>
    </row>
    <row r="224" spans="1:62">
      <c r="A224" s="24"/>
      <c r="B224" s="28"/>
      <c r="C224" s="25"/>
      <c r="D224" s="26"/>
      <c r="E224" s="24"/>
      <c r="F224" s="24"/>
      <c r="G224" s="26"/>
      <c r="H224" s="26"/>
      <c r="I224" s="26"/>
      <c r="J224" s="26"/>
      <c r="K224" s="26"/>
      <c r="L224" s="26"/>
      <c r="M224" s="26"/>
      <c r="N224" s="26"/>
      <c r="P224" s="26"/>
      <c r="Q224" s="26"/>
      <c r="R224" s="25"/>
      <c r="S224" s="25"/>
      <c r="T224" s="25"/>
      <c r="U224" s="25"/>
      <c r="V224" s="24"/>
      <c r="W224" s="24"/>
      <c r="X224" s="24"/>
      <c r="Y224" s="26"/>
      <c r="Z224" s="26"/>
      <c r="AA224" s="24"/>
      <c r="AB224" s="24"/>
      <c r="AC224" s="24"/>
      <c r="AD224" s="24"/>
      <c r="AE224" s="26"/>
      <c r="AF224" s="26"/>
      <c r="AG224" s="24"/>
      <c r="AH224" s="24"/>
      <c r="AI224" s="28"/>
      <c r="AJ224" s="28"/>
      <c r="AK224" s="28"/>
      <c r="AL224" s="28"/>
      <c r="AM224" s="28"/>
      <c r="AN224" s="28"/>
      <c r="AO224" s="28"/>
      <c r="AP224" s="28"/>
      <c r="AQ224" s="28"/>
      <c r="AR224" s="28"/>
      <c r="AS224" s="28"/>
      <c r="AT224" s="28"/>
      <c r="AU224" s="28"/>
      <c r="AV224" s="24"/>
      <c r="AW224" s="28"/>
      <c r="AX224" s="28"/>
      <c r="AY224" s="28"/>
      <c r="AZ224" s="28"/>
      <c r="BA224" s="28"/>
      <c r="BB224" s="28"/>
      <c r="BC224" s="24"/>
      <c r="BD224" s="28"/>
      <c r="BE224" s="28"/>
      <c r="BF224" s="28"/>
      <c r="BG224" s="24"/>
      <c r="BH224" s="28"/>
      <c r="BI224" s="28"/>
      <c r="BJ224" s="28"/>
    </row>
    <row r="225" spans="1:62">
      <c r="A225" s="24"/>
      <c r="B225" s="28"/>
      <c r="C225" s="25"/>
      <c r="D225" s="26"/>
      <c r="E225" s="24"/>
      <c r="F225" s="24"/>
      <c r="G225" s="26"/>
      <c r="H225" s="26"/>
      <c r="I225" s="26"/>
      <c r="J225" s="26"/>
      <c r="K225" s="26"/>
      <c r="L225" s="26"/>
      <c r="M225" s="26"/>
      <c r="N225" s="26"/>
      <c r="P225" s="26"/>
      <c r="Q225" s="26"/>
      <c r="R225" s="25"/>
      <c r="S225" s="25"/>
      <c r="T225" s="25"/>
      <c r="U225" s="25"/>
      <c r="V225" s="24"/>
      <c r="W225" s="24"/>
      <c r="X225" s="24"/>
      <c r="Y225" s="26"/>
      <c r="Z225" s="26"/>
      <c r="AA225" s="24"/>
      <c r="AB225" s="24"/>
      <c r="AC225" s="24"/>
      <c r="AD225" s="24"/>
      <c r="AE225" s="26"/>
      <c r="AF225" s="26"/>
      <c r="AG225" s="24"/>
      <c r="AH225" s="24"/>
      <c r="AI225" s="28"/>
      <c r="AJ225" s="28"/>
      <c r="AK225" s="28"/>
      <c r="AL225" s="28"/>
      <c r="AM225" s="28"/>
      <c r="AN225" s="28"/>
      <c r="AO225" s="28"/>
      <c r="AP225" s="28"/>
      <c r="AQ225" s="28"/>
      <c r="AR225" s="28"/>
      <c r="AS225" s="28"/>
      <c r="AT225" s="28"/>
      <c r="AU225" s="28"/>
      <c r="AV225" s="24"/>
      <c r="AW225" s="28"/>
      <c r="AX225" s="28"/>
      <c r="AY225" s="28"/>
      <c r="AZ225" s="28"/>
      <c r="BA225" s="28"/>
      <c r="BB225" s="28"/>
      <c r="BC225" s="24"/>
      <c r="BD225" s="28"/>
      <c r="BE225" s="28"/>
      <c r="BF225" s="28"/>
      <c r="BG225" s="24"/>
      <c r="BH225" s="28"/>
      <c r="BI225" s="28"/>
      <c r="BJ225" s="28"/>
    </row>
    <row r="226" spans="1:62">
      <c r="A226" s="24"/>
      <c r="B226" s="28"/>
      <c r="C226" s="25"/>
      <c r="D226" s="26"/>
      <c r="E226" s="24"/>
      <c r="F226" s="24"/>
      <c r="G226" s="26"/>
      <c r="H226" s="26"/>
      <c r="I226" s="26"/>
      <c r="J226" s="26"/>
      <c r="K226" s="26"/>
      <c r="L226" s="26"/>
      <c r="M226" s="26"/>
      <c r="N226" s="26"/>
      <c r="P226" s="26"/>
      <c r="Q226" s="26"/>
      <c r="R226" s="25"/>
      <c r="S226" s="25"/>
      <c r="T226" s="25"/>
      <c r="U226" s="25"/>
      <c r="V226" s="24"/>
      <c r="W226" s="24"/>
      <c r="X226" s="24"/>
      <c r="Y226" s="26"/>
      <c r="Z226" s="26"/>
      <c r="AA226" s="24"/>
      <c r="AB226" s="24"/>
      <c r="AC226" s="24"/>
      <c r="AD226" s="24"/>
      <c r="AE226" s="26"/>
      <c r="AF226" s="26"/>
      <c r="AG226" s="24"/>
      <c r="AH226" s="24"/>
      <c r="AI226" s="28"/>
      <c r="AJ226" s="28"/>
      <c r="AK226" s="28"/>
      <c r="AL226" s="28"/>
      <c r="AM226" s="28"/>
      <c r="AN226" s="28"/>
      <c r="AO226" s="28"/>
      <c r="AP226" s="28"/>
      <c r="AQ226" s="28"/>
      <c r="AR226" s="28"/>
      <c r="AS226" s="28"/>
      <c r="AT226" s="28"/>
      <c r="AU226" s="28"/>
      <c r="AV226" s="24"/>
      <c r="AW226" s="28"/>
      <c r="AX226" s="28"/>
      <c r="AY226" s="28"/>
      <c r="AZ226" s="28"/>
      <c r="BA226" s="28"/>
      <c r="BB226" s="28"/>
      <c r="BC226" s="24"/>
      <c r="BD226" s="28"/>
      <c r="BE226" s="28"/>
      <c r="BF226" s="28"/>
      <c r="BG226" s="24"/>
      <c r="BH226" s="28"/>
      <c r="BI226" s="28"/>
      <c r="BJ226" s="28"/>
    </row>
    <row r="227" spans="1:62">
      <c r="A227" s="24"/>
      <c r="B227" s="28"/>
      <c r="C227" s="25"/>
      <c r="D227" s="26"/>
      <c r="E227" s="24"/>
      <c r="F227" s="24"/>
      <c r="G227" s="26"/>
      <c r="H227" s="26"/>
      <c r="I227" s="26"/>
      <c r="J227" s="26"/>
      <c r="K227" s="26"/>
      <c r="L227" s="26"/>
      <c r="M227" s="26"/>
      <c r="N227" s="26"/>
      <c r="P227" s="26"/>
      <c r="Q227" s="26"/>
      <c r="R227" s="25"/>
      <c r="S227" s="25"/>
      <c r="T227" s="25"/>
      <c r="U227" s="25"/>
      <c r="V227" s="24"/>
      <c r="W227" s="24"/>
      <c r="X227" s="24"/>
      <c r="Y227" s="26"/>
      <c r="Z227" s="26"/>
      <c r="AA227" s="24"/>
      <c r="AB227" s="24"/>
      <c r="AC227" s="24"/>
      <c r="AD227" s="24"/>
      <c r="AE227" s="26"/>
      <c r="AF227" s="26"/>
      <c r="AG227" s="24"/>
      <c r="AH227" s="24"/>
      <c r="AI227" s="28"/>
      <c r="AJ227" s="28"/>
      <c r="AK227" s="28"/>
      <c r="AL227" s="28"/>
      <c r="AM227" s="28"/>
      <c r="AN227" s="28"/>
      <c r="AO227" s="28"/>
      <c r="AP227" s="28"/>
      <c r="AQ227" s="28"/>
      <c r="AR227" s="28"/>
      <c r="AS227" s="28"/>
      <c r="AT227" s="28"/>
      <c r="AU227" s="28"/>
      <c r="AV227" s="24"/>
      <c r="AW227" s="28"/>
      <c r="AX227" s="28"/>
      <c r="AY227" s="28"/>
      <c r="AZ227" s="28"/>
      <c r="BA227" s="28"/>
      <c r="BB227" s="28"/>
      <c r="BC227" s="24"/>
      <c r="BD227" s="28"/>
      <c r="BE227" s="28"/>
      <c r="BF227" s="28"/>
      <c r="BG227" s="24"/>
      <c r="BH227" s="28"/>
      <c r="BI227" s="28"/>
      <c r="BJ227" s="28"/>
    </row>
    <row r="228" spans="1:62">
      <c r="A228" s="24"/>
      <c r="B228" s="28"/>
      <c r="C228" s="25"/>
      <c r="D228" s="26"/>
      <c r="E228" s="24"/>
      <c r="F228" s="24"/>
      <c r="G228" s="26"/>
      <c r="H228" s="26"/>
      <c r="I228" s="26"/>
      <c r="J228" s="26"/>
      <c r="K228" s="26"/>
      <c r="L228" s="26"/>
      <c r="M228" s="26"/>
      <c r="N228" s="26"/>
      <c r="P228" s="26"/>
      <c r="Q228" s="26"/>
      <c r="R228" s="25"/>
      <c r="S228" s="25"/>
      <c r="T228" s="25"/>
      <c r="U228" s="25"/>
      <c r="V228" s="24"/>
      <c r="W228" s="24"/>
      <c r="X228" s="24"/>
      <c r="Y228" s="26"/>
      <c r="Z228" s="26"/>
      <c r="AA228" s="24"/>
      <c r="AB228" s="24"/>
      <c r="AC228" s="24"/>
      <c r="AD228" s="24"/>
      <c r="AE228" s="26"/>
      <c r="AF228" s="26"/>
      <c r="AG228" s="24"/>
      <c r="AH228" s="24"/>
      <c r="AI228" s="28"/>
      <c r="AJ228" s="28"/>
      <c r="AK228" s="28"/>
      <c r="AL228" s="28"/>
      <c r="AM228" s="28"/>
      <c r="AN228" s="28"/>
      <c r="AO228" s="28"/>
      <c r="AP228" s="28"/>
      <c r="AQ228" s="28"/>
      <c r="AR228" s="28"/>
      <c r="AS228" s="28"/>
      <c r="AT228" s="28"/>
      <c r="AU228" s="28"/>
      <c r="AV228" s="24"/>
      <c r="AW228" s="28"/>
      <c r="AX228" s="28"/>
      <c r="AY228" s="28"/>
      <c r="AZ228" s="28"/>
      <c r="BA228" s="28"/>
      <c r="BB228" s="28"/>
      <c r="BC228" s="24"/>
      <c r="BD228" s="28"/>
      <c r="BE228" s="28"/>
      <c r="BF228" s="28"/>
      <c r="BG228" s="24"/>
      <c r="BH228" s="28"/>
      <c r="BI228" s="28"/>
      <c r="BJ228" s="28"/>
    </row>
    <row r="229" spans="1:62">
      <c r="A229" s="24"/>
      <c r="B229" s="28"/>
      <c r="C229" s="25"/>
      <c r="D229" s="26"/>
      <c r="E229" s="24"/>
      <c r="F229" s="24"/>
      <c r="G229" s="26"/>
      <c r="H229" s="26"/>
      <c r="I229" s="26"/>
      <c r="J229" s="26"/>
      <c r="K229" s="26"/>
      <c r="L229" s="26"/>
      <c r="M229" s="26"/>
      <c r="N229" s="26"/>
      <c r="P229" s="26"/>
      <c r="Q229" s="26"/>
      <c r="R229" s="25"/>
      <c r="S229" s="25"/>
      <c r="T229" s="25"/>
      <c r="U229" s="25"/>
      <c r="V229" s="24"/>
      <c r="W229" s="24"/>
      <c r="X229" s="24"/>
      <c r="Y229" s="26"/>
      <c r="Z229" s="26"/>
      <c r="AA229" s="24"/>
      <c r="AB229" s="24"/>
      <c r="AC229" s="24"/>
      <c r="AD229" s="24"/>
      <c r="AE229" s="26"/>
      <c r="AF229" s="26"/>
      <c r="AG229" s="24"/>
      <c r="AH229" s="24"/>
      <c r="AI229" s="28"/>
      <c r="AJ229" s="28"/>
      <c r="AK229" s="28"/>
      <c r="AL229" s="28"/>
      <c r="AM229" s="28"/>
      <c r="AN229" s="28"/>
      <c r="AO229" s="28"/>
      <c r="AP229" s="28"/>
      <c r="AQ229" s="28"/>
      <c r="AR229" s="28"/>
      <c r="AS229" s="28"/>
      <c r="AT229" s="28"/>
      <c r="AU229" s="28"/>
      <c r="AV229" s="24"/>
      <c r="AW229" s="28"/>
      <c r="AX229" s="28"/>
      <c r="AY229" s="28"/>
      <c r="AZ229" s="28"/>
      <c r="BA229" s="28"/>
      <c r="BB229" s="28"/>
      <c r="BC229" s="24"/>
      <c r="BD229" s="28"/>
      <c r="BE229" s="28"/>
      <c r="BF229" s="28"/>
      <c r="BG229" s="24"/>
      <c r="BH229" s="28"/>
      <c r="BI229" s="28"/>
      <c r="BJ229" s="28"/>
    </row>
    <row r="230" spans="1:62">
      <c r="A230" s="24"/>
      <c r="B230" s="28"/>
      <c r="C230" s="25"/>
      <c r="D230" s="26"/>
      <c r="E230" s="24"/>
      <c r="F230" s="24"/>
      <c r="G230" s="26"/>
      <c r="H230" s="26"/>
      <c r="I230" s="26"/>
      <c r="J230" s="26"/>
      <c r="K230" s="26"/>
      <c r="L230" s="26"/>
      <c r="M230" s="26"/>
      <c r="N230" s="26"/>
      <c r="P230" s="26"/>
      <c r="Q230" s="26"/>
      <c r="R230" s="25"/>
      <c r="S230" s="25"/>
      <c r="T230" s="25"/>
      <c r="U230" s="25"/>
      <c r="V230" s="24"/>
      <c r="W230" s="24"/>
      <c r="X230" s="24"/>
      <c r="Y230" s="26"/>
      <c r="Z230" s="26"/>
      <c r="AA230" s="24"/>
      <c r="AB230" s="24"/>
      <c r="AC230" s="24"/>
      <c r="AD230" s="24"/>
      <c r="AE230" s="26"/>
      <c r="AF230" s="26"/>
      <c r="AG230" s="24"/>
      <c r="AH230" s="24"/>
      <c r="AI230" s="28"/>
      <c r="AJ230" s="28"/>
      <c r="AK230" s="28"/>
      <c r="AL230" s="28"/>
      <c r="AM230" s="28"/>
      <c r="AN230" s="28"/>
      <c r="AO230" s="28"/>
      <c r="AP230" s="28"/>
      <c r="AQ230" s="28"/>
      <c r="AR230" s="28"/>
      <c r="AS230" s="28"/>
      <c r="AT230" s="28"/>
      <c r="AU230" s="28"/>
      <c r="AV230" s="24"/>
      <c r="AW230" s="28"/>
      <c r="AX230" s="28"/>
      <c r="AY230" s="28"/>
      <c r="AZ230" s="28"/>
      <c r="BA230" s="28"/>
      <c r="BB230" s="28"/>
      <c r="BC230" s="24"/>
      <c r="BD230" s="28"/>
      <c r="BE230" s="28"/>
      <c r="BF230" s="28"/>
      <c r="BG230" s="24"/>
      <c r="BH230" s="28"/>
      <c r="BI230" s="28"/>
      <c r="BJ230" s="28"/>
    </row>
    <row r="231" spans="1:62">
      <c r="A231" s="24"/>
      <c r="B231" s="28"/>
      <c r="C231" s="25"/>
      <c r="D231" s="26"/>
      <c r="E231" s="24"/>
      <c r="F231" s="24"/>
      <c r="G231" s="26"/>
      <c r="H231" s="26"/>
      <c r="I231" s="26"/>
      <c r="J231" s="26"/>
      <c r="K231" s="26"/>
      <c r="L231" s="26"/>
      <c r="M231" s="26"/>
      <c r="N231" s="26"/>
      <c r="P231" s="26"/>
      <c r="Q231" s="26"/>
      <c r="R231" s="25"/>
      <c r="S231" s="25"/>
      <c r="T231" s="25"/>
      <c r="U231" s="25"/>
      <c r="V231" s="24"/>
      <c r="W231" s="24"/>
      <c r="X231" s="24"/>
      <c r="Y231" s="26"/>
      <c r="Z231" s="26"/>
      <c r="AA231" s="24"/>
      <c r="AB231" s="24"/>
      <c r="AC231" s="24"/>
      <c r="AD231" s="24"/>
      <c r="AE231" s="26"/>
      <c r="AF231" s="26"/>
      <c r="AG231" s="24"/>
      <c r="AH231" s="24"/>
      <c r="AI231" s="28"/>
      <c r="AJ231" s="28"/>
      <c r="AK231" s="28"/>
      <c r="AL231" s="28"/>
      <c r="AM231" s="28"/>
      <c r="AN231" s="28"/>
      <c r="AO231" s="28"/>
      <c r="AP231" s="28"/>
      <c r="AQ231" s="28"/>
      <c r="AR231" s="28"/>
      <c r="AS231" s="28"/>
      <c r="AT231" s="28"/>
      <c r="AU231" s="28"/>
      <c r="AV231" s="24"/>
      <c r="AW231" s="28"/>
      <c r="AX231" s="28"/>
      <c r="AY231" s="28"/>
      <c r="AZ231" s="28"/>
      <c r="BA231" s="28"/>
      <c r="BB231" s="28"/>
      <c r="BC231" s="24"/>
      <c r="BD231" s="28"/>
      <c r="BE231" s="28"/>
      <c r="BF231" s="28"/>
      <c r="BG231" s="24"/>
      <c r="BH231" s="28"/>
      <c r="BI231" s="28"/>
      <c r="BJ231" s="28"/>
    </row>
    <row r="232" spans="1:62">
      <c r="A232" s="24"/>
      <c r="B232" s="28"/>
      <c r="C232" s="25"/>
      <c r="D232" s="26"/>
      <c r="E232" s="24"/>
      <c r="F232" s="24"/>
      <c r="G232" s="26"/>
      <c r="H232" s="26"/>
      <c r="I232" s="26"/>
      <c r="J232" s="26"/>
      <c r="K232" s="26"/>
      <c r="L232" s="26"/>
      <c r="M232" s="26"/>
      <c r="N232" s="26"/>
      <c r="P232" s="26"/>
      <c r="Q232" s="26"/>
      <c r="R232" s="25"/>
      <c r="S232" s="25"/>
      <c r="T232" s="25"/>
      <c r="U232" s="25"/>
      <c r="V232" s="24"/>
      <c r="W232" s="24"/>
      <c r="X232" s="24"/>
      <c r="Y232" s="26"/>
      <c r="Z232" s="26"/>
      <c r="AA232" s="24"/>
      <c r="AB232" s="24"/>
      <c r="AC232" s="24"/>
      <c r="AD232" s="24"/>
      <c r="AE232" s="26"/>
      <c r="AF232" s="26"/>
      <c r="AG232" s="24"/>
      <c r="AH232" s="24"/>
      <c r="AI232" s="28"/>
      <c r="AJ232" s="28"/>
      <c r="AK232" s="28"/>
      <c r="AL232" s="28"/>
      <c r="AM232" s="28"/>
      <c r="AN232" s="28"/>
      <c r="AO232" s="28"/>
      <c r="AP232" s="28"/>
      <c r="AQ232" s="28"/>
      <c r="AR232" s="28"/>
      <c r="AS232" s="28"/>
      <c r="AT232" s="28"/>
      <c r="AU232" s="28"/>
      <c r="AV232" s="24"/>
      <c r="AW232" s="28"/>
      <c r="AX232" s="28"/>
      <c r="AY232" s="28"/>
      <c r="AZ232" s="28"/>
      <c r="BA232" s="28"/>
      <c r="BB232" s="28"/>
      <c r="BC232" s="24"/>
      <c r="BD232" s="28"/>
      <c r="BE232" s="28"/>
      <c r="BF232" s="28"/>
      <c r="BG232" s="24"/>
      <c r="BH232" s="28"/>
      <c r="BI232" s="28"/>
      <c r="BJ232" s="28"/>
    </row>
    <row r="233" spans="1:62">
      <c r="A233" s="24"/>
      <c r="B233" s="28"/>
      <c r="C233" s="25"/>
      <c r="D233" s="26"/>
      <c r="E233" s="24"/>
      <c r="F233" s="24"/>
      <c r="G233" s="26"/>
      <c r="H233" s="26"/>
      <c r="I233" s="26"/>
      <c r="J233" s="26"/>
      <c r="K233" s="26"/>
      <c r="L233" s="26"/>
      <c r="M233" s="26"/>
      <c r="N233" s="26"/>
      <c r="P233" s="26"/>
      <c r="Q233" s="26"/>
      <c r="R233" s="25"/>
      <c r="S233" s="25"/>
      <c r="T233" s="25"/>
      <c r="U233" s="25"/>
      <c r="V233" s="24"/>
      <c r="W233" s="24"/>
      <c r="X233" s="24"/>
      <c r="Y233" s="26"/>
      <c r="Z233" s="26"/>
      <c r="AA233" s="24"/>
      <c r="AB233" s="24"/>
      <c r="AC233" s="24"/>
      <c r="AD233" s="24"/>
      <c r="AE233" s="26"/>
      <c r="AF233" s="26"/>
      <c r="AG233" s="24"/>
      <c r="AH233" s="24"/>
      <c r="AI233" s="28"/>
      <c r="AJ233" s="28"/>
      <c r="AK233" s="28"/>
      <c r="AL233" s="28"/>
      <c r="AM233" s="28"/>
      <c r="AN233" s="28"/>
      <c r="AO233" s="28"/>
      <c r="AP233" s="28"/>
      <c r="AQ233" s="28"/>
      <c r="AR233" s="28"/>
      <c r="AS233" s="28"/>
      <c r="AT233" s="28"/>
      <c r="AU233" s="28"/>
      <c r="AV233" s="24"/>
      <c r="AW233" s="28"/>
      <c r="AX233" s="28"/>
      <c r="AY233" s="28"/>
      <c r="AZ233" s="28"/>
      <c r="BA233" s="28"/>
      <c r="BB233" s="28"/>
      <c r="BC233" s="24"/>
      <c r="BD233" s="28"/>
      <c r="BE233" s="28"/>
      <c r="BF233" s="28"/>
      <c r="BG233" s="24"/>
      <c r="BH233" s="28"/>
      <c r="BI233" s="28"/>
      <c r="BJ233" s="28"/>
    </row>
    <row r="234" spans="1:62">
      <c r="A234" s="24"/>
      <c r="B234" s="28"/>
      <c r="C234" s="25"/>
      <c r="D234" s="26"/>
      <c r="E234" s="24"/>
      <c r="F234" s="24"/>
      <c r="G234" s="26"/>
      <c r="H234" s="26"/>
      <c r="I234" s="26"/>
      <c r="J234" s="26"/>
      <c r="K234" s="26"/>
      <c r="L234" s="26"/>
      <c r="M234" s="26"/>
      <c r="N234" s="26"/>
      <c r="P234" s="26"/>
      <c r="Q234" s="26"/>
      <c r="R234" s="25"/>
      <c r="S234" s="25"/>
      <c r="T234" s="25"/>
      <c r="U234" s="25"/>
      <c r="V234" s="24"/>
      <c r="W234" s="24"/>
      <c r="X234" s="24"/>
      <c r="Y234" s="26"/>
      <c r="Z234" s="26"/>
      <c r="AA234" s="24"/>
      <c r="AB234" s="24"/>
      <c r="AC234" s="24"/>
      <c r="AD234" s="24"/>
      <c r="AE234" s="26"/>
      <c r="AF234" s="26"/>
      <c r="AG234" s="24"/>
      <c r="AH234" s="24"/>
      <c r="AI234" s="28"/>
      <c r="AJ234" s="28"/>
      <c r="AK234" s="28"/>
      <c r="AL234" s="28"/>
      <c r="AM234" s="28"/>
      <c r="AN234" s="28"/>
      <c r="AO234" s="28"/>
      <c r="AP234" s="28"/>
      <c r="AQ234" s="28"/>
      <c r="AR234" s="28"/>
      <c r="AS234" s="28"/>
      <c r="AT234" s="28"/>
      <c r="AU234" s="28"/>
      <c r="AV234" s="24"/>
      <c r="AW234" s="28"/>
      <c r="AX234" s="28"/>
      <c r="AY234" s="28"/>
      <c r="AZ234" s="28"/>
      <c r="BA234" s="28"/>
      <c r="BB234" s="28"/>
      <c r="BC234" s="24"/>
      <c r="BD234" s="28"/>
      <c r="BE234" s="28"/>
      <c r="BF234" s="28"/>
      <c r="BG234" s="24"/>
      <c r="BH234" s="28"/>
      <c r="BI234" s="28"/>
      <c r="BJ234" s="28"/>
    </row>
    <row r="235" spans="1:62">
      <c r="A235" s="24"/>
      <c r="B235" s="28"/>
      <c r="C235" s="25"/>
      <c r="D235" s="26"/>
      <c r="E235" s="24"/>
      <c r="F235" s="24"/>
      <c r="G235" s="26"/>
      <c r="H235" s="26"/>
      <c r="I235" s="26"/>
      <c r="J235" s="26"/>
      <c r="K235" s="26"/>
      <c r="L235" s="26"/>
      <c r="M235" s="26"/>
      <c r="N235" s="26"/>
      <c r="P235" s="26"/>
      <c r="Q235" s="26"/>
      <c r="R235" s="25"/>
      <c r="S235" s="25"/>
      <c r="T235" s="25"/>
      <c r="U235" s="25"/>
      <c r="V235" s="24"/>
      <c r="W235" s="24"/>
      <c r="X235" s="24"/>
      <c r="Y235" s="26"/>
      <c r="Z235" s="26"/>
      <c r="AA235" s="24"/>
      <c r="AB235" s="24"/>
      <c r="AC235" s="24"/>
      <c r="AD235" s="24"/>
      <c r="AE235" s="26"/>
      <c r="AF235" s="26"/>
      <c r="AG235" s="24"/>
      <c r="AH235" s="24"/>
      <c r="AI235" s="28"/>
      <c r="AJ235" s="28"/>
      <c r="AK235" s="28"/>
      <c r="AL235" s="28"/>
      <c r="AM235" s="28"/>
      <c r="AN235" s="28"/>
      <c r="AO235" s="28"/>
      <c r="AP235" s="28"/>
      <c r="AQ235" s="28"/>
      <c r="AR235" s="28"/>
      <c r="AS235" s="28"/>
      <c r="AT235" s="28"/>
      <c r="AU235" s="28"/>
      <c r="AV235" s="24"/>
      <c r="AW235" s="28"/>
      <c r="AX235" s="28"/>
      <c r="AY235" s="28"/>
      <c r="AZ235" s="28"/>
      <c r="BA235" s="28"/>
      <c r="BB235" s="28"/>
      <c r="BC235" s="24"/>
      <c r="BD235" s="28"/>
      <c r="BE235" s="28"/>
      <c r="BF235" s="28"/>
      <c r="BG235" s="24"/>
      <c r="BH235" s="28"/>
      <c r="BI235" s="28"/>
      <c r="BJ235" s="28"/>
    </row>
    <row r="236" spans="1:62">
      <c r="A236" s="24"/>
      <c r="B236" s="28"/>
      <c r="C236" s="25"/>
      <c r="D236" s="26"/>
      <c r="E236" s="24"/>
      <c r="F236" s="24"/>
      <c r="G236" s="26"/>
      <c r="H236" s="26"/>
      <c r="I236" s="26"/>
      <c r="J236" s="26"/>
      <c r="K236" s="26"/>
      <c r="L236" s="26"/>
      <c r="M236" s="26"/>
      <c r="N236" s="26"/>
      <c r="P236" s="26"/>
      <c r="Q236" s="26"/>
      <c r="R236" s="25"/>
      <c r="S236" s="25"/>
      <c r="T236" s="25"/>
      <c r="U236" s="25"/>
      <c r="V236" s="24"/>
      <c r="W236" s="24"/>
      <c r="X236" s="24"/>
      <c r="Y236" s="26"/>
      <c r="Z236" s="26"/>
      <c r="AA236" s="24"/>
      <c r="AB236" s="24"/>
      <c r="AC236" s="24"/>
      <c r="AD236" s="24"/>
      <c r="AE236" s="26"/>
      <c r="AF236" s="26"/>
      <c r="AG236" s="24"/>
      <c r="AH236" s="24"/>
      <c r="AI236" s="28"/>
      <c r="AJ236" s="28"/>
      <c r="AK236" s="28"/>
      <c r="AL236" s="28"/>
      <c r="AM236" s="28"/>
      <c r="AN236" s="28"/>
      <c r="AO236" s="28"/>
      <c r="AP236" s="28"/>
      <c r="AQ236" s="28"/>
      <c r="AR236" s="28"/>
      <c r="AS236" s="28"/>
      <c r="AT236" s="28"/>
      <c r="AU236" s="28"/>
      <c r="AV236" s="24"/>
      <c r="AW236" s="28"/>
      <c r="AX236" s="28"/>
      <c r="AY236" s="28"/>
      <c r="AZ236" s="28"/>
      <c r="BA236" s="28"/>
      <c r="BB236" s="28"/>
      <c r="BC236" s="24"/>
      <c r="BD236" s="28"/>
      <c r="BE236" s="28"/>
      <c r="BF236" s="28"/>
      <c r="BG236" s="24"/>
      <c r="BH236" s="28"/>
      <c r="BI236" s="28"/>
      <c r="BJ236" s="28"/>
    </row>
    <row r="237" spans="1:62">
      <c r="A237" s="24"/>
      <c r="B237" s="28"/>
      <c r="C237" s="25"/>
      <c r="D237" s="26"/>
      <c r="E237" s="24"/>
      <c r="F237" s="24"/>
      <c r="G237" s="26"/>
      <c r="H237" s="26"/>
      <c r="I237" s="26"/>
      <c r="J237" s="26"/>
      <c r="K237" s="26"/>
      <c r="L237" s="26"/>
      <c r="M237" s="26"/>
      <c r="N237" s="26"/>
      <c r="P237" s="26"/>
      <c r="Q237" s="26"/>
      <c r="R237" s="25"/>
      <c r="S237" s="25"/>
      <c r="T237" s="25"/>
      <c r="U237" s="25"/>
      <c r="V237" s="24"/>
      <c r="W237" s="24"/>
      <c r="X237" s="24"/>
      <c r="Y237" s="26"/>
      <c r="Z237" s="26"/>
      <c r="AA237" s="24"/>
      <c r="AB237" s="24"/>
      <c r="AC237" s="24"/>
      <c r="AD237" s="24"/>
      <c r="AE237" s="26"/>
      <c r="AF237" s="26"/>
      <c r="AG237" s="24"/>
      <c r="AH237" s="24"/>
      <c r="AI237" s="28"/>
      <c r="AJ237" s="28"/>
      <c r="AK237" s="28"/>
      <c r="AL237" s="28"/>
      <c r="AM237" s="28"/>
      <c r="AN237" s="28"/>
      <c r="AO237" s="28"/>
      <c r="AP237" s="28"/>
      <c r="AQ237" s="28"/>
      <c r="AR237" s="28"/>
      <c r="AS237" s="28"/>
      <c r="AT237" s="28"/>
      <c r="AU237" s="28"/>
      <c r="AV237" s="24"/>
      <c r="AW237" s="28"/>
      <c r="AX237" s="28"/>
      <c r="AY237" s="28"/>
      <c r="AZ237" s="28"/>
      <c r="BA237" s="28"/>
      <c r="BB237" s="28"/>
      <c r="BC237" s="24"/>
      <c r="BD237" s="28"/>
      <c r="BE237" s="28"/>
      <c r="BF237" s="28"/>
      <c r="BG237" s="24"/>
      <c r="BH237" s="28"/>
      <c r="BI237" s="28"/>
      <c r="BJ237" s="28"/>
    </row>
    <row r="238" spans="1:62">
      <c r="A238" s="24"/>
      <c r="B238" s="28"/>
      <c r="C238" s="25"/>
      <c r="D238" s="26"/>
      <c r="E238" s="24"/>
      <c r="F238" s="24"/>
      <c r="G238" s="26"/>
      <c r="H238" s="26"/>
      <c r="I238" s="26"/>
      <c r="J238" s="26"/>
      <c r="K238" s="26"/>
      <c r="L238" s="26"/>
      <c r="M238" s="26"/>
      <c r="N238" s="26"/>
      <c r="P238" s="26"/>
      <c r="Q238" s="26"/>
      <c r="R238" s="25"/>
      <c r="S238" s="25"/>
      <c r="T238" s="25"/>
      <c r="U238" s="25"/>
      <c r="V238" s="24"/>
      <c r="W238" s="24"/>
      <c r="X238" s="24"/>
      <c r="Y238" s="26"/>
      <c r="Z238" s="26"/>
      <c r="AA238" s="24"/>
      <c r="AB238" s="24"/>
      <c r="AC238" s="24"/>
      <c r="AD238" s="24"/>
      <c r="AE238" s="26"/>
      <c r="AF238" s="26"/>
      <c r="AG238" s="24"/>
      <c r="AH238" s="24"/>
      <c r="AI238" s="28"/>
      <c r="AJ238" s="28"/>
      <c r="AK238" s="28"/>
      <c r="AL238" s="28"/>
      <c r="AM238" s="28"/>
      <c r="AN238" s="28"/>
      <c r="AO238" s="28"/>
      <c r="AP238" s="28"/>
      <c r="AQ238" s="28"/>
      <c r="AR238" s="28"/>
      <c r="AS238" s="28"/>
      <c r="AT238" s="28"/>
      <c r="AU238" s="28"/>
      <c r="AV238" s="24"/>
      <c r="AW238" s="28"/>
      <c r="AX238" s="28"/>
      <c r="AY238" s="28"/>
      <c r="AZ238" s="28"/>
      <c r="BA238" s="28"/>
      <c r="BB238" s="28"/>
      <c r="BC238" s="24"/>
      <c r="BD238" s="28"/>
      <c r="BE238" s="28"/>
      <c r="BF238" s="28"/>
      <c r="BG238" s="24"/>
      <c r="BH238" s="28"/>
      <c r="BI238" s="28"/>
      <c r="BJ238" s="28"/>
    </row>
    <row r="239" spans="1:62">
      <c r="A239" s="24"/>
      <c r="B239" s="28"/>
      <c r="C239" s="25"/>
      <c r="D239" s="26"/>
      <c r="E239" s="24"/>
      <c r="F239" s="24"/>
      <c r="G239" s="26"/>
      <c r="H239" s="26"/>
      <c r="I239" s="26"/>
      <c r="J239" s="26"/>
      <c r="K239" s="26"/>
      <c r="L239" s="26"/>
      <c r="M239" s="26"/>
      <c r="N239" s="26"/>
      <c r="P239" s="26"/>
      <c r="Q239" s="26"/>
      <c r="R239" s="25"/>
      <c r="S239" s="25"/>
      <c r="T239" s="25"/>
      <c r="U239" s="25"/>
      <c r="V239" s="24"/>
      <c r="W239" s="24"/>
      <c r="X239" s="24"/>
      <c r="Y239" s="26"/>
      <c r="Z239" s="26"/>
      <c r="AA239" s="24"/>
      <c r="AB239" s="24"/>
      <c r="AC239" s="24"/>
      <c r="AD239" s="24"/>
      <c r="AE239" s="26"/>
      <c r="AF239" s="26"/>
      <c r="AG239" s="24"/>
      <c r="AH239" s="24"/>
      <c r="AI239" s="28"/>
      <c r="AJ239" s="28"/>
      <c r="AK239" s="28"/>
      <c r="AL239" s="28"/>
      <c r="AM239" s="28"/>
      <c r="AN239" s="28"/>
      <c r="AO239" s="28"/>
      <c r="AP239" s="28"/>
      <c r="AQ239" s="28"/>
      <c r="AR239" s="28"/>
      <c r="AS239" s="28"/>
      <c r="AT239" s="28"/>
      <c r="AU239" s="28"/>
      <c r="AV239" s="24"/>
      <c r="AW239" s="28"/>
      <c r="AX239" s="28"/>
      <c r="AY239" s="28"/>
      <c r="AZ239" s="28"/>
      <c r="BA239" s="28"/>
      <c r="BB239" s="28"/>
      <c r="BC239" s="24"/>
      <c r="BD239" s="28"/>
      <c r="BE239" s="28"/>
      <c r="BF239" s="28"/>
      <c r="BG239" s="24"/>
      <c r="BH239" s="28"/>
      <c r="BI239" s="28"/>
      <c r="BJ239" s="28"/>
    </row>
    <row r="240" spans="1:62">
      <c r="A240" s="24"/>
      <c r="B240" s="28"/>
      <c r="C240" s="25"/>
      <c r="D240" s="26"/>
      <c r="E240" s="24"/>
      <c r="F240" s="24"/>
      <c r="G240" s="26"/>
      <c r="H240" s="26"/>
      <c r="I240" s="26"/>
      <c r="J240" s="26"/>
      <c r="K240" s="26"/>
      <c r="L240" s="26"/>
      <c r="M240" s="26"/>
      <c r="N240" s="26"/>
      <c r="P240" s="26"/>
      <c r="Q240" s="26"/>
      <c r="R240" s="25"/>
      <c r="S240" s="25"/>
      <c r="T240" s="25"/>
      <c r="U240" s="25"/>
      <c r="V240" s="24"/>
      <c r="W240" s="24"/>
      <c r="X240" s="24"/>
      <c r="Y240" s="26"/>
      <c r="Z240" s="26"/>
      <c r="AA240" s="24"/>
      <c r="AB240" s="24"/>
      <c r="AC240" s="24"/>
      <c r="AD240" s="24"/>
      <c r="AE240" s="26"/>
      <c r="AF240" s="26"/>
      <c r="AG240" s="24"/>
      <c r="AH240" s="24"/>
      <c r="AI240" s="28"/>
      <c r="AJ240" s="28"/>
      <c r="AK240" s="28"/>
      <c r="AL240" s="28"/>
      <c r="AM240" s="28"/>
      <c r="AN240" s="28"/>
      <c r="AO240" s="28"/>
      <c r="AP240" s="28"/>
      <c r="AQ240" s="28"/>
      <c r="AR240" s="28"/>
      <c r="AS240" s="28"/>
      <c r="AT240" s="28"/>
      <c r="AU240" s="28"/>
      <c r="AV240" s="24"/>
      <c r="AW240" s="28"/>
      <c r="AX240" s="28"/>
      <c r="AY240" s="28"/>
      <c r="AZ240" s="28"/>
      <c r="BA240" s="28"/>
      <c r="BB240" s="28"/>
      <c r="BC240" s="24"/>
      <c r="BD240" s="28"/>
      <c r="BE240" s="28"/>
      <c r="BF240" s="28"/>
      <c r="BG240" s="24"/>
      <c r="BH240" s="28"/>
      <c r="BI240" s="28"/>
      <c r="BJ240" s="28"/>
    </row>
    <row r="241" spans="1:62">
      <c r="A241" s="24"/>
      <c r="B241" s="28"/>
      <c r="C241" s="25"/>
      <c r="D241" s="26"/>
      <c r="E241" s="24"/>
      <c r="F241" s="24"/>
      <c r="G241" s="26"/>
      <c r="H241" s="26"/>
      <c r="I241" s="26"/>
      <c r="J241" s="26"/>
      <c r="K241" s="26"/>
      <c r="L241" s="26"/>
      <c r="M241" s="26"/>
      <c r="N241" s="26"/>
      <c r="P241" s="26"/>
      <c r="Q241" s="26"/>
      <c r="R241" s="25"/>
      <c r="S241" s="25"/>
      <c r="T241" s="25"/>
      <c r="U241" s="25"/>
      <c r="V241" s="24"/>
      <c r="W241" s="24"/>
      <c r="X241" s="24"/>
      <c r="Y241" s="26"/>
      <c r="Z241" s="26"/>
      <c r="AA241" s="24"/>
      <c r="AB241" s="24"/>
      <c r="AC241" s="24"/>
      <c r="AD241" s="24"/>
      <c r="AE241" s="26"/>
      <c r="AF241" s="26"/>
      <c r="AG241" s="24"/>
      <c r="AH241" s="24"/>
      <c r="AI241" s="28"/>
      <c r="AJ241" s="28"/>
      <c r="AK241" s="28"/>
      <c r="AL241" s="28"/>
      <c r="AM241" s="28"/>
      <c r="AN241" s="28"/>
      <c r="AO241" s="28"/>
      <c r="AP241" s="28"/>
      <c r="AQ241" s="28"/>
      <c r="AR241" s="28"/>
      <c r="AS241" s="28"/>
      <c r="AT241" s="28"/>
      <c r="AU241" s="28"/>
      <c r="AV241" s="24"/>
      <c r="AW241" s="28"/>
      <c r="AX241" s="28"/>
      <c r="AY241" s="28"/>
      <c r="AZ241" s="28"/>
      <c r="BA241" s="28"/>
      <c r="BB241" s="28"/>
      <c r="BC241" s="24"/>
      <c r="BD241" s="28"/>
      <c r="BE241" s="28"/>
      <c r="BF241" s="28"/>
      <c r="BG241" s="24"/>
      <c r="BH241" s="28"/>
      <c r="BI241" s="28"/>
      <c r="BJ241" s="28"/>
    </row>
    <row r="242" spans="1:62">
      <c r="A242" s="24"/>
      <c r="B242" s="28"/>
      <c r="C242" s="25"/>
      <c r="D242" s="26"/>
      <c r="E242" s="24"/>
      <c r="F242" s="24"/>
      <c r="G242" s="26"/>
      <c r="H242" s="26"/>
      <c r="I242" s="26"/>
      <c r="J242" s="26"/>
      <c r="K242" s="26"/>
      <c r="L242" s="26"/>
      <c r="M242" s="26"/>
      <c r="N242" s="26"/>
      <c r="P242" s="26"/>
      <c r="Q242" s="26"/>
      <c r="R242" s="25"/>
      <c r="S242" s="25"/>
      <c r="T242" s="25"/>
      <c r="U242" s="25"/>
      <c r="V242" s="24"/>
      <c r="W242" s="24"/>
      <c r="X242" s="24"/>
      <c r="Y242" s="26"/>
      <c r="Z242" s="26"/>
      <c r="AA242" s="24"/>
      <c r="AB242" s="24"/>
      <c r="AC242" s="24"/>
      <c r="AD242" s="24"/>
      <c r="AE242" s="26"/>
      <c r="AF242" s="26"/>
      <c r="AG242" s="24"/>
      <c r="AH242" s="24"/>
      <c r="AI242" s="28"/>
      <c r="AJ242" s="28"/>
      <c r="AK242" s="28"/>
      <c r="AL242" s="28"/>
      <c r="AM242" s="28"/>
      <c r="AN242" s="28"/>
      <c r="AO242" s="28"/>
      <c r="AP242" s="28"/>
      <c r="AQ242" s="28"/>
      <c r="AR242" s="28"/>
      <c r="AS242" s="28"/>
      <c r="AT242" s="28"/>
      <c r="AU242" s="28"/>
      <c r="AV242" s="24"/>
      <c r="AW242" s="28"/>
      <c r="AX242" s="28"/>
      <c r="AY242" s="28"/>
      <c r="AZ242" s="28"/>
      <c r="BA242" s="28"/>
      <c r="BB242" s="28"/>
      <c r="BC242" s="24"/>
      <c r="BD242" s="28"/>
      <c r="BE242" s="28"/>
      <c r="BF242" s="28"/>
      <c r="BG242" s="24"/>
      <c r="BH242" s="28"/>
      <c r="BI242" s="28"/>
      <c r="BJ242" s="28"/>
    </row>
    <row r="243" spans="1:62">
      <c r="A243" s="24"/>
      <c r="B243" s="28"/>
      <c r="C243" s="25"/>
      <c r="D243" s="26"/>
      <c r="E243" s="24"/>
      <c r="F243" s="24"/>
      <c r="G243" s="26"/>
      <c r="H243" s="26"/>
      <c r="I243" s="26"/>
      <c r="J243" s="26"/>
      <c r="K243" s="26"/>
      <c r="L243" s="26"/>
      <c r="M243" s="26"/>
      <c r="N243" s="26"/>
      <c r="P243" s="26"/>
      <c r="Q243" s="26"/>
      <c r="R243" s="25"/>
      <c r="S243" s="25"/>
      <c r="T243" s="25"/>
      <c r="U243" s="25"/>
      <c r="V243" s="24"/>
      <c r="W243" s="24"/>
      <c r="X243" s="24"/>
      <c r="Y243" s="26"/>
      <c r="Z243" s="26"/>
      <c r="AA243" s="24"/>
      <c r="AB243" s="24"/>
      <c r="AC243" s="24"/>
      <c r="AD243" s="24"/>
      <c r="AE243" s="26"/>
      <c r="AF243" s="26"/>
      <c r="AG243" s="24"/>
      <c r="AH243" s="24"/>
      <c r="AI243" s="28"/>
      <c r="AJ243" s="28"/>
      <c r="AK243" s="28"/>
      <c r="AL243" s="28"/>
      <c r="AM243" s="28"/>
      <c r="AN243" s="28"/>
      <c r="AO243" s="28"/>
      <c r="AP243" s="28"/>
      <c r="AQ243" s="28"/>
      <c r="AR243" s="28"/>
      <c r="AS243" s="28"/>
      <c r="AT243" s="28"/>
      <c r="AU243" s="28"/>
      <c r="AV243" s="24"/>
      <c r="AW243" s="28"/>
      <c r="AX243" s="28"/>
      <c r="AY243" s="28"/>
      <c r="AZ243" s="28"/>
      <c r="BA243" s="28"/>
      <c r="BB243" s="28"/>
      <c r="BC243" s="24"/>
      <c r="BD243" s="28"/>
      <c r="BE243" s="28"/>
      <c r="BF243" s="28"/>
      <c r="BG243" s="24"/>
      <c r="BH243" s="28"/>
      <c r="BI243" s="28"/>
      <c r="BJ243" s="28"/>
    </row>
    <row r="244" spans="1:62">
      <c r="A244" s="24"/>
      <c r="B244" s="28"/>
      <c r="C244" s="25"/>
      <c r="D244" s="26"/>
      <c r="E244" s="24"/>
      <c r="F244" s="24"/>
      <c r="G244" s="26"/>
      <c r="H244" s="26"/>
      <c r="I244" s="26"/>
      <c r="J244" s="26"/>
      <c r="K244" s="26"/>
      <c r="L244" s="26"/>
      <c r="M244" s="26"/>
      <c r="N244" s="26"/>
      <c r="P244" s="26"/>
      <c r="Q244" s="26"/>
      <c r="R244" s="25"/>
      <c r="S244" s="25"/>
      <c r="T244" s="25"/>
      <c r="U244" s="25"/>
      <c r="V244" s="24"/>
      <c r="W244" s="24"/>
      <c r="X244" s="24"/>
      <c r="Y244" s="26"/>
      <c r="Z244" s="26"/>
      <c r="AA244" s="24"/>
      <c r="AB244" s="24"/>
      <c r="AC244" s="24"/>
      <c r="AD244" s="24"/>
      <c r="AE244" s="26"/>
      <c r="AF244" s="26"/>
      <c r="AG244" s="24"/>
      <c r="AH244" s="24"/>
      <c r="AI244" s="28"/>
      <c r="AJ244" s="28"/>
      <c r="AK244" s="28"/>
      <c r="AL244" s="28"/>
      <c r="AM244" s="28"/>
      <c r="AN244" s="28"/>
      <c r="AO244" s="28"/>
      <c r="AP244" s="28"/>
      <c r="AQ244" s="28"/>
      <c r="AR244" s="28"/>
      <c r="AS244" s="28"/>
      <c r="AT244" s="28"/>
      <c r="AU244" s="28"/>
      <c r="AV244" s="24"/>
      <c r="AW244" s="28"/>
      <c r="AX244" s="28"/>
      <c r="AY244" s="28"/>
      <c r="AZ244" s="28"/>
      <c r="BA244" s="28"/>
      <c r="BB244" s="28"/>
      <c r="BC244" s="24"/>
      <c r="BD244" s="28"/>
      <c r="BE244" s="28"/>
      <c r="BF244" s="28"/>
      <c r="BG244" s="24"/>
      <c r="BH244" s="28"/>
      <c r="BI244" s="28"/>
      <c r="BJ244" s="28"/>
    </row>
    <row r="245" spans="1:62">
      <c r="A245" s="24"/>
      <c r="B245" s="28"/>
      <c r="C245" s="25"/>
      <c r="D245" s="26"/>
      <c r="E245" s="24"/>
      <c r="F245" s="24"/>
      <c r="G245" s="26"/>
      <c r="H245" s="26"/>
      <c r="I245" s="26"/>
      <c r="J245" s="26"/>
      <c r="K245" s="26"/>
      <c r="L245" s="26"/>
      <c r="M245" s="26"/>
      <c r="N245" s="26"/>
      <c r="P245" s="26"/>
      <c r="Q245" s="26"/>
      <c r="R245" s="25"/>
      <c r="S245" s="25"/>
      <c r="T245" s="25"/>
      <c r="U245" s="25"/>
      <c r="V245" s="24"/>
      <c r="W245" s="24"/>
      <c r="X245" s="24"/>
      <c r="Y245" s="26"/>
      <c r="Z245" s="26"/>
      <c r="AA245" s="24"/>
      <c r="AB245" s="24"/>
      <c r="AC245" s="24"/>
      <c r="AD245" s="24"/>
      <c r="AE245" s="26"/>
      <c r="AF245" s="26"/>
      <c r="AG245" s="24"/>
      <c r="AH245" s="24"/>
      <c r="AI245" s="28"/>
      <c r="AJ245" s="28"/>
      <c r="AK245" s="28"/>
      <c r="AL245" s="28"/>
      <c r="AM245" s="28"/>
      <c r="AN245" s="28"/>
      <c r="AO245" s="28"/>
      <c r="AP245" s="28"/>
      <c r="AQ245" s="28"/>
      <c r="AR245" s="28"/>
      <c r="AS245" s="28"/>
      <c r="AT245" s="28"/>
      <c r="AU245" s="28"/>
      <c r="AV245" s="24"/>
      <c r="AW245" s="28"/>
      <c r="AX245" s="28"/>
      <c r="AY245" s="28"/>
      <c r="AZ245" s="28"/>
      <c r="BA245" s="28"/>
      <c r="BB245" s="28"/>
      <c r="BC245" s="24"/>
      <c r="BD245" s="28"/>
      <c r="BE245" s="28"/>
      <c r="BF245" s="28"/>
      <c r="BG245" s="24"/>
      <c r="BH245" s="28"/>
      <c r="BI245" s="28"/>
      <c r="BJ245" s="28"/>
    </row>
    <row r="246" spans="1:62">
      <c r="A246" s="24"/>
      <c r="B246" s="28"/>
      <c r="C246" s="25"/>
      <c r="D246" s="26"/>
      <c r="E246" s="24"/>
      <c r="F246" s="24"/>
      <c r="G246" s="26"/>
      <c r="H246" s="26"/>
      <c r="I246" s="26"/>
      <c r="J246" s="26"/>
      <c r="K246" s="26"/>
      <c r="L246" s="26"/>
      <c r="M246" s="26"/>
      <c r="N246" s="26"/>
      <c r="P246" s="26"/>
      <c r="Q246" s="26"/>
      <c r="R246" s="25"/>
      <c r="S246" s="25"/>
      <c r="T246" s="25"/>
      <c r="U246" s="25"/>
      <c r="V246" s="24"/>
      <c r="W246" s="24"/>
      <c r="X246" s="24"/>
      <c r="Y246" s="26"/>
      <c r="Z246" s="26"/>
      <c r="AA246" s="24"/>
      <c r="AB246" s="24"/>
      <c r="AC246" s="24"/>
      <c r="AD246" s="24"/>
      <c r="AE246" s="26"/>
      <c r="AF246" s="26"/>
      <c r="AG246" s="24"/>
      <c r="AH246" s="24"/>
      <c r="AI246" s="28"/>
      <c r="AJ246" s="28"/>
      <c r="AK246" s="28"/>
      <c r="AL246" s="28"/>
      <c r="AM246" s="28"/>
      <c r="AN246" s="28"/>
      <c r="AO246" s="28"/>
      <c r="AP246" s="28"/>
      <c r="AQ246" s="28"/>
      <c r="AR246" s="28"/>
      <c r="AS246" s="28"/>
      <c r="AT246" s="28"/>
      <c r="AU246" s="28"/>
      <c r="AV246" s="24"/>
      <c r="AW246" s="28"/>
      <c r="AX246" s="28"/>
      <c r="AY246" s="28"/>
      <c r="AZ246" s="28"/>
      <c r="BA246" s="28"/>
      <c r="BB246" s="28"/>
      <c r="BC246" s="24"/>
      <c r="BD246" s="28"/>
      <c r="BE246" s="28"/>
      <c r="BF246" s="28"/>
      <c r="BG246" s="24"/>
      <c r="BH246" s="28"/>
      <c r="BI246" s="28"/>
      <c r="BJ246" s="28"/>
    </row>
    <row r="247" spans="1:62">
      <c r="A247" s="24"/>
      <c r="B247" s="28"/>
      <c r="C247" s="25"/>
      <c r="D247" s="26"/>
      <c r="E247" s="24"/>
      <c r="F247" s="24"/>
      <c r="G247" s="26"/>
      <c r="H247" s="26"/>
      <c r="I247" s="26"/>
      <c r="J247" s="26"/>
      <c r="K247" s="26"/>
      <c r="L247" s="26"/>
      <c r="M247" s="26"/>
      <c r="N247" s="26"/>
      <c r="P247" s="26"/>
      <c r="Q247" s="26"/>
      <c r="R247" s="25"/>
      <c r="S247" s="25"/>
      <c r="T247" s="25"/>
      <c r="U247" s="25"/>
      <c r="V247" s="24"/>
      <c r="W247" s="24"/>
      <c r="X247" s="24"/>
      <c r="Y247" s="26"/>
      <c r="Z247" s="26"/>
      <c r="AA247" s="24"/>
      <c r="AB247" s="24"/>
      <c r="AC247" s="24"/>
      <c r="AD247" s="24"/>
      <c r="AE247" s="26"/>
      <c r="AF247" s="26"/>
      <c r="AG247" s="24"/>
      <c r="AH247" s="24"/>
      <c r="AI247" s="28"/>
      <c r="AJ247" s="28"/>
      <c r="AK247" s="28"/>
      <c r="AL247" s="28"/>
      <c r="AM247" s="28"/>
      <c r="AN247" s="28"/>
      <c r="AO247" s="28"/>
      <c r="AP247" s="28"/>
      <c r="AQ247" s="28"/>
      <c r="AR247" s="28"/>
      <c r="AS247" s="28"/>
      <c r="AT247" s="28"/>
      <c r="AU247" s="28"/>
      <c r="AV247" s="24"/>
      <c r="AW247" s="28"/>
      <c r="AX247" s="28"/>
      <c r="AY247" s="28"/>
      <c r="AZ247" s="28"/>
      <c r="BA247" s="28"/>
      <c r="BB247" s="28"/>
      <c r="BC247" s="24"/>
      <c r="BD247" s="28"/>
      <c r="BE247" s="28"/>
      <c r="BF247" s="28"/>
      <c r="BG247" s="24"/>
      <c r="BH247" s="28"/>
      <c r="BI247" s="28"/>
      <c r="BJ247" s="28"/>
    </row>
    <row r="248" spans="1:62">
      <c r="A248" s="24"/>
      <c r="B248" s="28"/>
      <c r="C248" s="25"/>
      <c r="D248" s="26"/>
      <c r="E248" s="24"/>
      <c r="F248" s="24"/>
      <c r="G248" s="26"/>
      <c r="H248" s="26"/>
      <c r="I248" s="26"/>
      <c r="J248" s="26"/>
      <c r="K248" s="26"/>
      <c r="L248" s="26"/>
      <c r="M248" s="26"/>
      <c r="N248" s="26"/>
      <c r="P248" s="26"/>
      <c r="Q248" s="26"/>
      <c r="R248" s="25"/>
      <c r="S248" s="25"/>
      <c r="T248" s="25"/>
      <c r="U248" s="25"/>
      <c r="V248" s="24"/>
      <c r="W248" s="24"/>
      <c r="X248" s="24"/>
      <c r="Y248" s="26"/>
      <c r="Z248" s="26"/>
      <c r="AA248" s="24"/>
      <c r="AB248" s="24"/>
      <c r="AC248" s="24"/>
      <c r="AD248" s="24"/>
      <c r="AE248" s="26"/>
      <c r="AF248" s="26"/>
      <c r="AG248" s="24"/>
      <c r="AH248" s="24"/>
      <c r="AI248" s="28"/>
      <c r="AJ248" s="28"/>
      <c r="AK248" s="28"/>
      <c r="AL248" s="28"/>
      <c r="AM248" s="28"/>
      <c r="AN248" s="28"/>
      <c r="AO248" s="28"/>
      <c r="AP248" s="28"/>
      <c r="AQ248" s="28"/>
      <c r="AR248" s="28"/>
      <c r="AS248" s="28"/>
      <c r="AT248" s="28"/>
      <c r="AU248" s="28"/>
      <c r="AV248" s="24"/>
      <c r="AW248" s="28"/>
      <c r="AX248" s="28"/>
      <c r="AY248" s="28"/>
      <c r="AZ248" s="28"/>
      <c r="BA248" s="28"/>
      <c r="BB248" s="28"/>
      <c r="BC248" s="24"/>
      <c r="BD248" s="28"/>
      <c r="BE248" s="28"/>
      <c r="BF248" s="28"/>
      <c r="BG248" s="24"/>
      <c r="BH248" s="28"/>
      <c r="BI248" s="28"/>
      <c r="BJ248" s="28"/>
    </row>
    <row r="249" spans="1:62">
      <c r="A249" s="24"/>
      <c r="B249" s="28"/>
      <c r="C249" s="25"/>
      <c r="D249" s="26"/>
      <c r="E249" s="24"/>
      <c r="F249" s="24"/>
      <c r="G249" s="26"/>
      <c r="H249" s="26"/>
      <c r="I249" s="26"/>
      <c r="J249" s="26"/>
      <c r="K249" s="26"/>
      <c r="L249" s="26"/>
      <c r="M249" s="26"/>
      <c r="N249" s="26"/>
      <c r="P249" s="26"/>
      <c r="Q249" s="26"/>
      <c r="R249" s="25"/>
      <c r="S249" s="25"/>
      <c r="T249" s="25"/>
      <c r="U249" s="25"/>
      <c r="V249" s="24"/>
      <c r="W249" s="24"/>
      <c r="X249" s="24"/>
      <c r="Y249" s="26"/>
      <c r="Z249" s="26"/>
      <c r="AA249" s="24"/>
      <c r="AB249" s="24"/>
      <c r="AC249" s="24"/>
      <c r="AD249" s="24"/>
      <c r="AE249" s="26"/>
      <c r="AF249" s="26"/>
      <c r="AG249" s="24"/>
      <c r="AH249" s="24"/>
      <c r="AI249" s="28"/>
      <c r="AJ249" s="28"/>
      <c r="AK249" s="28"/>
      <c r="AL249" s="28"/>
      <c r="AM249" s="28"/>
      <c r="AN249" s="28"/>
      <c r="AO249" s="28"/>
      <c r="AP249" s="28"/>
      <c r="AQ249" s="28"/>
      <c r="AR249" s="28"/>
      <c r="AS249" s="28"/>
      <c r="AT249" s="28"/>
      <c r="AU249" s="28"/>
      <c r="AV249" s="24"/>
      <c r="AW249" s="28"/>
      <c r="AX249" s="28"/>
      <c r="AY249" s="28"/>
      <c r="AZ249" s="28"/>
      <c r="BA249" s="28"/>
      <c r="BB249" s="28"/>
      <c r="BC249" s="24"/>
      <c r="BD249" s="28"/>
      <c r="BE249" s="28"/>
      <c r="BF249" s="28"/>
      <c r="BG249" s="24"/>
      <c r="BH249" s="28"/>
      <c r="BI249" s="28"/>
      <c r="BJ249" s="28"/>
    </row>
    <row r="250" spans="1:62">
      <c r="A250" s="24"/>
      <c r="B250" s="28"/>
      <c r="C250" s="25"/>
      <c r="D250" s="26"/>
      <c r="E250" s="24"/>
      <c r="F250" s="24"/>
      <c r="G250" s="26"/>
      <c r="H250" s="26"/>
      <c r="I250" s="26"/>
      <c r="J250" s="26"/>
      <c r="K250" s="26"/>
      <c r="L250" s="26"/>
      <c r="M250" s="26"/>
      <c r="N250" s="26"/>
      <c r="P250" s="26"/>
      <c r="Q250" s="26"/>
      <c r="R250" s="25"/>
      <c r="S250" s="25"/>
      <c r="T250" s="25"/>
      <c r="U250" s="25"/>
      <c r="V250" s="24"/>
      <c r="W250" s="24"/>
      <c r="X250" s="24"/>
      <c r="Y250" s="26"/>
      <c r="Z250" s="26"/>
      <c r="AA250" s="24"/>
      <c r="AB250" s="24"/>
      <c r="AC250" s="24"/>
      <c r="AD250" s="24"/>
      <c r="AE250" s="26"/>
      <c r="AF250" s="26"/>
      <c r="AG250" s="24"/>
      <c r="AH250" s="24"/>
      <c r="AI250" s="28"/>
      <c r="AJ250" s="28"/>
      <c r="AK250" s="28"/>
      <c r="AL250" s="28"/>
      <c r="AM250" s="28"/>
      <c r="AN250" s="28"/>
      <c r="AO250" s="28"/>
      <c r="AP250" s="28"/>
      <c r="AQ250" s="28"/>
      <c r="AR250" s="28"/>
      <c r="AS250" s="28"/>
      <c r="AT250" s="28"/>
      <c r="AU250" s="28"/>
      <c r="AV250" s="24"/>
      <c r="AW250" s="28"/>
      <c r="AX250" s="28"/>
      <c r="AY250" s="28"/>
      <c r="AZ250" s="28"/>
      <c r="BA250" s="28"/>
      <c r="BB250" s="28"/>
      <c r="BC250" s="24"/>
      <c r="BD250" s="28"/>
      <c r="BE250" s="28"/>
      <c r="BF250" s="28"/>
      <c r="BG250" s="24"/>
      <c r="BH250" s="28"/>
      <c r="BI250" s="28"/>
      <c r="BJ250" s="28"/>
    </row>
    <row r="251" spans="1:62">
      <c r="A251" s="24"/>
      <c r="B251" s="28"/>
      <c r="C251" s="25"/>
      <c r="D251" s="26"/>
      <c r="E251" s="24"/>
      <c r="F251" s="24"/>
      <c r="G251" s="26"/>
      <c r="H251" s="26"/>
      <c r="I251" s="26"/>
      <c r="J251" s="26"/>
      <c r="K251" s="26"/>
      <c r="L251" s="26"/>
      <c r="M251" s="26"/>
      <c r="N251" s="26"/>
      <c r="P251" s="26"/>
      <c r="Q251" s="26"/>
      <c r="R251" s="25"/>
      <c r="S251" s="25"/>
      <c r="T251" s="25"/>
      <c r="U251" s="25"/>
      <c r="V251" s="24"/>
      <c r="W251" s="24"/>
      <c r="X251" s="24"/>
      <c r="Y251" s="26"/>
      <c r="Z251" s="26"/>
      <c r="AA251" s="24"/>
      <c r="AB251" s="24"/>
      <c r="AC251" s="24"/>
      <c r="AD251" s="24"/>
      <c r="AE251" s="26"/>
      <c r="AF251" s="26"/>
      <c r="AG251" s="24"/>
      <c r="AH251" s="24"/>
      <c r="AI251" s="28"/>
      <c r="AJ251" s="28"/>
      <c r="AK251" s="28"/>
      <c r="AL251" s="28"/>
      <c r="AM251" s="28"/>
      <c r="AN251" s="28"/>
      <c r="AO251" s="28"/>
      <c r="AP251" s="28"/>
      <c r="AQ251" s="28"/>
      <c r="AR251" s="28"/>
      <c r="AS251" s="28"/>
      <c r="AT251" s="28"/>
      <c r="AU251" s="28"/>
      <c r="AV251" s="24"/>
      <c r="AW251" s="28"/>
      <c r="AX251" s="28"/>
      <c r="AY251" s="28"/>
      <c r="AZ251" s="28"/>
      <c r="BA251" s="28"/>
      <c r="BB251" s="28"/>
      <c r="BC251" s="24"/>
      <c r="BD251" s="28"/>
      <c r="BE251" s="28"/>
      <c r="BF251" s="28"/>
      <c r="BG251" s="24"/>
      <c r="BH251" s="28"/>
      <c r="BI251" s="28"/>
      <c r="BJ251" s="28"/>
    </row>
    <row r="252" spans="1:62">
      <c r="A252" s="24"/>
      <c r="B252" s="28"/>
      <c r="C252" s="25"/>
      <c r="D252" s="26"/>
      <c r="E252" s="24"/>
      <c r="F252" s="24"/>
      <c r="G252" s="26"/>
      <c r="H252" s="26"/>
      <c r="I252" s="26"/>
      <c r="J252" s="26"/>
      <c r="K252" s="26"/>
      <c r="L252" s="26"/>
      <c r="M252" s="26"/>
      <c r="N252" s="26"/>
      <c r="P252" s="26"/>
      <c r="Q252" s="26"/>
      <c r="R252" s="25"/>
      <c r="S252" s="25"/>
      <c r="T252" s="25"/>
      <c r="U252" s="25"/>
      <c r="V252" s="24"/>
      <c r="W252" s="24"/>
      <c r="X252" s="24"/>
      <c r="Y252" s="26"/>
      <c r="Z252" s="26"/>
      <c r="AA252" s="24"/>
      <c r="AB252" s="24"/>
      <c r="AC252" s="24"/>
      <c r="AD252" s="24"/>
      <c r="AE252" s="26"/>
      <c r="AF252" s="26"/>
      <c r="AG252" s="24"/>
      <c r="AH252" s="24"/>
      <c r="AI252" s="28"/>
      <c r="AJ252" s="28"/>
      <c r="AK252" s="28"/>
      <c r="AL252" s="28"/>
      <c r="AM252" s="28"/>
      <c r="AN252" s="28"/>
      <c r="AO252" s="28"/>
      <c r="AP252" s="28"/>
      <c r="AQ252" s="28"/>
      <c r="AR252" s="28"/>
      <c r="AS252" s="28"/>
      <c r="AT252" s="28"/>
      <c r="AU252" s="28"/>
      <c r="AV252" s="24"/>
      <c r="AW252" s="28"/>
      <c r="AX252" s="28"/>
      <c r="AY252" s="28"/>
      <c r="AZ252" s="28"/>
      <c r="BA252" s="28"/>
      <c r="BB252" s="28"/>
      <c r="BC252" s="24"/>
      <c r="BD252" s="28"/>
      <c r="BE252" s="28"/>
      <c r="BF252" s="28"/>
      <c r="BG252" s="24"/>
      <c r="BH252" s="28"/>
      <c r="BI252" s="28"/>
      <c r="BJ252" s="28"/>
    </row>
    <row r="253" spans="1:62">
      <c r="A253" s="24"/>
      <c r="B253" s="28"/>
      <c r="C253" s="25"/>
      <c r="D253" s="26"/>
      <c r="E253" s="24"/>
      <c r="F253" s="24"/>
      <c r="G253" s="26"/>
      <c r="H253" s="26"/>
      <c r="I253" s="26"/>
      <c r="J253" s="26"/>
      <c r="K253" s="26"/>
      <c r="L253" s="26"/>
      <c r="M253" s="26"/>
      <c r="N253" s="26"/>
      <c r="P253" s="26"/>
      <c r="Q253" s="26"/>
      <c r="R253" s="25"/>
      <c r="S253" s="25"/>
      <c r="T253" s="25"/>
      <c r="U253" s="25"/>
      <c r="V253" s="24"/>
      <c r="W253" s="24"/>
      <c r="X253" s="24"/>
      <c r="Y253" s="26"/>
      <c r="Z253" s="26"/>
      <c r="AA253" s="24"/>
      <c r="AB253" s="24"/>
      <c r="AC253" s="24"/>
      <c r="AD253" s="24"/>
      <c r="AE253" s="26"/>
      <c r="AF253" s="26"/>
      <c r="AG253" s="24"/>
      <c r="AH253" s="24"/>
      <c r="AI253" s="28"/>
      <c r="AJ253" s="28"/>
      <c r="AK253" s="28"/>
      <c r="AL253" s="28"/>
      <c r="AM253" s="28"/>
      <c r="AN253" s="28"/>
      <c r="AO253" s="28"/>
      <c r="AP253" s="28"/>
      <c r="AQ253" s="28"/>
      <c r="AR253" s="28"/>
      <c r="AS253" s="28"/>
      <c r="AT253" s="28"/>
      <c r="AU253" s="28"/>
      <c r="AV253" s="24"/>
      <c r="AW253" s="28"/>
      <c r="AX253" s="28"/>
      <c r="AY253" s="28"/>
      <c r="AZ253" s="28"/>
      <c r="BA253" s="28"/>
      <c r="BB253" s="28"/>
      <c r="BC253" s="24"/>
      <c r="BD253" s="28"/>
      <c r="BE253" s="28"/>
      <c r="BF253" s="28"/>
      <c r="BG253" s="24"/>
      <c r="BH253" s="28"/>
      <c r="BI253" s="28"/>
      <c r="BJ253" s="28"/>
    </row>
    <row r="254" spans="1:62">
      <c r="A254" s="24"/>
      <c r="B254" s="28"/>
      <c r="C254" s="25"/>
      <c r="D254" s="26"/>
      <c r="E254" s="24"/>
      <c r="F254" s="24"/>
      <c r="G254" s="26"/>
      <c r="H254" s="26"/>
      <c r="I254" s="26"/>
      <c r="J254" s="26"/>
      <c r="K254" s="26"/>
      <c r="L254" s="26"/>
      <c r="M254" s="26"/>
      <c r="N254" s="26"/>
      <c r="P254" s="26"/>
      <c r="Q254" s="26"/>
      <c r="R254" s="25"/>
      <c r="S254" s="25"/>
      <c r="T254" s="25"/>
      <c r="U254" s="25"/>
      <c r="V254" s="24"/>
      <c r="W254" s="24"/>
      <c r="X254" s="24"/>
      <c r="Y254" s="26"/>
      <c r="Z254" s="26"/>
      <c r="AA254" s="24"/>
      <c r="AB254" s="24"/>
      <c r="AC254" s="24"/>
      <c r="AD254" s="24"/>
      <c r="AE254" s="26"/>
      <c r="AF254" s="26"/>
      <c r="AG254" s="24"/>
      <c r="AH254" s="24"/>
      <c r="AI254" s="28"/>
      <c r="AJ254" s="28"/>
      <c r="AK254" s="28"/>
      <c r="AL254" s="28"/>
      <c r="AM254" s="28"/>
      <c r="AN254" s="28"/>
      <c r="AO254" s="28"/>
      <c r="AP254" s="28"/>
      <c r="AQ254" s="28"/>
      <c r="AR254" s="28"/>
      <c r="AS254" s="28"/>
      <c r="AT254" s="28"/>
      <c r="AU254" s="28"/>
      <c r="AV254" s="24"/>
      <c r="AW254" s="28"/>
      <c r="AX254" s="28"/>
      <c r="AY254" s="28"/>
      <c r="AZ254" s="28"/>
      <c r="BA254" s="28"/>
      <c r="BB254" s="28"/>
      <c r="BC254" s="24"/>
      <c r="BD254" s="28"/>
      <c r="BE254" s="28"/>
      <c r="BF254" s="28"/>
      <c r="BG254" s="24"/>
      <c r="BH254" s="28"/>
      <c r="BI254" s="28"/>
      <c r="BJ254" s="28"/>
    </row>
    <row r="255" spans="1:62">
      <c r="A255" s="24"/>
      <c r="B255" s="28"/>
      <c r="C255" s="25"/>
      <c r="D255" s="26"/>
      <c r="E255" s="24"/>
      <c r="F255" s="24"/>
      <c r="G255" s="26"/>
      <c r="H255" s="26"/>
      <c r="I255" s="26"/>
      <c r="J255" s="26"/>
      <c r="K255" s="26"/>
      <c r="L255" s="26"/>
      <c r="M255" s="26"/>
      <c r="N255" s="26"/>
      <c r="P255" s="26"/>
      <c r="Q255" s="26"/>
      <c r="R255" s="25"/>
      <c r="S255" s="25"/>
      <c r="T255" s="25"/>
      <c r="U255" s="25"/>
      <c r="V255" s="24"/>
      <c r="W255" s="24"/>
      <c r="X255" s="24"/>
      <c r="Y255" s="26"/>
      <c r="Z255" s="26"/>
      <c r="AA255" s="24"/>
      <c r="AB255" s="24"/>
      <c r="AC255" s="24"/>
      <c r="AD255" s="24"/>
      <c r="AE255" s="26"/>
      <c r="AF255" s="26"/>
      <c r="AG255" s="24"/>
      <c r="AH255" s="24"/>
      <c r="AI255" s="28"/>
      <c r="AJ255" s="28"/>
      <c r="AK255" s="28"/>
      <c r="AL255" s="28"/>
      <c r="AM255" s="28"/>
      <c r="AN255" s="28"/>
      <c r="AO255" s="28"/>
      <c r="AP255" s="28"/>
      <c r="AQ255" s="28"/>
      <c r="AR255" s="28"/>
      <c r="AS255" s="28"/>
      <c r="AT255" s="28"/>
      <c r="AU255" s="28"/>
      <c r="AV255" s="24"/>
      <c r="AW255" s="28"/>
      <c r="AX255" s="28"/>
      <c r="AY255" s="28"/>
      <c r="AZ255" s="28"/>
      <c r="BA255" s="28"/>
      <c r="BB255" s="28"/>
      <c r="BC255" s="24"/>
      <c r="BD255" s="28"/>
      <c r="BE255" s="28"/>
      <c r="BF255" s="28"/>
      <c r="BG255" s="24"/>
      <c r="BH255" s="28"/>
      <c r="BI255" s="28"/>
      <c r="BJ255" s="28"/>
    </row>
    <row r="256" spans="1:62">
      <c r="A256" s="24"/>
      <c r="B256" s="28"/>
      <c r="C256" s="25"/>
      <c r="D256" s="26"/>
      <c r="E256" s="24"/>
      <c r="F256" s="24"/>
      <c r="G256" s="26"/>
      <c r="H256" s="26"/>
      <c r="I256" s="26"/>
      <c r="J256" s="26"/>
      <c r="K256" s="26"/>
      <c r="L256" s="26"/>
      <c r="M256" s="26"/>
      <c r="N256" s="26"/>
      <c r="P256" s="26"/>
      <c r="Q256" s="26"/>
      <c r="R256" s="25"/>
      <c r="S256" s="25"/>
      <c r="T256" s="25"/>
      <c r="U256" s="25"/>
      <c r="V256" s="24"/>
      <c r="W256" s="24"/>
      <c r="X256" s="24"/>
      <c r="Y256" s="26"/>
      <c r="Z256" s="26"/>
      <c r="AA256" s="24"/>
      <c r="AB256" s="24"/>
      <c r="AC256" s="24"/>
      <c r="AD256" s="24"/>
      <c r="AE256" s="26"/>
      <c r="AF256" s="26"/>
      <c r="AG256" s="24"/>
      <c r="AH256" s="24"/>
      <c r="AI256" s="28"/>
      <c r="AJ256" s="28"/>
      <c r="AK256" s="28"/>
      <c r="AL256" s="28"/>
      <c r="AM256" s="28"/>
      <c r="AN256" s="28"/>
      <c r="AO256" s="28"/>
      <c r="AP256" s="28"/>
      <c r="AQ256" s="28"/>
      <c r="AR256" s="28"/>
      <c r="AS256" s="28"/>
      <c r="AT256" s="28"/>
      <c r="AU256" s="28"/>
      <c r="AV256" s="24"/>
      <c r="AW256" s="28"/>
      <c r="AX256" s="28"/>
      <c r="AY256" s="28"/>
      <c r="AZ256" s="28"/>
      <c r="BA256" s="28"/>
      <c r="BB256" s="28"/>
      <c r="BC256" s="24"/>
      <c r="BD256" s="28"/>
      <c r="BE256" s="28"/>
      <c r="BF256" s="28"/>
      <c r="BG256" s="24"/>
      <c r="BH256" s="28"/>
      <c r="BI256" s="28"/>
      <c r="BJ256" s="28"/>
    </row>
    <row r="257" spans="1:62">
      <c r="A257" s="24"/>
      <c r="B257" s="28"/>
      <c r="C257" s="25"/>
      <c r="D257" s="26"/>
      <c r="E257" s="24"/>
      <c r="F257" s="24"/>
      <c r="G257" s="26"/>
      <c r="H257" s="26"/>
      <c r="I257" s="26"/>
      <c r="J257" s="26"/>
      <c r="K257" s="26"/>
      <c r="L257" s="26"/>
      <c r="M257" s="26"/>
      <c r="N257" s="26"/>
      <c r="P257" s="26"/>
      <c r="Q257" s="26"/>
      <c r="R257" s="25"/>
      <c r="S257" s="25"/>
      <c r="T257" s="25"/>
      <c r="U257" s="25"/>
      <c r="V257" s="24"/>
      <c r="W257" s="24"/>
      <c r="X257" s="24"/>
      <c r="Y257" s="26"/>
      <c r="Z257" s="26"/>
      <c r="AA257" s="24"/>
      <c r="AB257" s="24"/>
      <c r="AC257" s="24"/>
      <c r="AD257" s="24"/>
      <c r="AE257" s="26"/>
      <c r="AF257" s="26"/>
      <c r="AG257" s="24"/>
      <c r="AH257" s="24"/>
      <c r="AI257" s="28"/>
      <c r="AJ257" s="28"/>
      <c r="AK257" s="28"/>
      <c r="AL257" s="28"/>
      <c r="AM257" s="28"/>
      <c r="AN257" s="28"/>
      <c r="AO257" s="28"/>
      <c r="AP257" s="28"/>
      <c r="AQ257" s="28"/>
      <c r="AR257" s="28"/>
      <c r="AS257" s="28"/>
      <c r="AT257" s="28"/>
      <c r="AU257" s="28"/>
      <c r="AV257" s="24"/>
      <c r="AW257" s="28"/>
      <c r="AX257" s="28"/>
      <c r="AY257" s="28"/>
      <c r="AZ257" s="28"/>
      <c r="BA257" s="28"/>
      <c r="BB257" s="28"/>
      <c r="BC257" s="24"/>
      <c r="BD257" s="28"/>
      <c r="BE257" s="28"/>
      <c r="BF257" s="28"/>
      <c r="BG257" s="24"/>
      <c r="BH257" s="28"/>
      <c r="BI257" s="28"/>
      <c r="BJ257" s="28"/>
    </row>
    <row r="258" spans="1:62">
      <c r="A258" s="24"/>
      <c r="B258" s="28"/>
      <c r="C258" s="25"/>
      <c r="D258" s="26"/>
      <c r="E258" s="24"/>
      <c r="F258" s="24"/>
      <c r="G258" s="26"/>
      <c r="H258" s="26"/>
      <c r="I258" s="26"/>
      <c r="J258" s="26"/>
      <c r="K258" s="26"/>
      <c r="L258" s="26"/>
      <c r="M258" s="26"/>
      <c r="N258" s="26"/>
      <c r="P258" s="26"/>
      <c r="Q258" s="26"/>
      <c r="R258" s="25"/>
      <c r="S258" s="25"/>
      <c r="T258" s="25"/>
      <c r="U258" s="25"/>
      <c r="V258" s="24"/>
      <c r="W258" s="24"/>
      <c r="X258" s="24"/>
      <c r="Y258" s="26"/>
      <c r="Z258" s="26"/>
      <c r="AA258" s="24"/>
      <c r="AB258" s="24"/>
      <c r="AC258" s="24"/>
      <c r="AD258" s="24"/>
      <c r="AE258" s="26"/>
      <c r="AF258" s="26"/>
      <c r="AG258" s="24"/>
      <c r="AH258" s="24"/>
      <c r="AI258" s="28"/>
      <c r="AJ258" s="28"/>
      <c r="AK258" s="28"/>
      <c r="AL258" s="28"/>
      <c r="AM258" s="28"/>
      <c r="AN258" s="28"/>
      <c r="AO258" s="28"/>
      <c r="AP258" s="28"/>
      <c r="AQ258" s="28"/>
      <c r="AR258" s="28"/>
      <c r="AS258" s="28"/>
      <c r="AT258" s="28"/>
      <c r="AU258" s="28"/>
      <c r="AV258" s="24"/>
      <c r="AW258" s="28"/>
      <c r="AX258" s="28"/>
      <c r="AY258" s="28"/>
      <c r="AZ258" s="28"/>
      <c r="BA258" s="28"/>
      <c r="BB258" s="28"/>
      <c r="BC258" s="24"/>
      <c r="BD258" s="28"/>
      <c r="BE258" s="28"/>
      <c r="BF258" s="28"/>
      <c r="BG258" s="24"/>
      <c r="BH258" s="28"/>
      <c r="BI258" s="28"/>
      <c r="BJ258" s="28"/>
    </row>
    <row r="259" spans="1:62">
      <c r="A259" s="24"/>
      <c r="B259" s="28"/>
      <c r="C259" s="25"/>
      <c r="D259" s="26"/>
      <c r="E259" s="24"/>
      <c r="F259" s="24"/>
      <c r="G259" s="26"/>
      <c r="H259" s="26"/>
      <c r="I259" s="26"/>
      <c r="J259" s="26"/>
      <c r="K259" s="26"/>
      <c r="L259" s="26"/>
      <c r="M259" s="26"/>
      <c r="N259" s="26"/>
      <c r="P259" s="26"/>
      <c r="Q259" s="26"/>
      <c r="R259" s="25"/>
      <c r="S259" s="25"/>
      <c r="T259" s="25"/>
      <c r="U259" s="25"/>
      <c r="V259" s="24"/>
      <c r="W259" s="24"/>
      <c r="X259" s="24"/>
      <c r="Y259" s="26"/>
      <c r="Z259" s="26"/>
      <c r="AA259" s="24"/>
      <c r="AB259" s="24"/>
      <c r="AC259" s="24"/>
      <c r="AD259" s="24"/>
      <c r="AE259" s="26"/>
      <c r="AF259" s="26"/>
      <c r="AG259" s="24"/>
      <c r="AH259" s="24"/>
      <c r="AI259" s="28"/>
      <c r="AJ259" s="28"/>
      <c r="AK259" s="28"/>
      <c r="AL259" s="28"/>
      <c r="AM259" s="28"/>
      <c r="AN259" s="28"/>
      <c r="AO259" s="28"/>
      <c r="AP259" s="28"/>
      <c r="AQ259" s="28"/>
      <c r="AR259" s="28"/>
      <c r="AS259" s="28"/>
      <c r="AT259" s="28"/>
      <c r="AU259" s="28"/>
      <c r="AV259" s="24"/>
      <c r="AW259" s="28"/>
      <c r="AX259" s="28"/>
      <c r="AY259" s="28"/>
      <c r="AZ259" s="28"/>
      <c r="BA259" s="28"/>
      <c r="BB259" s="28"/>
      <c r="BC259" s="24"/>
      <c r="BD259" s="28"/>
      <c r="BE259" s="28"/>
      <c r="BF259" s="28"/>
      <c r="BG259" s="24"/>
      <c r="BH259" s="28"/>
      <c r="BI259" s="28"/>
      <c r="BJ259" s="28"/>
    </row>
    <row r="260" spans="1:62">
      <c r="A260" s="24"/>
      <c r="B260" s="28"/>
      <c r="C260" s="25"/>
      <c r="D260" s="26"/>
      <c r="E260" s="24"/>
      <c r="F260" s="24"/>
      <c r="G260" s="26"/>
      <c r="H260" s="26"/>
      <c r="I260" s="26"/>
      <c r="J260" s="26"/>
      <c r="K260" s="26"/>
      <c r="L260" s="26"/>
      <c r="M260" s="26"/>
      <c r="N260" s="26"/>
      <c r="P260" s="26"/>
      <c r="Q260" s="26"/>
      <c r="R260" s="25"/>
      <c r="S260" s="25"/>
      <c r="T260" s="25"/>
      <c r="U260" s="25"/>
      <c r="V260" s="24"/>
      <c r="W260" s="24"/>
      <c r="X260" s="24"/>
      <c r="Y260" s="26"/>
      <c r="Z260" s="26"/>
      <c r="AA260" s="24"/>
      <c r="AB260" s="24"/>
      <c r="AC260" s="24"/>
      <c r="AD260" s="24"/>
      <c r="AE260" s="26"/>
      <c r="AF260" s="26"/>
      <c r="AG260" s="24"/>
      <c r="AH260" s="24"/>
      <c r="AI260" s="28"/>
      <c r="AJ260" s="28"/>
      <c r="AK260" s="28"/>
      <c r="AL260" s="28"/>
      <c r="AM260" s="28"/>
      <c r="AN260" s="28"/>
      <c r="AO260" s="28"/>
      <c r="AP260" s="28"/>
      <c r="AQ260" s="28"/>
      <c r="AR260" s="28"/>
      <c r="AS260" s="28"/>
      <c r="AT260" s="28"/>
      <c r="AU260" s="28"/>
      <c r="AV260" s="24"/>
      <c r="AW260" s="28"/>
      <c r="AX260" s="28"/>
      <c r="AY260" s="28"/>
      <c r="AZ260" s="28"/>
      <c r="BA260" s="28"/>
      <c r="BB260" s="28"/>
      <c r="BC260" s="24"/>
      <c r="BD260" s="28"/>
      <c r="BE260" s="28"/>
      <c r="BF260" s="28"/>
      <c r="BG260" s="24"/>
      <c r="BH260" s="28"/>
      <c r="BI260" s="28"/>
      <c r="BJ260" s="28"/>
    </row>
    <row r="261" spans="1:62">
      <c r="A261" s="24"/>
      <c r="B261" s="28"/>
      <c r="C261" s="25"/>
      <c r="D261" s="26"/>
      <c r="E261" s="24"/>
      <c r="F261" s="24"/>
      <c r="G261" s="26"/>
      <c r="H261" s="26"/>
      <c r="I261" s="26"/>
      <c r="J261" s="26"/>
      <c r="K261" s="26"/>
      <c r="L261" s="26"/>
      <c r="M261" s="26"/>
      <c r="N261" s="26"/>
      <c r="P261" s="26"/>
      <c r="Q261" s="26"/>
      <c r="R261" s="25"/>
      <c r="S261" s="25"/>
      <c r="T261" s="25"/>
      <c r="U261" s="25"/>
      <c r="V261" s="24"/>
      <c r="W261" s="24"/>
      <c r="X261" s="24"/>
      <c r="Y261" s="26"/>
      <c r="Z261" s="26"/>
      <c r="AA261" s="24"/>
      <c r="AB261" s="24"/>
      <c r="AC261" s="24"/>
      <c r="AD261" s="24"/>
      <c r="AE261" s="26"/>
      <c r="AF261" s="26"/>
      <c r="AG261" s="24"/>
      <c r="AH261" s="24"/>
      <c r="AI261" s="28"/>
      <c r="AJ261" s="28"/>
      <c r="AK261" s="28"/>
      <c r="AL261" s="28"/>
      <c r="AM261" s="28"/>
      <c r="AN261" s="28"/>
      <c r="AO261" s="28"/>
      <c r="AP261" s="28"/>
      <c r="AQ261" s="28"/>
      <c r="AR261" s="28"/>
      <c r="AS261" s="28"/>
      <c r="AT261" s="28"/>
      <c r="AU261" s="28"/>
      <c r="AV261" s="24"/>
      <c r="AW261" s="28"/>
      <c r="AX261" s="28"/>
      <c r="AY261" s="28"/>
      <c r="AZ261" s="28"/>
      <c r="BA261" s="28"/>
      <c r="BB261" s="28"/>
      <c r="BC261" s="24"/>
      <c r="BD261" s="28"/>
      <c r="BE261" s="28"/>
      <c r="BF261" s="28"/>
      <c r="BG261" s="24"/>
      <c r="BH261" s="28"/>
      <c r="BI261" s="28"/>
      <c r="BJ261" s="28"/>
    </row>
    <row r="262" spans="1:62">
      <c r="A262" s="24"/>
      <c r="B262" s="28"/>
      <c r="C262" s="25"/>
      <c r="D262" s="26"/>
      <c r="E262" s="24"/>
      <c r="F262" s="24"/>
      <c r="G262" s="26"/>
      <c r="H262" s="26"/>
      <c r="I262" s="26"/>
      <c r="J262" s="26"/>
      <c r="K262" s="26"/>
      <c r="L262" s="26"/>
      <c r="M262" s="26"/>
      <c r="N262" s="26"/>
      <c r="P262" s="26"/>
      <c r="Q262" s="26"/>
      <c r="R262" s="25"/>
      <c r="S262" s="25"/>
      <c r="T262" s="25"/>
      <c r="U262" s="25"/>
      <c r="V262" s="24"/>
      <c r="W262" s="24"/>
      <c r="X262" s="24"/>
      <c r="Y262" s="26"/>
      <c r="Z262" s="26"/>
      <c r="AA262" s="24"/>
      <c r="AB262" s="24"/>
      <c r="AC262" s="24"/>
      <c r="AD262" s="24"/>
      <c r="AE262" s="26"/>
      <c r="AF262" s="26"/>
      <c r="AG262" s="24"/>
      <c r="AH262" s="24"/>
      <c r="AI262" s="28"/>
      <c r="AJ262" s="28"/>
      <c r="AK262" s="28"/>
      <c r="AL262" s="28"/>
      <c r="AM262" s="28"/>
      <c r="AN262" s="28"/>
      <c r="AO262" s="28"/>
      <c r="AP262" s="28"/>
      <c r="AQ262" s="28"/>
      <c r="AR262" s="28"/>
      <c r="AS262" s="28"/>
      <c r="AT262" s="28"/>
      <c r="AU262" s="28"/>
      <c r="AV262" s="24"/>
      <c r="AW262" s="28"/>
      <c r="AX262" s="28"/>
      <c r="AY262" s="28"/>
      <c r="AZ262" s="28"/>
      <c r="BA262" s="28"/>
      <c r="BB262" s="28"/>
      <c r="BC262" s="24"/>
      <c r="BD262" s="28"/>
      <c r="BE262" s="28"/>
      <c r="BF262" s="28"/>
      <c r="BG262" s="24"/>
      <c r="BH262" s="28"/>
      <c r="BI262" s="28"/>
      <c r="BJ262" s="28"/>
    </row>
    <row r="263" spans="1:62">
      <c r="A263" s="24"/>
      <c r="B263" s="28"/>
      <c r="C263" s="25"/>
      <c r="D263" s="26"/>
      <c r="E263" s="24"/>
      <c r="F263" s="24"/>
      <c r="G263" s="26"/>
      <c r="H263" s="26"/>
      <c r="I263" s="26"/>
      <c r="J263" s="26"/>
      <c r="K263" s="26"/>
      <c r="L263" s="26"/>
      <c r="M263" s="26"/>
      <c r="N263" s="26"/>
      <c r="P263" s="26"/>
      <c r="Q263" s="26"/>
      <c r="R263" s="25"/>
      <c r="S263" s="25"/>
      <c r="T263" s="25"/>
      <c r="U263" s="25"/>
      <c r="V263" s="24"/>
      <c r="W263" s="24"/>
      <c r="X263" s="24"/>
      <c r="Y263" s="26"/>
      <c r="Z263" s="26"/>
      <c r="AA263" s="24"/>
      <c r="AB263" s="24"/>
      <c r="AC263" s="24"/>
      <c r="AD263" s="24"/>
      <c r="AE263" s="26"/>
      <c r="AF263" s="26"/>
      <c r="AG263" s="24"/>
      <c r="AH263" s="24"/>
      <c r="AI263" s="28"/>
      <c r="AJ263" s="28"/>
      <c r="AK263" s="28"/>
      <c r="AL263" s="28"/>
      <c r="AM263" s="28"/>
      <c r="AN263" s="28"/>
      <c r="AO263" s="28"/>
      <c r="AP263" s="28"/>
      <c r="AQ263" s="28"/>
      <c r="AR263" s="28"/>
      <c r="AS263" s="28"/>
      <c r="AT263" s="28"/>
      <c r="AU263" s="28"/>
      <c r="AV263" s="24"/>
      <c r="AW263" s="28"/>
      <c r="AX263" s="28"/>
      <c r="AY263" s="28"/>
      <c r="AZ263" s="28"/>
      <c r="BA263" s="28"/>
      <c r="BB263" s="28"/>
      <c r="BC263" s="24"/>
      <c r="BD263" s="28"/>
      <c r="BE263" s="28"/>
      <c r="BF263" s="28"/>
      <c r="BG263" s="24"/>
      <c r="BH263" s="28"/>
      <c r="BI263" s="28"/>
      <c r="BJ263" s="28"/>
    </row>
    <row r="264" spans="1:62">
      <c r="A264" s="24"/>
      <c r="B264" s="28"/>
      <c r="C264" s="25"/>
      <c r="D264" s="26"/>
      <c r="E264" s="24"/>
      <c r="F264" s="24"/>
      <c r="G264" s="26"/>
      <c r="H264" s="26"/>
      <c r="I264" s="26"/>
      <c r="J264" s="26"/>
      <c r="K264" s="26"/>
      <c r="L264" s="26"/>
      <c r="M264" s="26"/>
      <c r="N264" s="26"/>
      <c r="P264" s="26"/>
      <c r="Q264" s="26"/>
      <c r="R264" s="25"/>
      <c r="S264" s="25"/>
      <c r="T264" s="25"/>
      <c r="U264" s="25"/>
      <c r="V264" s="24"/>
      <c r="W264" s="24"/>
      <c r="X264" s="24"/>
      <c r="Y264" s="26"/>
      <c r="Z264" s="26"/>
      <c r="AA264" s="24"/>
      <c r="AB264" s="24"/>
      <c r="AC264" s="24"/>
      <c r="AD264" s="24"/>
      <c r="AE264" s="26"/>
      <c r="AF264" s="26"/>
      <c r="AG264" s="24"/>
      <c r="AH264" s="24"/>
      <c r="AI264" s="28"/>
      <c r="AJ264" s="28"/>
      <c r="AK264" s="28"/>
      <c r="AL264" s="28"/>
      <c r="AM264" s="28"/>
      <c r="AN264" s="28"/>
      <c r="AO264" s="28"/>
      <c r="AP264" s="28"/>
      <c r="AQ264" s="28"/>
      <c r="AR264" s="28"/>
      <c r="AS264" s="28"/>
      <c r="AT264" s="28"/>
      <c r="AU264" s="28"/>
      <c r="AV264" s="24"/>
      <c r="AW264" s="28"/>
      <c r="AX264" s="28"/>
      <c r="AY264" s="28"/>
      <c r="AZ264" s="28"/>
      <c r="BA264" s="28"/>
      <c r="BB264" s="28"/>
      <c r="BC264" s="24"/>
      <c r="BD264" s="28"/>
      <c r="BE264" s="28"/>
      <c r="BF264" s="28"/>
      <c r="BG264" s="24"/>
      <c r="BH264" s="28"/>
      <c r="BI264" s="28"/>
      <c r="BJ264" s="28"/>
    </row>
    <row r="265" spans="1:62">
      <c r="A265" s="24"/>
      <c r="B265" s="28"/>
      <c r="C265" s="25"/>
      <c r="D265" s="26"/>
      <c r="E265" s="24"/>
      <c r="F265" s="24"/>
      <c r="G265" s="26"/>
      <c r="H265" s="26"/>
      <c r="I265" s="26"/>
      <c r="J265" s="26"/>
      <c r="K265" s="26"/>
      <c r="L265" s="26"/>
      <c r="M265" s="26"/>
      <c r="N265" s="26"/>
      <c r="P265" s="26"/>
      <c r="Q265" s="26"/>
      <c r="R265" s="25"/>
      <c r="S265" s="25"/>
      <c r="T265" s="25"/>
      <c r="U265" s="25"/>
      <c r="V265" s="24"/>
      <c r="W265" s="24"/>
      <c r="X265" s="24"/>
      <c r="Y265" s="26"/>
      <c r="Z265" s="26"/>
      <c r="AA265" s="24"/>
      <c r="AB265" s="24"/>
      <c r="AC265" s="24"/>
      <c r="AD265" s="24"/>
      <c r="AE265" s="26"/>
      <c r="AF265" s="26"/>
      <c r="AG265" s="24"/>
      <c r="AH265" s="24"/>
      <c r="AI265" s="28"/>
      <c r="AJ265" s="28"/>
      <c r="AK265" s="28"/>
      <c r="AL265" s="28"/>
      <c r="AM265" s="28"/>
      <c r="AN265" s="28"/>
      <c r="AO265" s="28"/>
      <c r="AP265" s="28"/>
      <c r="AQ265" s="28"/>
      <c r="AR265" s="28"/>
      <c r="AS265" s="28"/>
      <c r="AT265" s="28"/>
      <c r="AU265" s="28"/>
      <c r="AV265" s="24"/>
      <c r="AW265" s="28"/>
      <c r="AX265" s="28"/>
      <c r="AY265" s="28"/>
      <c r="AZ265" s="28"/>
      <c r="BA265" s="28"/>
      <c r="BB265" s="28"/>
      <c r="BC265" s="24"/>
      <c r="BD265" s="28"/>
      <c r="BE265" s="28"/>
      <c r="BF265" s="28"/>
      <c r="BG265" s="24"/>
      <c r="BH265" s="28"/>
      <c r="BI265" s="28"/>
      <c r="BJ265" s="28"/>
    </row>
    <row r="266" spans="1:62">
      <c r="A266" s="24"/>
      <c r="B266" s="28"/>
      <c r="C266" s="25"/>
      <c r="D266" s="26"/>
      <c r="E266" s="24"/>
      <c r="F266" s="24"/>
      <c r="G266" s="26"/>
      <c r="H266" s="26"/>
      <c r="I266" s="26"/>
      <c r="J266" s="26"/>
      <c r="K266" s="26"/>
      <c r="L266" s="26"/>
      <c r="M266" s="26"/>
      <c r="N266" s="26"/>
      <c r="P266" s="26"/>
      <c r="Q266" s="26"/>
      <c r="R266" s="25"/>
      <c r="S266" s="25"/>
      <c r="T266" s="25"/>
      <c r="U266" s="25"/>
      <c r="V266" s="24"/>
      <c r="W266" s="24"/>
      <c r="X266" s="24"/>
      <c r="Y266" s="26"/>
      <c r="Z266" s="26"/>
      <c r="AA266" s="24"/>
      <c r="AB266" s="24"/>
      <c r="AC266" s="24"/>
      <c r="AD266" s="24"/>
      <c r="AE266" s="26"/>
      <c r="AF266" s="26"/>
      <c r="AG266" s="24"/>
      <c r="AH266" s="24"/>
      <c r="AI266" s="28"/>
      <c r="AJ266" s="28"/>
      <c r="AK266" s="28"/>
      <c r="AL266" s="28"/>
      <c r="AM266" s="28"/>
      <c r="AN266" s="28"/>
      <c r="AO266" s="28"/>
      <c r="AP266" s="28"/>
      <c r="AQ266" s="28"/>
      <c r="AR266" s="28"/>
      <c r="AS266" s="28"/>
      <c r="AT266" s="28"/>
      <c r="AU266" s="28"/>
      <c r="AV266" s="24"/>
      <c r="AW266" s="28"/>
      <c r="AX266" s="28"/>
      <c r="AY266" s="28"/>
      <c r="AZ266" s="28"/>
      <c r="BA266" s="28"/>
      <c r="BB266" s="28"/>
      <c r="BC266" s="24"/>
      <c r="BD266" s="28"/>
      <c r="BE266" s="28"/>
      <c r="BF266" s="28"/>
      <c r="BG266" s="24"/>
      <c r="BH266" s="28"/>
      <c r="BI266" s="28"/>
      <c r="BJ266" s="28"/>
    </row>
    <row r="267" spans="1:62">
      <c r="A267" s="24"/>
      <c r="B267" s="28"/>
      <c r="C267" s="25"/>
      <c r="D267" s="26"/>
      <c r="E267" s="24"/>
      <c r="F267" s="24"/>
      <c r="G267" s="26"/>
      <c r="H267" s="26"/>
      <c r="I267" s="26"/>
      <c r="J267" s="26"/>
      <c r="K267" s="26"/>
      <c r="L267" s="26"/>
      <c r="M267" s="26"/>
      <c r="N267" s="26"/>
      <c r="P267" s="26"/>
      <c r="Q267" s="26"/>
      <c r="R267" s="25"/>
      <c r="S267" s="25"/>
      <c r="T267" s="25"/>
      <c r="U267" s="25"/>
      <c r="V267" s="24"/>
      <c r="W267" s="24"/>
      <c r="X267" s="24"/>
      <c r="Y267" s="26"/>
      <c r="Z267" s="26"/>
      <c r="AA267" s="24"/>
      <c r="AB267" s="24"/>
      <c r="AC267" s="24"/>
      <c r="AD267" s="24"/>
      <c r="AE267" s="26"/>
      <c r="AF267" s="26"/>
      <c r="AG267" s="24"/>
      <c r="AH267" s="24"/>
      <c r="AI267" s="28"/>
      <c r="AJ267" s="28"/>
      <c r="AK267" s="28"/>
      <c r="AL267" s="28"/>
      <c r="AM267" s="28"/>
      <c r="AN267" s="28"/>
      <c r="AO267" s="28"/>
      <c r="AP267" s="28"/>
      <c r="AQ267" s="28"/>
      <c r="AR267" s="28"/>
      <c r="AS267" s="28"/>
      <c r="AT267" s="28"/>
      <c r="AU267" s="28"/>
      <c r="AV267" s="24"/>
      <c r="AW267" s="28"/>
      <c r="AX267" s="28"/>
      <c r="AY267" s="28"/>
      <c r="AZ267" s="28"/>
      <c r="BA267" s="28"/>
      <c r="BB267" s="28"/>
      <c r="BC267" s="24"/>
      <c r="BD267" s="28"/>
      <c r="BE267" s="28"/>
      <c r="BF267" s="28"/>
      <c r="BG267" s="24"/>
      <c r="BH267" s="28"/>
      <c r="BI267" s="28"/>
      <c r="BJ267" s="28"/>
    </row>
    <row r="268" spans="1:62">
      <c r="A268" s="24"/>
      <c r="B268" s="28"/>
      <c r="C268" s="25"/>
      <c r="D268" s="26"/>
      <c r="E268" s="24"/>
      <c r="F268" s="24"/>
      <c r="G268" s="26"/>
      <c r="H268" s="26"/>
      <c r="I268" s="26"/>
      <c r="J268" s="26"/>
      <c r="K268" s="26"/>
      <c r="L268" s="26"/>
      <c r="M268" s="26"/>
      <c r="N268" s="26"/>
      <c r="P268" s="26"/>
      <c r="Q268" s="26"/>
      <c r="R268" s="25"/>
      <c r="S268" s="25"/>
      <c r="T268" s="25"/>
      <c r="U268" s="25"/>
      <c r="V268" s="24"/>
      <c r="W268" s="24"/>
      <c r="X268" s="24"/>
      <c r="Y268" s="26"/>
      <c r="Z268" s="26"/>
      <c r="AA268" s="24"/>
      <c r="AB268" s="24"/>
      <c r="AC268" s="24"/>
      <c r="AD268" s="24"/>
      <c r="AE268" s="26"/>
      <c r="AF268" s="26"/>
      <c r="AG268" s="24"/>
      <c r="AH268" s="24"/>
      <c r="AI268" s="28"/>
      <c r="AJ268" s="28"/>
      <c r="AK268" s="28"/>
      <c r="AL268" s="28"/>
      <c r="AM268" s="28"/>
      <c r="AN268" s="28"/>
      <c r="AO268" s="28"/>
      <c r="AP268" s="28"/>
      <c r="AQ268" s="28"/>
      <c r="AR268" s="28"/>
      <c r="AS268" s="28"/>
      <c r="AT268" s="28"/>
      <c r="AU268" s="28"/>
      <c r="AV268" s="24"/>
      <c r="AW268" s="28"/>
      <c r="AX268" s="28"/>
      <c r="AY268" s="28"/>
      <c r="AZ268" s="28"/>
      <c r="BA268" s="28"/>
      <c r="BB268" s="28"/>
      <c r="BC268" s="24"/>
      <c r="BD268" s="28"/>
      <c r="BE268" s="28"/>
      <c r="BF268" s="28"/>
      <c r="BG268" s="24"/>
      <c r="BH268" s="28"/>
      <c r="BI268" s="28"/>
      <c r="BJ268" s="28"/>
    </row>
    <row r="269" spans="1:62">
      <c r="A269" s="24"/>
      <c r="B269" s="28"/>
      <c r="C269" s="25"/>
      <c r="D269" s="26"/>
      <c r="E269" s="24"/>
      <c r="F269" s="24"/>
      <c r="G269" s="26"/>
      <c r="H269" s="26"/>
      <c r="I269" s="26"/>
      <c r="J269" s="26"/>
      <c r="K269" s="26"/>
      <c r="L269" s="26"/>
      <c r="M269" s="26"/>
      <c r="N269" s="26"/>
      <c r="P269" s="26"/>
      <c r="Q269" s="26"/>
      <c r="R269" s="25"/>
      <c r="S269" s="25"/>
      <c r="T269" s="25"/>
      <c r="U269" s="25"/>
      <c r="V269" s="24"/>
      <c r="W269" s="24"/>
      <c r="X269" s="24"/>
      <c r="Y269" s="26"/>
      <c r="Z269" s="26"/>
      <c r="AA269" s="24"/>
      <c r="AB269" s="24"/>
      <c r="AC269" s="24"/>
      <c r="AD269" s="24"/>
      <c r="AE269" s="26"/>
      <c r="AF269" s="26"/>
      <c r="AG269" s="24"/>
      <c r="AH269" s="24"/>
      <c r="AI269" s="28"/>
      <c r="AJ269" s="28"/>
      <c r="AK269" s="28"/>
      <c r="AL269" s="28"/>
      <c r="AM269" s="28"/>
      <c r="AN269" s="28"/>
      <c r="AO269" s="28"/>
      <c r="AP269" s="28"/>
      <c r="AQ269" s="28"/>
      <c r="AR269" s="28"/>
      <c r="AS269" s="28"/>
      <c r="AT269" s="28"/>
      <c r="AU269" s="28"/>
      <c r="AV269" s="24"/>
      <c r="AW269" s="28"/>
      <c r="AX269" s="28"/>
      <c r="AY269" s="28"/>
      <c r="AZ269" s="28"/>
      <c r="BA269" s="28"/>
      <c r="BB269" s="28"/>
      <c r="BC269" s="24"/>
      <c r="BD269" s="28"/>
      <c r="BE269" s="28"/>
      <c r="BF269" s="28"/>
      <c r="BG269" s="24"/>
      <c r="BH269" s="28"/>
      <c r="BI269" s="28"/>
      <c r="BJ269" s="28"/>
    </row>
    <row r="270" spans="1:62">
      <c r="A270" s="24"/>
      <c r="B270" s="28"/>
      <c r="C270" s="25"/>
      <c r="D270" s="26"/>
      <c r="E270" s="24"/>
      <c r="F270" s="24"/>
      <c r="G270" s="26"/>
      <c r="H270" s="26"/>
      <c r="I270" s="26"/>
      <c r="J270" s="26"/>
      <c r="K270" s="26"/>
      <c r="L270" s="26"/>
      <c r="M270" s="26"/>
      <c r="N270" s="26"/>
      <c r="P270" s="26"/>
      <c r="Q270" s="26"/>
      <c r="R270" s="25"/>
      <c r="S270" s="25"/>
      <c r="T270" s="25"/>
      <c r="U270" s="25"/>
      <c r="V270" s="24"/>
      <c r="W270" s="24"/>
      <c r="X270" s="24"/>
      <c r="Y270" s="26"/>
      <c r="Z270" s="26"/>
      <c r="AA270" s="24"/>
      <c r="AB270" s="24"/>
      <c r="AC270" s="24"/>
      <c r="AD270" s="24"/>
      <c r="AE270" s="26"/>
      <c r="AF270" s="26"/>
      <c r="AG270" s="24"/>
      <c r="AH270" s="24"/>
      <c r="AI270" s="28"/>
      <c r="AJ270" s="28"/>
      <c r="AK270" s="28"/>
      <c r="AL270" s="28"/>
      <c r="AM270" s="28"/>
      <c r="AN270" s="28"/>
      <c r="AO270" s="28"/>
      <c r="AP270" s="28"/>
      <c r="AQ270" s="28"/>
      <c r="AR270" s="28"/>
      <c r="AS270" s="28"/>
      <c r="AT270" s="28"/>
      <c r="AU270" s="28"/>
      <c r="AV270" s="24"/>
      <c r="AW270" s="28"/>
      <c r="AX270" s="28"/>
      <c r="AY270" s="28"/>
      <c r="AZ270" s="28"/>
      <c r="BA270" s="28"/>
      <c r="BB270" s="28"/>
      <c r="BC270" s="24"/>
      <c r="BD270" s="28"/>
      <c r="BE270" s="28"/>
      <c r="BF270" s="28"/>
      <c r="BG270" s="24"/>
      <c r="BH270" s="28"/>
      <c r="BI270" s="28"/>
      <c r="BJ270" s="28"/>
    </row>
    <row r="271" spans="1:62">
      <c r="A271" s="24"/>
      <c r="B271" s="28"/>
      <c r="C271" s="25"/>
      <c r="D271" s="26"/>
      <c r="E271" s="24"/>
      <c r="F271" s="24"/>
      <c r="G271" s="26"/>
      <c r="H271" s="26"/>
      <c r="I271" s="26"/>
      <c r="J271" s="26"/>
      <c r="K271" s="26"/>
      <c r="L271" s="26"/>
      <c r="M271" s="26"/>
      <c r="N271" s="26"/>
      <c r="P271" s="26"/>
      <c r="Q271" s="26"/>
      <c r="R271" s="25"/>
      <c r="S271" s="25"/>
      <c r="T271" s="25"/>
      <c r="U271" s="25"/>
      <c r="V271" s="24"/>
      <c r="W271" s="24"/>
      <c r="X271" s="24"/>
      <c r="Y271" s="26"/>
      <c r="Z271" s="26"/>
      <c r="AA271" s="24"/>
      <c r="AB271" s="24"/>
      <c r="AC271" s="24"/>
      <c r="AD271" s="24"/>
      <c r="AE271" s="26"/>
      <c r="AF271" s="26"/>
      <c r="AG271" s="24"/>
      <c r="AH271" s="24"/>
      <c r="AI271" s="28"/>
      <c r="AJ271" s="28"/>
      <c r="AK271" s="28"/>
      <c r="AL271" s="28"/>
      <c r="AM271" s="28"/>
      <c r="AN271" s="28"/>
      <c r="AO271" s="28"/>
      <c r="AP271" s="28"/>
      <c r="AQ271" s="28"/>
      <c r="AR271" s="28"/>
      <c r="AS271" s="28"/>
      <c r="AT271" s="28"/>
      <c r="AU271" s="28"/>
      <c r="AV271" s="24"/>
      <c r="AW271" s="28"/>
      <c r="AX271" s="28"/>
      <c r="AY271" s="28"/>
      <c r="AZ271" s="28"/>
      <c r="BA271" s="28"/>
      <c r="BB271" s="28"/>
      <c r="BC271" s="24"/>
      <c r="BD271" s="28"/>
      <c r="BE271" s="28"/>
      <c r="BF271" s="28"/>
      <c r="BG271" s="24"/>
      <c r="BH271" s="28"/>
      <c r="BI271" s="28"/>
      <c r="BJ271" s="28"/>
    </row>
    <row r="272" spans="1:62">
      <c r="A272" s="24"/>
      <c r="B272" s="28"/>
      <c r="C272" s="25"/>
      <c r="D272" s="26"/>
      <c r="E272" s="24"/>
      <c r="F272" s="24"/>
      <c r="G272" s="26"/>
      <c r="H272" s="26"/>
      <c r="I272" s="26"/>
      <c r="J272" s="26"/>
      <c r="K272" s="26"/>
      <c r="L272" s="26"/>
      <c r="M272" s="26"/>
      <c r="N272" s="26"/>
      <c r="P272" s="26"/>
      <c r="Q272" s="26"/>
      <c r="R272" s="25"/>
      <c r="S272" s="25"/>
      <c r="T272" s="25"/>
      <c r="U272" s="25"/>
      <c r="V272" s="24"/>
      <c r="W272" s="24"/>
      <c r="X272" s="24"/>
      <c r="Y272" s="26"/>
      <c r="Z272" s="26"/>
      <c r="AA272" s="24"/>
      <c r="AB272" s="24"/>
      <c r="AC272" s="24"/>
      <c r="AD272" s="24"/>
      <c r="AE272" s="26"/>
      <c r="AF272" s="26"/>
      <c r="AG272" s="24"/>
      <c r="AH272" s="24"/>
      <c r="AI272" s="28"/>
      <c r="AJ272" s="28"/>
      <c r="AK272" s="28"/>
      <c r="AL272" s="28"/>
      <c r="AM272" s="28"/>
      <c r="AN272" s="28"/>
      <c r="AO272" s="28"/>
      <c r="AP272" s="28"/>
      <c r="AQ272" s="28"/>
      <c r="AR272" s="28"/>
      <c r="AS272" s="28"/>
      <c r="AT272" s="28"/>
      <c r="AU272" s="28"/>
      <c r="AV272" s="24"/>
      <c r="AW272" s="28"/>
      <c r="AX272" s="28"/>
      <c r="AY272" s="28"/>
      <c r="AZ272" s="28"/>
      <c r="BA272" s="28"/>
      <c r="BB272" s="28"/>
      <c r="BC272" s="24"/>
      <c r="BD272" s="28"/>
      <c r="BE272" s="28"/>
      <c r="BF272" s="28"/>
      <c r="BG272" s="24"/>
      <c r="BH272" s="28"/>
      <c r="BI272" s="28"/>
      <c r="BJ272" s="28"/>
    </row>
    <row r="273" spans="1:62">
      <c r="A273" s="24"/>
      <c r="B273" s="28"/>
      <c r="C273" s="25"/>
      <c r="D273" s="26"/>
      <c r="E273" s="24"/>
      <c r="F273" s="24"/>
      <c r="G273" s="26"/>
      <c r="H273" s="26"/>
      <c r="I273" s="26"/>
      <c r="J273" s="26"/>
      <c r="K273" s="26"/>
      <c r="L273" s="26"/>
      <c r="M273" s="26"/>
      <c r="N273" s="26"/>
      <c r="P273" s="26"/>
      <c r="Q273" s="26"/>
      <c r="R273" s="25"/>
      <c r="S273" s="25"/>
      <c r="T273" s="25"/>
      <c r="U273" s="25"/>
      <c r="V273" s="24"/>
      <c r="W273" s="24"/>
      <c r="X273" s="24"/>
      <c r="Y273" s="26"/>
      <c r="Z273" s="26"/>
      <c r="AA273" s="24"/>
      <c r="AB273" s="24"/>
      <c r="AC273" s="24"/>
      <c r="AD273" s="24"/>
      <c r="AE273" s="26"/>
      <c r="AF273" s="26"/>
      <c r="AG273" s="24"/>
      <c r="AH273" s="24"/>
      <c r="AI273" s="28"/>
      <c r="AJ273" s="28"/>
      <c r="AK273" s="28"/>
      <c r="AL273" s="28"/>
      <c r="AM273" s="28"/>
      <c r="AN273" s="28"/>
      <c r="AO273" s="28"/>
      <c r="AP273" s="28"/>
      <c r="AQ273" s="28"/>
      <c r="AR273" s="28"/>
      <c r="AS273" s="28"/>
      <c r="AT273" s="28"/>
      <c r="AU273" s="28"/>
      <c r="AV273" s="24"/>
      <c r="AW273" s="28"/>
      <c r="AX273" s="28"/>
      <c r="AY273" s="28"/>
      <c r="AZ273" s="28"/>
      <c r="BA273" s="28"/>
      <c r="BB273" s="28"/>
      <c r="BC273" s="24"/>
      <c r="BD273" s="28"/>
      <c r="BE273" s="28"/>
      <c r="BF273" s="28"/>
      <c r="BG273" s="24"/>
      <c r="BH273" s="28"/>
      <c r="BI273" s="28"/>
      <c r="BJ273" s="28"/>
    </row>
    <row r="274" spans="1:62">
      <c r="A274" s="24"/>
      <c r="B274" s="28"/>
      <c r="C274" s="25"/>
      <c r="D274" s="26"/>
      <c r="E274" s="24"/>
      <c r="F274" s="24"/>
      <c r="G274" s="26"/>
      <c r="H274" s="26"/>
      <c r="I274" s="26"/>
      <c r="J274" s="26"/>
      <c r="K274" s="26"/>
      <c r="L274" s="26"/>
      <c r="M274" s="26"/>
      <c r="N274" s="26"/>
      <c r="P274" s="26"/>
      <c r="Q274" s="26"/>
      <c r="R274" s="25"/>
      <c r="S274" s="25"/>
      <c r="T274" s="25"/>
      <c r="U274" s="25"/>
      <c r="V274" s="24"/>
      <c r="W274" s="24"/>
      <c r="X274" s="24"/>
      <c r="Y274" s="26"/>
      <c r="Z274" s="26"/>
      <c r="AA274" s="24"/>
      <c r="AB274" s="24"/>
      <c r="AC274" s="24"/>
      <c r="AD274" s="24"/>
      <c r="AE274" s="26"/>
      <c r="AF274" s="26"/>
      <c r="AG274" s="24"/>
      <c r="AH274" s="24"/>
      <c r="AI274" s="28"/>
      <c r="AJ274" s="28"/>
      <c r="AK274" s="28"/>
      <c r="AL274" s="28"/>
      <c r="AM274" s="28"/>
      <c r="AN274" s="28"/>
      <c r="AO274" s="28"/>
      <c r="AP274" s="28"/>
      <c r="AQ274" s="28"/>
      <c r="AR274" s="28"/>
      <c r="AS274" s="28"/>
      <c r="AT274" s="28"/>
      <c r="AU274" s="28"/>
      <c r="AV274" s="24"/>
      <c r="AW274" s="28"/>
      <c r="AX274" s="28"/>
      <c r="AY274" s="28"/>
      <c r="AZ274" s="28"/>
      <c r="BA274" s="28"/>
      <c r="BB274" s="28"/>
      <c r="BC274" s="24"/>
      <c r="BD274" s="28"/>
      <c r="BE274" s="28"/>
      <c r="BF274" s="28"/>
      <c r="BG274" s="24"/>
      <c r="BH274" s="28"/>
      <c r="BI274" s="28"/>
      <c r="BJ274" s="28"/>
    </row>
    <row r="275" spans="1:62">
      <c r="A275" s="24"/>
      <c r="B275" s="28"/>
      <c r="C275" s="25"/>
      <c r="D275" s="26"/>
      <c r="E275" s="24"/>
      <c r="F275" s="24"/>
      <c r="G275" s="26"/>
      <c r="H275" s="26"/>
      <c r="I275" s="26"/>
      <c r="J275" s="26"/>
      <c r="K275" s="26"/>
      <c r="L275" s="26"/>
      <c r="M275" s="26"/>
      <c r="N275" s="26"/>
      <c r="P275" s="26"/>
      <c r="Q275" s="26"/>
      <c r="R275" s="25"/>
      <c r="S275" s="25"/>
      <c r="T275" s="25"/>
      <c r="U275" s="25"/>
      <c r="V275" s="24"/>
      <c r="W275" s="24"/>
      <c r="X275" s="24"/>
      <c r="Y275" s="26"/>
      <c r="Z275" s="26"/>
      <c r="AA275" s="24"/>
      <c r="AB275" s="24"/>
      <c r="AC275" s="24"/>
      <c r="AD275" s="24"/>
      <c r="AE275" s="26"/>
      <c r="AF275" s="26"/>
      <c r="AG275" s="24"/>
      <c r="AH275" s="24"/>
      <c r="AI275" s="28"/>
      <c r="AJ275" s="28"/>
      <c r="AK275" s="28"/>
      <c r="AL275" s="28"/>
      <c r="AM275" s="28"/>
      <c r="AN275" s="28"/>
      <c r="AO275" s="28"/>
      <c r="AP275" s="28"/>
      <c r="AQ275" s="28"/>
      <c r="AR275" s="28"/>
      <c r="AS275" s="28"/>
      <c r="AT275" s="28"/>
      <c r="AU275" s="28"/>
      <c r="AV275" s="24"/>
      <c r="AW275" s="28"/>
      <c r="AX275" s="28"/>
      <c r="AY275" s="28"/>
      <c r="AZ275" s="28"/>
      <c r="BA275" s="28"/>
      <c r="BB275" s="28"/>
      <c r="BC275" s="24"/>
      <c r="BD275" s="28"/>
      <c r="BE275" s="28"/>
      <c r="BF275" s="28"/>
      <c r="BG275" s="24"/>
      <c r="BH275" s="28"/>
      <c r="BI275" s="28"/>
      <c r="BJ275" s="28"/>
    </row>
    <row r="276" spans="1:62">
      <c r="A276" s="24"/>
      <c r="B276" s="28"/>
      <c r="C276" s="25"/>
      <c r="D276" s="26"/>
      <c r="E276" s="24"/>
      <c r="F276" s="24"/>
      <c r="G276" s="26"/>
      <c r="H276" s="26"/>
      <c r="I276" s="26"/>
      <c r="J276" s="26"/>
      <c r="K276" s="26"/>
      <c r="L276" s="26"/>
      <c r="M276" s="26"/>
      <c r="N276" s="26"/>
      <c r="P276" s="26"/>
      <c r="Q276" s="26"/>
      <c r="R276" s="25"/>
      <c r="S276" s="25"/>
      <c r="T276" s="25"/>
      <c r="U276" s="25"/>
      <c r="V276" s="24"/>
      <c r="W276" s="24"/>
      <c r="X276" s="24"/>
      <c r="Y276" s="26"/>
      <c r="Z276" s="26"/>
      <c r="AA276" s="24"/>
      <c r="AB276" s="24"/>
      <c r="AC276" s="24"/>
      <c r="AD276" s="24"/>
      <c r="AE276" s="26"/>
      <c r="AF276" s="26"/>
      <c r="AG276" s="24"/>
      <c r="AH276" s="24"/>
      <c r="AI276" s="28"/>
      <c r="AJ276" s="28"/>
      <c r="AK276" s="28"/>
      <c r="AL276" s="28"/>
      <c r="AM276" s="28"/>
      <c r="AN276" s="28"/>
      <c r="AO276" s="28"/>
      <c r="AP276" s="28"/>
      <c r="AQ276" s="28"/>
      <c r="AR276" s="28"/>
      <c r="AS276" s="28"/>
      <c r="AT276" s="28"/>
      <c r="AU276" s="28"/>
      <c r="AV276" s="24"/>
      <c r="AW276" s="28"/>
      <c r="AX276" s="28"/>
      <c r="AY276" s="28"/>
      <c r="AZ276" s="28"/>
      <c r="BA276" s="28"/>
      <c r="BB276" s="28"/>
      <c r="BC276" s="24"/>
      <c r="BD276" s="28"/>
      <c r="BE276" s="28"/>
      <c r="BF276" s="28"/>
      <c r="BG276" s="24"/>
      <c r="BH276" s="28"/>
      <c r="BI276" s="28"/>
      <c r="BJ276" s="28"/>
    </row>
    <row r="277" spans="1:62">
      <c r="A277" s="24"/>
      <c r="B277" s="28"/>
      <c r="C277" s="25"/>
      <c r="D277" s="26"/>
      <c r="E277" s="24"/>
      <c r="F277" s="24"/>
      <c r="G277" s="26"/>
      <c r="H277" s="26"/>
      <c r="I277" s="26"/>
      <c r="J277" s="26"/>
      <c r="K277" s="26"/>
      <c r="L277" s="26"/>
      <c r="M277" s="26"/>
      <c r="N277" s="26"/>
      <c r="P277" s="26"/>
      <c r="Q277" s="26"/>
      <c r="R277" s="25"/>
      <c r="S277" s="25"/>
      <c r="T277" s="25"/>
      <c r="U277" s="25"/>
      <c r="V277" s="24"/>
      <c r="W277" s="24"/>
      <c r="X277" s="24"/>
      <c r="Y277" s="26"/>
      <c r="Z277" s="26"/>
      <c r="AA277" s="24"/>
      <c r="AB277" s="24"/>
      <c r="AC277" s="24"/>
      <c r="AD277" s="24"/>
      <c r="AE277" s="26"/>
      <c r="AF277" s="26"/>
      <c r="AG277" s="24"/>
      <c r="AH277" s="24"/>
      <c r="AI277" s="28"/>
      <c r="AJ277" s="28"/>
      <c r="AK277" s="28"/>
      <c r="AL277" s="28"/>
      <c r="AM277" s="28"/>
      <c r="AN277" s="28"/>
      <c r="AO277" s="28"/>
      <c r="AP277" s="28"/>
      <c r="AQ277" s="28"/>
      <c r="AR277" s="28"/>
      <c r="AS277" s="28"/>
      <c r="AT277" s="28"/>
      <c r="AU277" s="28"/>
      <c r="AV277" s="24"/>
      <c r="AW277" s="28"/>
      <c r="AX277" s="28"/>
      <c r="AY277" s="28"/>
      <c r="AZ277" s="28"/>
      <c r="BA277" s="28"/>
      <c r="BB277" s="28"/>
      <c r="BC277" s="24"/>
      <c r="BD277" s="28"/>
      <c r="BE277" s="28"/>
      <c r="BF277" s="28"/>
      <c r="BG277" s="24"/>
      <c r="BH277" s="28"/>
      <c r="BI277" s="28"/>
      <c r="BJ277" s="28"/>
    </row>
    <row r="278" spans="1:62">
      <c r="A278" s="24"/>
      <c r="B278" s="28"/>
      <c r="C278" s="25"/>
      <c r="D278" s="26"/>
      <c r="E278" s="24"/>
      <c r="F278" s="24"/>
      <c r="G278" s="26"/>
      <c r="H278" s="26"/>
      <c r="I278" s="26"/>
      <c r="J278" s="26"/>
      <c r="K278" s="26"/>
      <c r="L278" s="26"/>
      <c r="M278" s="26"/>
      <c r="N278" s="26"/>
      <c r="P278" s="26"/>
      <c r="Q278" s="26"/>
      <c r="R278" s="25"/>
      <c r="S278" s="25"/>
      <c r="T278" s="25"/>
      <c r="U278" s="25"/>
      <c r="V278" s="24"/>
      <c r="W278" s="24"/>
      <c r="X278" s="24"/>
      <c r="Y278" s="26"/>
      <c r="Z278" s="26"/>
      <c r="AA278" s="24"/>
      <c r="AB278" s="24"/>
      <c r="AC278" s="24"/>
      <c r="AD278" s="24"/>
      <c r="AE278" s="26"/>
      <c r="AF278" s="26"/>
      <c r="AG278" s="24"/>
      <c r="AH278" s="24"/>
      <c r="AI278" s="28"/>
      <c r="AJ278" s="28"/>
      <c r="AK278" s="28"/>
      <c r="AL278" s="28"/>
      <c r="AM278" s="28"/>
      <c r="AN278" s="28"/>
      <c r="AO278" s="28"/>
      <c r="AP278" s="28"/>
      <c r="AQ278" s="28"/>
      <c r="AR278" s="28"/>
      <c r="AS278" s="28"/>
      <c r="AT278" s="28"/>
      <c r="AU278" s="28"/>
      <c r="AV278" s="24"/>
      <c r="AW278" s="28"/>
      <c r="AX278" s="28"/>
      <c r="AY278" s="28"/>
      <c r="AZ278" s="28"/>
      <c r="BA278" s="28"/>
      <c r="BB278" s="28"/>
      <c r="BC278" s="24"/>
      <c r="BD278" s="28"/>
      <c r="BE278" s="28"/>
      <c r="BF278" s="28"/>
      <c r="BG278" s="24"/>
      <c r="BH278" s="28"/>
      <c r="BI278" s="28"/>
      <c r="BJ278" s="28"/>
    </row>
    <row r="279" spans="1:62">
      <c r="A279" s="24"/>
      <c r="B279" s="28"/>
      <c r="C279" s="25"/>
      <c r="D279" s="26"/>
      <c r="E279" s="24"/>
      <c r="F279" s="24"/>
      <c r="G279" s="26"/>
      <c r="H279" s="26"/>
      <c r="I279" s="26"/>
      <c r="J279" s="26"/>
      <c r="K279" s="26"/>
      <c r="L279" s="26"/>
      <c r="M279" s="26"/>
      <c r="N279" s="26"/>
      <c r="P279" s="26"/>
      <c r="Q279" s="26"/>
      <c r="R279" s="25"/>
      <c r="S279" s="25"/>
      <c r="T279" s="25"/>
      <c r="U279" s="25"/>
      <c r="V279" s="24"/>
      <c r="W279" s="24"/>
      <c r="X279" s="24"/>
      <c r="Y279" s="26"/>
      <c r="Z279" s="26"/>
      <c r="AA279" s="24"/>
      <c r="AB279" s="24"/>
      <c r="AC279" s="24"/>
      <c r="AD279" s="24"/>
      <c r="AE279" s="26"/>
      <c r="AF279" s="26"/>
      <c r="AG279" s="24"/>
      <c r="AH279" s="24"/>
      <c r="AI279" s="28"/>
      <c r="AJ279" s="28"/>
      <c r="AK279" s="28"/>
      <c r="AL279" s="28"/>
      <c r="AM279" s="28"/>
      <c r="AN279" s="28"/>
      <c r="AO279" s="28"/>
      <c r="AP279" s="28"/>
      <c r="AQ279" s="28"/>
      <c r="AR279" s="28"/>
      <c r="AS279" s="28"/>
      <c r="AT279" s="28"/>
      <c r="AU279" s="28"/>
      <c r="AV279" s="24"/>
      <c r="AW279" s="28"/>
      <c r="AX279" s="28"/>
      <c r="AY279" s="28"/>
      <c r="AZ279" s="28"/>
      <c r="BA279" s="28"/>
      <c r="BB279" s="28"/>
      <c r="BC279" s="24"/>
      <c r="BD279" s="28"/>
      <c r="BE279" s="28"/>
      <c r="BF279" s="28"/>
      <c r="BG279" s="24"/>
      <c r="BH279" s="28"/>
      <c r="BI279" s="28"/>
      <c r="BJ279" s="28"/>
    </row>
    <row r="280" spans="1:62">
      <c r="A280" s="24"/>
      <c r="B280" s="28"/>
      <c r="C280" s="25"/>
      <c r="D280" s="26"/>
      <c r="E280" s="24"/>
      <c r="F280" s="24"/>
      <c r="G280" s="26"/>
      <c r="H280" s="26"/>
      <c r="I280" s="26"/>
      <c r="J280" s="26"/>
      <c r="K280" s="26"/>
      <c r="L280" s="26"/>
      <c r="M280" s="26"/>
      <c r="N280" s="26"/>
      <c r="P280" s="26"/>
      <c r="Q280" s="26"/>
      <c r="R280" s="25"/>
      <c r="S280" s="25"/>
      <c r="T280" s="25"/>
      <c r="U280" s="25"/>
      <c r="V280" s="24"/>
      <c r="W280" s="24"/>
      <c r="X280" s="24"/>
      <c r="Y280" s="26"/>
      <c r="Z280" s="26"/>
      <c r="AA280" s="24"/>
      <c r="AB280" s="24"/>
      <c r="AC280" s="24"/>
      <c r="AD280" s="24"/>
      <c r="AE280" s="26"/>
      <c r="AF280" s="26"/>
      <c r="AG280" s="24"/>
      <c r="AH280" s="24"/>
      <c r="AI280" s="28"/>
      <c r="AJ280" s="28"/>
      <c r="AK280" s="28"/>
      <c r="AL280" s="28"/>
      <c r="AM280" s="28"/>
      <c r="AN280" s="28"/>
      <c r="AO280" s="28"/>
      <c r="AP280" s="28"/>
      <c r="AQ280" s="28"/>
      <c r="AR280" s="28"/>
      <c r="AS280" s="28"/>
      <c r="AT280" s="28"/>
      <c r="AU280" s="28"/>
      <c r="AV280" s="24"/>
      <c r="AW280" s="28"/>
      <c r="AX280" s="28"/>
      <c r="AY280" s="28"/>
      <c r="AZ280" s="28"/>
      <c r="BA280" s="28"/>
      <c r="BB280" s="28"/>
      <c r="BC280" s="24"/>
      <c r="BD280" s="28"/>
      <c r="BE280" s="28"/>
      <c r="BF280" s="28"/>
      <c r="BG280" s="24"/>
      <c r="BH280" s="28"/>
      <c r="BI280" s="28"/>
      <c r="BJ280" s="28"/>
    </row>
    <row r="281" spans="1:62">
      <c r="A281" s="24"/>
      <c r="B281" s="28"/>
      <c r="C281" s="25"/>
      <c r="D281" s="26"/>
      <c r="E281" s="24"/>
      <c r="F281" s="24"/>
      <c r="G281" s="26"/>
      <c r="H281" s="26"/>
      <c r="I281" s="26"/>
      <c r="J281" s="26"/>
      <c r="K281" s="26"/>
      <c r="L281" s="26"/>
      <c r="M281" s="26"/>
      <c r="N281" s="26"/>
      <c r="P281" s="26"/>
      <c r="Q281" s="26"/>
      <c r="R281" s="25"/>
      <c r="S281" s="25"/>
      <c r="T281" s="25"/>
      <c r="U281" s="25"/>
      <c r="V281" s="24"/>
      <c r="W281" s="24"/>
      <c r="X281" s="24"/>
      <c r="Y281" s="26"/>
      <c r="Z281" s="26"/>
      <c r="AA281" s="24"/>
      <c r="AB281" s="24"/>
      <c r="AC281" s="24"/>
      <c r="AD281" s="24"/>
      <c r="AE281" s="26"/>
      <c r="AF281" s="26"/>
      <c r="AG281" s="24"/>
      <c r="AH281" s="24"/>
      <c r="AI281" s="28"/>
      <c r="AJ281" s="28"/>
      <c r="AK281" s="28"/>
      <c r="AL281" s="28"/>
      <c r="AM281" s="28"/>
      <c r="AN281" s="28"/>
      <c r="AO281" s="28"/>
      <c r="AP281" s="28"/>
      <c r="AQ281" s="28"/>
      <c r="AR281" s="28"/>
      <c r="AS281" s="28"/>
      <c r="AT281" s="28"/>
      <c r="AU281" s="28"/>
      <c r="AV281" s="24"/>
      <c r="AW281" s="28"/>
      <c r="AX281" s="28"/>
      <c r="AY281" s="28"/>
      <c r="AZ281" s="28"/>
      <c r="BA281" s="28"/>
      <c r="BB281" s="28"/>
      <c r="BC281" s="24"/>
      <c r="BD281" s="28"/>
      <c r="BE281" s="28"/>
      <c r="BF281" s="28"/>
      <c r="BG281" s="24"/>
      <c r="BH281" s="28"/>
      <c r="BI281" s="28"/>
      <c r="BJ281" s="28"/>
    </row>
    <row r="282" spans="1:62">
      <c r="A282" s="24"/>
      <c r="B282" s="28"/>
      <c r="C282" s="25"/>
      <c r="D282" s="26"/>
      <c r="E282" s="24"/>
      <c r="F282" s="24"/>
      <c r="G282" s="26"/>
      <c r="H282" s="26"/>
      <c r="I282" s="26"/>
      <c r="J282" s="26"/>
      <c r="K282" s="26"/>
      <c r="L282" s="26"/>
      <c r="M282" s="26"/>
      <c r="N282" s="26"/>
      <c r="P282" s="26"/>
      <c r="Q282" s="26"/>
      <c r="R282" s="25"/>
      <c r="S282" s="25"/>
      <c r="T282" s="25"/>
      <c r="U282" s="25"/>
      <c r="V282" s="24"/>
      <c r="W282" s="24"/>
      <c r="X282" s="24"/>
      <c r="Y282" s="26"/>
      <c r="Z282" s="26"/>
      <c r="AA282" s="24"/>
      <c r="AB282" s="24"/>
      <c r="AC282" s="24"/>
      <c r="AD282" s="24"/>
      <c r="AE282" s="26"/>
      <c r="AF282" s="26"/>
      <c r="AG282" s="24"/>
      <c r="AH282" s="24"/>
      <c r="AI282" s="28"/>
      <c r="AJ282" s="28"/>
      <c r="AK282" s="28"/>
      <c r="AL282" s="28"/>
      <c r="AM282" s="28"/>
      <c r="AN282" s="28"/>
      <c r="AO282" s="28"/>
      <c r="AP282" s="28"/>
      <c r="AQ282" s="28"/>
      <c r="AR282" s="28"/>
      <c r="AS282" s="28"/>
      <c r="AT282" s="28"/>
      <c r="AU282" s="28"/>
      <c r="AV282" s="24"/>
      <c r="AW282" s="28"/>
      <c r="AX282" s="28"/>
      <c r="AY282" s="28"/>
      <c r="AZ282" s="28"/>
      <c r="BA282" s="28"/>
      <c r="BB282" s="28"/>
      <c r="BC282" s="24"/>
      <c r="BD282" s="28"/>
      <c r="BE282" s="28"/>
      <c r="BF282" s="28"/>
      <c r="BG282" s="24"/>
      <c r="BH282" s="28"/>
      <c r="BI282" s="28"/>
      <c r="BJ282" s="28"/>
    </row>
    <row r="283" spans="1:62">
      <c r="A283" s="24"/>
      <c r="B283" s="28"/>
      <c r="C283" s="25"/>
      <c r="D283" s="26"/>
      <c r="E283" s="24"/>
      <c r="F283" s="24"/>
      <c r="G283" s="26"/>
      <c r="H283" s="26"/>
      <c r="I283" s="26"/>
      <c r="J283" s="26"/>
      <c r="K283" s="26"/>
      <c r="L283" s="26"/>
      <c r="M283" s="26"/>
      <c r="N283" s="26"/>
      <c r="P283" s="26"/>
      <c r="Q283" s="26"/>
      <c r="R283" s="25"/>
      <c r="S283" s="25"/>
      <c r="T283" s="25"/>
      <c r="U283" s="25"/>
      <c r="V283" s="24"/>
      <c r="W283" s="24"/>
      <c r="X283" s="24"/>
      <c r="Y283" s="26"/>
      <c r="Z283" s="26"/>
      <c r="AA283" s="24"/>
      <c r="AB283" s="24"/>
      <c r="AC283" s="24"/>
      <c r="AD283" s="24"/>
      <c r="AE283" s="26"/>
      <c r="AF283" s="26"/>
      <c r="AG283" s="24"/>
      <c r="AH283" s="24"/>
      <c r="AI283" s="28"/>
      <c r="AJ283" s="28"/>
      <c r="AK283" s="28"/>
      <c r="AL283" s="28"/>
      <c r="AM283" s="28"/>
      <c r="AN283" s="28"/>
      <c r="AO283" s="28"/>
      <c r="AP283" s="28"/>
      <c r="AQ283" s="28"/>
      <c r="AR283" s="28"/>
      <c r="AS283" s="28"/>
      <c r="AT283" s="28"/>
      <c r="AU283" s="28"/>
      <c r="AV283" s="24"/>
      <c r="AW283" s="28"/>
      <c r="AX283" s="28"/>
      <c r="AY283" s="28"/>
      <c r="AZ283" s="28"/>
      <c r="BA283" s="28"/>
      <c r="BB283" s="28"/>
      <c r="BC283" s="24"/>
      <c r="BD283" s="28"/>
      <c r="BE283" s="28"/>
      <c r="BF283" s="28"/>
      <c r="BG283" s="24"/>
      <c r="BH283" s="28"/>
      <c r="BI283" s="28"/>
      <c r="BJ283" s="28"/>
    </row>
    <row r="284" spans="1:62">
      <c r="A284" s="24"/>
      <c r="B284" s="28"/>
      <c r="C284" s="25"/>
      <c r="D284" s="26"/>
      <c r="E284" s="24"/>
      <c r="F284" s="24"/>
      <c r="G284" s="26"/>
      <c r="H284" s="26"/>
      <c r="I284" s="26"/>
      <c r="J284" s="26"/>
      <c r="K284" s="26"/>
      <c r="L284" s="26"/>
      <c r="M284" s="26"/>
      <c r="N284" s="26"/>
      <c r="P284" s="26"/>
      <c r="Q284" s="26"/>
      <c r="R284" s="25"/>
      <c r="S284" s="25"/>
      <c r="T284" s="25"/>
      <c r="U284" s="25"/>
      <c r="V284" s="24"/>
      <c r="W284" s="24"/>
      <c r="X284" s="24"/>
      <c r="Y284" s="26"/>
      <c r="Z284" s="26"/>
      <c r="AA284" s="24"/>
      <c r="AB284" s="24"/>
      <c r="AC284" s="24"/>
      <c r="AD284" s="24"/>
      <c r="AE284" s="26"/>
      <c r="AF284" s="26"/>
      <c r="AG284" s="24"/>
      <c r="AH284" s="24"/>
      <c r="AI284" s="28"/>
      <c r="AJ284" s="28"/>
      <c r="AK284" s="28"/>
      <c r="AL284" s="28"/>
      <c r="AM284" s="28"/>
      <c r="AN284" s="28"/>
      <c r="AO284" s="28"/>
      <c r="AP284" s="28"/>
      <c r="AQ284" s="28"/>
      <c r="AR284" s="28"/>
      <c r="AS284" s="28"/>
      <c r="AT284" s="28"/>
      <c r="AU284" s="28"/>
      <c r="AV284" s="24"/>
      <c r="AW284" s="28"/>
      <c r="AX284" s="28"/>
      <c r="AY284" s="28"/>
      <c r="AZ284" s="28"/>
      <c r="BA284" s="28"/>
      <c r="BB284" s="28"/>
      <c r="BC284" s="24"/>
      <c r="BD284" s="28"/>
      <c r="BE284" s="28"/>
      <c r="BF284" s="28"/>
      <c r="BG284" s="24"/>
      <c r="BH284" s="28"/>
      <c r="BI284" s="28"/>
      <c r="BJ284" s="28"/>
    </row>
    <row r="285" spans="1:62">
      <c r="A285" s="24"/>
      <c r="B285" s="28"/>
      <c r="C285" s="25"/>
      <c r="D285" s="26"/>
      <c r="E285" s="24"/>
      <c r="F285" s="24"/>
      <c r="G285" s="26"/>
      <c r="H285" s="26"/>
      <c r="I285" s="26"/>
      <c r="J285" s="26"/>
      <c r="K285" s="26"/>
      <c r="L285" s="26"/>
      <c r="M285" s="26"/>
      <c r="N285" s="26"/>
      <c r="P285" s="26"/>
      <c r="Q285" s="26"/>
      <c r="R285" s="25"/>
      <c r="S285" s="25"/>
      <c r="T285" s="25"/>
      <c r="U285" s="25"/>
      <c r="V285" s="24"/>
      <c r="W285" s="24"/>
      <c r="X285" s="24"/>
      <c r="Y285" s="26"/>
      <c r="Z285" s="26"/>
      <c r="AA285" s="24"/>
      <c r="AB285" s="24"/>
      <c r="AC285" s="24"/>
      <c r="AD285" s="24"/>
      <c r="AE285" s="26"/>
      <c r="AF285" s="26"/>
      <c r="AG285" s="24"/>
      <c r="AH285" s="24"/>
      <c r="AI285" s="28"/>
      <c r="AJ285" s="28"/>
      <c r="AK285" s="28"/>
      <c r="AL285" s="28"/>
      <c r="AM285" s="28"/>
      <c r="AN285" s="28"/>
      <c r="AO285" s="28"/>
      <c r="AP285" s="28"/>
      <c r="AQ285" s="28"/>
      <c r="AR285" s="28"/>
      <c r="AS285" s="28"/>
      <c r="AT285" s="28"/>
      <c r="AU285" s="28"/>
      <c r="AV285" s="24"/>
      <c r="AW285" s="28"/>
      <c r="AX285" s="28"/>
      <c r="AY285" s="28"/>
      <c r="AZ285" s="28"/>
      <c r="BA285" s="28"/>
      <c r="BB285" s="28"/>
      <c r="BC285" s="24"/>
      <c r="BD285" s="28"/>
      <c r="BE285" s="28"/>
      <c r="BF285" s="28"/>
      <c r="BG285" s="24"/>
      <c r="BH285" s="28"/>
      <c r="BI285" s="28"/>
      <c r="BJ285" s="28"/>
    </row>
    <row r="286" spans="1:62">
      <c r="A286" s="24"/>
      <c r="B286" s="28"/>
      <c r="C286" s="25"/>
      <c r="D286" s="26"/>
      <c r="E286" s="24"/>
      <c r="F286" s="24"/>
      <c r="G286" s="26"/>
      <c r="H286" s="26"/>
      <c r="I286" s="26"/>
      <c r="J286" s="26"/>
      <c r="K286" s="26"/>
      <c r="L286" s="26"/>
      <c r="M286" s="26"/>
      <c r="N286" s="26"/>
      <c r="P286" s="26"/>
      <c r="Q286" s="26"/>
      <c r="R286" s="25"/>
      <c r="S286" s="25"/>
      <c r="T286" s="25"/>
      <c r="U286" s="25"/>
      <c r="V286" s="24"/>
      <c r="W286" s="24"/>
      <c r="X286" s="24"/>
      <c r="Y286" s="26"/>
      <c r="Z286" s="26"/>
      <c r="AA286" s="24"/>
      <c r="AB286" s="24"/>
      <c r="AC286" s="24"/>
      <c r="AD286" s="24"/>
      <c r="AE286" s="26"/>
      <c r="AF286" s="26"/>
      <c r="AG286" s="24"/>
      <c r="AH286" s="24"/>
      <c r="AI286" s="28"/>
      <c r="AJ286" s="28"/>
      <c r="AK286" s="28"/>
      <c r="AL286" s="28"/>
      <c r="AM286" s="28"/>
      <c r="AN286" s="28"/>
      <c r="AO286" s="28"/>
      <c r="AP286" s="28"/>
      <c r="AQ286" s="28"/>
      <c r="AR286" s="28"/>
      <c r="AS286" s="28"/>
      <c r="AT286" s="28"/>
      <c r="AU286" s="28"/>
      <c r="AV286" s="24"/>
      <c r="AW286" s="28"/>
      <c r="AX286" s="28"/>
      <c r="AY286" s="28"/>
      <c r="AZ286" s="28"/>
      <c r="BA286" s="28"/>
      <c r="BB286" s="28"/>
      <c r="BC286" s="24"/>
      <c r="BD286" s="28"/>
      <c r="BE286" s="28"/>
      <c r="BF286" s="28"/>
      <c r="BG286" s="24"/>
      <c r="BH286" s="28"/>
      <c r="BI286" s="28"/>
      <c r="BJ286" s="28"/>
    </row>
    <row r="287" spans="1:62">
      <c r="A287" s="24"/>
      <c r="B287" s="28"/>
      <c r="C287" s="25"/>
      <c r="D287" s="26"/>
      <c r="E287" s="24"/>
      <c r="F287" s="24"/>
      <c r="G287" s="26"/>
      <c r="H287" s="26"/>
      <c r="I287" s="26"/>
      <c r="J287" s="26"/>
      <c r="K287" s="26"/>
      <c r="L287" s="26"/>
      <c r="M287" s="26"/>
      <c r="N287" s="26"/>
      <c r="P287" s="26"/>
      <c r="Q287" s="26"/>
      <c r="R287" s="25"/>
      <c r="S287" s="25"/>
      <c r="T287" s="25"/>
      <c r="U287" s="25"/>
      <c r="V287" s="24"/>
      <c r="W287" s="24"/>
      <c r="X287" s="24"/>
      <c r="Y287" s="26"/>
      <c r="Z287" s="26"/>
      <c r="AA287" s="24"/>
      <c r="AB287" s="24"/>
      <c r="AC287" s="24"/>
      <c r="AD287" s="24"/>
      <c r="AE287" s="26"/>
      <c r="AF287" s="26"/>
      <c r="AG287" s="24"/>
      <c r="AH287" s="24"/>
      <c r="AI287" s="28"/>
      <c r="AJ287" s="28"/>
      <c r="AK287" s="28"/>
      <c r="AL287" s="28"/>
      <c r="AM287" s="28"/>
      <c r="AN287" s="28"/>
      <c r="AO287" s="28"/>
      <c r="AP287" s="28"/>
      <c r="AQ287" s="28"/>
      <c r="AR287" s="28"/>
      <c r="AS287" s="28"/>
      <c r="AT287" s="28"/>
      <c r="AU287" s="28"/>
      <c r="AV287" s="24"/>
      <c r="AW287" s="28"/>
      <c r="AX287" s="28"/>
      <c r="AY287" s="28"/>
      <c r="AZ287" s="28"/>
      <c r="BA287" s="28"/>
      <c r="BB287" s="28"/>
      <c r="BC287" s="24"/>
      <c r="BD287" s="28"/>
      <c r="BE287" s="28"/>
      <c r="BF287" s="28"/>
      <c r="BG287" s="24"/>
      <c r="BH287" s="28"/>
      <c r="BI287" s="28"/>
      <c r="BJ287" s="28"/>
    </row>
    <row r="288" spans="1:62">
      <c r="A288" s="24"/>
      <c r="B288" s="28"/>
      <c r="C288" s="25"/>
      <c r="D288" s="26"/>
      <c r="E288" s="24"/>
      <c r="F288" s="24"/>
      <c r="G288" s="26"/>
      <c r="H288" s="26"/>
      <c r="I288" s="26"/>
      <c r="J288" s="26"/>
      <c r="K288" s="26"/>
      <c r="L288" s="26"/>
      <c r="M288" s="26"/>
      <c r="N288" s="26"/>
      <c r="P288" s="26"/>
      <c r="Q288" s="26"/>
      <c r="R288" s="25"/>
      <c r="S288" s="25"/>
      <c r="T288" s="25"/>
      <c r="U288" s="25"/>
      <c r="V288" s="24"/>
      <c r="W288" s="24"/>
      <c r="X288" s="24"/>
      <c r="Y288" s="26"/>
      <c r="Z288" s="26"/>
      <c r="AA288" s="24"/>
      <c r="AB288" s="24"/>
      <c r="AC288" s="24"/>
      <c r="AD288" s="24"/>
      <c r="AE288" s="26"/>
      <c r="AF288" s="26"/>
      <c r="AG288" s="24"/>
      <c r="AH288" s="24"/>
      <c r="AI288" s="28"/>
      <c r="AJ288" s="28"/>
      <c r="AK288" s="28"/>
      <c r="AL288" s="28"/>
      <c r="AM288" s="28"/>
      <c r="AN288" s="28"/>
      <c r="AO288" s="28"/>
      <c r="AP288" s="28"/>
      <c r="AQ288" s="28"/>
      <c r="AR288" s="28"/>
      <c r="AS288" s="28"/>
      <c r="AT288" s="28"/>
      <c r="AU288" s="28"/>
      <c r="AV288" s="24"/>
      <c r="AW288" s="28"/>
      <c r="AX288" s="28"/>
      <c r="AY288" s="28"/>
      <c r="AZ288" s="28"/>
      <c r="BA288" s="28"/>
      <c r="BB288" s="28"/>
      <c r="BC288" s="24"/>
      <c r="BD288" s="28"/>
      <c r="BE288" s="28"/>
      <c r="BF288" s="28"/>
      <c r="BG288" s="24"/>
      <c r="BH288" s="28"/>
      <c r="BI288" s="28"/>
      <c r="BJ288" s="28"/>
    </row>
    <row r="289" spans="1:62">
      <c r="A289" s="24"/>
      <c r="B289" s="28"/>
      <c r="C289" s="25"/>
      <c r="D289" s="26"/>
      <c r="E289" s="24"/>
      <c r="F289" s="24"/>
      <c r="G289" s="26"/>
      <c r="H289" s="26"/>
      <c r="I289" s="26"/>
      <c r="J289" s="26"/>
      <c r="K289" s="26"/>
      <c r="L289" s="26"/>
      <c r="M289" s="26"/>
      <c r="N289" s="26"/>
      <c r="P289" s="26"/>
      <c r="Q289" s="26"/>
      <c r="R289" s="25"/>
      <c r="S289" s="25"/>
      <c r="T289" s="25"/>
      <c r="U289" s="25"/>
      <c r="V289" s="24"/>
      <c r="W289" s="24"/>
      <c r="X289" s="24"/>
      <c r="Y289" s="26"/>
      <c r="Z289" s="26"/>
      <c r="AA289" s="24"/>
      <c r="AB289" s="24"/>
      <c r="AC289" s="24"/>
      <c r="AD289" s="24"/>
      <c r="AE289" s="26"/>
      <c r="AF289" s="26"/>
      <c r="AG289" s="24"/>
      <c r="AH289" s="24"/>
      <c r="AI289" s="28"/>
      <c r="AJ289" s="28"/>
      <c r="AK289" s="28"/>
      <c r="AL289" s="28"/>
      <c r="AM289" s="28"/>
      <c r="AN289" s="28"/>
      <c r="AO289" s="28"/>
      <c r="AP289" s="28"/>
      <c r="AQ289" s="28"/>
      <c r="AR289" s="28"/>
      <c r="AS289" s="28"/>
      <c r="AT289" s="28"/>
      <c r="AU289" s="28"/>
      <c r="AV289" s="24"/>
      <c r="AW289" s="28"/>
      <c r="AX289" s="28"/>
      <c r="AY289" s="28"/>
      <c r="AZ289" s="28"/>
      <c r="BA289" s="28"/>
      <c r="BB289" s="28"/>
      <c r="BC289" s="24"/>
      <c r="BD289" s="28"/>
      <c r="BE289" s="28"/>
      <c r="BF289" s="28"/>
      <c r="BG289" s="24"/>
      <c r="BH289" s="28"/>
      <c r="BI289" s="28"/>
      <c r="BJ289" s="28"/>
    </row>
    <row r="290" spans="1:62">
      <c r="A290" s="24"/>
      <c r="B290" s="28"/>
      <c r="C290" s="25"/>
      <c r="D290" s="26"/>
      <c r="E290" s="24"/>
      <c r="F290" s="24"/>
      <c r="G290" s="26"/>
      <c r="H290" s="26"/>
      <c r="I290" s="26"/>
      <c r="J290" s="26"/>
      <c r="K290" s="26"/>
      <c r="L290" s="26"/>
      <c r="M290" s="26"/>
      <c r="N290" s="26"/>
      <c r="P290" s="26"/>
      <c r="Q290" s="26"/>
      <c r="R290" s="25"/>
      <c r="S290" s="25"/>
      <c r="T290" s="25"/>
      <c r="U290" s="25"/>
      <c r="V290" s="24"/>
      <c r="W290" s="24"/>
      <c r="X290" s="24"/>
      <c r="Y290" s="26"/>
      <c r="Z290" s="26"/>
      <c r="AA290" s="24"/>
      <c r="AB290" s="24"/>
      <c r="AC290" s="24"/>
      <c r="AD290" s="24"/>
      <c r="AE290" s="26"/>
      <c r="AF290" s="26"/>
      <c r="AG290" s="24"/>
      <c r="AH290" s="24"/>
      <c r="AI290" s="28"/>
      <c r="AJ290" s="28"/>
      <c r="AK290" s="28"/>
      <c r="AL290" s="28"/>
      <c r="AM290" s="28"/>
      <c r="AN290" s="28"/>
      <c r="AO290" s="28"/>
      <c r="AP290" s="28"/>
      <c r="AQ290" s="28"/>
      <c r="AR290" s="28"/>
      <c r="AS290" s="28"/>
      <c r="AT290" s="28"/>
      <c r="AU290" s="28"/>
      <c r="AV290" s="24"/>
      <c r="AW290" s="28"/>
      <c r="AX290" s="28"/>
      <c r="AY290" s="28"/>
      <c r="AZ290" s="28"/>
      <c r="BA290" s="28"/>
      <c r="BB290" s="28"/>
      <c r="BC290" s="24"/>
      <c r="BD290" s="28"/>
      <c r="BE290" s="28"/>
      <c r="BF290" s="28"/>
      <c r="BG290" s="24"/>
      <c r="BH290" s="28"/>
      <c r="BI290" s="28"/>
      <c r="BJ290" s="28"/>
    </row>
    <row r="291" spans="1:62">
      <c r="A291" s="24"/>
      <c r="B291" s="28"/>
      <c r="C291" s="25"/>
      <c r="D291" s="26"/>
      <c r="E291" s="24"/>
      <c r="F291" s="24"/>
      <c r="G291" s="26"/>
      <c r="H291" s="26"/>
      <c r="I291" s="26"/>
      <c r="J291" s="26"/>
      <c r="K291" s="26"/>
      <c r="L291" s="26"/>
      <c r="M291" s="26"/>
      <c r="N291" s="26"/>
      <c r="P291" s="26"/>
      <c r="Q291" s="26"/>
      <c r="R291" s="25"/>
      <c r="S291" s="25"/>
      <c r="T291" s="25"/>
      <c r="U291" s="25"/>
      <c r="V291" s="24"/>
      <c r="W291" s="24"/>
      <c r="X291" s="24"/>
      <c r="Y291" s="26"/>
      <c r="Z291" s="26"/>
      <c r="AA291" s="24"/>
      <c r="AB291" s="24"/>
      <c r="AC291" s="24"/>
      <c r="AD291" s="24"/>
      <c r="AE291" s="26"/>
      <c r="AF291" s="26"/>
      <c r="AG291" s="24"/>
      <c r="AH291" s="24"/>
      <c r="AI291" s="28"/>
      <c r="AJ291" s="28"/>
      <c r="AK291" s="28"/>
      <c r="AL291" s="28"/>
      <c r="AM291" s="28"/>
      <c r="AN291" s="28"/>
      <c r="AO291" s="28"/>
      <c r="AP291" s="28"/>
      <c r="AQ291" s="28"/>
      <c r="AR291" s="28"/>
      <c r="AS291" s="28"/>
      <c r="AT291" s="28"/>
      <c r="AU291" s="28"/>
      <c r="AV291" s="24"/>
      <c r="AW291" s="28"/>
      <c r="AX291" s="28"/>
      <c r="AY291" s="28"/>
      <c r="AZ291" s="28"/>
      <c r="BA291" s="28"/>
      <c r="BB291" s="28"/>
      <c r="BC291" s="24"/>
      <c r="BD291" s="28"/>
      <c r="BE291" s="28"/>
      <c r="BF291" s="28"/>
      <c r="BG291" s="24"/>
      <c r="BH291" s="28"/>
      <c r="BI291" s="28"/>
      <c r="BJ291" s="28"/>
    </row>
    <row r="292" spans="1:62">
      <c r="A292" s="24"/>
      <c r="B292" s="28"/>
      <c r="C292" s="25"/>
      <c r="D292" s="26"/>
      <c r="E292" s="24"/>
      <c r="F292" s="24"/>
      <c r="G292" s="26"/>
      <c r="H292" s="26"/>
      <c r="I292" s="26"/>
      <c r="J292" s="26"/>
      <c r="K292" s="26"/>
      <c r="L292" s="26"/>
      <c r="M292" s="26"/>
      <c r="N292" s="26"/>
      <c r="P292" s="26"/>
      <c r="Q292" s="26"/>
      <c r="R292" s="25"/>
      <c r="S292" s="25"/>
      <c r="T292" s="25"/>
      <c r="U292" s="25"/>
      <c r="V292" s="24"/>
      <c r="W292" s="24"/>
      <c r="X292" s="24"/>
      <c r="Y292" s="26"/>
      <c r="Z292" s="26"/>
      <c r="AA292" s="24"/>
      <c r="AB292" s="24"/>
      <c r="AC292" s="24"/>
      <c r="AD292" s="24"/>
      <c r="AE292" s="26"/>
      <c r="AF292" s="26"/>
      <c r="AG292" s="24"/>
      <c r="AH292" s="24"/>
      <c r="AI292" s="28"/>
      <c r="AJ292" s="28"/>
      <c r="AK292" s="28"/>
      <c r="AL292" s="28"/>
      <c r="AM292" s="28"/>
      <c r="AN292" s="28"/>
      <c r="AO292" s="28"/>
      <c r="AP292" s="28"/>
      <c r="AQ292" s="28"/>
      <c r="AR292" s="28"/>
      <c r="AS292" s="28"/>
      <c r="AT292" s="28"/>
      <c r="AU292" s="28"/>
      <c r="AV292" s="24"/>
      <c r="AW292" s="28"/>
      <c r="AX292" s="28"/>
      <c r="AY292" s="28"/>
      <c r="AZ292" s="28"/>
      <c r="BA292" s="28"/>
      <c r="BB292" s="28"/>
      <c r="BC292" s="24"/>
      <c r="BD292" s="28"/>
      <c r="BE292" s="28"/>
      <c r="BF292" s="28"/>
      <c r="BG292" s="24"/>
      <c r="BH292" s="28"/>
      <c r="BI292" s="28"/>
      <c r="BJ292" s="28"/>
    </row>
    <row r="293" spans="1:62">
      <c r="A293" s="24"/>
      <c r="B293" s="28"/>
      <c r="C293" s="25"/>
      <c r="D293" s="26"/>
      <c r="E293" s="24"/>
      <c r="F293" s="24"/>
      <c r="G293" s="26"/>
      <c r="H293" s="26"/>
      <c r="I293" s="26"/>
      <c r="J293" s="26"/>
      <c r="K293" s="26"/>
      <c r="L293" s="26"/>
      <c r="M293" s="26"/>
      <c r="N293" s="26"/>
      <c r="P293" s="26"/>
      <c r="Q293" s="26"/>
      <c r="R293" s="25"/>
      <c r="S293" s="25"/>
      <c r="T293" s="25"/>
      <c r="U293" s="25"/>
      <c r="V293" s="24"/>
      <c r="W293" s="24"/>
      <c r="X293" s="24"/>
      <c r="Y293" s="26"/>
      <c r="Z293" s="26"/>
      <c r="AA293" s="24"/>
      <c r="AB293" s="24"/>
      <c r="AC293" s="24"/>
      <c r="AD293" s="24"/>
      <c r="AE293" s="26"/>
      <c r="AF293" s="26"/>
      <c r="AG293" s="24"/>
      <c r="AH293" s="24"/>
      <c r="AI293" s="28"/>
      <c r="AJ293" s="28"/>
      <c r="AK293" s="28"/>
      <c r="AL293" s="28"/>
      <c r="AM293" s="28"/>
      <c r="AN293" s="28"/>
      <c r="AO293" s="28"/>
      <c r="AP293" s="28"/>
      <c r="AQ293" s="28"/>
      <c r="AR293" s="28"/>
      <c r="AS293" s="28"/>
      <c r="AT293" s="28"/>
      <c r="AU293" s="28"/>
      <c r="AV293" s="24"/>
      <c r="AW293" s="28"/>
      <c r="AX293" s="28"/>
      <c r="AY293" s="28"/>
      <c r="AZ293" s="28"/>
      <c r="BA293" s="28"/>
      <c r="BB293" s="28"/>
      <c r="BC293" s="24"/>
      <c r="BD293" s="28"/>
      <c r="BE293" s="28"/>
      <c r="BF293" s="28"/>
      <c r="BG293" s="24"/>
      <c r="BH293" s="28"/>
      <c r="BI293" s="28"/>
      <c r="BJ293" s="28"/>
    </row>
    <row r="294" spans="1:62">
      <c r="A294" s="24"/>
      <c r="B294" s="28"/>
      <c r="C294" s="25"/>
      <c r="D294" s="26"/>
      <c r="E294" s="24"/>
      <c r="F294" s="24"/>
      <c r="G294" s="26"/>
      <c r="H294" s="26"/>
      <c r="I294" s="26"/>
      <c r="J294" s="26"/>
      <c r="K294" s="26"/>
      <c r="L294" s="26"/>
      <c r="M294" s="26"/>
      <c r="N294" s="26"/>
      <c r="P294" s="26"/>
      <c r="Q294" s="26"/>
      <c r="R294" s="25"/>
      <c r="S294" s="25"/>
      <c r="T294" s="25"/>
      <c r="U294" s="25"/>
      <c r="V294" s="24"/>
      <c r="W294" s="24"/>
      <c r="X294" s="24"/>
      <c r="Y294" s="26"/>
      <c r="Z294" s="26"/>
      <c r="AA294" s="24"/>
      <c r="AB294" s="24"/>
      <c r="AC294" s="24"/>
      <c r="AD294" s="24"/>
      <c r="AE294" s="26"/>
      <c r="AF294" s="26"/>
      <c r="AG294" s="24"/>
      <c r="AH294" s="24"/>
      <c r="AI294" s="28"/>
      <c r="AJ294" s="28"/>
      <c r="AK294" s="28"/>
      <c r="AL294" s="28"/>
      <c r="AM294" s="28"/>
      <c r="AN294" s="28"/>
      <c r="AO294" s="28"/>
      <c r="AP294" s="28"/>
      <c r="AQ294" s="28"/>
      <c r="AR294" s="28"/>
      <c r="AS294" s="28"/>
      <c r="AT294" s="28"/>
      <c r="AU294" s="28"/>
      <c r="AV294" s="24"/>
      <c r="AW294" s="28"/>
      <c r="AX294" s="28"/>
      <c r="AY294" s="28"/>
      <c r="AZ294" s="28"/>
      <c r="BA294" s="28"/>
      <c r="BB294" s="28"/>
      <c r="BC294" s="24"/>
      <c r="BD294" s="28"/>
      <c r="BE294" s="28"/>
      <c r="BF294" s="28"/>
      <c r="BG294" s="24"/>
      <c r="BH294" s="28"/>
      <c r="BI294" s="28"/>
      <c r="BJ294" s="28"/>
    </row>
    <row r="295" spans="1:62">
      <c r="A295" s="24"/>
      <c r="B295" s="28"/>
      <c r="C295" s="25"/>
      <c r="D295" s="26"/>
      <c r="E295" s="24"/>
      <c r="F295" s="24"/>
      <c r="G295" s="26"/>
      <c r="H295" s="26"/>
      <c r="I295" s="26"/>
      <c r="J295" s="26"/>
      <c r="K295" s="26"/>
      <c r="L295" s="26"/>
      <c r="M295" s="26"/>
      <c r="N295" s="26"/>
      <c r="P295" s="26"/>
      <c r="Q295" s="26"/>
      <c r="R295" s="25"/>
      <c r="S295" s="25"/>
      <c r="T295" s="25"/>
      <c r="U295" s="25"/>
      <c r="V295" s="24"/>
      <c r="W295" s="24"/>
      <c r="X295" s="24"/>
      <c r="Y295" s="26"/>
      <c r="Z295" s="26"/>
      <c r="AA295" s="24"/>
      <c r="AB295" s="24"/>
      <c r="AC295" s="24"/>
      <c r="AD295" s="24"/>
      <c r="AE295" s="26"/>
      <c r="AF295" s="26"/>
      <c r="AG295" s="24"/>
      <c r="AH295" s="24"/>
      <c r="AI295" s="28"/>
      <c r="AJ295" s="28"/>
      <c r="AK295" s="28"/>
      <c r="AL295" s="28"/>
      <c r="AM295" s="28"/>
      <c r="AN295" s="28"/>
      <c r="AO295" s="28"/>
      <c r="AP295" s="28"/>
      <c r="AQ295" s="28"/>
      <c r="AR295" s="28"/>
      <c r="AS295" s="28"/>
      <c r="AT295" s="28"/>
      <c r="AU295" s="28"/>
      <c r="AV295" s="24"/>
      <c r="AW295" s="28"/>
      <c r="AX295" s="28"/>
      <c r="AY295" s="28"/>
      <c r="AZ295" s="28"/>
      <c r="BA295" s="28"/>
      <c r="BB295" s="28"/>
      <c r="BC295" s="24"/>
      <c r="BD295" s="28"/>
      <c r="BE295" s="28"/>
      <c r="BF295" s="28"/>
      <c r="BG295" s="24"/>
      <c r="BH295" s="28"/>
      <c r="BI295" s="28"/>
      <c r="BJ295" s="28"/>
    </row>
    <row r="296" spans="1:62">
      <c r="A296" s="24"/>
      <c r="B296" s="28"/>
      <c r="C296" s="25"/>
      <c r="D296" s="26"/>
      <c r="E296" s="24"/>
      <c r="F296" s="24"/>
      <c r="G296" s="26"/>
      <c r="H296" s="26"/>
      <c r="I296" s="26"/>
      <c r="J296" s="26"/>
      <c r="K296" s="26"/>
      <c r="L296" s="26"/>
      <c r="M296" s="26"/>
      <c r="N296" s="26"/>
      <c r="P296" s="26"/>
      <c r="Q296" s="26"/>
      <c r="R296" s="25"/>
      <c r="S296" s="25"/>
      <c r="T296" s="25"/>
      <c r="U296" s="25"/>
      <c r="V296" s="24"/>
      <c r="W296" s="24"/>
      <c r="X296" s="24"/>
      <c r="Y296" s="26"/>
      <c r="Z296" s="26"/>
      <c r="AA296" s="24"/>
      <c r="AB296" s="24"/>
      <c r="AC296" s="24"/>
      <c r="AD296" s="24"/>
      <c r="AE296" s="26"/>
      <c r="AF296" s="26"/>
      <c r="AG296" s="24"/>
      <c r="AH296" s="24"/>
      <c r="AI296" s="28"/>
      <c r="AJ296" s="28"/>
      <c r="AK296" s="28"/>
      <c r="AL296" s="28"/>
      <c r="AM296" s="28"/>
      <c r="AN296" s="28"/>
      <c r="AO296" s="28"/>
      <c r="AP296" s="28"/>
      <c r="AQ296" s="28"/>
      <c r="AR296" s="28"/>
      <c r="AS296" s="28"/>
      <c r="AT296" s="28"/>
      <c r="AU296" s="28"/>
      <c r="AV296" s="24"/>
      <c r="AW296" s="28"/>
      <c r="AX296" s="28"/>
      <c r="AY296" s="28"/>
      <c r="AZ296" s="28"/>
      <c r="BA296" s="28"/>
      <c r="BB296" s="28"/>
      <c r="BC296" s="24"/>
      <c r="BD296" s="28"/>
      <c r="BE296" s="28"/>
      <c r="BF296" s="28"/>
      <c r="BG296" s="24"/>
      <c r="BH296" s="28"/>
      <c r="BI296" s="28"/>
      <c r="BJ296" s="28"/>
    </row>
    <row r="297" spans="1:62">
      <c r="A297" s="24"/>
      <c r="B297" s="28"/>
      <c r="C297" s="25"/>
      <c r="D297" s="26"/>
      <c r="E297" s="24"/>
      <c r="F297" s="24"/>
      <c r="G297" s="26"/>
      <c r="H297" s="26"/>
      <c r="I297" s="26"/>
      <c r="J297" s="26"/>
      <c r="K297" s="26"/>
      <c r="L297" s="26"/>
      <c r="M297" s="26"/>
      <c r="N297" s="26"/>
      <c r="P297" s="26"/>
      <c r="Q297" s="26"/>
      <c r="R297" s="25"/>
      <c r="S297" s="25"/>
      <c r="T297" s="25"/>
      <c r="U297" s="25"/>
      <c r="V297" s="24"/>
      <c r="W297" s="24"/>
      <c r="X297" s="24"/>
      <c r="Y297" s="26"/>
      <c r="Z297" s="26"/>
      <c r="AA297" s="24"/>
      <c r="AB297" s="24"/>
      <c r="AC297" s="24"/>
      <c r="AD297" s="24"/>
      <c r="AE297" s="26"/>
      <c r="AF297" s="26"/>
      <c r="AG297" s="24"/>
      <c r="AH297" s="24"/>
      <c r="AI297" s="28"/>
      <c r="AJ297" s="28"/>
      <c r="AK297" s="28"/>
      <c r="AL297" s="28"/>
      <c r="AM297" s="28"/>
      <c r="AN297" s="28"/>
      <c r="AO297" s="28"/>
      <c r="AP297" s="28"/>
      <c r="AQ297" s="28"/>
      <c r="AR297" s="28"/>
      <c r="AS297" s="28"/>
      <c r="AT297" s="28"/>
      <c r="AU297" s="28"/>
      <c r="AV297" s="24"/>
      <c r="AW297" s="28"/>
      <c r="AX297" s="28"/>
      <c r="AY297" s="28"/>
      <c r="AZ297" s="28"/>
      <c r="BA297" s="28"/>
      <c r="BB297" s="28"/>
      <c r="BC297" s="24"/>
      <c r="BD297" s="28"/>
      <c r="BE297" s="28"/>
      <c r="BF297" s="28"/>
      <c r="BG297" s="24"/>
      <c r="BH297" s="28"/>
      <c r="BI297" s="28"/>
      <c r="BJ297" s="28"/>
    </row>
    <row r="298" spans="1:62">
      <c r="A298" s="24"/>
      <c r="B298" s="28"/>
      <c r="C298" s="25"/>
      <c r="D298" s="26"/>
      <c r="E298" s="24"/>
      <c r="F298" s="24"/>
      <c r="G298" s="26"/>
      <c r="H298" s="26"/>
      <c r="I298" s="26"/>
      <c r="J298" s="26"/>
      <c r="K298" s="26"/>
      <c r="L298" s="26"/>
      <c r="M298" s="26"/>
      <c r="N298" s="26"/>
      <c r="P298" s="26"/>
      <c r="Q298" s="26"/>
      <c r="R298" s="25"/>
      <c r="S298" s="25"/>
      <c r="T298" s="25"/>
      <c r="U298" s="25"/>
      <c r="V298" s="24"/>
      <c r="W298" s="24"/>
      <c r="X298" s="24"/>
      <c r="Y298" s="26"/>
      <c r="Z298" s="26"/>
      <c r="AA298" s="24"/>
      <c r="AB298" s="24"/>
      <c r="AC298" s="24"/>
      <c r="AD298" s="24"/>
      <c r="AE298" s="26"/>
      <c r="AF298" s="26"/>
      <c r="AG298" s="24"/>
      <c r="AH298" s="24"/>
      <c r="AI298" s="28"/>
      <c r="AJ298" s="28"/>
      <c r="AK298" s="28"/>
      <c r="AL298" s="28"/>
      <c r="AM298" s="28"/>
      <c r="AN298" s="28"/>
      <c r="AO298" s="28"/>
      <c r="AP298" s="28"/>
      <c r="AQ298" s="28"/>
      <c r="AR298" s="28"/>
      <c r="AS298" s="28"/>
      <c r="AT298" s="28"/>
      <c r="AU298" s="28"/>
      <c r="AV298" s="24"/>
      <c r="AW298" s="28"/>
      <c r="AX298" s="28"/>
      <c r="AY298" s="28"/>
      <c r="AZ298" s="28"/>
      <c r="BA298" s="28"/>
      <c r="BB298" s="28"/>
      <c r="BC298" s="24"/>
      <c r="BD298" s="28"/>
      <c r="BE298" s="28"/>
      <c r="BF298" s="28"/>
      <c r="BG298" s="24"/>
      <c r="BH298" s="28"/>
      <c r="BI298" s="28"/>
      <c r="BJ298" s="28"/>
    </row>
    <row r="299" spans="1:62">
      <c r="A299" s="24"/>
      <c r="B299" s="28"/>
      <c r="C299" s="25"/>
      <c r="D299" s="26"/>
      <c r="E299" s="24"/>
      <c r="F299" s="24"/>
      <c r="G299" s="26"/>
      <c r="H299" s="26"/>
      <c r="I299" s="26"/>
      <c r="J299" s="26"/>
      <c r="K299" s="26"/>
      <c r="L299" s="26"/>
      <c r="M299" s="26"/>
      <c r="N299" s="26"/>
      <c r="P299" s="26"/>
      <c r="Q299" s="26"/>
      <c r="R299" s="25"/>
      <c r="S299" s="25"/>
      <c r="T299" s="25"/>
      <c r="U299" s="25"/>
      <c r="V299" s="24"/>
      <c r="W299" s="24"/>
      <c r="X299" s="24"/>
      <c r="Y299" s="26"/>
      <c r="Z299" s="26"/>
      <c r="AA299" s="24"/>
      <c r="AB299" s="24"/>
      <c r="AC299" s="24"/>
      <c r="AD299" s="24"/>
      <c r="AE299" s="26"/>
      <c r="AF299" s="26"/>
      <c r="AG299" s="24"/>
      <c r="AH299" s="24"/>
      <c r="AI299" s="28"/>
      <c r="AJ299" s="28"/>
      <c r="AK299" s="28"/>
      <c r="AL299" s="28"/>
      <c r="AM299" s="28"/>
      <c r="AN299" s="28"/>
      <c r="AO299" s="28"/>
      <c r="AP299" s="28"/>
      <c r="AQ299" s="28"/>
      <c r="AR299" s="28"/>
      <c r="AS299" s="28"/>
      <c r="AT299" s="28"/>
      <c r="AU299" s="28"/>
      <c r="AV299" s="24"/>
      <c r="AW299" s="28"/>
      <c r="AX299" s="28"/>
      <c r="AY299" s="28"/>
      <c r="AZ299" s="28"/>
      <c r="BA299" s="28"/>
      <c r="BB299" s="28"/>
      <c r="BC299" s="24"/>
      <c r="BD299" s="28"/>
      <c r="BE299" s="28"/>
      <c r="BF299" s="28"/>
      <c r="BG299" s="24"/>
      <c r="BH299" s="28"/>
      <c r="BI299" s="28"/>
      <c r="BJ299" s="28"/>
    </row>
    <row r="300" spans="1:62">
      <c r="A300" s="24"/>
      <c r="B300" s="28"/>
      <c r="C300" s="25"/>
      <c r="D300" s="26"/>
      <c r="E300" s="24"/>
      <c r="F300" s="24"/>
      <c r="G300" s="26"/>
      <c r="H300" s="26"/>
      <c r="I300" s="26"/>
      <c r="J300" s="26"/>
      <c r="K300" s="26"/>
      <c r="L300" s="26"/>
      <c r="M300" s="26"/>
      <c r="N300" s="26"/>
      <c r="P300" s="26"/>
      <c r="Q300" s="26"/>
      <c r="R300" s="25"/>
      <c r="S300" s="25"/>
      <c r="T300" s="25"/>
      <c r="U300" s="25"/>
      <c r="V300" s="24"/>
      <c r="W300" s="24"/>
      <c r="X300" s="24"/>
      <c r="Y300" s="26"/>
      <c r="Z300" s="26"/>
      <c r="AA300" s="24"/>
      <c r="AB300" s="24"/>
      <c r="AC300" s="24"/>
      <c r="AD300" s="24"/>
      <c r="AE300" s="26"/>
      <c r="AF300" s="26"/>
      <c r="AG300" s="24"/>
      <c r="AH300" s="24"/>
      <c r="AI300" s="28"/>
      <c r="AJ300" s="28"/>
      <c r="AK300" s="28"/>
      <c r="AL300" s="28"/>
      <c r="AM300" s="28"/>
      <c r="AN300" s="28"/>
      <c r="AO300" s="28"/>
      <c r="AP300" s="28"/>
      <c r="AQ300" s="28"/>
      <c r="AR300" s="28"/>
      <c r="AS300" s="28"/>
      <c r="AT300" s="28"/>
      <c r="AU300" s="28"/>
      <c r="AV300" s="24"/>
      <c r="AW300" s="28"/>
      <c r="AX300" s="28"/>
      <c r="AY300" s="28"/>
      <c r="AZ300" s="28"/>
      <c r="BA300" s="28"/>
      <c r="BB300" s="28"/>
      <c r="BC300" s="24"/>
      <c r="BD300" s="28"/>
      <c r="BE300" s="28"/>
      <c r="BF300" s="28"/>
      <c r="BG300" s="24"/>
      <c r="BH300" s="28"/>
      <c r="BI300" s="28"/>
      <c r="BJ300" s="28"/>
    </row>
    <row r="301" spans="1:62">
      <c r="A301" s="24"/>
      <c r="B301" s="28"/>
      <c r="C301" s="25"/>
      <c r="D301" s="26"/>
      <c r="E301" s="24"/>
      <c r="F301" s="24"/>
      <c r="G301" s="26"/>
      <c r="H301" s="26"/>
      <c r="I301" s="26"/>
      <c r="J301" s="26"/>
      <c r="K301" s="26"/>
      <c r="L301" s="26"/>
      <c r="M301" s="26"/>
      <c r="N301" s="26"/>
      <c r="P301" s="26"/>
      <c r="Q301" s="26"/>
      <c r="R301" s="25"/>
      <c r="S301" s="25"/>
      <c r="T301" s="25"/>
      <c r="U301" s="25"/>
      <c r="V301" s="24"/>
      <c r="W301" s="24"/>
      <c r="X301" s="24"/>
      <c r="Y301" s="26"/>
      <c r="Z301" s="26"/>
      <c r="AA301" s="24"/>
      <c r="AB301" s="24"/>
      <c r="AC301" s="24"/>
      <c r="AD301" s="24"/>
      <c r="AE301" s="26"/>
      <c r="AF301" s="26"/>
      <c r="AG301" s="24"/>
      <c r="AH301" s="24"/>
      <c r="AI301" s="28"/>
      <c r="AJ301" s="28"/>
      <c r="AK301" s="28"/>
      <c r="AL301" s="28"/>
      <c r="AM301" s="28"/>
      <c r="AN301" s="28"/>
      <c r="AO301" s="28"/>
      <c r="AP301" s="28"/>
      <c r="AQ301" s="28"/>
      <c r="AR301" s="28"/>
      <c r="AS301" s="28"/>
      <c r="AT301" s="28"/>
      <c r="AU301" s="28"/>
      <c r="AV301" s="24"/>
      <c r="AW301" s="28"/>
      <c r="AX301" s="28"/>
      <c r="AY301" s="28"/>
      <c r="AZ301" s="28"/>
      <c r="BA301" s="28"/>
      <c r="BB301" s="28"/>
      <c r="BC301" s="24"/>
      <c r="BD301" s="28"/>
      <c r="BE301" s="28"/>
      <c r="BF301" s="28"/>
      <c r="BG301" s="24"/>
      <c r="BH301" s="28"/>
      <c r="BI301" s="28"/>
      <c r="BJ301" s="28"/>
    </row>
    <row r="302" spans="1:62">
      <c r="A302" s="24"/>
      <c r="B302" s="28"/>
      <c r="C302" s="25"/>
      <c r="D302" s="26"/>
      <c r="E302" s="24"/>
      <c r="F302" s="24"/>
      <c r="G302" s="26"/>
      <c r="H302" s="26"/>
      <c r="I302" s="26"/>
      <c r="J302" s="26"/>
      <c r="K302" s="26"/>
      <c r="L302" s="26"/>
      <c r="M302" s="26"/>
      <c r="N302" s="26"/>
      <c r="P302" s="26"/>
      <c r="Q302" s="26"/>
      <c r="R302" s="25"/>
      <c r="S302" s="25"/>
      <c r="T302" s="25"/>
      <c r="U302" s="25"/>
      <c r="V302" s="24"/>
      <c r="W302" s="24"/>
      <c r="X302" s="24"/>
      <c r="Y302" s="26"/>
      <c r="Z302" s="26"/>
      <c r="AA302" s="24"/>
      <c r="AB302" s="24"/>
      <c r="AC302" s="24"/>
      <c r="AD302" s="24"/>
      <c r="AE302" s="26"/>
      <c r="AF302" s="26"/>
      <c r="AG302" s="24"/>
      <c r="AH302" s="24"/>
      <c r="AI302" s="28"/>
      <c r="AJ302" s="28"/>
      <c r="AK302" s="28"/>
      <c r="AL302" s="28"/>
      <c r="AM302" s="28"/>
      <c r="AN302" s="28"/>
      <c r="AO302" s="28"/>
      <c r="AP302" s="28"/>
      <c r="AQ302" s="28"/>
      <c r="AR302" s="28"/>
      <c r="AS302" s="28"/>
      <c r="AT302" s="28"/>
      <c r="AU302" s="28"/>
      <c r="AV302" s="24"/>
      <c r="AW302" s="28"/>
      <c r="AX302" s="28"/>
      <c r="AY302" s="28"/>
      <c r="AZ302" s="28"/>
      <c r="BA302" s="28"/>
      <c r="BB302" s="28"/>
      <c r="BC302" s="24"/>
      <c r="BD302" s="28"/>
      <c r="BE302" s="28"/>
      <c r="BF302" s="28"/>
      <c r="BG302" s="24"/>
      <c r="BH302" s="28"/>
      <c r="BI302" s="28"/>
      <c r="BJ302" s="28"/>
    </row>
    <row r="303" spans="1:62">
      <c r="A303" s="24"/>
      <c r="B303" s="28"/>
      <c r="C303" s="25"/>
      <c r="D303" s="26"/>
      <c r="E303" s="24"/>
      <c r="F303" s="24"/>
      <c r="G303" s="26"/>
      <c r="H303" s="26"/>
      <c r="I303" s="26"/>
      <c r="J303" s="26"/>
      <c r="K303" s="26"/>
      <c r="L303" s="26"/>
      <c r="M303" s="26"/>
      <c r="N303" s="26"/>
      <c r="P303" s="26"/>
      <c r="Q303" s="26"/>
      <c r="R303" s="25"/>
      <c r="S303" s="25"/>
      <c r="T303" s="25"/>
      <c r="U303" s="25"/>
      <c r="V303" s="24"/>
      <c r="W303" s="24"/>
      <c r="X303" s="24"/>
      <c r="Y303" s="26"/>
      <c r="Z303" s="26"/>
      <c r="AA303" s="24"/>
      <c r="AB303" s="24"/>
      <c r="AC303" s="24"/>
      <c r="AD303" s="24"/>
      <c r="AE303" s="26"/>
      <c r="AF303" s="26"/>
      <c r="AG303" s="24"/>
      <c r="AH303" s="24"/>
      <c r="AI303" s="28"/>
      <c r="AJ303" s="28"/>
      <c r="AK303" s="28"/>
      <c r="AL303" s="28"/>
      <c r="AM303" s="28"/>
      <c r="AN303" s="28"/>
      <c r="AO303" s="28"/>
      <c r="AP303" s="28"/>
      <c r="AQ303" s="28"/>
      <c r="AR303" s="28"/>
      <c r="AS303" s="28"/>
      <c r="AT303" s="28"/>
      <c r="AU303" s="28"/>
      <c r="AV303" s="24"/>
      <c r="AW303" s="28"/>
      <c r="AX303" s="28"/>
      <c r="AY303" s="28"/>
      <c r="AZ303" s="28"/>
      <c r="BA303" s="28"/>
      <c r="BB303" s="28"/>
      <c r="BC303" s="24"/>
      <c r="BD303" s="28"/>
      <c r="BE303" s="28"/>
      <c r="BF303" s="28"/>
      <c r="BG303" s="24"/>
      <c r="BH303" s="28"/>
      <c r="BI303" s="28"/>
      <c r="BJ303" s="28"/>
    </row>
    <row r="304" spans="1:62">
      <c r="A304" s="24"/>
      <c r="B304" s="28"/>
      <c r="C304" s="25"/>
      <c r="D304" s="26"/>
      <c r="E304" s="24"/>
      <c r="F304" s="24"/>
      <c r="G304" s="26"/>
      <c r="H304" s="26"/>
      <c r="I304" s="26"/>
      <c r="J304" s="26"/>
      <c r="K304" s="26"/>
      <c r="L304" s="26"/>
      <c r="M304" s="26"/>
      <c r="N304" s="26"/>
      <c r="P304" s="26"/>
      <c r="Q304" s="26"/>
      <c r="R304" s="25"/>
      <c r="S304" s="25"/>
      <c r="T304" s="25"/>
      <c r="U304" s="25"/>
      <c r="V304" s="24"/>
      <c r="W304" s="24"/>
      <c r="X304" s="24"/>
      <c r="Y304" s="26"/>
      <c r="Z304" s="26"/>
      <c r="AA304" s="24"/>
      <c r="AB304" s="24"/>
      <c r="AC304" s="24"/>
      <c r="AD304" s="24"/>
      <c r="AE304" s="26"/>
      <c r="AF304" s="26"/>
      <c r="AG304" s="24"/>
      <c r="AH304" s="24"/>
      <c r="AI304" s="28"/>
      <c r="AJ304" s="28"/>
      <c r="AK304" s="28"/>
      <c r="AL304" s="28"/>
      <c r="AM304" s="28"/>
      <c r="AN304" s="28"/>
      <c r="AO304" s="28"/>
      <c r="AP304" s="28"/>
      <c r="AQ304" s="28"/>
      <c r="AR304" s="28"/>
      <c r="AS304" s="28"/>
      <c r="AT304" s="28"/>
      <c r="AU304" s="28"/>
      <c r="AV304" s="24"/>
      <c r="AW304" s="28"/>
      <c r="AX304" s="28"/>
      <c r="AY304" s="28"/>
      <c r="AZ304" s="28"/>
      <c r="BA304" s="28"/>
      <c r="BB304" s="28"/>
      <c r="BC304" s="24"/>
      <c r="BD304" s="28"/>
      <c r="BE304" s="28"/>
      <c r="BF304" s="28"/>
      <c r="BG304" s="24"/>
      <c r="BH304" s="28"/>
      <c r="BI304" s="28"/>
      <c r="BJ304" s="28"/>
    </row>
    <row r="305" spans="1:62">
      <c r="A305" s="24"/>
      <c r="B305" s="28"/>
      <c r="C305" s="25"/>
      <c r="D305" s="26"/>
      <c r="E305" s="24"/>
      <c r="F305" s="24"/>
      <c r="G305" s="26"/>
      <c r="H305" s="26"/>
      <c r="I305" s="26"/>
      <c r="J305" s="26"/>
      <c r="K305" s="26"/>
      <c r="L305" s="26"/>
      <c r="M305" s="26"/>
      <c r="N305" s="26"/>
      <c r="P305" s="26"/>
      <c r="Q305" s="26"/>
      <c r="R305" s="25"/>
      <c r="S305" s="25"/>
      <c r="T305" s="25"/>
      <c r="U305" s="25"/>
      <c r="V305" s="24"/>
      <c r="W305" s="24"/>
      <c r="X305" s="24"/>
      <c r="Y305" s="26"/>
      <c r="Z305" s="26"/>
      <c r="AA305" s="24"/>
      <c r="AB305" s="24"/>
      <c r="AC305" s="24"/>
      <c r="AD305" s="24"/>
      <c r="AE305" s="26"/>
      <c r="AF305" s="26"/>
      <c r="AG305" s="24"/>
      <c r="AH305" s="24"/>
      <c r="AI305" s="28"/>
      <c r="AJ305" s="28"/>
      <c r="AK305" s="28"/>
      <c r="AL305" s="28"/>
      <c r="AM305" s="28"/>
      <c r="AN305" s="28"/>
      <c r="AO305" s="28"/>
      <c r="AP305" s="28"/>
      <c r="AQ305" s="28"/>
      <c r="AR305" s="28"/>
      <c r="AS305" s="28"/>
      <c r="AT305" s="28"/>
      <c r="AU305" s="28"/>
      <c r="AV305" s="24"/>
      <c r="AW305" s="28"/>
      <c r="AX305" s="28"/>
      <c r="AY305" s="28"/>
      <c r="AZ305" s="28"/>
      <c r="BA305" s="28"/>
      <c r="BB305" s="28"/>
      <c r="BC305" s="24"/>
      <c r="BD305" s="28"/>
      <c r="BE305" s="28"/>
      <c r="BF305" s="28"/>
      <c r="BG305" s="24"/>
      <c r="BH305" s="28"/>
      <c r="BI305" s="28"/>
      <c r="BJ305" s="28"/>
    </row>
    <row r="306" spans="1:62">
      <c r="A306" s="24"/>
      <c r="B306" s="28"/>
      <c r="C306" s="25"/>
      <c r="D306" s="26"/>
      <c r="E306" s="24"/>
      <c r="F306" s="24"/>
      <c r="G306" s="26"/>
      <c r="H306" s="26"/>
      <c r="I306" s="26"/>
      <c r="J306" s="26"/>
      <c r="K306" s="26"/>
      <c r="L306" s="26"/>
      <c r="M306" s="26"/>
      <c r="N306" s="26"/>
      <c r="P306" s="26"/>
      <c r="Q306" s="26"/>
      <c r="R306" s="25"/>
      <c r="S306" s="25"/>
      <c r="T306" s="25"/>
      <c r="U306" s="25"/>
      <c r="V306" s="24"/>
      <c r="W306" s="24"/>
      <c r="X306" s="24"/>
      <c r="Y306" s="26"/>
      <c r="Z306" s="26"/>
      <c r="AA306" s="24"/>
      <c r="AB306" s="24"/>
      <c r="AC306" s="24"/>
      <c r="AD306" s="24"/>
      <c r="AE306" s="26"/>
      <c r="AF306" s="26"/>
      <c r="AG306" s="24"/>
      <c r="AH306" s="24"/>
      <c r="AI306" s="28"/>
      <c r="AJ306" s="28"/>
      <c r="AK306" s="28"/>
      <c r="AL306" s="28"/>
      <c r="AM306" s="28"/>
      <c r="AN306" s="28"/>
      <c r="AO306" s="28"/>
      <c r="AP306" s="28"/>
      <c r="AQ306" s="28"/>
      <c r="AR306" s="28"/>
      <c r="AS306" s="28"/>
      <c r="AT306" s="28"/>
      <c r="AU306" s="28"/>
      <c r="AV306" s="24"/>
      <c r="AW306" s="28"/>
      <c r="AX306" s="28"/>
      <c r="AY306" s="28"/>
      <c r="AZ306" s="28"/>
      <c r="BA306" s="28"/>
      <c r="BB306" s="28"/>
      <c r="BC306" s="24"/>
      <c r="BD306" s="28"/>
      <c r="BE306" s="28"/>
      <c r="BF306" s="28"/>
      <c r="BG306" s="24"/>
      <c r="BH306" s="28"/>
      <c r="BI306" s="28"/>
      <c r="BJ306" s="28"/>
    </row>
    <row r="307" spans="1:62">
      <c r="A307" s="24"/>
      <c r="B307" s="28"/>
      <c r="C307" s="25"/>
      <c r="D307" s="26"/>
      <c r="E307" s="24"/>
      <c r="F307" s="24"/>
      <c r="G307" s="26"/>
      <c r="H307" s="26"/>
      <c r="I307" s="26"/>
      <c r="J307" s="26"/>
      <c r="K307" s="26"/>
      <c r="L307" s="26"/>
      <c r="M307" s="26"/>
      <c r="N307" s="26"/>
      <c r="P307" s="26"/>
      <c r="Q307" s="26"/>
      <c r="R307" s="25"/>
      <c r="S307" s="25"/>
      <c r="T307" s="25"/>
      <c r="U307" s="25"/>
      <c r="V307" s="24"/>
      <c r="W307" s="24"/>
      <c r="X307" s="24"/>
      <c r="Y307" s="26"/>
      <c r="Z307" s="26"/>
      <c r="AA307" s="24"/>
      <c r="AB307" s="24"/>
      <c r="AC307" s="24"/>
      <c r="AD307" s="24"/>
      <c r="AE307" s="26"/>
      <c r="AF307" s="26"/>
      <c r="AG307" s="24"/>
      <c r="AH307" s="24"/>
      <c r="AI307" s="28"/>
      <c r="AJ307" s="28"/>
      <c r="AK307" s="28"/>
      <c r="AL307" s="28"/>
      <c r="AM307" s="28"/>
      <c r="AN307" s="28"/>
      <c r="AO307" s="28"/>
      <c r="AP307" s="28"/>
      <c r="AQ307" s="28"/>
      <c r="AR307" s="28"/>
      <c r="AS307" s="28"/>
      <c r="AT307" s="28"/>
      <c r="AU307" s="28"/>
      <c r="AV307" s="24"/>
      <c r="AW307" s="28"/>
      <c r="AX307" s="28"/>
      <c r="AY307" s="28"/>
      <c r="AZ307" s="28"/>
      <c r="BA307" s="28"/>
      <c r="BB307" s="28"/>
      <c r="BC307" s="24"/>
      <c r="BD307" s="28"/>
      <c r="BE307" s="28"/>
      <c r="BF307" s="28"/>
      <c r="BG307" s="24"/>
      <c r="BH307" s="28"/>
      <c r="BI307" s="28"/>
      <c r="BJ307" s="28"/>
    </row>
    <row r="308" spans="1:62">
      <c r="A308" s="24"/>
      <c r="B308" s="28"/>
      <c r="C308" s="25"/>
      <c r="D308" s="26"/>
      <c r="E308" s="24"/>
      <c r="F308" s="24"/>
      <c r="G308" s="26"/>
      <c r="H308" s="26"/>
      <c r="I308" s="26"/>
      <c r="J308" s="26"/>
      <c r="K308" s="26"/>
      <c r="L308" s="26"/>
      <c r="M308" s="26"/>
      <c r="N308" s="26"/>
      <c r="P308" s="26"/>
      <c r="Q308" s="26"/>
      <c r="R308" s="25"/>
      <c r="S308" s="25"/>
      <c r="T308" s="25"/>
      <c r="U308" s="25"/>
      <c r="V308" s="24"/>
      <c r="W308" s="24"/>
      <c r="X308" s="24"/>
      <c r="Y308" s="26"/>
      <c r="Z308" s="26"/>
      <c r="AA308" s="24"/>
      <c r="AB308" s="24"/>
      <c r="AC308" s="24"/>
      <c r="AD308" s="24"/>
      <c r="AE308" s="26"/>
      <c r="AF308" s="26"/>
      <c r="AG308" s="24"/>
      <c r="AH308" s="24"/>
      <c r="AI308" s="28"/>
      <c r="AJ308" s="28"/>
      <c r="AK308" s="28"/>
      <c r="AL308" s="28"/>
      <c r="AM308" s="28"/>
      <c r="AN308" s="28"/>
      <c r="AO308" s="28"/>
      <c r="AP308" s="28"/>
      <c r="AQ308" s="28"/>
      <c r="AR308" s="28"/>
      <c r="AS308" s="28"/>
      <c r="AT308" s="28"/>
      <c r="AU308" s="28"/>
      <c r="AV308" s="24"/>
      <c r="AW308" s="28"/>
      <c r="AX308" s="28"/>
      <c r="AY308" s="28"/>
      <c r="AZ308" s="28"/>
      <c r="BA308" s="28"/>
      <c r="BB308" s="28"/>
      <c r="BC308" s="24"/>
      <c r="BD308" s="28"/>
      <c r="BE308" s="28"/>
      <c r="BF308" s="28"/>
      <c r="BG308" s="24"/>
      <c r="BH308" s="28"/>
      <c r="BI308" s="28"/>
      <c r="BJ308" s="28"/>
    </row>
    <row r="309" spans="1:62">
      <c r="A309" s="24"/>
      <c r="B309" s="28"/>
      <c r="C309" s="25"/>
      <c r="D309" s="26"/>
      <c r="E309" s="24"/>
      <c r="F309" s="24"/>
      <c r="G309" s="26"/>
      <c r="H309" s="26"/>
      <c r="I309" s="26"/>
      <c r="J309" s="26"/>
      <c r="K309" s="26"/>
      <c r="L309" s="26"/>
      <c r="M309" s="26"/>
      <c r="N309" s="26"/>
      <c r="P309" s="26"/>
      <c r="Q309" s="26"/>
      <c r="R309" s="25"/>
      <c r="S309" s="25"/>
      <c r="T309" s="25"/>
      <c r="U309" s="25"/>
      <c r="V309" s="24"/>
      <c r="W309" s="24"/>
      <c r="X309" s="24"/>
      <c r="Y309" s="26"/>
      <c r="Z309" s="26"/>
      <c r="AA309" s="24"/>
      <c r="AB309" s="24"/>
      <c r="AC309" s="24"/>
      <c r="AD309" s="24"/>
      <c r="AE309" s="26"/>
      <c r="AF309" s="26"/>
      <c r="AG309" s="24"/>
      <c r="AH309" s="24"/>
      <c r="AI309" s="28"/>
      <c r="AJ309" s="28"/>
      <c r="AK309" s="28"/>
      <c r="AL309" s="28"/>
      <c r="AM309" s="28"/>
      <c r="AN309" s="28"/>
      <c r="AO309" s="28"/>
      <c r="AP309" s="28"/>
      <c r="AQ309" s="28"/>
      <c r="AR309" s="28"/>
      <c r="AS309" s="28"/>
      <c r="AT309" s="28"/>
      <c r="AU309" s="28"/>
      <c r="AV309" s="24"/>
      <c r="AW309" s="28"/>
      <c r="AX309" s="28"/>
      <c r="AY309" s="28"/>
      <c r="AZ309" s="28"/>
      <c r="BA309" s="28"/>
      <c r="BB309" s="28"/>
      <c r="BC309" s="24"/>
      <c r="BD309" s="28"/>
      <c r="BE309" s="28"/>
      <c r="BF309" s="28"/>
      <c r="BG309" s="24"/>
      <c r="BH309" s="28"/>
      <c r="BI309" s="28"/>
      <c r="BJ309" s="28"/>
    </row>
    <row r="310" spans="1:62">
      <c r="A310" s="24"/>
      <c r="B310" s="28"/>
      <c r="C310" s="25"/>
      <c r="D310" s="26"/>
      <c r="E310" s="24"/>
      <c r="F310" s="24"/>
      <c r="G310" s="26"/>
      <c r="H310" s="26"/>
      <c r="I310" s="26"/>
      <c r="J310" s="26"/>
      <c r="K310" s="26"/>
      <c r="L310" s="26"/>
      <c r="M310" s="26"/>
      <c r="N310" s="26"/>
      <c r="P310" s="26"/>
      <c r="Q310" s="26"/>
      <c r="R310" s="25"/>
      <c r="S310" s="25"/>
      <c r="T310" s="25"/>
      <c r="U310" s="25"/>
      <c r="V310" s="24"/>
      <c r="W310" s="24"/>
      <c r="X310" s="24"/>
      <c r="Y310" s="26"/>
      <c r="Z310" s="26"/>
      <c r="AA310" s="24"/>
      <c r="AB310" s="24"/>
      <c r="AC310" s="24"/>
      <c r="AD310" s="24"/>
      <c r="AE310" s="26"/>
      <c r="AF310" s="26"/>
      <c r="AG310" s="24"/>
      <c r="AH310" s="24"/>
      <c r="AI310" s="28"/>
      <c r="AJ310" s="28"/>
      <c r="AK310" s="28"/>
      <c r="AL310" s="28"/>
      <c r="AM310" s="28"/>
      <c r="AN310" s="28"/>
      <c r="AO310" s="28"/>
      <c r="AP310" s="28"/>
      <c r="AQ310" s="28"/>
      <c r="AR310" s="28"/>
      <c r="AS310" s="28"/>
      <c r="AT310" s="28"/>
      <c r="AU310" s="28"/>
      <c r="AV310" s="24"/>
      <c r="AW310" s="28"/>
      <c r="AX310" s="28"/>
      <c r="AY310" s="28"/>
      <c r="AZ310" s="28"/>
      <c r="BA310" s="28"/>
      <c r="BB310" s="28"/>
      <c r="BC310" s="24"/>
      <c r="BD310" s="28"/>
      <c r="BE310" s="28"/>
      <c r="BF310" s="28"/>
      <c r="BG310" s="24"/>
      <c r="BH310" s="28"/>
      <c r="BI310" s="28"/>
      <c r="BJ310" s="28"/>
    </row>
    <row r="311" spans="1:62">
      <c r="A311" s="24"/>
      <c r="B311" s="28"/>
      <c r="C311" s="25"/>
      <c r="D311" s="26"/>
      <c r="E311" s="24"/>
      <c r="F311" s="24"/>
      <c r="G311" s="26"/>
      <c r="H311" s="26"/>
      <c r="I311" s="26"/>
      <c r="J311" s="26"/>
      <c r="K311" s="26"/>
      <c r="L311" s="26"/>
      <c r="M311" s="26"/>
      <c r="N311" s="26"/>
      <c r="P311" s="26"/>
      <c r="Q311" s="26"/>
      <c r="R311" s="25"/>
      <c r="S311" s="25"/>
      <c r="T311" s="25"/>
      <c r="U311" s="25"/>
      <c r="V311" s="24"/>
      <c r="W311" s="24"/>
      <c r="X311" s="24"/>
      <c r="Y311" s="26"/>
      <c r="Z311" s="26"/>
      <c r="AA311" s="24"/>
      <c r="AB311" s="24"/>
      <c r="AC311" s="24"/>
      <c r="AD311" s="24"/>
      <c r="AE311" s="26"/>
      <c r="AF311" s="26"/>
      <c r="AG311" s="24"/>
      <c r="AH311" s="24"/>
      <c r="AI311" s="28"/>
      <c r="AJ311" s="28"/>
      <c r="AK311" s="28"/>
      <c r="AL311" s="28"/>
      <c r="AM311" s="28"/>
      <c r="AN311" s="28"/>
      <c r="AO311" s="28"/>
      <c r="AP311" s="28"/>
      <c r="AQ311" s="28"/>
      <c r="AR311" s="28"/>
      <c r="AS311" s="28"/>
      <c r="AT311" s="28"/>
      <c r="AU311" s="28"/>
      <c r="AV311" s="24"/>
      <c r="AW311" s="28"/>
      <c r="AX311" s="28"/>
      <c r="AY311" s="28"/>
      <c r="AZ311" s="28"/>
      <c r="BA311" s="28"/>
      <c r="BB311" s="28"/>
      <c r="BC311" s="24"/>
      <c r="BD311" s="28"/>
      <c r="BE311" s="28"/>
      <c r="BF311" s="28"/>
      <c r="BG311" s="24"/>
      <c r="BH311" s="28"/>
      <c r="BI311" s="28"/>
      <c r="BJ311" s="28"/>
    </row>
    <row r="312" spans="1:62">
      <c r="A312" s="24"/>
      <c r="B312" s="28"/>
      <c r="C312" s="25"/>
      <c r="D312" s="26"/>
      <c r="E312" s="24"/>
      <c r="F312" s="24"/>
      <c r="G312" s="26"/>
      <c r="H312" s="26"/>
      <c r="I312" s="26"/>
      <c r="J312" s="26"/>
      <c r="K312" s="26"/>
      <c r="L312" s="26"/>
      <c r="M312" s="26"/>
      <c r="N312" s="26"/>
      <c r="P312" s="26"/>
      <c r="Q312" s="26"/>
      <c r="R312" s="25"/>
      <c r="S312" s="25"/>
      <c r="T312" s="25"/>
      <c r="U312" s="25"/>
      <c r="V312" s="24"/>
      <c r="W312" s="24"/>
      <c r="X312" s="24"/>
      <c r="Y312" s="26"/>
      <c r="Z312" s="26"/>
      <c r="AA312" s="24"/>
      <c r="AB312" s="24"/>
      <c r="AC312" s="24"/>
      <c r="AD312" s="24"/>
      <c r="AE312" s="26"/>
      <c r="AF312" s="26"/>
      <c r="AG312" s="24"/>
      <c r="AH312" s="24"/>
      <c r="AI312" s="28"/>
      <c r="AJ312" s="28"/>
      <c r="AK312" s="28"/>
      <c r="AL312" s="28"/>
      <c r="AM312" s="28"/>
      <c r="AN312" s="28"/>
      <c r="AO312" s="28"/>
      <c r="AP312" s="28"/>
      <c r="AQ312" s="28"/>
      <c r="AR312" s="28"/>
      <c r="AS312" s="28"/>
      <c r="AT312" s="28"/>
      <c r="AU312" s="28"/>
      <c r="AV312" s="24"/>
      <c r="AW312" s="28"/>
      <c r="AX312" s="28"/>
      <c r="AY312" s="28"/>
      <c r="AZ312" s="28"/>
      <c r="BA312" s="28"/>
      <c r="BB312" s="28"/>
      <c r="BC312" s="24"/>
      <c r="BD312" s="28"/>
      <c r="BE312" s="28"/>
      <c r="BF312" s="28"/>
      <c r="BG312" s="24"/>
      <c r="BH312" s="28"/>
      <c r="BI312" s="28"/>
      <c r="BJ312" s="28"/>
    </row>
    <row r="313" spans="1:62">
      <c r="A313" s="24"/>
      <c r="B313" s="28"/>
      <c r="C313" s="25"/>
      <c r="D313" s="26"/>
      <c r="E313" s="24"/>
      <c r="F313" s="24"/>
      <c r="G313" s="26"/>
      <c r="H313" s="26"/>
      <c r="I313" s="26"/>
      <c r="J313" s="26"/>
      <c r="K313" s="26"/>
      <c r="L313" s="26"/>
      <c r="M313" s="26"/>
      <c r="N313" s="26"/>
      <c r="P313" s="26"/>
      <c r="Q313" s="26"/>
      <c r="R313" s="25"/>
      <c r="S313" s="25"/>
      <c r="T313" s="25"/>
      <c r="U313" s="25"/>
      <c r="V313" s="24"/>
      <c r="W313" s="24"/>
      <c r="X313" s="24"/>
      <c r="Y313" s="26"/>
      <c r="Z313" s="26"/>
      <c r="AA313" s="24"/>
      <c r="AB313" s="24"/>
      <c r="AC313" s="24"/>
      <c r="AD313" s="24"/>
      <c r="AE313" s="26"/>
      <c r="AF313" s="26"/>
      <c r="AG313" s="24"/>
      <c r="AH313" s="24"/>
      <c r="AI313" s="28"/>
      <c r="AJ313" s="28"/>
      <c r="AK313" s="28"/>
      <c r="AL313" s="28"/>
      <c r="AM313" s="28"/>
      <c r="AN313" s="28"/>
      <c r="AO313" s="28"/>
      <c r="AP313" s="28"/>
      <c r="AQ313" s="28"/>
      <c r="AR313" s="28"/>
      <c r="AS313" s="28"/>
      <c r="AT313" s="28"/>
      <c r="AU313" s="28"/>
      <c r="AV313" s="24"/>
      <c r="AW313" s="28"/>
      <c r="AX313" s="28"/>
      <c r="AY313" s="28"/>
      <c r="AZ313" s="28"/>
      <c r="BA313" s="28"/>
      <c r="BB313" s="28"/>
      <c r="BC313" s="24"/>
      <c r="BD313" s="28"/>
      <c r="BE313" s="28"/>
      <c r="BF313" s="28"/>
      <c r="BG313" s="24"/>
      <c r="BH313" s="28"/>
      <c r="BI313" s="28"/>
      <c r="BJ313" s="28"/>
    </row>
    <row r="314" spans="1:62">
      <c r="A314" s="24"/>
      <c r="B314" s="28"/>
      <c r="C314" s="25"/>
      <c r="D314" s="26"/>
      <c r="E314" s="24"/>
      <c r="F314" s="24"/>
      <c r="G314" s="26"/>
      <c r="H314" s="26"/>
      <c r="I314" s="26"/>
      <c r="J314" s="26"/>
      <c r="K314" s="26"/>
      <c r="L314" s="26"/>
      <c r="M314" s="26"/>
      <c r="N314" s="26"/>
      <c r="P314" s="26"/>
      <c r="Q314" s="26"/>
      <c r="R314" s="25"/>
      <c r="S314" s="25"/>
      <c r="T314" s="25"/>
      <c r="U314" s="25"/>
      <c r="V314" s="24"/>
      <c r="W314" s="24"/>
      <c r="X314" s="24"/>
      <c r="Y314" s="26"/>
      <c r="Z314" s="26"/>
      <c r="AA314" s="24"/>
      <c r="AB314" s="24"/>
      <c r="AC314" s="24"/>
      <c r="AD314" s="24"/>
      <c r="AE314" s="26"/>
      <c r="AF314" s="26"/>
      <c r="AG314" s="24"/>
      <c r="AH314" s="24"/>
      <c r="AI314" s="28"/>
      <c r="AJ314" s="28"/>
      <c r="AK314" s="28"/>
      <c r="AL314" s="28"/>
      <c r="AM314" s="28"/>
      <c r="AN314" s="28"/>
      <c r="AO314" s="28"/>
      <c r="AP314" s="28"/>
      <c r="AQ314" s="28"/>
      <c r="AR314" s="28"/>
      <c r="AS314" s="28"/>
      <c r="AT314" s="28"/>
      <c r="AU314" s="28"/>
      <c r="AV314" s="24"/>
      <c r="AW314" s="28"/>
      <c r="AX314" s="28"/>
      <c r="AY314" s="28"/>
      <c r="AZ314" s="28"/>
      <c r="BA314" s="28"/>
      <c r="BB314" s="28"/>
      <c r="BC314" s="24"/>
      <c r="BD314" s="28"/>
      <c r="BE314" s="28"/>
      <c r="BF314" s="28"/>
      <c r="BG314" s="24"/>
      <c r="BH314" s="28"/>
      <c r="BI314" s="28"/>
      <c r="BJ314" s="28"/>
    </row>
    <row r="315" spans="1:62">
      <c r="A315" s="24"/>
      <c r="B315" s="28"/>
      <c r="C315" s="25"/>
      <c r="D315" s="26"/>
      <c r="E315" s="24"/>
      <c r="F315" s="24"/>
      <c r="G315" s="26"/>
      <c r="H315" s="26"/>
      <c r="I315" s="26"/>
      <c r="J315" s="26"/>
      <c r="K315" s="26"/>
      <c r="L315" s="26"/>
      <c r="M315" s="26"/>
      <c r="N315" s="26"/>
      <c r="P315" s="26"/>
      <c r="Q315" s="26"/>
      <c r="R315" s="25"/>
      <c r="S315" s="25"/>
      <c r="T315" s="25"/>
      <c r="U315" s="25"/>
      <c r="V315" s="24"/>
      <c r="W315" s="24"/>
      <c r="X315" s="24"/>
      <c r="Y315" s="26"/>
      <c r="Z315" s="26"/>
      <c r="AA315" s="24"/>
      <c r="AB315" s="24"/>
      <c r="AC315" s="24"/>
      <c r="AD315" s="24"/>
      <c r="AE315" s="26"/>
      <c r="AF315" s="26"/>
      <c r="AG315" s="24"/>
      <c r="AH315" s="24"/>
      <c r="AI315" s="28"/>
      <c r="AJ315" s="28"/>
      <c r="AK315" s="28"/>
      <c r="AL315" s="28"/>
      <c r="AM315" s="28"/>
      <c r="AN315" s="28"/>
      <c r="AO315" s="28"/>
      <c r="AP315" s="28"/>
      <c r="AQ315" s="28"/>
      <c r="AR315" s="28"/>
      <c r="AS315" s="28"/>
      <c r="AT315" s="28"/>
      <c r="AU315" s="28"/>
      <c r="AV315" s="24"/>
      <c r="AW315" s="28"/>
      <c r="AX315" s="28"/>
      <c r="AY315" s="28"/>
      <c r="AZ315" s="28"/>
      <c r="BA315" s="28"/>
      <c r="BB315" s="28"/>
      <c r="BC315" s="24"/>
      <c r="BD315" s="28"/>
      <c r="BE315" s="28"/>
      <c r="BF315" s="28"/>
      <c r="BG315" s="24"/>
      <c r="BH315" s="28"/>
      <c r="BI315" s="28"/>
      <c r="BJ315" s="28"/>
    </row>
    <row r="316" spans="1:62">
      <c r="A316" s="24"/>
      <c r="B316" s="28"/>
      <c r="C316" s="25"/>
      <c r="D316" s="26"/>
      <c r="E316" s="24"/>
      <c r="F316" s="24"/>
      <c r="G316" s="26"/>
      <c r="H316" s="26"/>
      <c r="I316" s="26"/>
      <c r="J316" s="26"/>
      <c r="K316" s="26"/>
      <c r="L316" s="26"/>
      <c r="M316" s="26"/>
      <c r="N316" s="26"/>
      <c r="P316" s="26"/>
      <c r="Q316" s="26"/>
      <c r="R316" s="25"/>
      <c r="S316" s="25"/>
      <c r="T316" s="25"/>
      <c r="U316" s="25"/>
      <c r="V316" s="24"/>
      <c r="W316" s="24"/>
      <c r="X316" s="24"/>
      <c r="Y316" s="26"/>
      <c r="Z316" s="26"/>
      <c r="AA316" s="24"/>
      <c r="AB316" s="24"/>
      <c r="AC316" s="24"/>
      <c r="AD316" s="24"/>
      <c r="AE316" s="26"/>
      <c r="AF316" s="26"/>
      <c r="AG316" s="24"/>
      <c r="AH316" s="24"/>
      <c r="AI316" s="28"/>
      <c r="AJ316" s="28"/>
      <c r="AK316" s="28"/>
      <c r="AL316" s="28"/>
      <c r="AM316" s="28"/>
      <c r="AN316" s="28"/>
      <c r="AO316" s="28"/>
      <c r="AP316" s="28"/>
      <c r="AQ316" s="28"/>
      <c r="AR316" s="28"/>
      <c r="AS316" s="28"/>
      <c r="AT316" s="28"/>
      <c r="AU316" s="28"/>
      <c r="AV316" s="24"/>
      <c r="AW316" s="28"/>
      <c r="AX316" s="28"/>
      <c r="AY316" s="28"/>
      <c r="AZ316" s="28"/>
      <c r="BA316" s="28"/>
      <c r="BB316" s="28"/>
      <c r="BC316" s="24"/>
      <c r="BD316" s="28"/>
      <c r="BE316" s="28"/>
      <c r="BF316" s="28"/>
      <c r="BG316" s="24"/>
      <c r="BH316" s="28"/>
      <c r="BI316" s="28"/>
      <c r="BJ316" s="28"/>
    </row>
    <row r="317" spans="1:62">
      <c r="A317" s="24"/>
      <c r="B317" s="28"/>
      <c r="C317" s="25"/>
      <c r="D317" s="26"/>
      <c r="E317" s="24"/>
      <c r="F317" s="24"/>
      <c r="G317" s="26"/>
      <c r="H317" s="26"/>
      <c r="I317" s="26"/>
      <c r="J317" s="26"/>
      <c r="K317" s="26"/>
      <c r="L317" s="26"/>
      <c r="M317" s="26"/>
      <c r="N317" s="26"/>
      <c r="P317" s="26"/>
      <c r="Q317" s="26"/>
      <c r="R317" s="25"/>
      <c r="S317" s="25"/>
      <c r="T317" s="25"/>
      <c r="U317" s="25"/>
      <c r="V317" s="24"/>
      <c r="W317" s="24"/>
      <c r="X317" s="24"/>
      <c r="Y317" s="26"/>
      <c r="Z317" s="26"/>
      <c r="AA317" s="24"/>
      <c r="AB317" s="24"/>
      <c r="AC317" s="24"/>
      <c r="AD317" s="24"/>
      <c r="AE317" s="26"/>
      <c r="AF317" s="26"/>
      <c r="AG317" s="24"/>
      <c r="AH317" s="24"/>
      <c r="AI317" s="28"/>
      <c r="AJ317" s="28"/>
      <c r="AK317" s="28"/>
      <c r="AL317" s="28"/>
      <c r="AM317" s="28"/>
      <c r="AN317" s="28"/>
      <c r="AO317" s="28"/>
      <c r="AP317" s="28"/>
      <c r="AQ317" s="28"/>
      <c r="AR317" s="28"/>
      <c r="AS317" s="28"/>
      <c r="AT317" s="28"/>
      <c r="AU317" s="28"/>
      <c r="AV317" s="24"/>
      <c r="AW317" s="28"/>
      <c r="AX317" s="28"/>
      <c r="AY317" s="28"/>
      <c r="AZ317" s="28"/>
      <c r="BA317" s="28"/>
      <c r="BB317" s="28"/>
      <c r="BC317" s="24"/>
      <c r="BD317" s="28"/>
      <c r="BE317" s="28"/>
      <c r="BF317" s="28"/>
      <c r="BG317" s="24"/>
      <c r="BH317" s="28"/>
      <c r="BI317" s="28"/>
      <c r="BJ317" s="28"/>
    </row>
    <row r="318" spans="1:62">
      <c r="A318" s="24"/>
      <c r="B318" s="28"/>
      <c r="C318" s="25"/>
      <c r="D318" s="26"/>
      <c r="E318" s="24"/>
      <c r="F318" s="24"/>
      <c r="G318" s="26"/>
      <c r="H318" s="26"/>
      <c r="I318" s="26"/>
      <c r="J318" s="26"/>
      <c r="K318" s="26"/>
      <c r="L318" s="26"/>
      <c r="M318" s="26"/>
      <c r="N318" s="26"/>
      <c r="P318" s="26"/>
      <c r="Q318" s="26"/>
      <c r="R318" s="25"/>
      <c r="S318" s="25"/>
      <c r="T318" s="25"/>
      <c r="U318" s="25"/>
      <c r="V318" s="24"/>
      <c r="W318" s="24"/>
      <c r="X318" s="24"/>
      <c r="Y318" s="26"/>
      <c r="Z318" s="26"/>
      <c r="AA318" s="24"/>
      <c r="AB318" s="24"/>
      <c r="AC318" s="24"/>
      <c r="AD318" s="24"/>
      <c r="AE318" s="26"/>
      <c r="AF318" s="26"/>
      <c r="AG318" s="24"/>
      <c r="AH318" s="24"/>
      <c r="AI318" s="28"/>
      <c r="AJ318" s="28"/>
      <c r="AK318" s="28"/>
      <c r="AL318" s="28"/>
      <c r="AM318" s="28"/>
      <c r="AN318" s="28"/>
      <c r="AO318" s="28"/>
      <c r="AP318" s="28"/>
      <c r="AQ318" s="28"/>
      <c r="AR318" s="28"/>
      <c r="AS318" s="28"/>
      <c r="AT318" s="28"/>
      <c r="AU318" s="28"/>
      <c r="AV318" s="24"/>
      <c r="AW318" s="28"/>
      <c r="AX318" s="28"/>
      <c r="AY318" s="28"/>
      <c r="AZ318" s="28"/>
      <c r="BA318" s="28"/>
      <c r="BB318" s="28"/>
      <c r="BC318" s="24"/>
      <c r="BD318" s="28"/>
      <c r="BE318" s="28"/>
      <c r="BF318" s="28"/>
      <c r="BG318" s="24"/>
      <c r="BH318" s="28"/>
      <c r="BI318" s="28"/>
      <c r="BJ318" s="28"/>
    </row>
    <row r="319" spans="1:62">
      <c r="A319" s="24"/>
      <c r="B319" s="28"/>
      <c r="C319" s="25"/>
      <c r="D319" s="26"/>
      <c r="E319" s="24"/>
      <c r="F319" s="24"/>
      <c r="G319" s="26"/>
      <c r="H319" s="26"/>
      <c r="I319" s="26"/>
      <c r="J319" s="26"/>
      <c r="K319" s="26"/>
      <c r="L319" s="26"/>
      <c r="M319" s="26"/>
      <c r="N319" s="26"/>
      <c r="P319" s="26"/>
      <c r="Q319" s="26"/>
      <c r="R319" s="25"/>
      <c r="S319" s="25"/>
      <c r="T319" s="25"/>
      <c r="U319" s="25"/>
      <c r="V319" s="24"/>
      <c r="W319" s="24"/>
      <c r="X319" s="24"/>
      <c r="Y319" s="26"/>
      <c r="Z319" s="26"/>
      <c r="AA319" s="24"/>
      <c r="AB319" s="24"/>
      <c r="AC319" s="24"/>
      <c r="AD319" s="24"/>
      <c r="AE319" s="26"/>
      <c r="AF319" s="26"/>
      <c r="AG319" s="24"/>
      <c r="AH319" s="24"/>
      <c r="AI319" s="28"/>
      <c r="AJ319" s="28"/>
      <c r="AK319" s="28"/>
      <c r="AL319" s="28"/>
      <c r="AM319" s="28"/>
      <c r="AN319" s="28"/>
      <c r="AO319" s="28"/>
      <c r="AP319" s="28"/>
      <c r="AQ319" s="28"/>
      <c r="AR319" s="28"/>
      <c r="AS319" s="28"/>
      <c r="AT319" s="28"/>
      <c r="AU319" s="28"/>
      <c r="AV319" s="24"/>
      <c r="AW319" s="28"/>
      <c r="AX319" s="28"/>
      <c r="AY319" s="28"/>
      <c r="AZ319" s="28"/>
      <c r="BA319" s="28"/>
      <c r="BB319" s="28"/>
      <c r="BC319" s="24"/>
      <c r="BD319" s="28"/>
      <c r="BE319" s="28"/>
      <c r="BF319" s="28"/>
      <c r="BG319" s="24"/>
      <c r="BH319" s="28"/>
      <c r="BI319" s="28"/>
      <c r="BJ319" s="28"/>
    </row>
    <row r="320" spans="1:62">
      <c r="A320" s="24"/>
      <c r="B320" s="28"/>
      <c r="C320" s="25"/>
      <c r="D320" s="26"/>
      <c r="E320" s="24"/>
      <c r="F320" s="24"/>
      <c r="G320" s="26"/>
      <c r="H320" s="26"/>
      <c r="I320" s="26"/>
      <c r="J320" s="26"/>
      <c r="K320" s="26"/>
      <c r="L320" s="26"/>
      <c r="M320" s="26"/>
      <c r="N320" s="26"/>
      <c r="P320" s="26"/>
      <c r="Q320" s="26"/>
      <c r="R320" s="25"/>
      <c r="S320" s="25"/>
      <c r="T320" s="25"/>
      <c r="U320" s="25"/>
      <c r="V320" s="24"/>
      <c r="W320" s="24"/>
      <c r="X320" s="24"/>
      <c r="Y320" s="26"/>
      <c r="Z320" s="26"/>
      <c r="AA320" s="24"/>
      <c r="AB320" s="24"/>
      <c r="AC320" s="24"/>
      <c r="AD320" s="24"/>
      <c r="AE320" s="26"/>
      <c r="AF320" s="26"/>
      <c r="AG320" s="24"/>
      <c r="AH320" s="24"/>
      <c r="AI320" s="28"/>
      <c r="AJ320" s="28"/>
      <c r="AK320" s="28"/>
      <c r="AL320" s="28"/>
      <c r="AM320" s="28"/>
      <c r="AN320" s="28"/>
      <c r="AO320" s="28"/>
      <c r="AP320" s="28"/>
      <c r="AQ320" s="28"/>
      <c r="AR320" s="28"/>
      <c r="AS320" s="28"/>
      <c r="AT320" s="28"/>
      <c r="AU320" s="28"/>
      <c r="AV320" s="24"/>
      <c r="AW320" s="28"/>
      <c r="AX320" s="28"/>
      <c r="AY320" s="28"/>
      <c r="AZ320" s="28"/>
      <c r="BA320" s="28"/>
      <c r="BB320" s="28"/>
      <c r="BC320" s="24"/>
      <c r="BD320" s="28"/>
      <c r="BE320" s="28"/>
      <c r="BF320" s="28"/>
      <c r="BG320" s="24"/>
      <c r="BH320" s="28"/>
      <c r="BI320" s="28"/>
      <c r="BJ320" s="28"/>
    </row>
    <row r="321" spans="1:62">
      <c r="A321" s="24"/>
      <c r="B321" s="28"/>
      <c r="C321" s="25"/>
      <c r="D321" s="26"/>
      <c r="E321" s="24"/>
      <c r="F321" s="24"/>
      <c r="G321" s="26"/>
      <c r="H321" s="26"/>
      <c r="I321" s="26"/>
      <c r="J321" s="26"/>
      <c r="K321" s="26"/>
      <c r="L321" s="26"/>
      <c r="M321" s="26"/>
      <c r="N321" s="26"/>
      <c r="P321" s="26"/>
      <c r="Q321" s="26"/>
      <c r="R321" s="25"/>
      <c r="S321" s="25"/>
      <c r="T321" s="25"/>
      <c r="U321" s="25"/>
      <c r="V321" s="24"/>
      <c r="W321" s="24"/>
      <c r="X321" s="24"/>
      <c r="Y321" s="26"/>
      <c r="Z321" s="26"/>
      <c r="AA321" s="24"/>
      <c r="AB321" s="24"/>
      <c r="AC321" s="24"/>
      <c r="AD321" s="24"/>
      <c r="AE321" s="26"/>
      <c r="AF321" s="26"/>
      <c r="AG321" s="24"/>
      <c r="AH321" s="24"/>
      <c r="AI321" s="28"/>
      <c r="AJ321" s="28"/>
      <c r="AK321" s="28"/>
      <c r="AL321" s="28"/>
      <c r="AM321" s="28"/>
      <c r="AN321" s="28"/>
      <c r="AO321" s="28"/>
      <c r="AP321" s="28"/>
      <c r="AQ321" s="28"/>
      <c r="AR321" s="28"/>
      <c r="AS321" s="28"/>
      <c r="AT321" s="28"/>
      <c r="AU321" s="28"/>
      <c r="AV321" s="24"/>
      <c r="AW321" s="28"/>
      <c r="AX321" s="28"/>
      <c r="AY321" s="28"/>
      <c r="AZ321" s="28"/>
      <c r="BA321" s="28"/>
      <c r="BB321" s="28"/>
      <c r="BC321" s="24"/>
      <c r="BD321" s="28"/>
      <c r="BE321" s="28"/>
      <c r="BF321" s="28"/>
      <c r="BG321" s="24"/>
      <c r="BH321" s="28"/>
      <c r="BI321" s="28"/>
      <c r="BJ321" s="28"/>
    </row>
    <row r="322" spans="1:62">
      <c r="A322" s="24"/>
      <c r="B322" s="28"/>
      <c r="C322" s="25"/>
      <c r="D322" s="26"/>
      <c r="E322" s="24"/>
      <c r="F322" s="24"/>
      <c r="G322" s="26"/>
      <c r="H322" s="26"/>
      <c r="I322" s="26"/>
      <c r="J322" s="26"/>
      <c r="K322" s="26"/>
      <c r="L322" s="26"/>
      <c r="M322" s="26"/>
      <c r="N322" s="26"/>
      <c r="P322" s="26"/>
      <c r="Q322" s="26"/>
      <c r="R322" s="25"/>
      <c r="S322" s="25"/>
      <c r="T322" s="25"/>
      <c r="U322" s="25"/>
      <c r="V322" s="24"/>
      <c r="W322" s="24"/>
      <c r="X322" s="24"/>
      <c r="Y322" s="26"/>
      <c r="Z322" s="26"/>
      <c r="AA322" s="24"/>
      <c r="AB322" s="24"/>
      <c r="AC322" s="24"/>
      <c r="AD322" s="24"/>
      <c r="AE322" s="26"/>
      <c r="AF322" s="26"/>
      <c r="AG322" s="24"/>
      <c r="AH322" s="24"/>
      <c r="AI322" s="28"/>
      <c r="AJ322" s="28"/>
      <c r="AK322" s="28"/>
      <c r="AL322" s="28"/>
      <c r="AM322" s="28"/>
      <c r="AN322" s="28"/>
      <c r="AO322" s="28"/>
      <c r="AP322" s="28"/>
      <c r="AQ322" s="28"/>
      <c r="AR322" s="28"/>
      <c r="AS322" s="28"/>
      <c r="AT322" s="28"/>
      <c r="AU322" s="28"/>
      <c r="AV322" s="24"/>
      <c r="AW322" s="28"/>
      <c r="AX322" s="28"/>
      <c r="AY322" s="28"/>
      <c r="AZ322" s="28"/>
      <c r="BA322" s="28"/>
      <c r="BB322" s="28"/>
      <c r="BC322" s="24"/>
      <c r="BD322" s="28"/>
      <c r="BE322" s="28"/>
      <c r="BF322" s="28"/>
      <c r="BG322" s="24"/>
      <c r="BH322" s="28"/>
      <c r="BI322" s="28"/>
      <c r="BJ322" s="28"/>
    </row>
    <row r="323" spans="1:62">
      <c r="A323" s="24"/>
      <c r="B323" s="28"/>
      <c r="C323" s="25"/>
      <c r="D323" s="26"/>
      <c r="E323" s="24"/>
      <c r="F323" s="24"/>
      <c r="G323" s="26"/>
      <c r="H323" s="26"/>
      <c r="I323" s="26"/>
      <c r="J323" s="26"/>
      <c r="K323" s="26"/>
      <c r="L323" s="26"/>
      <c r="M323" s="26"/>
      <c r="N323" s="26"/>
      <c r="P323" s="26"/>
      <c r="Q323" s="26"/>
      <c r="R323" s="25"/>
      <c r="S323" s="25"/>
      <c r="T323" s="25"/>
      <c r="U323" s="25"/>
      <c r="V323" s="24"/>
      <c r="W323" s="24"/>
      <c r="X323" s="24"/>
      <c r="Y323" s="26"/>
      <c r="Z323" s="26"/>
      <c r="AA323" s="24"/>
      <c r="AB323" s="24"/>
      <c r="AC323" s="24"/>
      <c r="AD323" s="24"/>
      <c r="AE323" s="26"/>
      <c r="AF323" s="26"/>
      <c r="AG323" s="24"/>
      <c r="AH323" s="24"/>
      <c r="AI323" s="28"/>
      <c r="AJ323" s="28"/>
      <c r="AK323" s="28"/>
      <c r="AL323" s="28"/>
      <c r="AM323" s="28"/>
      <c r="AN323" s="28"/>
      <c r="AO323" s="28"/>
      <c r="AP323" s="28"/>
      <c r="AQ323" s="28"/>
      <c r="AR323" s="28"/>
      <c r="AS323" s="28"/>
      <c r="AT323" s="28"/>
      <c r="AU323" s="28"/>
      <c r="AV323" s="24"/>
      <c r="AW323" s="28"/>
      <c r="AX323" s="28"/>
      <c r="AY323" s="28"/>
      <c r="AZ323" s="28"/>
      <c r="BA323" s="28"/>
      <c r="BB323" s="28"/>
      <c r="BC323" s="24"/>
      <c r="BD323" s="28"/>
      <c r="BE323" s="28"/>
      <c r="BF323" s="28"/>
      <c r="BG323" s="24"/>
      <c r="BH323" s="28"/>
      <c r="BI323" s="28"/>
      <c r="BJ323" s="28"/>
    </row>
    <row r="324" spans="1:62">
      <c r="A324" s="24"/>
      <c r="B324" s="28"/>
      <c r="C324" s="25"/>
      <c r="D324" s="26"/>
      <c r="E324" s="24"/>
      <c r="F324" s="24"/>
      <c r="G324" s="26"/>
      <c r="H324" s="26"/>
      <c r="I324" s="26"/>
      <c r="J324" s="26"/>
      <c r="K324" s="26"/>
      <c r="L324" s="26"/>
      <c r="M324" s="26"/>
      <c r="N324" s="26"/>
      <c r="P324" s="26"/>
      <c r="Q324" s="26"/>
      <c r="R324" s="25"/>
      <c r="S324" s="25"/>
      <c r="T324" s="25"/>
      <c r="U324" s="25"/>
      <c r="V324" s="24"/>
      <c r="W324" s="24"/>
      <c r="X324" s="24"/>
      <c r="Y324" s="26"/>
      <c r="Z324" s="26"/>
      <c r="AA324" s="24"/>
      <c r="AB324" s="24"/>
      <c r="AC324" s="24"/>
      <c r="AD324" s="24"/>
      <c r="AE324" s="26"/>
      <c r="AF324" s="26"/>
      <c r="AG324" s="24"/>
      <c r="AH324" s="24"/>
      <c r="AI324" s="28"/>
      <c r="AJ324" s="28"/>
      <c r="AK324" s="28"/>
      <c r="AL324" s="28"/>
      <c r="AM324" s="28"/>
      <c r="AN324" s="28"/>
      <c r="AO324" s="28"/>
      <c r="AP324" s="28"/>
      <c r="AQ324" s="28"/>
      <c r="AR324" s="28"/>
      <c r="AS324" s="28"/>
      <c r="AT324" s="28"/>
      <c r="AU324" s="28"/>
      <c r="AV324" s="24"/>
      <c r="AW324" s="28"/>
      <c r="AX324" s="28"/>
      <c r="AY324" s="28"/>
      <c r="AZ324" s="28"/>
      <c r="BA324" s="28"/>
      <c r="BB324" s="28"/>
      <c r="BC324" s="24"/>
      <c r="BD324" s="28"/>
      <c r="BE324" s="28"/>
      <c r="BF324" s="28"/>
      <c r="BG324" s="24"/>
      <c r="BH324" s="28"/>
      <c r="BI324" s="28"/>
      <c r="BJ324" s="28"/>
    </row>
    <row r="325" spans="1:62">
      <c r="A325" s="24"/>
      <c r="B325" s="28"/>
      <c r="C325" s="25"/>
      <c r="D325" s="26"/>
      <c r="E325" s="24"/>
      <c r="F325" s="24"/>
      <c r="G325" s="26"/>
      <c r="H325" s="26"/>
      <c r="I325" s="26"/>
      <c r="J325" s="26"/>
      <c r="K325" s="26"/>
      <c r="L325" s="26"/>
      <c r="M325" s="26"/>
      <c r="N325" s="26"/>
      <c r="P325" s="26"/>
      <c r="Q325" s="26"/>
      <c r="R325" s="25"/>
      <c r="S325" s="25"/>
      <c r="T325" s="25"/>
      <c r="U325" s="25"/>
      <c r="V325" s="24"/>
      <c r="W325" s="24"/>
      <c r="X325" s="24"/>
      <c r="Y325" s="26"/>
      <c r="Z325" s="26"/>
      <c r="AA325" s="24"/>
      <c r="AB325" s="24"/>
      <c r="AC325" s="24"/>
      <c r="AD325" s="24"/>
      <c r="AE325" s="26"/>
      <c r="AF325" s="26"/>
      <c r="AG325" s="24"/>
      <c r="AH325" s="24"/>
      <c r="AI325" s="28"/>
      <c r="AJ325" s="28"/>
      <c r="AK325" s="28"/>
      <c r="AL325" s="28"/>
      <c r="AM325" s="28"/>
      <c r="AN325" s="28"/>
      <c r="AO325" s="28"/>
      <c r="AP325" s="28"/>
      <c r="AQ325" s="28"/>
      <c r="AR325" s="28"/>
      <c r="AS325" s="28"/>
      <c r="AT325" s="28"/>
      <c r="AU325" s="28"/>
      <c r="AV325" s="24"/>
      <c r="AW325" s="28"/>
      <c r="AX325" s="28"/>
      <c r="AY325" s="28"/>
      <c r="AZ325" s="28"/>
      <c r="BA325" s="28"/>
      <c r="BB325" s="28"/>
      <c r="BC325" s="24"/>
      <c r="BD325" s="28"/>
      <c r="BE325" s="28"/>
      <c r="BF325" s="28"/>
      <c r="BG325" s="24"/>
      <c r="BH325" s="28"/>
      <c r="BI325" s="28"/>
      <c r="BJ325" s="28"/>
    </row>
    <row r="326" spans="1:62">
      <c r="A326" s="24"/>
      <c r="B326" s="28"/>
      <c r="C326" s="25"/>
      <c r="D326" s="26"/>
      <c r="E326" s="24"/>
      <c r="F326" s="24"/>
      <c r="G326" s="26"/>
      <c r="H326" s="26"/>
      <c r="I326" s="26"/>
      <c r="J326" s="26"/>
      <c r="K326" s="26"/>
      <c r="L326" s="26"/>
      <c r="M326" s="26"/>
      <c r="N326" s="26"/>
      <c r="P326" s="26"/>
      <c r="Q326" s="26"/>
      <c r="R326" s="25"/>
      <c r="S326" s="25"/>
      <c r="T326" s="25"/>
      <c r="U326" s="25"/>
      <c r="V326" s="24"/>
      <c r="W326" s="24"/>
      <c r="X326" s="24"/>
      <c r="Y326" s="26"/>
      <c r="Z326" s="26"/>
      <c r="AA326" s="24"/>
      <c r="AB326" s="24"/>
      <c r="AC326" s="24"/>
      <c r="AD326" s="24"/>
      <c r="AE326" s="26"/>
      <c r="AF326" s="26"/>
      <c r="AG326" s="24"/>
      <c r="AH326" s="24"/>
      <c r="AI326" s="28"/>
      <c r="AJ326" s="28"/>
      <c r="AK326" s="28"/>
      <c r="AL326" s="28"/>
      <c r="AM326" s="28"/>
      <c r="AN326" s="28"/>
      <c r="AO326" s="28"/>
      <c r="AP326" s="28"/>
      <c r="AQ326" s="28"/>
      <c r="AR326" s="28"/>
      <c r="AS326" s="28"/>
      <c r="AT326" s="28"/>
      <c r="AU326" s="28"/>
      <c r="AV326" s="24"/>
      <c r="AW326" s="28"/>
      <c r="AX326" s="28"/>
      <c r="AY326" s="28"/>
      <c r="AZ326" s="28"/>
      <c r="BA326" s="28"/>
      <c r="BB326" s="28"/>
      <c r="BC326" s="24"/>
      <c r="BD326" s="28"/>
      <c r="BE326" s="28"/>
      <c r="BF326" s="28"/>
      <c r="BG326" s="24"/>
      <c r="BH326" s="28"/>
      <c r="BI326" s="28"/>
      <c r="BJ326" s="28"/>
    </row>
    <row r="327" spans="1:62">
      <c r="A327" s="24"/>
      <c r="B327" s="28"/>
      <c r="C327" s="25"/>
      <c r="D327" s="26"/>
      <c r="E327" s="24"/>
      <c r="F327" s="24"/>
      <c r="G327" s="26"/>
      <c r="H327" s="26"/>
      <c r="I327" s="26"/>
      <c r="J327" s="26"/>
      <c r="K327" s="26"/>
      <c r="L327" s="26"/>
      <c r="M327" s="26"/>
      <c r="N327" s="26"/>
      <c r="P327" s="26"/>
      <c r="Q327" s="26"/>
      <c r="R327" s="25"/>
      <c r="S327" s="25"/>
      <c r="T327" s="25"/>
      <c r="U327" s="25"/>
      <c r="V327" s="24"/>
      <c r="W327" s="24"/>
      <c r="X327" s="24"/>
      <c r="Y327" s="26"/>
      <c r="Z327" s="26"/>
      <c r="AA327" s="24"/>
      <c r="AB327" s="24"/>
      <c r="AC327" s="24"/>
      <c r="AD327" s="24"/>
      <c r="AE327" s="26"/>
      <c r="AF327" s="26"/>
      <c r="AG327" s="24"/>
      <c r="AH327" s="24"/>
      <c r="AI327" s="28"/>
      <c r="AJ327" s="28"/>
      <c r="AK327" s="28"/>
      <c r="AL327" s="28"/>
      <c r="AM327" s="28"/>
      <c r="AN327" s="28"/>
      <c r="AO327" s="28"/>
      <c r="AP327" s="28"/>
      <c r="AQ327" s="28"/>
      <c r="AR327" s="28"/>
      <c r="AS327" s="28"/>
      <c r="AT327" s="28"/>
      <c r="AU327" s="28"/>
      <c r="AV327" s="24"/>
      <c r="AW327" s="28"/>
      <c r="AX327" s="28"/>
      <c r="AY327" s="28"/>
      <c r="AZ327" s="28"/>
      <c r="BA327" s="28"/>
      <c r="BB327" s="28"/>
      <c r="BC327" s="24"/>
      <c r="BD327" s="28"/>
      <c r="BE327" s="28"/>
      <c r="BF327" s="28"/>
      <c r="BG327" s="24"/>
      <c r="BH327" s="28"/>
      <c r="BI327" s="28"/>
      <c r="BJ327" s="28"/>
    </row>
    <row r="328" spans="1:62">
      <c r="A328" s="24"/>
      <c r="B328" s="28"/>
      <c r="C328" s="25"/>
      <c r="D328" s="26"/>
      <c r="E328" s="24"/>
      <c r="F328" s="24"/>
      <c r="G328" s="26"/>
      <c r="H328" s="26"/>
      <c r="I328" s="26"/>
      <c r="J328" s="26"/>
      <c r="K328" s="26"/>
      <c r="L328" s="26"/>
      <c r="M328" s="26"/>
      <c r="N328" s="26"/>
      <c r="P328" s="26"/>
      <c r="Q328" s="26"/>
      <c r="R328" s="25"/>
      <c r="S328" s="25"/>
      <c r="T328" s="25"/>
      <c r="U328" s="25"/>
      <c r="V328" s="24"/>
      <c r="W328" s="24"/>
      <c r="X328" s="24"/>
      <c r="Y328" s="26"/>
      <c r="Z328" s="26"/>
      <c r="AA328" s="24"/>
      <c r="AB328" s="24"/>
      <c r="AC328" s="24"/>
      <c r="AD328" s="24"/>
      <c r="AE328" s="26"/>
      <c r="AF328" s="26"/>
      <c r="AG328" s="24"/>
      <c r="AH328" s="24"/>
      <c r="AI328" s="28"/>
      <c r="AJ328" s="28"/>
      <c r="AK328" s="28"/>
      <c r="AL328" s="28"/>
      <c r="AM328" s="28"/>
      <c r="AN328" s="28"/>
      <c r="AO328" s="28"/>
      <c r="AP328" s="28"/>
      <c r="AQ328" s="28"/>
      <c r="AR328" s="28"/>
      <c r="AS328" s="28"/>
      <c r="AT328" s="28"/>
      <c r="AU328" s="28"/>
      <c r="AV328" s="24"/>
      <c r="AW328" s="28"/>
      <c r="AX328" s="28"/>
      <c r="AY328" s="28"/>
      <c r="AZ328" s="28"/>
      <c r="BA328" s="28"/>
      <c r="BB328" s="28"/>
      <c r="BC328" s="24"/>
      <c r="BD328" s="28"/>
      <c r="BE328" s="28"/>
      <c r="BF328" s="28"/>
      <c r="BG328" s="24"/>
      <c r="BH328" s="28"/>
      <c r="BI328" s="28"/>
      <c r="BJ328" s="28"/>
    </row>
    <row r="329" spans="1:62">
      <c r="A329" s="24"/>
      <c r="B329" s="28"/>
      <c r="C329" s="25"/>
      <c r="D329" s="26"/>
      <c r="E329" s="24"/>
      <c r="F329" s="24"/>
      <c r="G329" s="26"/>
      <c r="H329" s="26"/>
      <c r="I329" s="26"/>
      <c r="J329" s="26"/>
      <c r="K329" s="26"/>
      <c r="L329" s="26"/>
      <c r="M329" s="26"/>
      <c r="N329" s="26"/>
      <c r="P329" s="26"/>
      <c r="Q329" s="26"/>
      <c r="R329" s="25"/>
      <c r="S329" s="25"/>
      <c r="T329" s="25"/>
      <c r="U329" s="25"/>
      <c r="V329" s="24"/>
      <c r="W329" s="24"/>
      <c r="X329" s="24"/>
      <c r="Y329" s="26"/>
      <c r="Z329" s="26"/>
      <c r="AA329" s="24"/>
      <c r="AB329" s="24"/>
      <c r="AC329" s="24"/>
      <c r="AD329" s="24"/>
      <c r="AE329" s="26"/>
      <c r="AF329" s="26"/>
      <c r="AG329" s="24"/>
      <c r="AH329" s="24"/>
      <c r="AI329" s="28"/>
      <c r="AJ329" s="28"/>
      <c r="AK329" s="28"/>
      <c r="AL329" s="28"/>
      <c r="AM329" s="28"/>
      <c r="AN329" s="28"/>
      <c r="AO329" s="28"/>
      <c r="AP329" s="28"/>
      <c r="AQ329" s="28"/>
      <c r="AR329" s="28"/>
      <c r="AS329" s="28"/>
      <c r="AT329" s="28"/>
      <c r="AU329" s="28"/>
      <c r="AV329" s="24"/>
      <c r="AW329" s="28"/>
      <c r="AX329" s="28"/>
      <c r="AY329" s="28"/>
      <c r="AZ329" s="28"/>
      <c r="BA329" s="28"/>
      <c r="BB329" s="28"/>
      <c r="BC329" s="24"/>
      <c r="BD329" s="28"/>
      <c r="BE329" s="28"/>
      <c r="BF329" s="28"/>
      <c r="BG329" s="24"/>
      <c r="BH329" s="28"/>
      <c r="BI329" s="28"/>
      <c r="BJ329" s="28"/>
    </row>
    <row r="330" spans="1:62">
      <c r="A330" s="24"/>
      <c r="B330" s="28"/>
      <c r="C330" s="25"/>
      <c r="D330" s="26"/>
      <c r="E330" s="24"/>
      <c r="F330" s="24"/>
      <c r="G330" s="26"/>
      <c r="H330" s="26"/>
      <c r="I330" s="26"/>
      <c r="J330" s="26"/>
      <c r="K330" s="26"/>
      <c r="L330" s="26"/>
      <c r="M330" s="26"/>
      <c r="N330" s="26"/>
      <c r="P330" s="26"/>
      <c r="Q330" s="26"/>
      <c r="R330" s="25"/>
      <c r="S330" s="25"/>
      <c r="T330" s="25"/>
      <c r="U330" s="25"/>
      <c r="V330" s="24"/>
      <c r="W330" s="24"/>
      <c r="X330" s="24"/>
      <c r="Y330" s="26"/>
      <c r="Z330" s="26"/>
      <c r="AA330" s="24"/>
      <c r="AB330" s="24"/>
      <c r="AC330" s="24"/>
      <c r="AD330" s="24"/>
      <c r="AE330" s="26"/>
      <c r="AF330" s="26"/>
      <c r="AG330" s="24"/>
      <c r="AH330" s="24"/>
      <c r="AI330" s="28"/>
      <c r="AJ330" s="28"/>
      <c r="AK330" s="28"/>
      <c r="AL330" s="28"/>
      <c r="AM330" s="28"/>
      <c r="AN330" s="28"/>
      <c r="AO330" s="28"/>
      <c r="AP330" s="28"/>
      <c r="AQ330" s="28"/>
      <c r="AR330" s="28"/>
      <c r="AS330" s="28"/>
      <c r="AT330" s="28"/>
      <c r="AU330" s="28"/>
      <c r="AV330" s="24"/>
      <c r="AW330" s="28"/>
      <c r="AX330" s="28"/>
      <c r="AY330" s="28"/>
      <c r="AZ330" s="28"/>
      <c r="BA330" s="28"/>
      <c r="BB330" s="28"/>
      <c r="BC330" s="24"/>
      <c r="BD330" s="28"/>
      <c r="BE330" s="28"/>
      <c r="BF330" s="28"/>
      <c r="BG330" s="24"/>
      <c r="BH330" s="28"/>
      <c r="BI330" s="28"/>
      <c r="BJ330" s="28"/>
    </row>
    <row r="331" spans="1:62">
      <c r="A331" s="24"/>
      <c r="B331" s="28"/>
      <c r="C331" s="25"/>
      <c r="D331" s="26"/>
      <c r="E331" s="24"/>
      <c r="F331" s="24"/>
      <c r="G331" s="26"/>
      <c r="H331" s="26"/>
      <c r="I331" s="26"/>
      <c r="J331" s="26"/>
      <c r="K331" s="26"/>
      <c r="L331" s="26"/>
      <c r="M331" s="26"/>
      <c r="N331" s="26"/>
      <c r="P331" s="26"/>
      <c r="Q331" s="26"/>
      <c r="R331" s="25"/>
      <c r="S331" s="25"/>
      <c r="T331" s="25"/>
      <c r="U331" s="25"/>
      <c r="V331" s="24"/>
      <c r="W331" s="24"/>
      <c r="X331" s="24"/>
      <c r="Y331" s="26"/>
      <c r="Z331" s="26"/>
      <c r="AA331" s="24"/>
      <c r="AB331" s="24"/>
      <c r="AC331" s="24"/>
      <c r="AD331" s="24"/>
      <c r="AE331" s="26"/>
      <c r="AF331" s="26"/>
      <c r="AG331" s="24"/>
      <c r="AH331" s="24"/>
      <c r="AI331" s="28"/>
      <c r="AJ331" s="28"/>
      <c r="AK331" s="28"/>
      <c r="AL331" s="28"/>
      <c r="AM331" s="28"/>
      <c r="AN331" s="28"/>
      <c r="AO331" s="28"/>
      <c r="AP331" s="28"/>
      <c r="AQ331" s="28"/>
      <c r="AR331" s="28"/>
      <c r="AS331" s="28"/>
      <c r="AT331" s="28"/>
      <c r="AU331" s="28"/>
      <c r="AV331" s="24"/>
      <c r="AW331" s="28"/>
      <c r="AX331" s="28"/>
      <c r="AY331" s="28"/>
      <c r="AZ331" s="28"/>
      <c r="BA331" s="28"/>
      <c r="BB331" s="28"/>
      <c r="BC331" s="24"/>
      <c r="BD331" s="28"/>
      <c r="BE331" s="28"/>
      <c r="BF331" s="28"/>
      <c r="BG331" s="24"/>
      <c r="BH331" s="28"/>
      <c r="BI331" s="28"/>
      <c r="BJ331" s="28"/>
    </row>
    <row r="332" spans="1:62">
      <c r="A332" s="24"/>
      <c r="B332" s="28"/>
      <c r="C332" s="25"/>
      <c r="D332" s="26"/>
      <c r="E332" s="24"/>
      <c r="F332" s="24"/>
      <c r="G332" s="26"/>
      <c r="H332" s="26"/>
      <c r="I332" s="26"/>
      <c r="J332" s="26"/>
      <c r="K332" s="26"/>
      <c r="L332" s="26"/>
      <c r="M332" s="26"/>
      <c r="N332" s="26"/>
      <c r="P332" s="26"/>
      <c r="Q332" s="26"/>
      <c r="R332" s="25"/>
      <c r="S332" s="25"/>
      <c r="T332" s="25"/>
      <c r="U332" s="25"/>
      <c r="V332" s="24"/>
      <c r="W332" s="24"/>
      <c r="X332" s="24"/>
      <c r="Y332" s="26"/>
      <c r="Z332" s="26"/>
      <c r="AA332" s="24"/>
      <c r="AB332" s="24"/>
      <c r="AC332" s="24"/>
      <c r="AD332" s="24"/>
      <c r="AE332" s="26"/>
      <c r="AF332" s="26"/>
      <c r="AG332" s="24"/>
      <c r="AH332" s="24"/>
      <c r="AI332" s="28"/>
      <c r="AJ332" s="28"/>
      <c r="AK332" s="28"/>
      <c r="AL332" s="28"/>
      <c r="AM332" s="28"/>
      <c r="AN332" s="28"/>
      <c r="AO332" s="28"/>
      <c r="AP332" s="28"/>
      <c r="AQ332" s="28"/>
      <c r="AR332" s="28"/>
      <c r="AS332" s="28"/>
      <c r="AT332" s="28"/>
      <c r="AU332" s="28"/>
      <c r="AV332" s="24"/>
      <c r="AW332" s="28"/>
      <c r="AX332" s="28"/>
      <c r="AY332" s="28"/>
      <c r="AZ332" s="28"/>
      <c r="BA332" s="28"/>
      <c r="BB332" s="28"/>
      <c r="BC332" s="24"/>
      <c r="BD332" s="28"/>
      <c r="BE332" s="28"/>
      <c r="BF332" s="28"/>
      <c r="BG332" s="24"/>
      <c r="BH332" s="28"/>
      <c r="BI332" s="28"/>
      <c r="BJ332" s="28"/>
    </row>
    <row r="333" spans="1:62">
      <c r="A333" s="24"/>
      <c r="B333" s="28"/>
      <c r="C333" s="25"/>
      <c r="D333" s="26"/>
      <c r="E333" s="24"/>
      <c r="F333" s="24"/>
      <c r="G333" s="26"/>
      <c r="H333" s="26"/>
      <c r="I333" s="26"/>
      <c r="J333" s="26"/>
      <c r="K333" s="26"/>
      <c r="L333" s="26"/>
      <c r="M333" s="26"/>
      <c r="N333" s="26"/>
      <c r="P333" s="26"/>
      <c r="Q333" s="26"/>
      <c r="R333" s="25"/>
      <c r="S333" s="25"/>
      <c r="T333" s="25"/>
      <c r="U333" s="25"/>
      <c r="V333" s="24"/>
      <c r="W333" s="24"/>
      <c r="X333" s="24"/>
      <c r="Y333" s="26"/>
      <c r="Z333" s="26"/>
      <c r="AA333" s="24"/>
      <c r="AB333" s="24"/>
      <c r="AC333" s="24"/>
      <c r="AD333" s="24"/>
      <c r="AE333" s="26"/>
      <c r="AF333" s="26"/>
      <c r="AG333" s="24"/>
      <c r="AH333" s="24"/>
      <c r="AI333" s="28"/>
      <c r="AJ333" s="28"/>
      <c r="AK333" s="28"/>
      <c r="AL333" s="28"/>
      <c r="AM333" s="28"/>
      <c r="AN333" s="28"/>
      <c r="AO333" s="28"/>
      <c r="AP333" s="28"/>
      <c r="AQ333" s="28"/>
      <c r="AR333" s="28"/>
      <c r="AS333" s="28"/>
      <c r="AT333" s="28"/>
      <c r="AU333" s="28"/>
      <c r="AV333" s="24"/>
      <c r="AW333" s="28"/>
      <c r="AX333" s="28"/>
      <c r="AY333" s="28"/>
      <c r="AZ333" s="28"/>
      <c r="BA333" s="28"/>
      <c r="BB333" s="28"/>
      <c r="BC333" s="24"/>
      <c r="BD333" s="28"/>
      <c r="BE333" s="28"/>
      <c r="BF333" s="28"/>
      <c r="BG333" s="24"/>
      <c r="BH333" s="28"/>
      <c r="BI333" s="28"/>
      <c r="BJ333" s="28"/>
    </row>
    <row r="334" spans="1:62">
      <c r="A334" s="24"/>
      <c r="B334" s="28"/>
      <c r="C334" s="25"/>
      <c r="D334" s="26"/>
      <c r="E334" s="24"/>
      <c r="F334" s="24"/>
      <c r="G334" s="26"/>
      <c r="H334" s="26"/>
      <c r="I334" s="26"/>
      <c r="J334" s="26"/>
      <c r="K334" s="26"/>
      <c r="L334" s="26"/>
      <c r="M334" s="26"/>
      <c r="N334" s="26"/>
      <c r="P334" s="26"/>
      <c r="Q334" s="26"/>
      <c r="R334" s="25"/>
      <c r="S334" s="25"/>
      <c r="T334" s="25"/>
      <c r="U334" s="25"/>
      <c r="V334" s="24"/>
      <c r="W334" s="24"/>
      <c r="X334" s="24"/>
      <c r="Y334" s="26"/>
      <c r="Z334" s="26"/>
      <c r="AA334" s="24"/>
      <c r="AB334" s="24"/>
      <c r="AC334" s="24"/>
      <c r="AD334" s="24"/>
      <c r="AE334" s="26"/>
      <c r="AF334" s="26"/>
      <c r="AG334" s="24"/>
      <c r="AH334" s="24"/>
      <c r="AI334" s="28"/>
      <c r="AJ334" s="28"/>
      <c r="AK334" s="28"/>
      <c r="AL334" s="28"/>
      <c r="AM334" s="28"/>
      <c r="AN334" s="28"/>
      <c r="AO334" s="28"/>
      <c r="AP334" s="28"/>
      <c r="AQ334" s="28"/>
      <c r="AR334" s="28"/>
      <c r="AS334" s="28"/>
      <c r="AT334" s="28"/>
      <c r="AU334" s="28"/>
      <c r="AV334" s="24"/>
      <c r="AW334" s="28"/>
      <c r="AX334" s="28"/>
      <c r="AY334" s="28"/>
      <c r="AZ334" s="28"/>
      <c r="BA334" s="28"/>
      <c r="BB334" s="28"/>
      <c r="BC334" s="24"/>
      <c r="BD334" s="28"/>
      <c r="BE334" s="28"/>
      <c r="BF334" s="28"/>
      <c r="BG334" s="24"/>
      <c r="BH334" s="28"/>
      <c r="BI334" s="28"/>
      <c r="BJ334" s="28"/>
    </row>
    <row r="335" spans="1:62">
      <c r="A335" s="24"/>
      <c r="B335" s="28"/>
      <c r="C335" s="25"/>
      <c r="D335" s="26"/>
      <c r="E335" s="24"/>
      <c r="F335" s="24"/>
      <c r="G335" s="26"/>
      <c r="H335" s="26"/>
      <c r="I335" s="26"/>
      <c r="J335" s="26"/>
      <c r="K335" s="26"/>
      <c r="L335" s="26"/>
      <c r="M335" s="26"/>
      <c r="N335" s="26"/>
      <c r="P335" s="26"/>
      <c r="Q335" s="26"/>
      <c r="R335" s="25"/>
      <c r="S335" s="25"/>
      <c r="T335" s="25"/>
      <c r="U335" s="25"/>
      <c r="V335" s="24"/>
      <c r="W335" s="24"/>
      <c r="X335" s="24"/>
      <c r="Y335" s="26"/>
      <c r="Z335" s="26"/>
      <c r="AA335" s="24"/>
      <c r="AB335" s="24"/>
      <c r="AC335" s="24"/>
      <c r="AD335" s="24"/>
      <c r="AE335" s="26"/>
      <c r="AF335" s="26"/>
      <c r="AG335" s="24"/>
      <c r="AH335" s="24"/>
      <c r="AI335" s="28"/>
      <c r="AJ335" s="28"/>
      <c r="AK335" s="28"/>
      <c r="AL335" s="28"/>
      <c r="AM335" s="28"/>
      <c r="AN335" s="28"/>
      <c r="AO335" s="28"/>
      <c r="AP335" s="28"/>
      <c r="AQ335" s="28"/>
      <c r="AR335" s="28"/>
      <c r="AS335" s="28"/>
      <c r="AT335" s="28"/>
      <c r="AU335" s="28"/>
      <c r="AV335" s="24"/>
      <c r="AW335" s="28"/>
      <c r="AX335" s="28"/>
      <c r="AY335" s="28"/>
      <c r="AZ335" s="28"/>
      <c r="BA335" s="28"/>
      <c r="BB335" s="28"/>
      <c r="BC335" s="24"/>
      <c r="BD335" s="28"/>
      <c r="BE335" s="28"/>
      <c r="BF335" s="28"/>
      <c r="BG335" s="24"/>
      <c r="BH335" s="28"/>
      <c r="BI335" s="28"/>
      <c r="BJ335" s="28"/>
    </row>
    <row r="336" spans="1:62">
      <c r="A336" s="24"/>
      <c r="B336" s="28"/>
      <c r="C336" s="25"/>
      <c r="D336" s="26"/>
      <c r="E336" s="24"/>
      <c r="F336" s="24"/>
      <c r="G336" s="26"/>
      <c r="H336" s="26"/>
      <c r="I336" s="26"/>
      <c r="J336" s="26"/>
      <c r="K336" s="26"/>
      <c r="L336" s="26"/>
      <c r="M336" s="26"/>
      <c r="N336" s="26"/>
      <c r="P336" s="26"/>
      <c r="Q336" s="26"/>
      <c r="R336" s="25"/>
      <c r="S336" s="25"/>
      <c r="T336" s="25"/>
      <c r="U336" s="25"/>
      <c r="V336" s="24"/>
      <c r="W336" s="24"/>
      <c r="X336" s="24"/>
      <c r="Y336" s="26"/>
      <c r="Z336" s="26"/>
      <c r="AA336" s="24"/>
      <c r="AB336" s="24"/>
      <c r="AC336" s="24"/>
      <c r="AD336" s="24"/>
      <c r="AE336" s="26"/>
      <c r="AF336" s="26"/>
      <c r="AG336" s="24"/>
      <c r="AH336" s="24"/>
      <c r="AI336" s="28"/>
      <c r="AJ336" s="28"/>
      <c r="AK336" s="28"/>
      <c r="AL336" s="28"/>
      <c r="AM336" s="28"/>
      <c r="AN336" s="28"/>
      <c r="AO336" s="28"/>
      <c r="AP336" s="28"/>
      <c r="AQ336" s="28"/>
      <c r="AR336" s="28"/>
      <c r="AS336" s="28"/>
      <c r="AT336" s="28"/>
      <c r="AU336" s="28"/>
      <c r="AV336" s="24"/>
      <c r="AW336" s="28"/>
      <c r="AX336" s="28"/>
      <c r="AY336" s="28"/>
      <c r="AZ336" s="28"/>
      <c r="BA336" s="28"/>
      <c r="BB336" s="28"/>
      <c r="BC336" s="24"/>
      <c r="BD336" s="28"/>
      <c r="BE336" s="28"/>
      <c r="BF336" s="28"/>
      <c r="BG336" s="24"/>
      <c r="BH336" s="28"/>
      <c r="BI336" s="28"/>
      <c r="BJ336" s="28"/>
    </row>
    <row r="337" spans="1:62">
      <c r="A337" s="24"/>
      <c r="B337" s="28"/>
      <c r="C337" s="25"/>
      <c r="D337" s="26"/>
      <c r="E337" s="24"/>
      <c r="F337" s="24"/>
      <c r="G337" s="26"/>
      <c r="H337" s="26"/>
      <c r="I337" s="26"/>
      <c r="J337" s="26"/>
      <c r="K337" s="26"/>
      <c r="L337" s="26"/>
      <c r="M337" s="26"/>
      <c r="N337" s="26"/>
      <c r="P337" s="26"/>
      <c r="Q337" s="26"/>
      <c r="R337" s="25"/>
      <c r="S337" s="25"/>
      <c r="T337" s="25"/>
      <c r="U337" s="25"/>
      <c r="V337" s="24"/>
      <c r="W337" s="24"/>
      <c r="X337" s="24"/>
      <c r="Y337" s="26"/>
      <c r="Z337" s="26"/>
      <c r="AA337" s="24"/>
      <c r="AB337" s="24"/>
      <c r="AC337" s="24"/>
      <c r="AD337" s="24"/>
      <c r="AE337" s="26"/>
      <c r="AF337" s="26"/>
      <c r="AG337" s="24"/>
      <c r="AH337" s="24"/>
      <c r="AI337" s="28"/>
      <c r="AJ337" s="28"/>
      <c r="AK337" s="28"/>
      <c r="AL337" s="28"/>
      <c r="AM337" s="28"/>
      <c r="AN337" s="28"/>
      <c r="AO337" s="28"/>
      <c r="AP337" s="28"/>
      <c r="AQ337" s="28"/>
      <c r="AR337" s="28"/>
      <c r="AS337" s="28"/>
      <c r="AT337" s="28"/>
      <c r="AU337" s="28"/>
      <c r="AV337" s="24"/>
      <c r="AW337" s="28"/>
      <c r="AX337" s="28"/>
      <c r="AY337" s="28"/>
      <c r="AZ337" s="28"/>
      <c r="BA337" s="28"/>
      <c r="BB337" s="28"/>
      <c r="BC337" s="24"/>
      <c r="BD337" s="28"/>
      <c r="BE337" s="28"/>
      <c r="BF337" s="28"/>
      <c r="BG337" s="24"/>
      <c r="BH337" s="28"/>
      <c r="BI337" s="28"/>
      <c r="BJ337" s="28"/>
    </row>
    <row r="338" spans="1:62">
      <c r="A338" s="24"/>
      <c r="B338" s="28"/>
      <c r="C338" s="25"/>
      <c r="D338" s="26"/>
      <c r="E338" s="24"/>
      <c r="F338" s="24"/>
      <c r="G338" s="26"/>
      <c r="H338" s="26"/>
      <c r="I338" s="26"/>
      <c r="J338" s="26"/>
      <c r="K338" s="26"/>
      <c r="L338" s="26"/>
      <c r="M338" s="26"/>
      <c r="N338" s="26"/>
      <c r="P338" s="26"/>
      <c r="Q338" s="26"/>
      <c r="R338" s="25"/>
      <c r="S338" s="25"/>
      <c r="T338" s="25"/>
      <c r="U338" s="25"/>
      <c r="V338" s="24"/>
      <c r="W338" s="24"/>
      <c r="X338" s="24"/>
      <c r="Y338" s="26"/>
      <c r="Z338" s="26"/>
      <c r="AA338" s="24"/>
      <c r="AB338" s="24"/>
      <c r="AC338" s="24"/>
      <c r="AD338" s="24"/>
      <c r="AE338" s="26"/>
      <c r="AF338" s="26"/>
      <c r="AG338" s="24"/>
      <c r="AH338" s="24"/>
      <c r="AI338" s="28"/>
      <c r="AJ338" s="28"/>
      <c r="AK338" s="28"/>
      <c r="AL338" s="28"/>
      <c r="AM338" s="28"/>
      <c r="AN338" s="28"/>
      <c r="AO338" s="28"/>
      <c r="AP338" s="28"/>
      <c r="AQ338" s="28"/>
      <c r="AR338" s="28"/>
      <c r="AS338" s="28"/>
      <c r="AT338" s="28"/>
      <c r="AU338" s="28"/>
      <c r="AV338" s="24"/>
      <c r="AW338" s="28"/>
      <c r="AX338" s="28"/>
      <c r="AY338" s="28"/>
      <c r="AZ338" s="28"/>
      <c r="BA338" s="28"/>
      <c r="BB338" s="28"/>
      <c r="BC338" s="24"/>
      <c r="BD338" s="28"/>
      <c r="BE338" s="28"/>
      <c r="BF338" s="28"/>
      <c r="BG338" s="24"/>
      <c r="BH338" s="28"/>
      <c r="BI338" s="28"/>
      <c r="BJ338" s="28"/>
    </row>
    <row r="339" spans="1:62">
      <c r="A339" s="24"/>
      <c r="B339" s="28"/>
      <c r="C339" s="25"/>
      <c r="D339" s="26"/>
      <c r="E339" s="24"/>
      <c r="F339" s="24"/>
      <c r="G339" s="26"/>
      <c r="H339" s="26"/>
      <c r="I339" s="26"/>
      <c r="J339" s="26"/>
      <c r="K339" s="26"/>
      <c r="L339" s="26"/>
      <c r="M339" s="26"/>
      <c r="N339" s="26"/>
      <c r="P339" s="26"/>
      <c r="Q339" s="26"/>
      <c r="R339" s="25"/>
      <c r="S339" s="25"/>
      <c r="T339" s="25"/>
      <c r="U339" s="25"/>
      <c r="V339" s="24"/>
      <c r="W339" s="24"/>
      <c r="X339" s="24"/>
      <c r="Y339" s="26"/>
      <c r="Z339" s="26"/>
      <c r="AA339" s="24"/>
      <c r="AB339" s="24"/>
      <c r="AC339" s="24"/>
      <c r="AD339" s="24"/>
      <c r="AE339" s="26"/>
      <c r="AF339" s="26"/>
      <c r="AG339" s="24"/>
      <c r="AH339" s="24"/>
      <c r="AI339" s="28"/>
      <c r="AJ339" s="28"/>
      <c r="AK339" s="28"/>
      <c r="AL339" s="28"/>
      <c r="AM339" s="28"/>
      <c r="AN339" s="28"/>
      <c r="AO339" s="28"/>
      <c r="AP339" s="28"/>
      <c r="AQ339" s="28"/>
      <c r="AR339" s="28"/>
      <c r="AS339" s="28"/>
      <c r="AT339" s="28"/>
      <c r="AU339" s="28"/>
      <c r="AV339" s="24"/>
      <c r="AW339" s="28"/>
      <c r="AX339" s="28"/>
      <c r="AY339" s="28"/>
      <c r="AZ339" s="28"/>
      <c r="BA339" s="28"/>
      <c r="BB339" s="28"/>
      <c r="BC339" s="24"/>
      <c r="BD339" s="28"/>
      <c r="BE339" s="28"/>
      <c r="BF339" s="28"/>
      <c r="BG339" s="24"/>
      <c r="BH339" s="28"/>
      <c r="BI339" s="28"/>
      <c r="BJ339" s="28"/>
    </row>
    <row r="340" spans="1:62">
      <c r="A340" s="24"/>
      <c r="B340" s="28"/>
      <c r="C340" s="25"/>
      <c r="D340" s="26"/>
      <c r="E340" s="24"/>
      <c r="F340" s="24"/>
      <c r="G340" s="26"/>
      <c r="H340" s="26"/>
      <c r="I340" s="26"/>
      <c r="J340" s="26"/>
      <c r="K340" s="26"/>
      <c r="L340" s="26"/>
      <c r="M340" s="26"/>
      <c r="N340" s="26"/>
      <c r="P340" s="26"/>
      <c r="Q340" s="26"/>
      <c r="R340" s="25"/>
      <c r="S340" s="25"/>
      <c r="T340" s="25"/>
      <c r="U340" s="25"/>
      <c r="V340" s="24"/>
      <c r="W340" s="24"/>
      <c r="X340" s="24"/>
      <c r="Y340" s="26"/>
      <c r="Z340" s="26"/>
      <c r="AA340" s="24"/>
      <c r="AB340" s="24"/>
      <c r="AC340" s="24"/>
      <c r="AD340" s="24"/>
      <c r="AE340" s="26"/>
      <c r="AF340" s="26"/>
      <c r="AG340" s="24"/>
      <c r="AH340" s="24"/>
      <c r="AI340" s="28"/>
      <c r="AJ340" s="28"/>
      <c r="AK340" s="28"/>
      <c r="AL340" s="28"/>
      <c r="AM340" s="28"/>
      <c r="AN340" s="28"/>
      <c r="AO340" s="28"/>
      <c r="AP340" s="28"/>
      <c r="AQ340" s="28"/>
      <c r="AR340" s="28"/>
      <c r="AS340" s="28"/>
      <c r="AT340" s="28"/>
      <c r="AU340" s="28"/>
      <c r="AV340" s="24"/>
      <c r="AW340" s="28"/>
      <c r="AX340" s="28"/>
      <c r="AY340" s="28"/>
      <c r="AZ340" s="28"/>
      <c r="BA340" s="28"/>
      <c r="BB340" s="28"/>
      <c r="BC340" s="24"/>
      <c r="BD340" s="28"/>
      <c r="BE340" s="28"/>
      <c r="BF340" s="28"/>
      <c r="BG340" s="24"/>
      <c r="BH340" s="28"/>
      <c r="BI340" s="28"/>
      <c r="BJ340" s="28"/>
    </row>
    <row r="341" spans="1:62">
      <c r="A341" s="24"/>
      <c r="B341" s="28"/>
      <c r="C341" s="25"/>
      <c r="D341" s="26"/>
      <c r="E341" s="24"/>
      <c r="F341" s="24"/>
      <c r="G341" s="26"/>
      <c r="H341" s="26"/>
      <c r="I341" s="26"/>
      <c r="J341" s="26"/>
      <c r="K341" s="26"/>
      <c r="L341" s="26"/>
      <c r="M341" s="26"/>
      <c r="N341" s="26"/>
      <c r="P341" s="26"/>
      <c r="Q341" s="26"/>
      <c r="R341" s="25"/>
      <c r="S341" s="25"/>
      <c r="T341" s="25"/>
      <c r="U341" s="25"/>
      <c r="V341" s="24"/>
      <c r="W341" s="24"/>
      <c r="X341" s="24"/>
      <c r="Y341" s="26"/>
      <c r="Z341" s="26"/>
      <c r="AA341" s="24"/>
      <c r="AB341" s="24"/>
      <c r="AC341" s="24"/>
      <c r="AD341" s="24"/>
      <c r="AE341" s="26"/>
      <c r="AF341" s="26"/>
      <c r="AG341" s="24"/>
      <c r="AH341" s="24"/>
      <c r="AI341" s="28"/>
      <c r="AJ341" s="28"/>
      <c r="AK341" s="28"/>
      <c r="AL341" s="28"/>
      <c r="AM341" s="28"/>
      <c r="AN341" s="28"/>
      <c r="AO341" s="28"/>
      <c r="AP341" s="28"/>
      <c r="AQ341" s="28"/>
      <c r="AR341" s="28"/>
      <c r="AS341" s="28"/>
      <c r="AT341" s="28"/>
      <c r="AU341" s="28"/>
      <c r="AV341" s="24"/>
      <c r="AW341" s="28"/>
      <c r="AX341" s="28"/>
      <c r="AY341" s="28"/>
      <c r="AZ341" s="28"/>
      <c r="BA341" s="28"/>
      <c r="BB341" s="28"/>
      <c r="BC341" s="24"/>
      <c r="BD341" s="28"/>
      <c r="BE341" s="28"/>
      <c r="BF341" s="28"/>
      <c r="BG341" s="24"/>
      <c r="BH341" s="28"/>
      <c r="BI341" s="28"/>
      <c r="BJ341" s="28"/>
    </row>
    <row r="342" spans="1:62">
      <c r="A342" s="24"/>
      <c r="B342" s="28"/>
      <c r="C342" s="25"/>
      <c r="D342" s="26"/>
      <c r="E342" s="24"/>
      <c r="F342" s="24"/>
      <c r="G342" s="26"/>
      <c r="H342" s="26"/>
      <c r="I342" s="26"/>
      <c r="J342" s="26"/>
      <c r="K342" s="26"/>
      <c r="L342" s="26"/>
      <c r="M342" s="26"/>
      <c r="N342" s="26"/>
      <c r="P342" s="26"/>
      <c r="Q342" s="26"/>
      <c r="R342" s="25"/>
      <c r="S342" s="25"/>
      <c r="T342" s="25"/>
      <c r="U342" s="25"/>
      <c r="V342" s="24"/>
      <c r="W342" s="24"/>
      <c r="X342" s="24"/>
      <c r="Y342" s="26"/>
      <c r="Z342" s="26"/>
      <c r="AA342" s="24"/>
      <c r="AB342" s="24"/>
      <c r="AC342" s="24"/>
      <c r="AD342" s="24"/>
      <c r="AE342" s="26"/>
      <c r="AF342" s="26"/>
      <c r="AG342" s="24"/>
      <c r="AH342" s="24"/>
      <c r="AI342" s="28"/>
      <c r="AJ342" s="28"/>
      <c r="AK342" s="28"/>
      <c r="AL342" s="28"/>
      <c r="AM342" s="28"/>
      <c r="AN342" s="28"/>
      <c r="AO342" s="28"/>
      <c r="AP342" s="28"/>
      <c r="AQ342" s="28"/>
      <c r="AR342" s="28"/>
      <c r="AS342" s="28"/>
      <c r="AT342" s="28"/>
      <c r="AU342" s="28"/>
      <c r="AV342" s="24"/>
      <c r="AW342" s="28"/>
      <c r="AX342" s="28"/>
      <c r="AY342" s="28"/>
      <c r="AZ342" s="28"/>
      <c r="BA342" s="28"/>
      <c r="BB342" s="28"/>
      <c r="BC342" s="24"/>
      <c r="BD342" s="28"/>
      <c r="BE342" s="28"/>
      <c r="BF342" s="28"/>
      <c r="BG342" s="24"/>
      <c r="BH342" s="28"/>
      <c r="BI342" s="28"/>
      <c r="BJ342" s="28"/>
    </row>
    <row r="343" spans="1:62">
      <c r="A343" s="24"/>
      <c r="B343" s="28"/>
      <c r="C343" s="25"/>
      <c r="D343" s="26"/>
      <c r="E343" s="24"/>
      <c r="F343" s="24"/>
      <c r="G343" s="26"/>
      <c r="H343" s="26"/>
      <c r="I343" s="26"/>
      <c r="J343" s="26"/>
      <c r="K343" s="26"/>
      <c r="L343" s="26"/>
      <c r="M343" s="26"/>
      <c r="N343" s="26"/>
      <c r="P343" s="26"/>
      <c r="Q343" s="26"/>
      <c r="R343" s="25"/>
      <c r="S343" s="25"/>
      <c r="T343" s="25"/>
      <c r="U343" s="25"/>
      <c r="V343" s="24"/>
      <c r="W343" s="24"/>
      <c r="X343" s="24"/>
      <c r="Y343" s="26"/>
      <c r="Z343" s="26"/>
      <c r="AA343" s="24"/>
      <c r="AB343" s="24"/>
      <c r="AC343" s="24"/>
      <c r="AD343" s="24"/>
      <c r="AE343" s="26"/>
      <c r="AF343" s="26"/>
      <c r="AG343" s="24"/>
      <c r="AH343" s="24"/>
      <c r="AI343" s="28"/>
      <c r="AJ343" s="28"/>
      <c r="AK343" s="28"/>
      <c r="AL343" s="28"/>
      <c r="AM343" s="28"/>
      <c r="AN343" s="28"/>
      <c r="AO343" s="28"/>
      <c r="AP343" s="28"/>
      <c r="AQ343" s="28"/>
      <c r="AR343" s="28"/>
      <c r="AS343" s="28"/>
      <c r="AT343" s="28"/>
      <c r="AU343" s="28"/>
      <c r="AV343" s="24"/>
      <c r="AW343" s="28"/>
      <c r="AX343" s="28"/>
      <c r="AY343" s="28"/>
      <c r="AZ343" s="28"/>
      <c r="BA343" s="28"/>
      <c r="BB343" s="28"/>
      <c r="BC343" s="24"/>
      <c r="BD343" s="28"/>
      <c r="BE343" s="28"/>
      <c r="BF343" s="28"/>
      <c r="BG343" s="24"/>
      <c r="BH343" s="28"/>
      <c r="BI343" s="28"/>
      <c r="BJ343" s="28"/>
    </row>
    <row r="344" spans="1:62">
      <c r="A344" s="24"/>
      <c r="B344" s="28"/>
      <c r="C344" s="25"/>
      <c r="D344" s="26"/>
      <c r="E344" s="24"/>
      <c r="F344" s="24"/>
      <c r="G344" s="26"/>
      <c r="H344" s="26"/>
      <c r="I344" s="26"/>
      <c r="J344" s="26"/>
      <c r="K344" s="26"/>
      <c r="L344" s="26"/>
      <c r="M344" s="26"/>
      <c r="N344" s="26"/>
      <c r="P344" s="26"/>
      <c r="Q344" s="26"/>
      <c r="R344" s="25"/>
      <c r="S344" s="25"/>
      <c r="T344" s="25"/>
      <c r="U344" s="25"/>
      <c r="V344" s="24"/>
      <c r="W344" s="24"/>
      <c r="X344" s="24"/>
      <c r="Y344" s="26"/>
      <c r="Z344" s="26"/>
      <c r="AA344" s="24"/>
      <c r="AB344" s="24"/>
      <c r="AC344" s="24"/>
      <c r="AD344" s="24"/>
      <c r="AE344" s="26"/>
      <c r="AF344" s="26"/>
      <c r="AG344" s="24"/>
      <c r="AH344" s="24"/>
      <c r="AI344" s="28"/>
      <c r="AJ344" s="28"/>
      <c r="AK344" s="28"/>
      <c r="AL344" s="28"/>
      <c r="AM344" s="28"/>
      <c r="AN344" s="28"/>
      <c r="AO344" s="28"/>
      <c r="AP344" s="28"/>
      <c r="AQ344" s="28"/>
      <c r="AR344" s="28"/>
      <c r="AS344" s="28"/>
      <c r="AT344" s="28"/>
      <c r="AU344" s="28"/>
      <c r="AV344" s="24"/>
      <c r="AW344" s="28"/>
      <c r="AX344" s="28"/>
      <c r="AY344" s="28"/>
      <c r="AZ344" s="28"/>
      <c r="BA344" s="28"/>
      <c r="BB344" s="28"/>
      <c r="BC344" s="24"/>
      <c r="BD344" s="28"/>
      <c r="BE344" s="28"/>
      <c r="BF344" s="28"/>
      <c r="BG344" s="24"/>
      <c r="BH344" s="28"/>
      <c r="BI344" s="28"/>
      <c r="BJ344" s="28"/>
    </row>
    <row r="345" spans="1:62">
      <c r="A345" s="24"/>
      <c r="B345" s="28"/>
      <c r="C345" s="25"/>
      <c r="D345" s="26"/>
      <c r="E345" s="24"/>
      <c r="F345" s="24"/>
      <c r="G345" s="26"/>
      <c r="H345" s="26"/>
      <c r="I345" s="26"/>
      <c r="J345" s="26"/>
      <c r="K345" s="26"/>
      <c r="L345" s="26"/>
      <c r="M345" s="26"/>
      <c r="N345" s="26"/>
      <c r="P345" s="26"/>
      <c r="Q345" s="26"/>
      <c r="R345" s="25"/>
      <c r="S345" s="25"/>
      <c r="T345" s="25"/>
      <c r="U345" s="25"/>
      <c r="V345" s="24"/>
      <c r="W345" s="24"/>
      <c r="X345" s="24"/>
      <c r="Y345" s="26"/>
      <c r="Z345" s="26"/>
      <c r="AA345" s="24"/>
      <c r="AB345" s="24"/>
      <c r="AC345" s="24"/>
      <c r="AD345" s="24"/>
      <c r="AE345" s="26"/>
      <c r="AF345" s="26"/>
      <c r="AG345" s="24"/>
      <c r="AH345" s="24"/>
      <c r="AI345" s="28"/>
      <c r="AJ345" s="28"/>
      <c r="AK345" s="28"/>
      <c r="AL345" s="28"/>
      <c r="AM345" s="28"/>
      <c r="AN345" s="28"/>
      <c r="AO345" s="28"/>
      <c r="AP345" s="28"/>
      <c r="AQ345" s="28"/>
      <c r="AR345" s="28"/>
      <c r="AS345" s="28"/>
      <c r="AT345" s="28"/>
      <c r="AU345" s="28"/>
      <c r="AV345" s="24"/>
      <c r="AW345" s="28"/>
      <c r="AX345" s="28"/>
      <c r="AY345" s="28"/>
      <c r="AZ345" s="28"/>
      <c r="BA345" s="28"/>
      <c r="BB345" s="28"/>
      <c r="BC345" s="24"/>
      <c r="BD345" s="28"/>
      <c r="BE345" s="28"/>
      <c r="BF345" s="28"/>
      <c r="BG345" s="24"/>
      <c r="BH345" s="28"/>
      <c r="BI345" s="28"/>
      <c r="BJ345" s="28"/>
    </row>
    <row r="346" spans="1:62">
      <c r="A346" s="24"/>
      <c r="B346" s="28"/>
      <c r="C346" s="25"/>
      <c r="D346" s="26"/>
      <c r="E346" s="24"/>
      <c r="F346" s="24"/>
      <c r="G346" s="26"/>
      <c r="H346" s="26"/>
      <c r="I346" s="26"/>
      <c r="J346" s="26"/>
      <c r="K346" s="26"/>
      <c r="L346" s="26"/>
      <c r="M346" s="26"/>
      <c r="N346" s="26"/>
      <c r="P346" s="26"/>
      <c r="Q346" s="26"/>
      <c r="R346" s="25"/>
      <c r="S346" s="25"/>
      <c r="T346" s="25"/>
      <c r="U346" s="25"/>
      <c r="V346" s="24"/>
      <c r="W346" s="24"/>
      <c r="X346" s="24"/>
      <c r="Y346" s="26"/>
      <c r="Z346" s="26"/>
      <c r="AA346" s="24"/>
      <c r="AB346" s="24"/>
      <c r="AC346" s="24"/>
      <c r="AD346" s="24"/>
      <c r="AE346" s="26"/>
      <c r="AF346" s="26"/>
      <c r="AG346" s="24"/>
      <c r="AH346" s="24"/>
      <c r="AI346" s="28"/>
      <c r="AJ346" s="28"/>
      <c r="AK346" s="28"/>
      <c r="AL346" s="28"/>
      <c r="AM346" s="28"/>
      <c r="AN346" s="28"/>
      <c r="AO346" s="28"/>
      <c r="AP346" s="28"/>
      <c r="AQ346" s="28"/>
      <c r="AR346" s="28"/>
      <c r="AS346" s="28"/>
      <c r="AT346" s="28"/>
      <c r="AU346" s="28"/>
      <c r="AV346" s="24"/>
      <c r="AW346" s="28"/>
      <c r="AX346" s="28"/>
      <c r="AY346" s="28"/>
      <c r="AZ346" s="28"/>
      <c r="BA346" s="28"/>
      <c r="BB346" s="28"/>
      <c r="BC346" s="24"/>
      <c r="BD346" s="28"/>
      <c r="BE346" s="28"/>
      <c r="BF346" s="28"/>
      <c r="BG346" s="24"/>
      <c r="BH346" s="28"/>
      <c r="BI346" s="28"/>
      <c r="BJ346" s="28"/>
    </row>
    <row r="347" spans="1:62">
      <c r="A347" s="24"/>
      <c r="B347" s="28"/>
      <c r="C347" s="25"/>
      <c r="D347" s="26"/>
      <c r="E347" s="24"/>
      <c r="F347" s="24"/>
      <c r="G347" s="26"/>
      <c r="H347" s="26"/>
      <c r="I347" s="26"/>
      <c r="J347" s="26"/>
      <c r="K347" s="26"/>
      <c r="L347" s="26"/>
      <c r="M347" s="26"/>
      <c r="N347" s="26"/>
      <c r="P347" s="26"/>
      <c r="Q347" s="26"/>
      <c r="R347" s="25"/>
      <c r="S347" s="25"/>
      <c r="T347" s="25"/>
      <c r="U347" s="25"/>
      <c r="V347" s="24"/>
      <c r="W347" s="24"/>
      <c r="X347" s="24"/>
      <c r="Y347" s="26"/>
      <c r="Z347" s="26"/>
      <c r="AA347" s="24"/>
      <c r="AB347" s="24"/>
      <c r="AC347" s="24"/>
      <c r="AD347" s="24"/>
      <c r="AE347" s="26"/>
      <c r="AF347" s="26"/>
      <c r="AG347" s="24"/>
      <c r="AH347" s="24"/>
      <c r="AI347" s="28"/>
      <c r="AJ347" s="28"/>
      <c r="AK347" s="28"/>
      <c r="AL347" s="28"/>
      <c r="AM347" s="28"/>
      <c r="AN347" s="28"/>
      <c r="AO347" s="28"/>
      <c r="AP347" s="28"/>
      <c r="AQ347" s="28"/>
      <c r="AR347" s="28"/>
      <c r="AS347" s="28"/>
      <c r="AT347" s="28"/>
      <c r="AU347" s="28"/>
      <c r="AV347" s="24"/>
      <c r="AW347" s="28"/>
      <c r="AX347" s="28"/>
      <c r="AY347" s="28"/>
      <c r="AZ347" s="28"/>
      <c r="BA347" s="28"/>
      <c r="BB347" s="28"/>
      <c r="BC347" s="24"/>
      <c r="BD347" s="28"/>
      <c r="BE347" s="28"/>
      <c r="BF347" s="28"/>
      <c r="BG347" s="24"/>
      <c r="BH347" s="28"/>
      <c r="BI347" s="28"/>
      <c r="BJ347" s="28"/>
    </row>
    <row r="348" spans="1:62">
      <c r="A348" s="24"/>
      <c r="B348" s="28"/>
      <c r="C348" s="25"/>
      <c r="D348" s="26"/>
      <c r="E348" s="24"/>
      <c r="F348" s="24"/>
      <c r="G348" s="26"/>
      <c r="H348" s="26"/>
      <c r="I348" s="26"/>
      <c r="J348" s="26"/>
      <c r="K348" s="26"/>
      <c r="L348" s="26"/>
      <c r="M348" s="26"/>
      <c r="N348" s="26"/>
      <c r="P348" s="26"/>
      <c r="Q348" s="26"/>
      <c r="R348" s="25"/>
      <c r="S348" s="25"/>
      <c r="T348" s="25"/>
      <c r="U348" s="25"/>
      <c r="V348" s="24"/>
      <c r="W348" s="24"/>
      <c r="X348" s="24"/>
      <c r="Y348" s="26"/>
      <c r="Z348" s="26"/>
      <c r="AA348" s="24"/>
      <c r="AB348" s="24"/>
      <c r="AC348" s="24"/>
      <c r="AD348" s="24"/>
      <c r="AE348" s="26"/>
      <c r="AF348" s="26"/>
      <c r="AG348" s="24"/>
      <c r="AH348" s="24"/>
      <c r="AI348" s="28"/>
      <c r="AJ348" s="28"/>
      <c r="AK348" s="28"/>
      <c r="AL348" s="28"/>
      <c r="AM348" s="28"/>
      <c r="AN348" s="28"/>
      <c r="AO348" s="28"/>
      <c r="AP348" s="28"/>
      <c r="AQ348" s="28"/>
      <c r="AR348" s="28"/>
      <c r="AS348" s="28"/>
      <c r="AT348" s="28"/>
      <c r="AU348" s="28"/>
      <c r="AV348" s="24"/>
      <c r="AW348" s="28"/>
      <c r="AX348" s="28"/>
      <c r="AY348" s="28"/>
      <c r="AZ348" s="28"/>
      <c r="BA348" s="28"/>
      <c r="BB348" s="28"/>
      <c r="BC348" s="24"/>
      <c r="BD348" s="28"/>
      <c r="BE348" s="28"/>
      <c r="BF348" s="28"/>
      <c r="BG348" s="24"/>
      <c r="BH348" s="28"/>
      <c r="BI348" s="28"/>
      <c r="BJ348" s="28"/>
    </row>
    <row r="349" spans="1:62">
      <c r="A349" s="24"/>
      <c r="B349" s="28"/>
      <c r="C349" s="25"/>
      <c r="D349" s="26"/>
      <c r="E349" s="24"/>
      <c r="F349" s="24"/>
      <c r="G349" s="26"/>
      <c r="H349" s="26"/>
      <c r="I349" s="26"/>
      <c r="J349" s="26"/>
      <c r="K349" s="26"/>
      <c r="L349" s="26"/>
      <c r="M349" s="26"/>
      <c r="N349" s="26"/>
      <c r="P349" s="26"/>
      <c r="Q349" s="26"/>
      <c r="R349" s="25"/>
      <c r="S349" s="25"/>
      <c r="T349" s="25"/>
      <c r="U349" s="25"/>
      <c r="V349" s="24"/>
      <c r="W349" s="24"/>
      <c r="X349" s="24"/>
      <c r="Y349" s="26"/>
      <c r="Z349" s="26"/>
      <c r="AA349" s="24"/>
      <c r="AB349" s="24"/>
      <c r="AC349" s="24"/>
      <c r="AD349" s="24"/>
      <c r="AE349" s="26"/>
      <c r="AF349" s="26"/>
      <c r="AG349" s="24"/>
      <c r="AH349" s="24"/>
      <c r="AI349" s="28"/>
      <c r="AJ349" s="28"/>
      <c r="AK349" s="28"/>
      <c r="AL349" s="28"/>
      <c r="AM349" s="28"/>
      <c r="AN349" s="28"/>
      <c r="AO349" s="28"/>
      <c r="AP349" s="28"/>
      <c r="AQ349" s="28"/>
      <c r="AR349" s="28"/>
      <c r="AS349" s="28"/>
      <c r="AT349" s="28"/>
      <c r="AU349" s="28"/>
      <c r="AV349" s="24"/>
      <c r="AW349" s="28"/>
      <c r="AX349" s="28"/>
      <c r="AY349" s="28"/>
      <c r="AZ349" s="28"/>
      <c r="BA349" s="28"/>
      <c r="BB349" s="28"/>
      <c r="BC349" s="24"/>
      <c r="BD349" s="28"/>
      <c r="BE349" s="28"/>
      <c r="BF349" s="28"/>
      <c r="BG349" s="24"/>
      <c r="BH349" s="28"/>
      <c r="BI349" s="28"/>
      <c r="BJ349" s="28"/>
    </row>
    <row r="350" spans="1:62">
      <c r="A350" s="24"/>
      <c r="B350" s="28"/>
      <c r="C350" s="25"/>
      <c r="D350" s="26"/>
      <c r="E350" s="24"/>
      <c r="F350" s="24"/>
      <c r="G350" s="26"/>
      <c r="H350" s="26"/>
      <c r="I350" s="26"/>
      <c r="J350" s="26"/>
      <c r="K350" s="26"/>
      <c r="L350" s="26"/>
      <c r="M350" s="26"/>
      <c r="N350" s="26"/>
      <c r="P350" s="26"/>
      <c r="Q350" s="26"/>
      <c r="R350" s="25"/>
      <c r="S350" s="25"/>
      <c r="T350" s="25"/>
      <c r="U350" s="25"/>
      <c r="V350" s="24"/>
      <c r="W350" s="24"/>
      <c r="X350" s="24"/>
      <c r="Y350" s="26"/>
      <c r="Z350" s="26"/>
      <c r="AA350" s="24"/>
      <c r="AB350" s="24"/>
      <c r="AC350" s="24"/>
      <c r="AD350" s="24"/>
      <c r="AE350" s="26"/>
      <c r="AF350" s="26"/>
      <c r="AG350" s="24"/>
      <c r="AH350" s="24"/>
      <c r="AI350" s="28"/>
      <c r="AJ350" s="28"/>
      <c r="AK350" s="28"/>
      <c r="AL350" s="28"/>
      <c r="AM350" s="28"/>
      <c r="AN350" s="28"/>
      <c r="AO350" s="28"/>
      <c r="AP350" s="28"/>
      <c r="AQ350" s="28"/>
      <c r="AR350" s="28"/>
      <c r="AS350" s="28"/>
      <c r="AT350" s="28"/>
      <c r="AU350" s="28"/>
      <c r="AV350" s="24"/>
      <c r="AW350" s="28"/>
      <c r="AX350" s="28"/>
      <c r="AY350" s="28"/>
      <c r="AZ350" s="28"/>
      <c r="BA350" s="28"/>
      <c r="BB350" s="28"/>
      <c r="BC350" s="24"/>
      <c r="BD350" s="28"/>
      <c r="BE350" s="28"/>
      <c r="BF350" s="28"/>
      <c r="BG350" s="24"/>
      <c r="BH350" s="28"/>
      <c r="BI350" s="28"/>
      <c r="BJ350" s="28"/>
    </row>
    <row r="351" spans="1:62">
      <c r="A351" s="24"/>
      <c r="B351" s="28"/>
      <c r="C351" s="25"/>
      <c r="D351" s="26"/>
      <c r="E351" s="24"/>
      <c r="F351" s="24"/>
      <c r="G351" s="26"/>
      <c r="H351" s="26"/>
      <c r="I351" s="26"/>
      <c r="J351" s="26"/>
      <c r="K351" s="26"/>
      <c r="L351" s="26"/>
      <c r="M351" s="26"/>
      <c r="N351" s="26"/>
      <c r="P351" s="26"/>
      <c r="Q351" s="26"/>
      <c r="R351" s="25"/>
      <c r="S351" s="25"/>
      <c r="T351" s="25"/>
      <c r="U351" s="25"/>
      <c r="V351" s="24"/>
      <c r="W351" s="24"/>
      <c r="X351" s="24"/>
      <c r="Y351" s="26"/>
      <c r="Z351" s="26"/>
      <c r="AA351" s="24"/>
      <c r="AB351" s="24"/>
      <c r="AC351" s="24"/>
      <c r="AD351" s="24"/>
      <c r="AE351" s="26"/>
      <c r="AF351" s="26"/>
      <c r="AG351" s="24"/>
      <c r="AH351" s="24"/>
      <c r="AI351" s="28"/>
      <c r="AJ351" s="28"/>
      <c r="AK351" s="28"/>
      <c r="AL351" s="28"/>
      <c r="AM351" s="28"/>
      <c r="AN351" s="28"/>
      <c r="AO351" s="28"/>
      <c r="AP351" s="28"/>
      <c r="AQ351" s="28"/>
      <c r="AR351" s="28"/>
      <c r="AS351" s="28"/>
      <c r="AT351" s="28"/>
      <c r="AU351" s="28"/>
      <c r="AV351" s="24"/>
      <c r="AW351" s="28"/>
      <c r="AX351" s="28"/>
      <c r="AY351" s="28"/>
      <c r="AZ351" s="28"/>
      <c r="BA351" s="28"/>
      <c r="BB351" s="28"/>
      <c r="BC351" s="24"/>
      <c r="BD351" s="28"/>
      <c r="BE351" s="28"/>
      <c r="BF351" s="28"/>
      <c r="BG351" s="24"/>
      <c r="BH351" s="28"/>
      <c r="BI351" s="28"/>
      <c r="BJ351" s="28"/>
    </row>
    <row r="352" spans="1:62">
      <c r="A352" s="24"/>
      <c r="B352" s="28"/>
      <c r="C352" s="25"/>
      <c r="D352" s="26"/>
      <c r="E352" s="24"/>
      <c r="F352" s="24"/>
      <c r="G352" s="26"/>
      <c r="H352" s="26"/>
      <c r="I352" s="26"/>
      <c r="J352" s="26"/>
      <c r="K352" s="26"/>
      <c r="L352" s="26"/>
      <c r="M352" s="26"/>
      <c r="N352" s="26"/>
      <c r="P352" s="26"/>
      <c r="Q352" s="26"/>
      <c r="R352" s="25"/>
      <c r="S352" s="25"/>
      <c r="T352" s="25"/>
      <c r="U352" s="25"/>
      <c r="V352" s="24"/>
      <c r="W352" s="24"/>
      <c r="X352" s="24"/>
      <c r="Y352" s="26"/>
      <c r="Z352" s="26"/>
      <c r="AA352" s="24"/>
      <c r="AB352" s="24"/>
      <c r="AC352" s="24"/>
      <c r="AD352" s="24"/>
      <c r="AE352" s="26"/>
      <c r="AF352" s="26"/>
      <c r="AG352" s="24"/>
      <c r="AH352" s="24"/>
      <c r="AI352" s="28"/>
      <c r="AJ352" s="28"/>
      <c r="AK352" s="28"/>
      <c r="AL352" s="28"/>
      <c r="AM352" s="28"/>
      <c r="AN352" s="28"/>
      <c r="AO352" s="28"/>
      <c r="AP352" s="28"/>
      <c r="AQ352" s="28"/>
      <c r="AR352" s="28"/>
      <c r="AS352" s="28"/>
      <c r="AT352" s="28"/>
      <c r="AU352" s="28"/>
      <c r="AV352" s="24"/>
      <c r="AW352" s="28"/>
      <c r="AX352" s="28"/>
      <c r="AY352" s="28"/>
      <c r="AZ352" s="28"/>
      <c r="BA352" s="28"/>
      <c r="BB352" s="28"/>
      <c r="BC352" s="24"/>
      <c r="BD352" s="28"/>
      <c r="BE352" s="28"/>
      <c r="BF352" s="28"/>
      <c r="BG352" s="24"/>
      <c r="BH352" s="28"/>
      <c r="BI352" s="28"/>
      <c r="BJ352" s="28"/>
    </row>
    <row r="353" spans="1:62">
      <c r="A353" s="24"/>
      <c r="B353" s="28"/>
      <c r="C353" s="25"/>
      <c r="D353" s="26"/>
      <c r="E353" s="24"/>
      <c r="F353" s="24"/>
      <c r="G353" s="26"/>
      <c r="H353" s="26"/>
      <c r="I353" s="26"/>
      <c r="J353" s="26"/>
      <c r="K353" s="26"/>
      <c r="L353" s="26"/>
      <c r="M353" s="26"/>
      <c r="N353" s="26"/>
      <c r="P353" s="26"/>
      <c r="Q353" s="26"/>
      <c r="R353" s="25"/>
      <c r="S353" s="25"/>
      <c r="T353" s="25"/>
      <c r="U353" s="25"/>
      <c r="V353" s="24"/>
      <c r="W353" s="24"/>
      <c r="X353" s="24"/>
      <c r="Y353" s="26"/>
      <c r="Z353" s="26"/>
      <c r="AA353" s="24"/>
      <c r="AB353" s="24"/>
      <c r="AC353" s="24"/>
      <c r="AD353" s="24"/>
      <c r="AE353" s="26"/>
      <c r="AF353" s="26"/>
      <c r="AG353" s="24"/>
      <c r="AH353" s="24"/>
      <c r="AI353" s="28"/>
      <c r="AJ353" s="28"/>
      <c r="AK353" s="28"/>
      <c r="AL353" s="28"/>
      <c r="AM353" s="28"/>
      <c r="AN353" s="28"/>
      <c r="AO353" s="28"/>
      <c r="AP353" s="28"/>
      <c r="AQ353" s="28"/>
      <c r="AR353" s="28"/>
      <c r="AS353" s="28"/>
      <c r="AT353" s="28"/>
      <c r="AU353" s="28"/>
      <c r="AV353" s="24"/>
      <c r="AW353" s="28"/>
      <c r="AX353" s="28"/>
      <c r="AY353" s="28"/>
      <c r="AZ353" s="28"/>
      <c r="BA353" s="28"/>
      <c r="BB353" s="28"/>
      <c r="BC353" s="24"/>
      <c r="BD353" s="28"/>
      <c r="BE353" s="28"/>
      <c r="BF353" s="28"/>
      <c r="BG353" s="24"/>
      <c r="BH353" s="28"/>
      <c r="BI353" s="28"/>
      <c r="BJ353" s="28"/>
    </row>
    <row r="354" spans="1:62">
      <c r="A354" s="24"/>
      <c r="B354" s="28"/>
      <c r="C354" s="25"/>
      <c r="D354" s="26"/>
      <c r="E354" s="24"/>
      <c r="F354" s="24"/>
      <c r="G354" s="26"/>
      <c r="H354" s="26"/>
      <c r="I354" s="26"/>
      <c r="J354" s="26"/>
      <c r="K354" s="26"/>
      <c r="L354" s="26"/>
      <c r="M354" s="26"/>
      <c r="N354" s="26"/>
      <c r="P354" s="26"/>
      <c r="Q354" s="26"/>
      <c r="R354" s="25"/>
      <c r="S354" s="25"/>
      <c r="T354" s="25"/>
      <c r="U354" s="25"/>
      <c r="V354" s="24"/>
      <c r="W354" s="24"/>
      <c r="X354" s="24"/>
      <c r="Y354" s="26"/>
      <c r="Z354" s="26"/>
      <c r="AA354" s="24"/>
      <c r="AB354" s="24"/>
      <c r="AC354" s="24"/>
      <c r="AD354" s="24"/>
      <c r="AE354" s="26"/>
      <c r="AF354" s="26"/>
      <c r="AG354" s="24"/>
      <c r="AH354" s="24"/>
      <c r="AI354" s="28"/>
      <c r="AJ354" s="28"/>
      <c r="AK354" s="28"/>
      <c r="AL354" s="28"/>
      <c r="AM354" s="28"/>
      <c r="AN354" s="28"/>
      <c r="AO354" s="28"/>
      <c r="AP354" s="28"/>
      <c r="AQ354" s="28"/>
      <c r="AR354" s="28"/>
      <c r="AS354" s="28"/>
      <c r="AT354" s="28"/>
      <c r="AU354" s="28"/>
      <c r="AV354" s="24"/>
      <c r="AW354" s="28"/>
      <c r="AX354" s="28"/>
      <c r="AY354" s="28"/>
      <c r="AZ354" s="28"/>
      <c r="BA354" s="28"/>
      <c r="BB354" s="28"/>
      <c r="BC354" s="24"/>
      <c r="BD354" s="28"/>
      <c r="BE354" s="28"/>
      <c r="BF354" s="28"/>
      <c r="BG354" s="24"/>
      <c r="BH354" s="28"/>
      <c r="BI354" s="28"/>
      <c r="BJ354" s="28"/>
    </row>
    <row r="355" spans="1:62">
      <c r="A355" s="24"/>
      <c r="B355" s="28"/>
      <c r="C355" s="25"/>
      <c r="D355" s="26"/>
      <c r="E355" s="24"/>
      <c r="F355" s="24"/>
      <c r="G355" s="26"/>
      <c r="H355" s="26"/>
      <c r="I355" s="26"/>
      <c r="J355" s="26"/>
      <c r="K355" s="26"/>
      <c r="L355" s="26"/>
      <c r="M355" s="26"/>
      <c r="N355" s="26"/>
      <c r="P355" s="26"/>
      <c r="Q355" s="26"/>
      <c r="R355" s="25"/>
      <c r="S355" s="25"/>
      <c r="T355" s="25"/>
      <c r="U355" s="25"/>
      <c r="V355" s="24"/>
      <c r="W355" s="24"/>
      <c r="X355" s="24"/>
      <c r="Y355" s="26"/>
      <c r="Z355" s="26"/>
      <c r="AA355" s="24"/>
      <c r="AB355" s="24"/>
      <c r="AC355" s="24"/>
      <c r="AD355" s="24"/>
      <c r="AE355" s="26"/>
      <c r="AF355" s="26"/>
      <c r="AG355" s="24"/>
      <c r="AH355" s="24"/>
      <c r="AI355" s="28"/>
      <c r="AJ355" s="28"/>
      <c r="AK355" s="28"/>
      <c r="AL355" s="28"/>
      <c r="AM355" s="28"/>
      <c r="AN355" s="28"/>
      <c r="AO355" s="28"/>
      <c r="AP355" s="28"/>
      <c r="AQ355" s="28"/>
      <c r="AR355" s="28"/>
      <c r="AS355" s="28"/>
      <c r="AT355" s="28"/>
      <c r="AU355" s="28"/>
      <c r="AV355" s="24"/>
      <c r="AW355" s="28"/>
      <c r="AX355" s="28"/>
      <c r="AY355" s="28"/>
      <c r="AZ355" s="28"/>
      <c r="BA355" s="28"/>
      <c r="BB355" s="28"/>
      <c r="BC355" s="24"/>
      <c r="BD355" s="28"/>
      <c r="BE355" s="28"/>
      <c r="BF355" s="28"/>
      <c r="BG355" s="24"/>
      <c r="BH355" s="28"/>
      <c r="BI355" s="28"/>
      <c r="BJ355" s="28"/>
    </row>
    <row r="356" spans="1:62">
      <c r="A356" s="24"/>
      <c r="B356" s="28"/>
      <c r="C356" s="25"/>
      <c r="D356" s="26"/>
      <c r="E356" s="24"/>
      <c r="F356" s="24"/>
      <c r="G356" s="26"/>
      <c r="H356" s="26"/>
      <c r="I356" s="26"/>
      <c r="J356" s="26"/>
      <c r="K356" s="26"/>
      <c r="L356" s="26"/>
      <c r="M356" s="26"/>
      <c r="N356" s="26"/>
      <c r="P356" s="26"/>
      <c r="Q356" s="26"/>
      <c r="R356" s="25"/>
      <c r="S356" s="25"/>
      <c r="T356" s="25"/>
      <c r="U356" s="25"/>
      <c r="V356" s="24"/>
      <c r="W356" s="24"/>
      <c r="X356" s="24"/>
      <c r="Y356" s="26"/>
      <c r="Z356" s="26"/>
      <c r="AA356" s="24"/>
      <c r="AB356" s="24"/>
      <c r="AC356" s="24"/>
      <c r="AD356" s="24"/>
      <c r="AE356" s="26"/>
      <c r="AF356" s="26"/>
      <c r="AG356" s="24"/>
      <c r="AH356" s="24"/>
      <c r="AI356" s="28"/>
      <c r="AJ356" s="28"/>
      <c r="AK356" s="28"/>
      <c r="AL356" s="28"/>
      <c r="AM356" s="28"/>
      <c r="AN356" s="28"/>
      <c r="AO356" s="28"/>
      <c r="AP356" s="28"/>
      <c r="AQ356" s="28"/>
      <c r="AR356" s="28"/>
      <c r="AS356" s="28"/>
      <c r="AT356" s="28"/>
      <c r="AU356" s="28"/>
      <c r="AV356" s="24"/>
      <c r="AW356" s="28"/>
      <c r="AX356" s="28"/>
      <c r="AY356" s="28"/>
      <c r="AZ356" s="28"/>
      <c r="BA356" s="28"/>
      <c r="BB356" s="28"/>
      <c r="BC356" s="24"/>
      <c r="BD356" s="28"/>
      <c r="BE356" s="28"/>
      <c r="BF356" s="28"/>
      <c r="BG356" s="24"/>
      <c r="BH356" s="28"/>
      <c r="BI356" s="28"/>
      <c r="BJ356" s="28"/>
    </row>
    <row r="357" spans="1:62">
      <c r="A357" s="24"/>
      <c r="B357" s="28"/>
      <c r="C357" s="25"/>
      <c r="D357" s="26"/>
      <c r="E357" s="24"/>
      <c r="F357" s="24"/>
      <c r="G357" s="26"/>
      <c r="H357" s="26"/>
      <c r="I357" s="26"/>
      <c r="J357" s="26"/>
      <c r="K357" s="26"/>
      <c r="L357" s="26"/>
      <c r="M357" s="26"/>
      <c r="N357" s="26"/>
      <c r="P357" s="26"/>
      <c r="Q357" s="26"/>
      <c r="R357" s="25"/>
      <c r="S357" s="25"/>
      <c r="T357" s="25"/>
      <c r="U357" s="25"/>
      <c r="V357" s="24"/>
      <c r="W357" s="24"/>
      <c r="X357" s="24"/>
      <c r="Y357" s="26"/>
      <c r="Z357" s="26"/>
      <c r="AA357" s="24"/>
      <c r="AB357" s="24"/>
      <c r="AC357" s="24"/>
      <c r="AD357" s="24"/>
      <c r="AE357" s="26"/>
      <c r="AF357" s="26"/>
      <c r="AG357" s="24"/>
      <c r="AH357" s="24"/>
      <c r="AI357" s="28"/>
      <c r="AJ357" s="28"/>
      <c r="AK357" s="28"/>
      <c r="AL357" s="28"/>
      <c r="AM357" s="28"/>
      <c r="AN357" s="28"/>
      <c r="AO357" s="28"/>
      <c r="AP357" s="28"/>
      <c r="AQ357" s="28"/>
      <c r="AR357" s="28"/>
      <c r="AS357" s="28"/>
      <c r="AT357" s="28"/>
      <c r="AU357" s="28"/>
      <c r="AV357" s="24"/>
      <c r="AW357" s="28"/>
      <c r="AX357" s="28"/>
      <c r="AY357" s="28"/>
      <c r="AZ357" s="28"/>
      <c r="BA357" s="28"/>
      <c r="BB357" s="28"/>
      <c r="BC357" s="24"/>
      <c r="BD357" s="28"/>
      <c r="BE357" s="28"/>
      <c r="BF357" s="28"/>
      <c r="BG357" s="24"/>
      <c r="BH357" s="28"/>
      <c r="BI357" s="28"/>
      <c r="BJ357" s="28"/>
    </row>
    <row r="358" spans="1:62">
      <c r="A358" s="24"/>
      <c r="B358" s="28"/>
      <c r="C358" s="25"/>
      <c r="D358" s="26"/>
      <c r="E358" s="24"/>
      <c r="F358" s="24"/>
      <c r="G358" s="26"/>
      <c r="H358" s="26"/>
      <c r="I358" s="26"/>
      <c r="J358" s="26"/>
      <c r="K358" s="26"/>
      <c r="L358" s="26"/>
      <c r="M358" s="26"/>
      <c r="N358" s="26"/>
      <c r="P358" s="26"/>
      <c r="Q358" s="26"/>
      <c r="R358" s="25"/>
      <c r="S358" s="25"/>
      <c r="T358" s="25"/>
      <c r="U358" s="25"/>
      <c r="V358" s="24"/>
      <c r="W358" s="24"/>
      <c r="X358" s="24"/>
      <c r="Y358" s="26"/>
      <c r="Z358" s="26"/>
      <c r="AA358" s="24"/>
      <c r="AB358" s="24"/>
      <c r="AC358" s="24"/>
      <c r="AD358" s="24"/>
      <c r="AE358" s="26"/>
      <c r="AF358" s="26"/>
      <c r="AG358" s="24"/>
      <c r="AH358" s="24"/>
      <c r="AI358" s="28"/>
      <c r="AJ358" s="28"/>
      <c r="AK358" s="28"/>
      <c r="AL358" s="28"/>
      <c r="AM358" s="28"/>
      <c r="AN358" s="28"/>
      <c r="AO358" s="28"/>
      <c r="AP358" s="28"/>
      <c r="AQ358" s="28"/>
      <c r="AR358" s="28"/>
      <c r="AS358" s="28"/>
      <c r="AT358" s="28"/>
      <c r="AU358" s="28"/>
      <c r="AV358" s="24"/>
      <c r="AW358" s="28"/>
      <c r="AX358" s="28"/>
      <c r="AY358" s="28"/>
      <c r="AZ358" s="28"/>
      <c r="BA358" s="28"/>
      <c r="BB358" s="28"/>
      <c r="BC358" s="24"/>
      <c r="BD358" s="28"/>
      <c r="BE358" s="28"/>
      <c r="BF358" s="28"/>
      <c r="BG358" s="24"/>
      <c r="BH358" s="28"/>
      <c r="BI358" s="28"/>
      <c r="BJ358" s="28"/>
    </row>
    <row r="359" spans="1:62">
      <c r="A359" s="24"/>
      <c r="B359" s="28"/>
      <c r="C359" s="25"/>
      <c r="D359" s="26"/>
      <c r="E359" s="24"/>
      <c r="F359" s="24"/>
      <c r="G359" s="26"/>
      <c r="H359" s="26"/>
      <c r="I359" s="26"/>
      <c r="J359" s="26"/>
      <c r="K359" s="26"/>
      <c r="L359" s="26"/>
      <c r="M359" s="26"/>
      <c r="N359" s="26"/>
      <c r="P359" s="26"/>
      <c r="Q359" s="26"/>
      <c r="R359" s="25"/>
      <c r="S359" s="25"/>
      <c r="T359" s="25"/>
      <c r="U359" s="25"/>
      <c r="V359" s="24"/>
      <c r="W359" s="24"/>
      <c r="X359" s="24"/>
      <c r="Y359" s="26"/>
      <c r="Z359" s="26"/>
      <c r="AA359" s="24"/>
      <c r="AB359" s="24"/>
      <c r="AC359" s="24"/>
      <c r="AD359" s="24"/>
      <c r="AE359" s="26"/>
      <c r="AF359" s="26"/>
      <c r="AG359" s="24"/>
      <c r="AH359" s="24"/>
      <c r="AI359" s="28"/>
      <c r="AJ359" s="28"/>
      <c r="AK359" s="28"/>
      <c r="AL359" s="28"/>
      <c r="AM359" s="28"/>
      <c r="AN359" s="28"/>
      <c r="AO359" s="28"/>
      <c r="AP359" s="28"/>
      <c r="AQ359" s="28"/>
      <c r="AR359" s="28"/>
      <c r="AS359" s="28"/>
      <c r="AT359" s="28"/>
      <c r="AU359" s="28"/>
      <c r="AV359" s="24"/>
      <c r="AW359" s="28"/>
      <c r="AX359" s="28"/>
      <c r="AY359" s="28"/>
      <c r="AZ359" s="28"/>
      <c r="BA359" s="28"/>
      <c r="BB359" s="28"/>
      <c r="BC359" s="24"/>
      <c r="BD359" s="28"/>
      <c r="BE359" s="28"/>
      <c r="BF359" s="28"/>
      <c r="BG359" s="24"/>
      <c r="BH359" s="28"/>
      <c r="BI359" s="28"/>
      <c r="BJ359" s="28"/>
    </row>
    <row r="360" spans="1:62">
      <c r="A360" s="24"/>
      <c r="B360" s="28"/>
      <c r="C360" s="25"/>
      <c r="D360" s="26"/>
      <c r="E360" s="24"/>
      <c r="F360" s="24"/>
      <c r="G360" s="26"/>
      <c r="H360" s="26"/>
      <c r="I360" s="26"/>
      <c r="J360" s="26"/>
      <c r="K360" s="26"/>
      <c r="L360" s="26"/>
      <c r="M360" s="26"/>
      <c r="N360" s="26"/>
      <c r="P360" s="26"/>
      <c r="Q360" s="26"/>
      <c r="R360" s="25"/>
      <c r="S360" s="25"/>
      <c r="T360" s="25"/>
      <c r="U360" s="25"/>
      <c r="V360" s="24"/>
      <c r="W360" s="24"/>
      <c r="X360" s="24"/>
      <c r="Y360" s="26"/>
      <c r="Z360" s="26"/>
      <c r="AA360" s="24"/>
      <c r="AB360" s="24"/>
      <c r="AC360" s="24"/>
      <c r="AD360" s="24"/>
      <c r="AE360" s="26"/>
      <c r="AF360" s="26"/>
      <c r="AG360" s="24"/>
      <c r="AH360" s="24"/>
      <c r="AI360" s="28"/>
      <c r="AJ360" s="28"/>
      <c r="AK360" s="28"/>
      <c r="AL360" s="28"/>
      <c r="AM360" s="28"/>
      <c r="AN360" s="28"/>
      <c r="AO360" s="28"/>
      <c r="AP360" s="28"/>
      <c r="AQ360" s="28"/>
      <c r="AR360" s="28"/>
      <c r="AS360" s="28"/>
      <c r="AT360" s="28"/>
      <c r="AU360" s="28"/>
      <c r="AV360" s="24"/>
      <c r="AW360" s="28"/>
      <c r="AX360" s="28"/>
      <c r="AY360" s="28"/>
      <c r="AZ360" s="28"/>
      <c r="BA360" s="28"/>
      <c r="BB360" s="28"/>
      <c r="BC360" s="24"/>
      <c r="BD360" s="28"/>
      <c r="BE360" s="28"/>
      <c r="BF360" s="28"/>
      <c r="BG360" s="24"/>
      <c r="BH360" s="28"/>
      <c r="BI360" s="28"/>
      <c r="BJ360" s="28"/>
    </row>
    <row r="361" spans="1:62">
      <c r="A361" s="24"/>
      <c r="B361" s="28"/>
      <c r="C361" s="25"/>
      <c r="D361" s="26"/>
      <c r="E361" s="24"/>
      <c r="F361" s="24"/>
      <c r="G361" s="26"/>
      <c r="H361" s="26"/>
      <c r="I361" s="26"/>
      <c r="J361" s="26"/>
      <c r="K361" s="26"/>
      <c r="L361" s="26"/>
      <c r="M361" s="26"/>
      <c r="N361" s="26"/>
      <c r="P361" s="26"/>
      <c r="Q361" s="26"/>
      <c r="R361" s="25"/>
      <c r="S361" s="25"/>
      <c r="T361" s="25"/>
      <c r="U361" s="25"/>
      <c r="V361" s="24"/>
      <c r="W361" s="24"/>
      <c r="X361" s="24"/>
      <c r="Y361" s="26"/>
      <c r="Z361" s="26"/>
      <c r="AA361" s="24"/>
      <c r="AB361" s="24"/>
      <c r="AC361" s="24"/>
      <c r="AD361" s="24"/>
      <c r="AE361" s="26"/>
      <c r="AF361" s="26"/>
      <c r="AG361" s="24"/>
      <c r="AH361" s="24"/>
      <c r="AI361" s="28"/>
      <c r="AJ361" s="28"/>
      <c r="AK361" s="28"/>
      <c r="AL361" s="28"/>
      <c r="AM361" s="28"/>
      <c r="AN361" s="28"/>
      <c r="AO361" s="28"/>
      <c r="AP361" s="28"/>
      <c r="AQ361" s="28"/>
      <c r="AR361" s="28"/>
      <c r="AS361" s="28"/>
      <c r="AT361" s="28"/>
      <c r="AU361" s="28"/>
      <c r="AV361" s="24"/>
      <c r="AW361" s="28"/>
      <c r="AX361" s="28"/>
      <c r="AY361" s="28"/>
      <c r="AZ361" s="28"/>
      <c r="BA361" s="28"/>
      <c r="BB361" s="28"/>
      <c r="BC361" s="24"/>
      <c r="BD361" s="28"/>
      <c r="BE361" s="28"/>
      <c r="BF361" s="28"/>
      <c r="BG361" s="24"/>
      <c r="BH361" s="28"/>
      <c r="BI361" s="28"/>
      <c r="BJ361" s="28"/>
    </row>
    <row r="362" spans="1:62">
      <c r="A362" s="24"/>
      <c r="B362" s="28"/>
      <c r="C362" s="25"/>
      <c r="D362" s="26"/>
      <c r="E362" s="24"/>
      <c r="F362" s="24"/>
      <c r="G362" s="26"/>
      <c r="H362" s="26"/>
      <c r="I362" s="26"/>
      <c r="J362" s="26"/>
      <c r="K362" s="26"/>
      <c r="L362" s="26"/>
      <c r="M362" s="26"/>
      <c r="N362" s="26"/>
      <c r="P362" s="26"/>
      <c r="Q362" s="26"/>
      <c r="R362" s="25"/>
      <c r="S362" s="25"/>
      <c r="T362" s="25"/>
      <c r="U362" s="25"/>
      <c r="V362" s="24"/>
      <c r="W362" s="24"/>
      <c r="X362" s="24"/>
      <c r="Y362" s="26"/>
      <c r="Z362" s="26"/>
      <c r="AA362" s="24"/>
      <c r="AB362" s="24"/>
      <c r="AC362" s="24"/>
      <c r="AD362" s="24"/>
      <c r="AE362" s="26"/>
      <c r="AF362" s="26"/>
      <c r="AG362" s="24"/>
      <c r="AH362" s="24"/>
      <c r="AI362" s="28"/>
      <c r="AJ362" s="28"/>
      <c r="AK362" s="28"/>
      <c r="AL362" s="28"/>
      <c r="AM362" s="28"/>
      <c r="AN362" s="28"/>
      <c r="AO362" s="28"/>
      <c r="AP362" s="28"/>
      <c r="AQ362" s="28"/>
      <c r="AR362" s="28"/>
      <c r="AS362" s="28"/>
      <c r="AT362" s="28"/>
      <c r="AU362" s="28"/>
      <c r="AV362" s="24"/>
      <c r="AW362" s="28"/>
      <c r="AX362" s="28"/>
      <c r="AY362" s="28"/>
      <c r="AZ362" s="28"/>
      <c r="BA362" s="28"/>
      <c r="BB362" s="28"/>
      <c r="BC362" s="24"/>
      <c r="BD362" s="28"/>
      <c r="BE362" s="28"/>
      <c r="BF362" s="28"/>
      <c r="BG362" s="24"/>
      <c r="BH362" s="28"/>
      <c r="BI362" s="28"/>
      <c r="BJ362" s="28"/>
    </row>
    <row r="363" spans="1:62">
      <c r="A363" s="24"/>
      <c r="B363" s="28"/>
      <c r="C363" s="25"/>
      <c r="D363" s="26"/>
      <c r="E363" s="24"/>
      <c r="F363" s="24"/>
      <c r="G363" s="26"/>
      <c r="H363" s="26"/>
      <c r="I363" s="26"/>
      <c r="J363" s="26"/>
      <c r="K363" s="26"/>
      <c r="L363" s="26"/>
      <c r="M363" s="26"/>
      <c r="N363" s="26"/>
      <c r="P363" s="26"/>
      <c r="Q363" s="26"/>
      <c r="R363" s="25"/>
      <c r="S363" s="25"/>
      <c r="T363" s="25"/>
      <c r="U363" s="25"/>
      <c r="V363" s="24"/>
      <c r="W363" s="24"/>
      <c r="X363" s="24"/>
      <c r="Y363" s="26"/>
      <c r="Z363" s="26"/>
      <c r="AA363" s="24"/>
      <c r="AB363" s="24"/>
      <c r="AC363" s="24"/>
      <c r="AD363" s="24"/>
      <c r="AE363" s="26"/>
      <c r="AF363" s="26"/>
      <c r="AG363" s="24"/>
      <c r="AH363" s="24"/>
      <c r="AI363" s="28"/>
      <c r="AJ363" s="28"/>
      <c r="AK363" s="28"/>
      <c r="AL363" s="28"/>
      <c r="AM363" s="28"/>
      <c r="AN363" s="28"/>
      <c r="AO363" s="28"/>
      <c r="AP363" s="28"/>
      <c r="AQ363" s="28"/>
      <c r="AR363" s="28"/>
      <c r="AS363" s="28"/>
      <c r="AT363" s="28"/>
      <c r="AU363" s="28"/>
      <c r="AV363" s="24"/>
      <c r="AW363" s="28"/>
      <c r="AX363" s="28"/>
      <c r="AY363" s="28"/>
      <c r="AZ363" s="28"/>
      <c r="BA363" s="28"/>
      <c r="BB363" s="28"/>
      <c r="BC363" s="24"/>
      <c r="BD363" s="28"/>
      <c r="BE363" s="28"/>
      <c r="BF363" s="28"/>
      <c r="BG363" s="24"/>
      <c r="BH363" s="28"/>
      <c r="BI363" s="28"/>
      <c r="BJ363" s="28"/>
    </row>
    <row r="364" spans="1:62">
      <c r="A364" s="24"/>
      <c r="B364" s="28"/>
      <c r="C364" s="25"/>
      <c r="D364" s="26"/>
      <c r="E364" s="24"/>
      <c r="F364" s="24"/>
      <c r="G364" s="26"/>
      <c r="H364" s="26"/>
      <c r="I364" s="26"/>
      <c r="J364" s="26"/>
      <c r="K364" s="26"/>
      <c r="L364" s="26"/>
      <c r="M364" s="26"/>
      <c r="N364" s="26"/>
      <c r="P364" s="26"/>
      <c r="Q364" s="26"/>
      <c r="R364" s="25"/>
      <c r="S364" s="25"/>
      <c r="T364" s="25"/>
      <c r="U364" s="25"/>
      <c r="V364" s="24"/>
      <c r="W364" s="24"/>
      <c r="X364" s="24"/>
      <c r="Y364" s="26"/>
      <c r="Z364" s="26"/>
      <c r="AA364" s="24"/>
      <c r="AB364" s="24"/>
      <c r="AC364" s="24"/>
      <c r="AD364" s="24"/>
      <c r="AE364" s="26"/>
      <c r="AF364" s="26"/>
      <c r="AG364" s="24"/>
      <c r="AH364" s="24"/>
      <c r="AI364" s="28"/>
      <c r="AJ364" s="28"/>
      <c r="AK364" s="28"/>
      <c r="AL364" s="28"/>
      <c r="AM364" s="28"/>
      <c r="AN364" s="28"/>
      <c r="AO364" s="28"/>
      <c r="AP364" s="28"/>
      <c r="AQ364" s="28"/>
      <c r="AR364" s="28"/>
      <c r="AS364" s="28"/>
      <c r="AT364" s="28"/>
      <c r="AU364" s="28"/>
      <c r="AV364" s="24"/>
      <c r="AW364" s="28"/>
      <c r="AX364" s="28"/>
      <c r="AY364" s="28"/>
      <c r="AZ364" s="28"/>
      <c r="BA364" s="28"/>
      <c r="BB364" s="28"/>
      <c r="BC364" s="24"/>
      <c r="BD364" s="28"/>
      <c r="BE364" s="28"/>
      <c r="BF364" s="28"/>
      <c r="BG364" s="24"/>
      <c r="BH364" s="28"/>
      <c r="BI364" s="28"/>
      <c r="BJ364" s="28"/>
    </row>
    <row r="365" spans="1:62">
      <c r="A365" s="24"/>
      <c r="B365" s="28"/>
      <c r="C365" s="25"/>
      <c r="D365" s="26"/>
      <c r="E365" s="24"/>
      <c r="F365" s="24"/>
      <c r="G365" s="26"/>
      <c r="H365" s="26"/>
      <c r="I365" s="26"/>
      <c r="J365" s="26"/>
      <c r="K365" s="26"/>
      <c r="L365" s="26"/>
      <c r="M365" s="26"/>
      <c r="N365" s="26"/>
      <c r="P365" s="26"/>
      <c r="Q365" s="26"/>
      <c r="R365" s="25"/>
      <c r="S365" s="25"/>
      <c r="T365" s="25"/>
      <c r="U365" s="25"/>
      <c r="V365" s="24"/>
      <c r="W365" s="24"/>
      <c r="X365" s="24"/>
      <c r="Y365" s="26"/>
      <c r="Z365" s="26"/>
      <c r="AA365" s="24"/>
      <c r="AB365" s="24"/>
      <c r="AC365" s="24"/>
      <c r="AD365" s="24"/>
      <c r="AE365" s="26"/>
      <c r="AF365" s="26"/>
      <c r="AG365" s="24"/>
      <c r="AH365" s="24"/>
      <c r="AI365" s="28"/>
      <c r="AJ365" s="28"/>
      <c r="AK365" s="28"/>
      <c r="AL365" s="28"/>
      <c r="AM365" s="28"/>
      <c r="AN365" s="28"/>
      <c r="AO365" s="28"/>
      <c r="AP365" s="28"/>
      <c r="AQ365" s="28"/>
      <c r="AR365" s="28"/>
      <c r="AS365" s="28"/>
      <c r="AT365" s="28"/>
      <c r="AU365" s="28"/>
      <c r="AV365" s="24"/>
      <c r="AW365" s="28"/>
      <c r="AX365" s="28"/>
      <c r="AY365" s="28"/>
      <c r="AZ365" s="28"/>
      <c r="BA365" s="28"/>
      <c r="BB365" s="28"/>
      <c r="BC365" s="24"/>
      <c r="BD365" s="28"/>
      <c r="BE365" s="28"/>
      <c r="BF365" s="28"/>
      <c r="BG365" s="24"/>
      <c r="BH365" s="28"/>
      <c r="BI365" s="28"/>
      <c r="BJ365" s="28"/>
    </row>
    <row r="366" spans="1:62">
      <c r="A366" s="24"/>
      <c r="B366" s="28"/>
      <c r="C366" s="25"/>
      <c r="D366" s="26"/>
      <c r="E366" s="24"/>
      <c r="F366" s="24"/>
      <c r="G366" s="26"/>
      <c r="H366" s="26"/>
      <c r="I366" s="26"/>
      <c r="J366" s="26"/>
      <c r="K366" s="26"/>
      <c r="L366" s="26"/>
      <c r="M366" s="26"/>
      <c r="N366" s="26"/>
      <c r="P366" s="26"/>
      <c r="Q366" s="26"/>
      <c r="R366" s="25"/>
      <c r="S366" s="25"/>
      <c r="T366" s="25"/>
      <c r="U366" s="25"/>
      <c r="V366" s="24"/>
      <c r="W366" s="24"/>
      <c r="X366" s="24"/>
      <c r="Y366" s="26"/>
      <c r="Z366" s="26"/>
      <c r="AA366" s="24"/>
      <c r="AB366" s="24"/>
      <c r="AC366" s="24"/>
      <c r="AD366" s="24"/>
      <c r="AE366" s="26"/>
      <c r="AF366" s="26"/>
      <c r="AG366" s="24"/>
      <c r="AH366" s="24"/>
      <c r="AI366" s="28"/>
      <c r="AJ366" s="28"/>
      <c r="AK366" s="28"/>
      <c r="AL366" s="28"/>
      <c r="AM366" s="28"/>
      <c r="AN366" s="28"/>
      <c r="AO366" s="28"/>
      <c r="AP366" s="28"/>
      <c r="AQ366" s="28"/>
      <c r="AR366" s="28"/>
      <c r="AS366" s="28"/>
      <c r="AT366" s="28"/>
      <c r="AU366" s="28"/>
      <c r="AV366" s="24"/>
      <c r="AW366" s="28"/>
      <c r="AX366" s="28"/>
      <c r="AY366" s="28"/>
      <c r="AZ366" s="28"/>
      <c r="BA366" s="28"/>
      <c r="BB366" s="28"/>
      <c r="BC366" s="24"/>
      <c r="BD366" s="28"/>
      <c r="BE366" s="28"/>
      <c r="BF366" s="28"/>
      <c r="BG366" s="24"/>
      <c r="BH366" s="28"/>
      <c r="BI366" s="28"/>
      <c r="BJ366" s="28"/>
    </row>
    <row r="367" spans="1:62">
      <c r="A367" s="24"/>
      <c r="B367" s="28"/>
      <c r="C367" s="25"/>
      <c r="D367" s="26"/>
      <c r="E367" s="24"/>
      <c r="F367" s="24"/>
      <c r="G367" s="26"/>
      <c r="H367" s="26"/>
      <c r="I367" s="26"/>
      <c r="J367" s="26"/>
      <c r="K367" s="26"/>
      <c r="L367" s="26"/>
      <c r="M367" s="26"/>
      <c r="N367" s="26"/>
      <c r="P367" s="26"/>
      <c r="Q367" s="26"/>
      <c r="R367" s="25"/>
      <c r="S367" s="25"/>
      <c r="T367" s="25"/>
      <c r="U367" s="25"/>
      <c r="V367" s="24"/>
      <c r="W367" s="24"/>
      <c r="X367" s="24"/>
      <c r="Y367" s="26"/>
      <c r="Z367" s="26"/>
      <c r="AA367" s="24"/>
      <c r="AB367" s="24"/>
      <c r="AC367" s="24"/>
      <c r="AD367" s="24"/>
      <c r="AE367" s="26"/>
      <c r="AF367" s="26"/>
      <c r="AG367" s="24"/>
      <c r="AH367" s="24"/>
      <c r="AI367" s="28"/>
      <c r="AJ367" s="28"/>
      <c r="AK367" s="28"/>
      <c r="AL367" s="28"/>
      <c r="AM367" s="28"/>
      <c r="AN367" s="28"/>
      <c r="AO367" s="28"/>
      <c r="AP367" s="28"/>
      <c r="AQ367" s="28"/>
      <c r="AR367" s="28"/>
      <c r="AS367" s="28"/>
      <c r="AT367" s="28"/>
      <c r="AU367" s="28"/>
      <c r="AV367" s="24"/>
      <c r="AW367" s="28"/>
      <c r="AX367" s="28"/>
      <c r="AY367" s="28"/>
      <c r="AZ367" s="28"/>
      <c r="BA367" s="28"/>
      <c r="BB367" s="28"/>
      <c r="BC367" s="24"/>
      <c r="BD367" s="28"/>
      <c r="BE367" s="28"/>
      <c r="BF367" s="28"/>
      <c r="BG367" s="24"/>
      <c r="BH367" s="28"/>
      <c r="BI367" s="28"/>
      <c r="BJ367" s="28"/>
    </row>
    <row r="368" spans="1:62">
      <c r="A368" s="24"/>
      <c r="B368" s="28"/>
      <c r="C368" s="25"/>
      <c r="D368" s="26"/>
      <c r="E368" s="24"/>
      <c r="F368" s="24"/>
      <c r="G368" s="26"/>
      <c r="H368" s="26"/>
      <c r="I368" s="26"/>
      <c r="J368" s="26"/>
      <c r="K368" s="26"/>
      <c r="L368" s="26"/>
      <c r="M368" s="26"/>
      <c r="N368" s="26"/>
      <c r="P368" s="26"/>
      <c r="Q368" s="26"/>
      <c r="R368" s="25"/>
      <c r="S368" s="25"/>
      <c r="T368" s="25"/>
      <c r="U368" s="25"/>
      <c r="V368" s="24"/>
      <c r="W368" s="24"/>
      <c r="X368" s="24"/>
      <c r="Y368" s="26"/>
      <c r="Z368" s="26"/>
      <c r="AA368" s="24"/>
      <c r="AB368" s="24"/>
      <c r="AC368" s="24"/>
      <c r="AD368" s="24"/>
      <c r="AE368" s="26"/>
      <c r="AF368" s="26"/>
      <c r="AG368" s="24"/>
      <c r="AH368" s="24"/>
      <c r="AI368" s="28"/>
      <c r="AJ368" s="28"/>
      <c r="AK368" s="28"/>
      <c r="AL368" s="28"/>
      <c r="AM368" s="28"/>
      <c r="AN368" s="28"/>
      <c r="AO368" s="28"/>
      <c r="AP368" s="28"/>
      <c r="AQ368" s="28"/>
      <c r="AR368" s="28"/>
      <c r="AS368" s="28"/>
      <c r="AT368" s="28"/>
      <c r="AU368" s="28"/>
      <c r="AV368" s="24"/>
      <c r="AW368" s="28"/>
      <c r="AX368" s="28"/>
      <c r="AY368" s="28"/>
      <c r="AZ368" s="28"/>
      <c r="BA368" s="28"/>
      <c r="BB368" s="28"/>
      <c r="BC368" s="24"/>
      <c r="BD368" s="28"/>
      <c r="BE368" s="28"/>
      <c r="BF368" s="28"/>
      <c r="BG368" s="24"/>
      <c r="BH368" s="28"/>
      <c r="BI368" s="28"/>
      <c r="BJ368" s="28"/>
    </row>
    <row r="369" spans="1:62">
      <c r="A369" s="24"/>
      <c r="B369" s="28"/>
      <c r="C369" s="25"/>
      <c r="D369" s="26"/>
      <c r="E369" s="24"/>
      <c r="F369" s="24"/>
      <c r="G369" s="26"/>
      <c r="H369" s="26"/>
      <c r="I369" s="26"/>
      <c r="J369" s="26"/>
      <c r="K369" s="26"/>
      <c r="L369" s="26"/>
      <c r="M369" s="26"/>
      <c r="N369" s="26"/>
      <c r="P369" s="26"/>
      <c r="Q369" s="26"/>
      <c r="R369" s="25"/>
      <c r="S369" s="25"/>
      <c r="T369" s="25"/>
      <c r="U369" s="25"/>
      <c r="V369" s="24"/>
      <c r="W369" s="24"/>
      <c r="X369" s="24"/>
      <c r="Y369" s="26"/>
      <c r="Z369" s="26"/>
      <c r="AA369" s="24"/>
      <c r="AB369" s="24"/>
      <c r="AC369" s="24"/>
      <c r="AD369" s="24"/>
      <c r="AE369" s="26"/>
      <c r="AF369" s="26"/>
      <c r="AG369" s="24"/>
      <c r="AH369" s="24"/>
      <c r="AI369" s="28"/>
      <c r="AJ369" s="28"/>
      <c r="AK369" s="28"/>
      <c r="AL369" s="28"/>
      <c r="AM369" s="28"/>
      <c r="AN369" s="28"/>
      <c r="AO369" s="28"/>
      <c r="AP369" s="28"/>
      <c r="AQ369" s="28"/>
      <c r="AR369" s="28"/>
      <c r="AS369" s="28"/>
      <c r="AT369" s="28"/>
      <c r="AU369" s="28"/>
      <c r="AV369" s="24"/>
      <c r="AW369" s="28"/>
      <c r="AX369" s="28"/>
      <c r="AY369" s="28"/>
      <c r="AZ369" s="28"/>
      <c r="BA369" s="28"/>
      <c r="BB369" s="28"/>
      <c r="BC369" s="24"/>
      <c r="BD369" s="28"/>
      <c r="BE369" s="28"/>
      <c r="BF369" s="28"/>
      <c r="BG369" s="24"/>
      <c r="BH369" s="28"/>
      <c r="BI369" s="28"/>
      <c r="BJ369" s="28"/>
    </row>
    <row r="370" spans="1:62">
      <c r="A370" s="24"/>
      <c r="B370" s="28"/>
      <c r="C370" s="25"/>
      <c r="D370" s="26"/>
      <c r="E370" s="24"/>
      <c r="F370" s="24"/>
      <c r="G370" s="26"/>
      <c r="H370" s="26"/>
      <c r="I370" s="26"/>
      <c r="J370" s="26"/>
      <c r="K370" s="26"/>
      <c r="L370" s="26"/>
      <c r="M370" s="26"/>
      <c r="N370" s="26"/>
      <c r="P370" s="26"/>
      <c r="Q370" s="26"/>
      <c r="R370" s="25"/>
      <c r="S370" s="25"/>
      <c r="T370" s="25"/>
      <c r="U370" s="25"/>
      <c r="V370" s="24"/>
      <c r="W370" s="24"/>
      <c r="X370" s="24"/>
      <c r="Y370" s="26"/>
      <c r="Z370" s="26"/>
      <c r="AA370" s="24"/>
      <c r="AB370" s="24"/>
      <c r="AC370" s="24"/>
      <c r="AD370" s="24"/>
      <c r="AE370" s="26"/>
      <c r="AF370" s="26"/>
      <c r="AG370" s="24"/>
      <c r="AH370" s="24"/>
      <c r="AI370" s="28"/>
      <c r="AJ370" s="28"/>
      <c r="AK370" s="28"/>
      <c r="AL370" s="28"/>
      <c r="AM370" s="28"/>
      <c r="AN370" s="28"/>
      <c r="AO370" s="28"/>
      <c r="AP370" s="28"/>
      <c r="AQ370" s="28"/>
      <c r="AR370" s="28"/>
      <c r="AS370" s="28"/>
      <c r="AT370" s="28"/>
      <c r="AU370" s="28"/>
      <c r="AV370" s="24"/>
      <c r="AW370" s="28"/>
      <c r="AX370" s="28"/>
      <c r="AY370" s="28"/>
      <c r="AZ370" s="28"/>
      <c r="BA370" s="28"/>
      <c r="BB370" s="28"/>
      <c r="BC370" s="24"/>
      <c r="BD370" s="28"/>
      <c r="BE370" s="28"/>
      <c r="BF370" s="28"/>
      <c r="BG370" s="24"/>
      <c r="BH370" s="28"/>
      <c r="BI370" s="28"/>
      <c r="BJ370" s="28"/>
    </row>
    <row r="371" spans="1:62">
      <c r="A371" s="24"/>
      <c r="B371" s="28"/>
      <c r="C371" s="25"/>
      <c r="D371" s="26"/>
      <c r="E371" s="24"/>
      <c r="F371" s="24"/>
      <c r="G371" s="26"/>
      <c r="H371" s="26"/>
      <c r="I371" s="26"/>
      <c r="J371" s="26"/>
      <c r="K371" s="26"/>
      <c r="L371" s="26"/>
      <c r="M371" s="26"/>
      <c r="N371" s="26"/>
      <c r="P371" s="26"/>
      <c r="Q371" s="26"/>
      <c r="R371" s="25"/>
      <c r="S371" s="25"/>
      <c r="T371" s="25"/>
      <c r="U371" s="25"/>
      <c r="V371" s="24"/>
      <c r="W371" s="24"/>
      <c r="X371" s="24"/>
      <c r="Y371" s="26"/>
      <c r="Z371" s="26"/>
      <c r="AA371" s="24"/>
      <c r="AB371" s="24"/>
      <c r="AC371" s="24"/>
      <c r="AD371" s="24"/>
      <c r="AE371" s="26"/>
      <c r="AF371" s="26"/>
      <c r="AG371" s="24"/>
      <c r="AH371" s="24"/>
      <c r="AI371" s="28"/>
      <c r="AJ371" s="28"/>
      <c r="AK371" s="28"/>
      <c r="AL371" s="28"/>
      <c r="AM371" s="28"/>
      <c r="AN371" s="28"/>
      <c r="AO371" s="28"/>
      <c r="AP371" s="28"/>
      <c r="AQ371" s="28"/>
      <c r="AR371" s="28"/>
      <c r="AS371" s="28"/>
      <c r="AT371" s="28"/>
      <c r="AU371" s="28"/>
      <c r="AV371" s="24"/>
      <c r="AW371" s="28"/>
      <c r="AX371" s="28"/>
      <c r="AY371" s="28"/>
      <c r="AZ371" s="28"/>
      <c r="BA371" s="28"/>
      <c r="BB371" s="28"/>
      <c r="BC371" s="24"/>
      <c r="BD371" s="28"/>
      <c r="BE371" s="28"/>
      <c r="BF371" s="28"/>
      <c r="BG371" s="24"/>
      <c r="BH371" s="28"/>
      <c r="BI371" s="28"/>
      <c r="BJ371" s="28"/>
    </row>
    <row r="372" spans="1:62">
      <c r="A372" s="24"/>
      <c r="B372" s="28"/>
      <c r="C372" s="25"/>
      <c r="D372" s="26"/>
      <c r="E372" s="24"/>
      <c r="F372" s="24"/>
      <c r="G372" s="26"/>
      <c r="H372" s="26"/>
      <c r="I372" s="26"/>
      <c r="J372" s="26"/>
      <c r="K372" s="26"/>
      <c r="L372" s="26"/>
      <c r="M372" s="26"/>
      <c r="N372" s="26"/>
      <c r="P372" s="26"/>
      <c r="Q372" s="26"/>
      <c r="R372" s="25"/>
      <c r="S372" s="25"/>
      <c r="T372" s="25"/>
      <c r="U372" s="25"/>
      <c r="V372" s="24"/>
      <c r="W372" s="24"/>
      <c r="X372" s="24"/>
      <c r="Y372" s="26"/>
      <c r="Z372" s="26"/>
      <c r="AA372" s="24"/>
      <c r="AB372" s="24"/>
      <c r="AC372" s="24"/>
      <c r="AD372" s="24"/>
      <c r="AE372" s="26"/>
      <c r="AF372" s="26"/>
      <c r="AG372" s="24"/>
      <c r="AH372" s="24"/>
      <c r="AI372" s="28"/>
      <c r="AJ372" s="28"/>
      <c r="AK372" s="28"/>
      <c r="AL372" s="28"/>
      <c r="AM372" s="28"/>
      <c r="AN372" s="28"/>
      <c r="AO372" s="28"/>
      <c r="AP372" s="28"/>
      <c r="AQ372" s="28"/>
      <c r="AR372" s="28"/>
      <c r="AS372" s="28"/>
      <c r="AT372" s="28"/>
      <c r="AU372" s="28"/>
      <c r="AV372" s="24"/>
      <c r="AW372" s="28"/>
      <c r="AX372" s="28"/>
      <c r="AY372" s="28"/>
      <c r="AZ372" s="28"/>
      <c r="BA372" s="28"/>
      <c r="BB372" s="28"/>
      <c r="BC372" s="24"/>
      <c r="BD372" s="28"/>
      <c r="BE372" s="28"/>
      <c r="BF372" s="28"/>
      <c r="BG372" s="24"/>
      <c r="BH372" s="28"/>
      <c r="BI372" s="28"/>
      <c r="BJ372" s="28"/>
    </row>
    <row r="373" spans="1:62">
      <c r="A373" s="24"/>
      <c r="B373" s="28"/>
      <c r="C373" s="25"/>
      <c r="D373" s="26"/>
      <c r="E373" s="24"/>
      <c r="F373" s="24"/>
      <c r="G373" s="26"/>
      <c r="H373" s="26"/>
      <c r="I373" s="26"/>
      <c r="J373" s="26"/>
      <c r="K373" s="26"/>
      <c r="L373" s="26"/>
      <c r="M373" s="26"/>
      <c r="N373" s="26"/>
      <c r="P373" s="26"/>
      <c r="Q373" s="26"/>
      <c r="R373" s="25"/>
      <c r="S373" s="25"/>
      <c r="T373" s="25"/>
      <c r="U373" s="25"/>
      <c r="V373" s="24"/>
      <c r="W373" s="24"/>
      <c r="X373" s="24"/>
      <c r="Y373" s="26"/>
      <c r="Z373" s="26"/>
      <c r="AA373" s="24"/>
      <c r="AB373" s="24"/>
      <c r="AC373" s="24"/>
      <c r="AD373" s="24"/>
      <c r="AE373" s="26"/>
      <c r="AF373" s="26"/>
      <c r="AG373" s="24"/>
      <c r="AH373" s="24"/>
      <c r="AI373" s="28"/>
      <c r="AJ373" s="28"/>
      <c r="AK373" s="28"/>
      <c r="AL373" s="28"/>
      <c r="AM373" s="28"/>
      <c r="AN373" s="28"/>
      <c r="AO373" s="28"/>
      <c r="AP373" s="28"/>
      <c r="AQ373" s="28"/>
      <c r="AR373" s="28"/>
      <c r="AS373" s="28"/>
      <c r="AT373" s="28"/>
      <c r="AU373" s="28"/>
      <c r="AV373" s="24"/>
      <c r="AW373" s="28"/>
      <c r="AX373" s="28"/>
      <c r="AY373" s="28"/>
      <c r="AZ373" s="28"/>
      <c r="BA373" s="28"/>
      <c r="BB373" s="28"/>
      <c r="BC373" s="24"/>
      <c r="BD373" s="28"/>
      <c r="BE373" s="28"/>
      <c r="BF373" s="28"/>
      <c r="BG373" s="24"/>
      <c r="BH373" s="28"/>
      <c r="BI373" s="28"/>
      <c r="BJ373" s="28"/>
    </row>
    <row r="374" spans="1:62">
      <c r="A374" s="24"/>
      <c r="B374" s="28"/>
      <c r="C374" s="25"/>
      <c r="D374" s="26"/>
      <c r="E374" s="24"/>
      <c r="F374" s="24"/>
      <c r="G374" s="26"/>
      <c r="H374" s="26"/>
      <c r="I374" s="26"/>
      <c r="J374" s="26"/>
      <c r="K374" s="26"/>
      <c r="L374" s="26"/>
      <c r="M374" s="26"/>
      <c r="N374" s="26"/>
      <c r="P374" s="26"/>
      <c r="Q374" s="26"/>
      <c r="R374" s="25"/>
      <c r="S374" s="25"/>
      <c r="T374" s="25"/>
      <c r="U374" s="25"/>
      <c r="V374" s="24"/>
      <c r="W374" s="24"/>
      <c r="X374" s="24"/>
      <c r="Y374" s="26"/>
      <c r="Z374" s="26"/>
      <c r="AA374" s="24"/>
      <c r="AB374" s="24"/>
      <c r="AC374" s="24"/>
      <c r="AD374" s="24"/>
      <c r="AE374" s="26"/>
      <c r="AF374" s="26"/>
      <c r="AG374" s="24"/>
      <c r="AH374" s="24"/>
      <c r="AI374" s="28"/>
      <c r="AJ374" s="28"/>
      <c r="AK374" s="28"/>
      <c r="AL374" s="28"/>
      <c r="AM374" s="28"/>
      <c r="AN374" s="28"/>
      <c r="AO374" s="28"/>
      <c r="AP374" s="28"/>
      <c r="AQ374" s="28"/>
      <c r="AR374" s="28"/>
      <c r="AS374" s="28"/>
      <c r="AT374" s="28"/>
      <c r="AU374" s="28"/>
      <c r="AV374" s="24"/>
      <c r="AW374" s="28"/>
      <c r="AX374" s="28"/>
      <c r="AY374" s="28"/>
      <c r="AZ374" s="28"/>
      <c r="BA374" s="28"/>
      <c r="BB374" s="28"/>
      <c r="BC374" s="24"/>
      <c r="BD374" s="28"/>
      <c r="BE374" s="28"/>
      <c r="BF374" s="28"/>
      <c r="BG374" s="24"/>
      <c r="BH374" s="28"/>
      <c r="BI374" s="28"/>
      <c r="BJ374" s="28"/>
    </row>
    <row r="375" spans="1:62">
      <c r="A375" s="24"/>
      <c r="B375" s="28"/>
      <c r="C375" s="25"/>
      <c r="D375" s="26"/>
      <c r="E375" s="24"/>
      <c r="F375" s="24"/>
      <c r="G375" s="26"/>
      <c r="H375" s="26"/>
      <c r="I375" s="26"/>
      <c r="J375" s="26"/>
      <c r="K375" s="26"/>
      <c r="L375" s="26"/>
      <c r="M375" s="26"/>
      <c r="N375" s="26"/>
      <c r="P375" s="26"/>
      <c r="Q375" s="26"/>
      <c r="R375" s="25"/>
      <c r="S375" s="25"/>
      <c r="T375" s="25"/>
      <c r="U375" s="25"/>
      <c r="V375" s="24"/>
      <c r="W375" s="24"/>
      <c r="X375" s="24"/>
      <c r="Y375" s="26"/>
      <c r="Z375" s="26"/>
      <c r="AA375" s="24"/>
      <c r="AB375" s="24"/>
      <c r="AC375" s="24"/>
      <c r="AD375" s="24"/>
      <c r="AE375" s="26"/>
      <c r="AF375" s="26"/>
      <c r="AG375" s="24"/>
      <c r="AH375" s="24"/>
      <c r="AI375" s="28"/>
      <c r="AJ375" s="28"/>
      <c r="AK375" s="28"/>
      <c r="AL375" s="28"/>
      <c r="AM375" s="28"/>
      <c r="AN375" s="28"/>
      <c r="AO375" s="28"/>
      <c r="AP375" s="28"/>
      <c r="AQ375" s="28"/>
      <c r="AR375" s="28"/>
      <c r="AS375" s="28"/>
      <c r="AT375" s="28"/>
      <c r="AU375" s="28"/>
      <c r="AV375" s="24"/>
      <c r="AW375" s="28"/>
      <c r="AX375" s="28"/>
      <c r="AY375" s="28"/>
      <c r="AZ375" s="28"/>
      <c r="BA375" s="28"/>
      <c r="BB375" s="28"/>
      <c r="BC375" s="24"/>
      <c r="BD375" s="28"/>
      <c r="BE375" s="28"/>
      <c r="BF375" s="28"/>
      <c r="BG375" s="24"/>
      <c r="BH375" s="28"/>
      <c r="BI375" s="28"/>
      <c r="BJ375" s="28"/>
    </row>
    <row r="376" spans="1:62">
      <c r="A376" s="24"/>
      <c r="B376" s="28"/>
      <c r="C376" s="25"/>
      <c r="D376" s="26"/>
      <c r="E376" s="24"/>
      <c r="F376" s="24"/>
      <c r="G376" s="26"/>
      <c r="H376" s="26"/>
      <c r="I376" s="26"/>
      <c r="J376" s="26"/>
      <c r="K376" s="26"/>
      <c r="L376" s="26"/>
      <c r="M376" s="26"/>
      <c r="N376" s="26"/>
      <c r="P376" s="26"/>
      <c r="Q376" s="26"/>
      <c r="R376" s="25"/>
      <c r="S376" s="25"/>
      <c r="T376" s="25"/>
      <c r="U376" s="25"/>
      <c r="V376" s="24"/>
      <c r="W376" s="24"/>
      <c r="X376" s="24"/>
      <c r="Y376" s="26"/>
      <c r="Z376" s="26"/>
      <c r="AA376" s="24"/>
      <c r="AB376" s="24"/>
      <c r="AC376" s="24"/>
      <c r="AD376" s="24"/>
      <c r="AE376" s="26"/>
      <c r="AF376" s="26"/>
      <c r="AG376" s="24"/>
      <c r="AH376" s="24"/>
      <c r="AI376" s="28"/>
      <c r="AJ376" s="28"/>
      <c r="AK376" s="28"/>
      <c r="AL376" s="28"/>
      <c r="AM376" s="28"/>
      <c r="AN376" s="28"/>
      <c r="AO376" s="28"/>
      <c r="AP376" s="28"/>
      <c r="AQ376" s="28"/>
      <c r="AR376" s="28"/>
      <c r="AS376" s="28"/>
      <c r="AT376" s="28"/>
      <c r="AU376" s="28"/>
      <c r="AV376" s="24"/>
      <c r="AW376" s="28"/>
      <c r="AX376" s="28"/>
      <c r="AY376" s="28"/>
      <c r="AZ376" s="28"/>
      <c r="BA376" s="28"/>
      <c r="BB376" s="28"/>
      <c r="BC376" s="24"/>
      <c r="BD376" s="28"/>
      <c r="BE376" s="28"/>
      <c r="BF376" s="28"/>
      <c r="BG376" s="24"/>
      <c r="BH376" s="28"/>
      <c r="BI376" s="28"/>
      <c r="BJ376" s="28"/>
    </row>
    <row r="377" spans="1:62">
      <c r="A377" s="24"/>
      <c r="B377" s="28"/>
      <c r="C377" s="25"/>
      <c r="D377" s="26"/>
      <c r="E377" s="24"/>
      <c r="F377" s="24"/>
      <c r="G377" s="26"/>
      <c r="H377" s="26"/>
      <c r="I377" s="26"/>
      <c r="J377" s="26"/>
      <c r="K377" s="26"/>
      <c r="L377" s="26"/>
      <c r="M377" s="26"/>
      <c r="N377" s="26"/>
      <c r="P377" s="26"/>
      <c r="Q377" s="26"/>
      <c r="R377" s="25"/>
      <c r="S377" s="25"/>
      <c r="T377" s="25"/>
      <c r="U377" s="25"/>
      <c r="V377" s="24"/>
      <c r="W377" s="24"/>
      <c r="X377" s="24"/>
      <c r="Y377" s="26"/>
      <c r="Z377" s="26"/>
      <c r="AA377" s="24"/>
      <c r="AB377" s="24"/>
      <c r="AC377" s="24"/>
      <c r="AD377" s="24"/>
      <c r="AE377" s="26"/>
      <c r="AF377" s="26"/>
      <c r="AG377" s="24"/>
      <c r="AH377" s="24"/>
      <c r="AI377" s="28"/>
      <c r="AJ377" s="28"/>
      <c r="AK377" s="28"/>
      <c r="AL377" s="28"/>
      <c r="AM377" s="28"/>
      <c r="AN377" s="28"/>
      <c r="AO377" s="28"/>
      <c r="AP377" s="28"/>
      <c r="AQ377" s="28"/>
      <c r="AR377" s="28"/>
      <c r="AS377" s="28"/>
      <c r="AT377" s="28"/>
      <c r="AU377" s="28"/>
      <c r="AV377" s="24"/>
      <c r="AW377" s="28"/>
      <c r="AX377" s="28"/>
      <c r="AY377" s="28"/>
      <c r="AZ377" s="28"/>
      <c r="BA377" s="28"/>
      <c r="BB377" s="28"/>
      <c r="BC377" s="24"/>
      <c r="BD377" s="28"/>
      <c r="BE377" s="28"/>
      <c r="BF377" s="28"/>
      <c r="BG377" s="24"/>
      <c r="BH377" s="28"/>
      <c r="BI377" s="28"/>
      <c r="BJ377" s="28"/>
    </row>
    <row r="378" spans="1:62">
      <c r="A378" s="24"/>
      <c r="B378" s="28"/>
      <c r="C378" s="25"/>
      <c r="D378" s="26"/>
      <c r="E378" s="24"/>
      <c r="F378" s="24"/>
      <c r="G378" s="26"/>
      <c r="H378" s="26"/>
      <c r="I378" s="26"/>
      <c r="J378" s="26"/>
      <c r="K378" s="26"/>
      <c r="L378" s="26"/>
      <c r="M378" s="26"/>
      <c r="N378" s="26"/>
      <c r="P378" s="26"/>
      <c r="Q378" s="26"/>
      <c r="R378" s="25"/>
      <c r="S378" s="25"/>
      <c r="T378" s="25"/>
      <c r="U378" s="25"/>
      <c r="V378" s="24"/>
      <c r="W378" s="24"/>
      <c r="X378" s="24"/>
      <c r="Y378" s="26"/>
      <c r="Z378" s="26"/>
      <c r="AA378" s="24"/>
      <c r="AB378" s="24"/>
      <c r="AC378" s="24"/>
      <c r="AD378" s="24"/>
      <c r="AE378" s="26"/>
      <c r="AF378" s="26"/>
      <c r="AG378" s="24"/>
      <c r="AH378" s="24"/>
      <c r="AI378" s="28"/>
      <c r="AJ378" s="28"/>
      <c r="AK378" s="28"/>
      <c r="AL378" s="28"/>
      <c r="AM378" s="28"/>
      <c r="AN378" s="28"/>
      <c r="AO378" s="28"/>
      <c r="AP378" s="28"/>
      <c r="AQ378" s="28"/>
      <c r="AR378" s="28"/>
      <c r="AS378" s="28"/>
      <c r="AT378" s="28"/>
      <c r="AU378" s="28"/>
      <c r="AV378" s="24"/>
      <c r="AW378" s="28"/>
      <c r="AX378" s="28"/>
      <c r="AY378" s="28"/>
      <c r="AZ378" s="28"/>
      <c r="BA378" s="28"/>
      <c r="BB378" s="28"/>
      <c r="BC378" s="24"/>
      <c r="BD378" s="28"/>
      <c r="BE378" s="28"/>
      <c r="BF378" s="28"/>
      <c r="BG378" s="24"/>
      <c r="BH378" s="28"/>
      <c r="BI378" s="28"/>
      <c r="BJ378" s="28"/>
    </row>
    <row r="379" spans="1:62">
      <c r="A379" s="24"/>
      <c r="B379" s="28"/>
      <c r="C379" s="25"/>
      <c r="D379" s="26"/>
      <c r="E379" s="24"/>
      <c r="F379" s="24"/>
      <c r="G379" s="26"/>
      <c r="H379" s="26"/>
      <c r="I379" s="26"/>
      <c r="J379" s="26"/>
      <c r="K379" s="26"/>
      <c r="L379" s="26"/>
      <c r="M379" s="26"/>
      <c r="N379" s="26"/>
      <c r="P379" s="26"/>
      <c r="Q379" s="26"/>
      <c r="R379" s="25"/>
      <c r="S379" s="25"/>
      <c r="T379" s="25"/>
      <c r="U379" s="25"/>
      <c r="V379" s="24"/>
      <c r="W379" s="24"/>
      <c r="X379" s="24"/>
      <c r="Y379" s="26"/>
      <c r="Z379" s="26"/>
      <c r="AA379" s="24"/>
      <c r="AB379" s="24"/>
      <c r="AC379" s="24"/>
      <c r="AD379" s="24"/>
      <c r="AE379" s="26"/>
      <c r="AF379" s="26"/>
      <c r="AG379" s="24"/>
      <c r="AH379" s="24"/>
      <c r="AI379" s="28"/>
      <c r="AJ379" s="28"/>
      <c r="AK379" s="28"/>
      <c r="AL379" s="28"/>
      <c r="AM379" s="28"/>
      <c r="AN379" s="28"/>
      <c r="AO379" s="28"/>
      <c r="AP379" s="28"/>
      <c r="AQ379" s="28"/>
      <c r="AR379" s="28"/>
      <c r="AS379" s="28"/>
      <c r="AT379" s="28"/>
      <c r="AU379" s="28"/>
      <c r="AV379" s="24"/>
      <c r="AW379" s="28"/>
      <c r="AX379" s="28"/>
      <c r="AY379" s="28"/>
      <c r="AZ379" s="28"/>
      <c r="BA379" s="28"/>
      <c r="BB379" s="28"/>
      <c r="BC379" s="24"/>
      <c r="BD379" s="28"/>
      <c r="BE379" s="28"/>
      <c r="BF379" s="28"/>
      <c r="BG379" s="24"/>
      <c r="BH379" s="28"/>
      <c r="BI379" s="28"/>
      <c r="BJ379" s="28"/>
    </row>
    <row r="380" spans="1:62">
      <c r="A380" s="24"/>
      <c r="B380" s="28"/>
      <c r="C380" s="25"/>
      <c r="D380" s="26"/>
      <c r="E380" s="24"/>
      <c r="F380" s="24"/>
      <c r="G380" s="26"/>
      <c r="H380" s="26"/>
      <c r="I380" s="26"/>
      <c r="J380" s="26"/>
      <c r="K380" s="26"/>
      <c r="L380" s="26"/>
      <c r="M380" s="26"/>
      <c r="N380" s="26"/>
      <c r="P380" s="26"/>
      <c r="Q380" s="26"/>
      <c r="R380" s="25"/>
      <c r="S380" s="25"/>
      <c r="T380" s="25"/>
      <c r="U380" s="25"/>
      <c r="V380" s="24"/>
      <c r="W380" s="24"/>
      <c r="X380" s="24"/>
      <c r="Y380" s="26"/>
      <c r="Z380" s="26"/>
      <c r="AA380" s="24"/>
      <c r="AB380" s="24"/>
      <c r="AC380" s="24"/>
      <c r="AD380" s="24"/>
      <c r="AE380" s="26"/>
      <c r="AF380" s="26"/>
      <c r="AG380" s="24"/>
      <c r="AH380" s="24"/>
      <c r="AI380" s="28"/>
      <c r="AJ380" s="28"/>
      <c r="AK380" s="28"/>
      <c r="AL380" s="28"/>
      <c r="AM380" s="28"/>
      <c r="AN380" s="28"/>
      <c r="AO380" s="28"/>
      <c r="AP380" s="28"/>
      <c r="AQ380" s="28"/>
      <c r="AR380" s="28"/>
      <c r="AS380" s="28"/>
      <c r="AT380" s="28"/>
      <c r="AU380" s="28"/>
      <c r="AV380" s="24"/>
      <c r="AW380" s="28"/>
      <c r="AX380" s="28"/>
      <c r="AY380" s="28"/>
      <c r="AZ380" s="28"/>
      <c r="BA380" s="28"/>
      <c r="BB380" s="28"/>
      <c r="BC380" s="24"/>
      <c r="BD380" s="28"/>
      <c r="BE380" s="28"/>
      <c r="BF380" s="28"/>
      <c r="BG380" s="24"/>
      <c r="BH380" s="28"/>
      <c r="BI380" s="28"/>
      <c r="BJ380" s="28"/>
    </row>
    <row r="381" spans="1:62">
      <c r="A381" s="24"/>
      <c r="B381" s="28"/>
      <c r="C381" s="25"/>
      <c r="D381" s="26"/>
      <c r="E381" s="24"/>
      <c r="F381" s="24"/>
      <c r="G381" s="26"/>
      <c r="H381" s="26"/>
      <c r="I381" s="26"/>
      <c r="J381" s="26"/>
      <c r="K381" s="26"/>
      <c r="L381" s="26"/>
      <c r="M381" s="26"/>
      <c r="N381" s="26"/>
      <c r="P381" s="26"/>
      <c r="Q381" s="26"/>
      <c r="R381" s="25"/>
      <c r="S381" s="25"/>
      <c r="T381" s="25"/>
      <c r="U381" s="25"/>
      <c r="V381" s="24"/>
      <c r="W381" s="24"/>
      <c r="X381" s="24"/>
      <c r="Y381" s="26"/>
      <c r="Z381" s="26"/>
      <c r="AA381" s="24"/>
      <c r="AB381" s="24"/>
      <c r="AC381" s="24"/>
      <c r="AD381" s="24"/>
      <c r="AE381" s="26"/>
      <c r="AF381" s="26"/>
      <c r="AG381" s="24"/>
      <c r="AH381" s="24"/>
      <c r="AI381" s="28"/>
      <c r="AJ381" s="28"/>
      <c r="AK381" s="28"/>
      <c r="AL381" s="28"/>
      <c r="AM381" s="28"/>
      <c r="AN381" s="28"/>
      <c r="AO381" s="28"/>
      <c r="AP381" s="28"/>
      <c r="AQ381" s="28"/>
      <c r="AR381" s="28"/>
      <c r="AS381" s="28"/>
      <c r="AT381" s="28"/>
      <c r="AU381" s="28"/>
      <c r="AV381" s="24"/>
      <c r="AW381" s="28"/>
      <c r="AX381" s="28"/>
      <c r="AY381" s="28"/>
      <c r="AZ381" s="28"/>
      <c r="BA381" s="28"/>
      <c r="BB381" s="28"/>
      <c r="BC381" s="24"/>
      <c r="BD381" s="28"/>
      <c r="BE381" s="28"/>
      <c r="BF381" s="28"/>
      <c r="BG381" s="24"/>
      <c r="BH381" s="28"/>
      <c r="BI381" s="28"/>
      <c r="BJ381" s="28"/>
    </row>
    <row r="382" spans="1:62">
      <c r="A382" s="24"/>
      <c r="B382" s="28"/>
      <c r="C382" s="25"/>
      <c r="D382" s="26"/>
      <c r="E382" s="24"/>
      <c r="F382" s="24"/>
      <c r="G382" s="26"/>
      <c r="H382" s="26"/>
      <c r="I382" s="26"/>
      <c r="J382" s="26"/>
      <c r="K382" s="26"/>
      <c r="L382" s="26"/>
      <c r="M382" s="26"/>
      <c r="N382" s="26"/>
      <c r="P382" s="26"/>
      <c r="Q382" s="26"/>
      <c r="R382" s="25"/>
      <c r="S382" s="25"/>
      <c r="T382" s="25"/>
      <c r="U382" s="25"/>
      <c r="V382" s="24"/>
      <c r="W382" s="24"/>
      <c r="X382" s="24"/>
      <c r="Y382" s="26"/>
      <c r="Z382" s="26"/>
      <c r="AA382" s="24"/>
      <c r="AB382" s="24"/>
      <c r="AC382" s="24"/>
      <c r="AD382" s="24"/>
      <c r="AE382" s="26"/>
      <c r="AF382" s="26"/>
      <c r="AG382" s="24"/>
      <c r="AH382" s="24"/>
      <c r="AI382" s="28"/>
      <c r="AJ382" s="28"/>
      <c r="AK382" s="28"/>
      <c r="AL382" s="28"/>
      <c r="AM382" s="28"/>
      <c r="AN382" s="28"/>
      <c r="AO382" s="28"/>
      <c r="AP382" s="28"/>
      <c r="AQ382" s="28"/>
      <c r="AR382" s="28"/>
      <c r="AS382" s="28"/>
      <c r="AT382" s="28"/>
      <c r="AU382" s="28"/>
      <c r="AV382" s="24"/>
      <c r="AW382" s="28"/>
      <c r="AX382" s="28"/>
      <c r="AY382" s="28"/>
      <c r="AZ382" s="28"/>
      <c r="BA382" s="28"/>
      <c r="BB382" s="28"/>
      <c r="BC382" s="24"/>
      <c r="BD382" s="28"/>
      <c r="BE382" s="28"/>
      <c r="BF382" s="28"/>
      <c r="BG382" s="24"/>
      <c r="BH382" s="28"/>
      <c r="BI382" s="28"/>
      <c r="BJ382" s="28"/>
    </row>
    <row r="383" spans="1:62">
      <c r="A383" s="24"/>
      <c r="B383" s="28"/>
      <c r="C383" s="25"/>
      <c r="D383" s="26"/>
      <c r="E383" s="24"/>
      <c r="F383" s="24"/>
      <c r="G383" s="26"/>
      <c r="H383" s="26"/>
      <c r="I383" s="26"/>
      <c r="J383" s="26"/>
      <c r="K383" s="26"/>
      <c r="L383" s="26"/>
      <c r="M383" s="26"/>
      <c r="N383" s="26"/>
      <c r="P383" s="26"/>
      <c r="Q383" s="26"/>
      <c r="R383" s="25"/>
      <c r="S383" s="25"/>
      <c r="T383" s="25"/>
      <c r="U383" s="25"/>
      <c r="V383" s="24"/>
      <c r="W383" s="24"/>
      <c r="X383" s="24"/>
      <c r="Y383" s="26"/>
      <c r="Z383" s="26"/>
      <c r="AA383" s="24"/>
      <c r="AB383" s="24"/>
      <c r="AC383" s="24"/>
      <c r="AD383" s="24"/>
      <c r="AE383" s="26"/>
      <c r="AF383" s="26"/>
      <c r="AG383" s="24"/>
      <c r="AH383" s="24"/>
      <c r="AI383" s="28"/>
      <c r="AJ383" s="28"/>
      <c r="AK383" s="28"/>
      <c r="AL383" s="28"/>
      <c r="AM383" s="28"/>
      <c r="AN383" s="28"/>
      <c r="AO383" s="28"/>
      <c r="AP383" s="28"/>
      <c r="AQ383" s="28"/>
      <c r="AR383" s="28"/>
      <c r="AS383" s="28"/>
      <c r="AT383" s="28"/>
      <c r="AU383" s="28"/>
      <c r="AV383" s="24"/>
      <c r="AW383" s="28"/>
      <c r="AX383" s="28"/>
      <c r="AY383" s="28"/>
      <c r="AZ383" s="28"/>
      <c r="BA383" s="28"/>
      <c r="BB383" s="28"/>
      <c r="BC383" s="24"/>
      <c r="BD383" s="28"/>
      <c r="BE383" s="28"/>
      <c r="BF383" s="28"/>
      <c r="BG383" s="24"/>
      <c r="BH383" s="28"/>
      <c r="BI383" s="28"/>
      <c r="BJ383" s="28"/>
    </row>
    <row r="384" spans="1:62">
      <c r="A384" s="24"/>
      <c r="B384" s="28"/>
      <c r="C384" s="25"/>
      <c r="D384" s="26"/>
      <c r="E384" s="24"/>
      <c r="F384" s="24"/>
      <c r="G384" s="26"/>
      <c r="H384" s="26"/>
      <c r="I384" s="26"/>
      <c r="J384" s="26"/>
      <c r="K384" s="26"/>
      <c r="L384" s="26"/>
      <c r="M384" s="26"/>
      <c r="N384" s="26"/>
      <c r="P384" s="26"/>
      <c r="Q384" s="26"/>
      <c r="R384" s="25"/>
      <c r="S384" s="25"/>
      <c r="T384" s="25"/>
      <c r="U384" s="25"/>
      <c r="V384" s="24"/>
      <c r="W384" s="24"/>
      <c r="X384" s="24"/>
      <c r="Y384" s="26"/>
      <c r="Z384" s="26"/>
      <c r="AA384" s="24"/>
      <c r="AB384" s="24"/>
      <c r="AC384" s="24"/>
      <c r="AD384" s="24"/>
      <c r="AE384" s="26"/>
      <c r="AF384" s="26"/>
      <c r="AG384" s="24"/>
      <c r="AH384" s="24"/>
      <c r="AI384" s="28"/>
      <c r="AJ384" s="28"/>
      <c r="AK384" s="28"/>
      <c r="AL384" s="28"/>
      <c r="AM384" s="28"/>
      <c r="AN384" s="28"/>
      <c r="AO384" s="28"/>
      <c r="AP384" s="28"/>
      <c r="AQ384" s="28"/>
      <c r="AR384" s="28"/>
      <c r="AS384" s="28"/>
      <c r="AT384" s="28"/>
      <c r="AU384" s="28"/>
      <c r="AV384" s="24"/>
      <c r="AW384" s="28"/>
      <c r="AX384" s="28"/>
      <c r="AY384" s="28"/>
      <c r="AZ384" s="28"/>
      <c r="BA384" s="28"/>
      <c r="BB384" s="28"/>
      <c r="BC384" s="24"/>
      <c r="BD384" s="28"/>
      <c r="BE384" s="28"/>
      <c r="BF384" s="28"/>
      <c r="BG384" s="24"/>
      <c r="BH384" s="28"/>
      <c r="BI384" s="28"/>
      <c r="BJ384" s="28"/>
    </row>
    <row r="385" spans="1:62">
      <c r="A385" s="24"/>
      <c r="B385" s="28"/>
      <c r="C385" s="25"/>
      <c r="D385" s="26"/>
      <c r="E385" s="24"/>
      <c r="F385" s="24"/>
      <c r="G385" s="26"/>
      <c r="H385" s="26"/>
      <c r="I385" s="26"/>
      <c r="J385" s="26"/>
      <c r="K385" s="26"/>
      <c r="L385" s="26"/>
      <c r="M385" s="26"/>
      <c r="N385" s="26"/>
      <c r="P385" s="26"/>
      <c r="Q385" s="26"/>
      <c r="R385" s="25"/>
      <c r="S385" s="25"/>
      <c r="T385" s="25"/>
      <c r="U385" s="25"/>
      <c r="V385" s="24"/>
      <c r="W385" s="24"/>
      <c r="X385" s="24"/>
      <c r="Y385" s="26"/>
      <c r="Z385" s="26"/>
      <c r="AA385" s="24"/>
      <c r="AB385" s="24"/>
      <c r="AC385" s="24"/>
      <c r="AD385" s="24"/>
      <c r="AE385" s="26"/>
      <c r="AF385" s="26"/>
      <c r="AG385" s="24"/>
      <c r="AH385" s="24"/>
      <c r="AI385" s="28"/>
      <c r="AJ385" s="28"/>
      <c r="AK385" s="28"/>
      <c r="AL385" s="28"/>
      <c r="AM385" s="28"/>
      <c r="AN385" s="28"/>
      <c r="AO385" s="28"/>
      <c r="AP385" s="28"/>
      <c r="AQ385" s="28"/>
      <c r="AR385" s="28"/>
      <c r="AS385" s="28"/>
      <c r="AT385" s="28"/>
      <c r="AU385" s="28"/>
      <c r="AV385" s="24"/>
      <c r="AW385" s="28"/>
      <c r="AX385" s="28"/>
      <c r="AY385" s="28"/>
      <c r="AZ385" s="28"/>
      <c r="BA385" s="28"/>
      <c r="BB385" s="28"/>
      <c r="BC385" s="24"/>
      <c r="BD385" s="28"/>
      <c r="BE385" s="28"/>
      <c r="BF385" s="28"/>
      <c r="BG385" s="24"/>
      <c r="BH385" s="28"/>
      <c r="BI385" s="28"/>
      <c r="BJ385" s="28"/>
    </row>
    <row r="386" spans="1:62">
      <c r="A386" s="24"/>
      <c r="B386" s="28"/>
      <c r="C386" s="25"/>
      <c r="D386" s="26"/>
      <c r="E386" s="24"/>
      <c r="F386" s="24"/>
      <c r="G386" s="26"/>
      <c r="H386" s="26"/>
      <c r="I386" s="26"/>
      <c r="J386" s="26"/>
      <c r="K386" s="26"/>
      <c r="L386" s="26"/>
      <c r="M386" s="26"/>
      <c r="N386" s="26"/>
      <c r="P386" s="26"/>
      <c r="Q386" s="26"/>
      <c r="R386" s="25"/>
      <c r="S386" s="25"/>
      <c r="T386" s="25"/>
      <c r="U386" s="25"/>
      <c r="V386" s="24"/>
      <c r="W386" s="24"/>
      <c r="X386" s="24"/>
      <c r="Y386" s="26"/>
      <c r="Z386" s="26"/>
      <c r="AA386" s="24"/>
      <c r="AB386" s="24"/>
      <c r="AC386" s="24"/>
      <c r="AD386" s="24"/>
      <c r="AE386" s="26"/>
      <c r="AF386" s="26"/>
      <c r="AG386" s="24"/>
      <c r="AH386" s="24"/>
      <c r="AI386" s="28"/>
      <c r="AJ386" s="28"/>
      <c r="AK386" s="28"/>
      <c r="AL386" s="28"/>
      <c r="AM386" s="28"/>
      <c r="AN386" s="28"/>
      <c r="AO386" s="28"/>
      <c r="AP386" s="28"/>
      <c r="AQ386" s="28"/>
      <c r="AR386" s="28"/>
      <c r="AS386" s="28"/>
      <c r="AT386" s="28"/>
      <c r="AU386" s="28"/>
      <c r="AV386" s="24"/>
      <c r="AW386" s="28"/>
      <c r="AX386" s="28"/>
      <c r="AY386" s="28"/>
      <c r="AZ386" s="28"/>
      <c r="BA386" s="28"/>
      <c r="BB386" s="28"/>
      <c r="BC386" s="24"/>
      <c r="BD386" s="28"/>
      <c r="BE386" s="28"/>
      <c r="BF386" s="28"/>
      <c r="BG386" s="24"/>
      <c r="BH386" s="28"/>
      <c r="BI386" s="28"/>
      <c r="BJ386" s="28"/>
    </row>
    <row r="387" spans="1:62">
      <c r="A387" s="24"/>
      <c r="B387" s="28"/>
      <c r="C387" s="25"/>
      <c r="D387" s="26"/>
      <c r="E387" s="24"/>
      <c r="F387" s="24"/>
      <c r="G387" s="26"/>
      <c r="H387" s="26"/>
      <c r="I387" s="26"/>
      <c r="J387" s="26"/>
      <c r="K387" s="26"/>
      <c r="L387" s="26"/>
      <c r="M387" s="26"/>
      <c r="N387" s="26"/>
      <c r="P387" s="26"/>
      <c r="Q387" s="26"/>
      <c r="R387" s="25"/>
      <c r="S387" s="25"/>
      <c r="T387" s="25"/>
      <c r="U387" s="25"/>
      <c r="V387" s="24"/>
      <c r="W387" s="24"/>
      <c r="X387" s="24"/>
      <c r="Y387" s="26"/>
      <c r="Z387" s="26"/>
      <c r="AA387" s="24"/>
      <c r="AB387" s="24"/>
      <c r="AC387" s="24"/>
      <c r="AD387" s="24"/>
      <c r="AE387" s="26"/>
      <c r="AF387" s="26"/>
      <c r="AG387" s="24"/>
      <c r="AH387" s="24"/>
      <c r="AI387" s="28"/>
      <c r="AJ387" s="28"/>
      <c r="AK387" s="28"/>
      <c r="AL387" s="28"/>
      <c r="AM387" s="28"/>
      <c r="AN387" s="28"/>
      <c r="AO387" s="28"/>
      <c r="AP387" s="28"/>
      <c r="AQ387" s="28"/>
      <c r="AR387" s="28"/>
      <c r="AS387" s="28"/>
      <c r="AT387" s="28"/>
      <c r="AU387" s="28"/>
      <c r="AV387" s="24"/>
      <c r="AW387" s="28"/>
      <c r="AX387" s="28"/>
      <c r="AY387" s="28"/>
      <c r="AZ387" s="28"/>
      <c r="BA387" s="28"/>
      <c r="BB387" s="28"/>
      <c r="BC387" s="24"/>
      <c r="BD387" s="28"/>
      <c r="BE387" s="28"/>
      <c r="BF387" s="28"/>
      <c r="BG387" s="24"/>
      <c r="BH387" s="28"/>
      <c r="BI387" s="28"/>
      <c r="BJ387" s="28"/>
    </row>
    <row r="388" spans="1:62">
      <c r="A388" s="24"/>
      <c r="B388" s="28"/>
      <c r="C388" s="25"/>
      <c r="D388" s="26"/>
      <c r="E388" s="24"/>
      <c r="F388" s="24"/>
      <c r="G388" s="26"/>
      <c r="H388" s="26"/>
      <c r="I388" s="26"/>
      <c r="J388" s="26"/>
      <c r="K388" s="26"/>
      <c r="L388" s="26"/>
      <c r="M388" s="26"/>
      <c r="N388" s="26"/>
      <c r="P388" s="26"/>
      <c r="Q388" s="26"/>
      <c r="R388" s="25"/>
      <c r="S388" s="25"/>
      <c r="T388" s="25"/>
      <c r="U388" s="25"/>
      <c r="V388" s="24"/>
      <c r="W388" s="24"/>
      <c r="X388" s="24"/>
      <c r="Y388" s="26"/>
      <c r="Z388" s="26"/>
      <c r="AA388" s="24"/>
      <c r="AB388" s="24"/>
      <c r="AC388" s="24"/>
      <c r="AD388" s="24"/>
      <c r="AE388" s="26"/>
      <c r="AF388" s="26"/>
      <c r="AG388" s="24"/>
      <c r="AH388" s="24"/>
      <c r="AI388" s="28"/>
      <c r="AJ388" s="28"/>
      <c r="AK388" s="28"/>
      <c r="AL388" s="28"/>
      <c r="AM388" s="28"/>
      <c r="AN388" s="28"/>
      <c r="AO388" s="28"/>
      <c r="AP388" s="28"/>
      <c r="AQ388" s="28"/>
      <c r="AR388" s="28"/>
      <c r="AS388" s="28"/>
      <c r="AT388" s="28"/>
      <c r="AU388" s="28"/>
      <c r="AV388" s="24"/>
      <c r="AW388" s="28"/>
      <c r="AX388" s="28"/>
      <c r="AY388" s="28"/>
      <c r="AZ388" s="28"/>
      <c r="BA388" s="28"/>
      <c r="BB388" s="28"/>
      <c r="BC388" s="24"/>
      <c r="BD388" s="28"/>
      <c r="BE388" s="28"/>
      <c r="BF388" s="28"/>
      <c r="BG388" s="24"/>
      <c r="BH388" s="28"/>
      <c r="BI388" s="28"/>
      <c r="BJ388" s="28"/>
    </row>
    <row r="389" spans="1:62">
      <c r="A389" s="24"/>
      <c r="B389" s="28"/>
      <c r="C389" s="25"/>
      <c r="D389" s="26"/>
      <c r="E389" s="24"/>
      <c r="F389" s="24"/>
      <c r="G389" s="26"/>
      <c r="H389" s="26"/>
      <c r="I389" s="26"/>
      <c r="J389" s="26"/>
      <c r="K389" s="26"/>
      <c r="L389" s="26"/>
      <c r="M389" s="26"/>
      <c r="N389" s="26"/>
      <c r="P389" s="26"/>
      <c r="Q389" s="26"/>
      <c r="R389" s="25"/>
      <c r="S389" s="25"/>
      <c r="T389" s="25"/>
      <c r="U389" s="25"/>
      <c r="V389" s="24"/>
      <c r="W389" s="24"/>
      <c r="X389" s="24"/>
      <c r="Y389" s="26"/>
      <c r="Z389" s="26"/>
      <c r="AA389" s="24"/>
      <c r="AB389" s="24"/>
      <c r="AC389" s="24"/>
      <c r="AD389" s="24"/>
      <c r="AE389" s="26"/>
      <c r="AF389" s="26"/>
      <c r="AG389" s="24"/>
      <c r="AH389" s="24"/>
      <c r="AI389" s="28"/>
      <c r="AJ389" s="28"/>
      <c r="AK389" s="28"/>
      <c r="AL389" s="28"/>
      <c r="AM389" s="28"/>
      <c r="AN389" s="28"/>
      <c r="AO389" s="28"/>
      <c r="AP389" s="28"/>
      <c r="AQ389" s="28"/>
      <c r="AR389" s="28"/>
      <c r="AS389" s="28"/>
      <c r="AT389" s="28"/>
      <c r="AU389" s="28"/>
      <c r="AV389" s="24"/>
      <c r="AW389" s="28"/>
      <c r="AX389" s="28"/>
      <c r="AY389" s="28"/>
      <c r="AZ389" s="28"/>
      <c r="BA389" s="28"/>
      <c r="BB389" s="28"/>
      <c r="BC389" s="24"/>
      <c r="BD389" s="28"/>
      <c r="BE389" s="28"/>
      <c r="BF389" s="28"/>
      <c r="BG389" s="24"/>
      <c r="BH389" s="28"/>
      <c r="BI389" s="28"/>
      <c r="BJ389" s="28"/>
    </row>
    <row r="390" spans="1:62">
      <c r="A390" s="24"/>
      <c r="B390" s="28"/>
      <c r="C390" s="25"/>
      <c r="D390" s="26"/>
      <c r="E390" s="24"/>
      <c r="F390" s="24"/>
      <c r="G390" s="26"/>
      <c r="H390" s="26"/>
      <c r="I390" s="26"/>
      <c r="J390" s="26"/>
      <c r="K390" s="26"/>
      <c r="L390" s="26"/>
      <c r="M390" s="26"/>
      <c r="N390" s="26"/>
      <c r="P390" s="26"/>
      <c r="Q390" s="26"/>
      <c r="R390" s="25"/>
      <c r="S390" s="25"/>
      <c r="T390" s="25"/>
      <c r="U390" s="25"/>
      <c r="V390" s="24"/>
      <c r="W390" s="24"/>
      <c r="X390" s="24"/>
      <c r="Y390" s="26"/>
      <c r="Z390" s="26"/>
      <c r="AA390" s="24"/>
      <c r="AB390" s="24"/>
      <c r="AC390" s="24"/>
      <c r="AD390" s="24"/>
      <c r="AE390" s="26"/>
      <c r="AF390" s="26"/>
      <c r="AG390" s="24"/>
      <c r="AH390" s="24"/>
      <c r="AI390" s="28"/>
      <c r="AJ390" s="28"/>
      <c r="AK390" s="28"/>
      <c r="AL390" s="28"/>
      <c r="AM390" s="28"/>
      <c r="AN390" s="28"/>
      <c r="AO390" s="28"/>
      <c r="AP390" s="28"/>
      <c r="AQ390" s="28"/>
      <c r="AR390" s="28"/>
      <c r="AS390" s="28"/>
      <c r="AT390" s="28"/>
      <c r="AU390" s="28"/>
      <c r="AV390" s="24"/>
      <c r="AW390" s="28"/>
      <c r="AX390" s="28"/>
      <c r="AY390" s="28"/>
      <c r="AZ390" s="28"/>
      <c r="BA390" s="28"/>
      <c r="BB390" s="28"/>
      <c r="BC390" s="24"/>
      <c r="BD390" s="28"/>
      <c r="BE390" s="28"/>
      <c r="BF390" s="28"/>
      <c r="BG390" s="24"/>
      <c r="BH390" s="28"/>
      <c r="BI390" s="28"/>
      <c r="BJ390" s="28"/>
    </row>
    <row r="391" spans="1:62">
      <c r="A391" s="24"/>
      <c r="B391" s="28"/>
      <c r="C391" s="25"/>
      <c r="D391" s="26"/>
      <c r="E391" s="24"/>
      <c r="F391" s="24"/>
      <c r="G391" s="26"/>
      <c r="H391" s="26"/>
      <c r="I391" s="26"/>
      <c r="J391" s="26"/>
      <c r="K391" s="26"/>
      <c r="L391" s="26"/>
      <c r="M391" s="26"/>
      <c r="N391" s="26"/>
      <c r="P391" s="26"/>
      <c r="Q391" s="26"/>
      <c r="R391" s="25"/>
      <c r="S391" s="25"/>
      <c r="T391" s="25"/>
      <c r="U391" s="25"/>
      <c r="V391" s="24"/>
      <c r="W391" s="24"/>
      <c r="X391" s="24"/>
      <c r="Y391" s="26"/>
      <c r="Z391" s="26"/>
      <c r="AA391" s="24"/>
      <c r="AB391" s="24"/>
      <c r="AC391" s="24"/>
      <c r="AD391" s="24"/>
      <c r="AE391" s="26"/>
      <c r="AF391" s="26"/>
      <c r="AG391" s="24"/>
      <c r="AH391" s="24"/>
      <c r="AI391" s="28"/>
      <c r="AJ391" s="28"/>
      <c r="AK391" s="28"/>
      <c r="AL391" s="28"/>
      <c r="AM391" s="28"/>
      <c r="AN391" s="28"/>
      <c r="AO391" s="28"/>
      <c r="AP391" s="28"/>
      <c r="AQ391" s="28"/>
      <c r="AR391" s="28"/>
      <c r="AS391" s="28"/>
      <c r="AT391" s="28"/>
      <c r="AU391" s="28"/>
      <c r="AV391" s="24"/>
      <c r="AW391" s="28"/>
      <c r="AX391" s="28"/>
      <c r="AY391" s="28"/>
      <c r="AZ391" s="28"/>
      <c r="BA391" s="28"/>
      <c r="BB391" s="28"/>
      <c r="BC391" s="24"/>
      <c r="BD391" s="28"/>
      <c r="BE391" s="28"/>
      <c r="BF391" s="28"/>
      <c r="BG391" s="24"/>
      <c r="BH391" s="28"/>
      <c r="BI391" s="28"/>
      <c r="BJ391" s="28"/>
    </row>
    <row r="392" spans="1:62">
      <c r="A392" s="24"/>
      <c r="B392" s="28"/>
      <c r="C392" s="25"/>
      <c r="D392" s="26"/>
      <c r="E392" s="24"/>
      <c r="F392" s="24"/>
      <c r="G392" s="26"/>
      <c r="H392" s="26"/>
      <c r="I392" s="26"/>
      <c r="J392" s="26"/>
      <c r="K392" s="26"/>
      <c r="L392" s="26"/>
      <c r="M392" s="26"/>
      <c r="N392" s="26"/>
      <c r="P392" s="26"/>
      <c r="Q392" s="26"/>
      <c r="R392" s="25"/>
      <c r="S392" s="25"/>
      <c r="T392" s="25"/>
      <c r="U392" s="25"/>
      <c r="V392" s="24"/>
      <c r="W392" s="24"/>
      <c r="X392" s="24"/>
      <c r="Y392" s="26"/>
      <c r="Z392" s="26"/>
      <c r="AA392" s="24"/>
      <c r="AB392" s="24"/>
      <c r="AC392" s="24"/>
      <c r="AD392" s="24"/>
      <c r="AE392" s="26"/>
      <c r="AF392" s="26"/>
      <c r="AG392" s="24"/>
      <c r="AH392" s="24"/>
      <c r="AI392" s="28"/>
      <c r="AJ392" s="28"/>
      <c r="AK392" s="28"/>
      <c r="AL392" s="28"/>
      <c r="AM392" s="28"/>
      <c r="AN392" s="28"/>
      <c r="AO392" s="28"/>
      <c r="AP392" s="28"/>
      <c r="AQ392" s="28"/>
      <c r="AR392" s="28"/>
      <c r="AS392" s="28"/>
      <c r="AT392" s="28"/>
      <c r="AU392" s="28"/>
      <c r="AV392" s="24"/>
      <c r="AW392" s="28"/>
      <c r="AX392" s="28"/>
      <c r="AY392" s="28"/>
      <c r="AZ392" s="28"/>
      <c r="BA392" s="28"/>
      <c r="BB392" s="28"/>
      <c r="BC392" s="24"/>
      <c r="BD392" s="28"/>
      <c r="BE392" s="28"/>
      <c r="BF392" s="28"/>
      <c r="BG392" s="24"/>
      <c r="BH392" s="28"/>
      <c r="BI392" s="28"/>
      <c r="BJ392" s="28"/>
    </row>
    <row r="393" spans="1:62">
      <c r="A393" s="24"/>
      <c r="B393" s="28"/>
      <c r="C393" s="25"/>
      <c r="D393" s="26"/>
      <c r="E393" s="24"/>
      <c r="F393" s="24"/>
      <c r="G393" s="26"/>
      <c r="H393" s="26"/>
      <c r="I393" s="26"/>
      <c r="J393" s="26"/>
      <c r="K393" s="26"/>
      <c r="L393" s="26"/>
      <c r="M393" s="26"/>
      <c r="N393" s="26"/>
      <c r="P393" s="26"/>
      <c r="Q393" s="26"/>
      <c r="R393" s="25"/>
      <c r="S393" s="25"/>
      <c r="T393" s="25"/>
      <c r="U393" s="25"/>
      <c r="V393" s="24"/>
      <c r="W393" s="24"/>
      <c r="X393" s="24"/>
      <c r="Y393" s="26"/>
      <c r="Z393" s="26"/>
      <c r="AA393" s="24"/>
      <c r="AB393" s="24"/>
      <c r="AC393" s="24"/>
      <c r="AD393" s="24"/>
      <c r="AE393" s="26"/>
      <c r="AF393" s="26"/>
      <c r="AG393" s="24"/>
      <c r="AH393" s="24"/>
      <c r="AI393" s="28"/>
      <c r="AJ393" s="28"/>
      <c r="AK393" s="28"/>
      <c r="AL393" s="28"/>
      <c r="AM393" s="28"/>
      <c r="AN393" s="28"/>
      <c r="AO393" s="28"/>
      <c r="AP393" s="28"/>
      <c r="AQ393" s="28"/>
      <c r="AR393" s="28"/>
      <c r="AS393" s="28"/>
      <c r="AT393" s="28"/>
      <c r="AU393" s="28"/>
      <c r="AV393" s="24"/>
      <c r="AW393" s="28"/>
      <c r="AX393" s="28"/>
      <c r="AY393" s="28"/>
      <c r="AZ393" s="28"/>
      <c r="BA393" s="28"/>
      <c r="BB393" s="28"/>
      <c r="BC393" s="24"/>
      <c r="BD393" s="28"/>
      <c r="BE393" s="28"/>
      <c r="BF393" s="28"/>
      <c r="BG393" s="24"/>
      <c r="BH393" s="28"/>
      <c r="BI393" s="28"/>
      <c r="BJ393" s="28"/>
    </row>
    <row r="394" spans="1:62">
      <c r="A394" s="24"/>
      <c r="B394" s="28"/>
      <c r="C394" s="25"/>
      <c r="D394" s="26"/>
      <c r="E394" s="24"/>
      <c r="F394" s="24"/>
      <c r="G394" s="26"/>
      <c r="H394" s="26"/>
      <c r="I394" s="26"/>
      <c r="J394" s="26"/>
      <c r="K394" s="26"/>
      <c r="L394" s="26"/>
      <c r="M394" s="26"/>
      <c r="N394" s="26"/>
      <c r="P394" s="26"/>
      <c r="Q394" s="26"/>
      <c r="R394" s="25"/>
      <c r="S394" s="25"/>
      <c r="T394" s="25"/>
      <c r="U394" s="25"/>
      <c r="V394" s="24"/>
      <c r="W394" s="24"/>
      <c r="X394" s="24"/>
      <c r="Y394" s="26"/>
      <c r="Z394" s="26"/>
      <c r="AA394" s="24"/>
      <c r="AB394" s="24"/>
      <c r="AC394" s="24"/>
      <c r="AD394" s="24"/>
      <c r="AE394" s="26"/>
      <c r="AF394" s="26"/>
      <c r="AG394" s="24"/>
      <c r="AH394" s="24"/>
      <c r="AI394" s="28"/>
      <c r="AJ394" s="28"/>
      <c r="AK394" s="28"/>
      <c r="AL394" s="28"/>
      <c r="AM394" s="28"/>
      <c r="AN394" s="28"/>
      <c r="AO394" s="28"/>
      <c r="AP394" s="28"/>
      <c r="AQ394" s="28"/>
      <c r="AR394" s="28"/>
      <c r="AS394" s="28"/>
      <c r="AT394" s="28"/>
      <c r="AU394" s="28"/>
      <c r="AV394" s="24"/>
      <c r="AW394" s="28"/>
      <c r="AX394" s="28"/>
      <c r="AY394" s="28"/>
      <c r="AZ394" s="28"/>
      <c r="BA394" s="28"/>
      <c r="BB394" s="28"/>
      <c r="BC394" s="24"/>
      <c r="BD394" s="28"/>
      <c r="BE394" s="28"/>
      <c r="BF394" s="28"/>
      <c r="BG394" s="24"/>
      <c r="BH394" s="28"/>
      <c r="BI394" s="28"/>
      <c r="BJ394" s="28"/>
    </row>
    <row r="395" spans="1:62">
      <c r="A395" s="24"/>
      <c r="B395" s="28"/>
      <c r="C395" s="25"/>
      <c r="D395" s="26"/>
      <c r="E395" s="24"/>
      <c r="F395" s="24"/>
      <c r="G395" s="26"/>
      <c r="H395" s="26"/>
      <c r="I395" s="26"/>
      <c r="J395" s="26"/>
      <c r="K395" s="26"/>
      <c r="L395" s="26"/>
      <c r="M395" s="26"/>
      <c r="N395" s="26"/>
      <c r="P395" s="26"/>
      <c r="Q395" s="26"/>
      <c r="R395" s="25"/>
      <c r="S395" s="25"/>
      <c r="T395" s="25"/>
      <c r="U395" s="25"/>
      <c r="V395" s="24"/>
      <c r="W395" s="24"/>
      <c r="X395" s="24"/>
      <c r="Y395" s="26"/>
      <c r="Z395" s="26"/>
      <c r="AA395" s="24"/>
      <c r="AB395" s="24"/>
      <c r="AC395" s="24"/>
      <c r="AD395" s="24"/>
      <c r="AE395" s="26"/>
      <c r="AF395" s="26"/>
      <c r="AG395" s="24"/>
      <c r="AH395" s="24"/>
      <c r="AI395" s="28"/>
      <c r="AJ395" s="28"/>
      <c r="AK395" s="28"/>
      <c r="AL395" s="28"/>
      <c r="AM395" s="28"/>
      <c r="AN395" s="28"/>
      <c r="AO395" s="28"/>
      <c r="AP395" s="28"/>
      <c r="AQ395" s="28"/>
      <c r="AR395" s="28"/>
      <c r="AS395" s="28"/>
      <c r="AT395" s="28"/>
      <c r="AU395" s="28"/>
      <c r="AV395" s="24"/>
      <c r="AW395" s="28"/>
      <c r="AX395" s="28"/>
      <c r="AY395" s="28"/>
      <c r="AZ395" s="28"/>
      <c r="BA395" s="28"/>
      <c r="BB395" s="28"/>
      <c r="BC395" s="24"/>
      <c r="BD395" s="28"/>
      <c r="BE395" s="28"/>
      <c r="BF395" s="28"/>
      <c r="BG395" s="24"/>
      <c r="BH395" s="28"/>
      <c r="BI395" s="28"/>
      <c r="BJ395" s="28"/>
    </row>
    <row r="396" spans="1:62">
      <c r="A396" s="24"/>
      <c r="B396" s="28"/>
      <c r="C396" s="25"/>
      <c r="D396" s="26"/>
      <c r="E396" s="24"/>
      <c r="F396" s="24"/>
      <c r="G396" s="26"/>
      <c r="H396" s="26"/>
      <c r="I396" s="26"/>
      <c r="J396" s="26"/>
      <c r="K396" s="26"/>
      <c r="L396" s="26"/>
      <c r="M396" s="26"/>
      <c r="N396" s="26"/>
      <c r="P396" s="26"/>
      <c r="Q396" s="26"/>
      <c r="R396" s="25"/>
      <c r="S396" s="25"/>
      <c r="T396" s="25"/>
      <c r="U396" s="25"/>
      <c r="V396" s="24"/>
      <c r="W396" s="24"/>
      <c r="X396" s="24"/>
      <c r="Y396" s="26"/>
      <c r="Z396" s="26"/>
      <c r="AA396" s="24"/>
      <c r="AB396" s="24"/>
      <c r="AC396" s="24"/>
      <c r="AD396" s="24"/>
      <c r="AE396" s="26"/>
      <c r="AF396" s="26"/>
      <c r="AG396" s="24"/>
      <c r="AH396" s="24"/>
      <c r="AI396" s="28"/>
      <c r="AJ396" s="28"/>
      <c r="AK396" s="28"/>
      <c r="AL396" s="28"/>
      <c r="AM396" s="28"/>
      <c r="AN396" s="28"/>
      <c r="AO396" s="28"/>
      <c r="AP396" s="28"/>
      <c r="AQ396" s="28"/>
      <c r="AR396" s="28"/>
      <c r="AS396" s="28"/>
      <c r="AT396" s="28"/>
      <c r="AU396" s="28"/>
      <c r="AV396" s="24"/>
      <c r="AW396" s="28"/>
      <c r="AX396" s="28"/>
      <c r="AY396" s="28"/>
      <c r="AZ396" s="28"/>
      <c r="BA396" s="28"/>
      <c r="BB396" s="28"/>
      <c r="BC396" s="24"/>
      <c r="BD396" s="28"/>
      <c r="BE396" s="28"/>
      <c r="BF396" s="28"/>
      <c r="BG396" s="24"/>
      <c r="BH396" s="28"/>
      <c r="BI396" s="28"/>
      <c r="BJ396" s="28"/>
    </row>
    <row r="397" spans="1:62">
      <c r="A397" s="24"/>
      <c r="B397" s="28"/>
      <c r="C397" s="25"/>
      <c r="D397" s="26"/>
      <c r="E397" s="24"/>
      <c r="F397" s="24"/>
      <c r="G397" s="26"/>
      <c r="H397" s="26"/>
      <c r="I397" s="26"/>
      <c r="J397" s="26"/>
      <c r="K397" s="26"/>
      <c r="L397" s="26"/>
      <c r="M397" s="26"/>
      <c r="N397" s="26"/>
      <c r="P397" s="26"/>
      <c r="Q397" s="26"/>
      <c r="R397" s="25"/>
      <c r="S397" s="25"/>
      <c r="T397" s="25"/>
      <c r="U397" s="25"/>
      <c r="V397" s="24"/>
      <c r="W397" s="24"/>
      <c r="X397" s="24"/>
      <c r="Y397" s="26"/>
      <c r="Z397" s="26"/>
      <c r="AA397" s="24"/>
      <c r="AB397" s="24"/>
      <c r="AC397" s="24"/>
      <c r="AD397" s="24"/>
      <c r="AE397" s="26"/>
      <c r="AF397" s="26"/>
      <c r="AG397" s="24"/>
      <c r="AH397" s="24"/>
      <c r="AI397" s="28"/>
      <c r="AJ397" s="28"/>
      <c r="AK397" s="28"/>
      <c r="AL397" s="28"/>
      <c r="AM397" s="28"/>
      <c r="AN397" s="28"/>
      <c r="AO397" s="28"/>
      <c r="AP397" s="28"/>
      <c r="AQ397" s="28"/>
      <c r="AR397" s="28"/>
      <c r="AS397" s="28"/>
      <c r="AT397" s="28"/>
      <c r="AU397" s="28"/>
      <c r="AV397" s="24"/>
      <c r="AW397" s="28"/>
      <c r="AX397" s="28"/>
      <c r="AY397" s="28"/>
      <c r="AZ397" s="28"/>
      <c r="BA397" s="28"/>
      <c r="BB397" s="28"/>
      <c r="BC397" s="24"/>
      <c r="BD397" s="28"/>
      <c r="BE397" s="28"/>
      <c r="BF397" s="28"/>
      <c r="BG397" s="24"/>
      <c r="BH397" s="28"/>
      <c r="BI397" s="28"/>
      <c r="BJ397" s="28"/>
    </row>
    <row r="398" spans="1:62">
      <c r="A398" s="24"/>
      <c r="B398" s="28"/>
      <c r="C398" s="25"/>
      <c r="D398" s="26"/>
      <c r="E398" s="24"/>
      <c r="F398" s="24"/>
      <c r="G398" s="26"/>
      <c r="H398" s="26"/>
      <c r="I398" s="26"/>
      <c r="J398" s="26"/>
      <c r="K398" s="26"/>
      <c r="L398" s="26"/>
      <c r="M398" s="26"/>
      <c r="N398" s="26"/>
      <c r="P398" s="26"/>
      <c r="Q398" s="26"/>
      <c r="R398" s="25"/>
      <c r="S398" s="25"/>
      <c r="T398" s="25"/>
      <c r="U398" s="25"/>
      <c r="V398" s="24"/>
      <c r="W398" s="24"/>
      <c r="X398" s="24"/>
      <c r="Y398" s="26"/>
      <c r="Z398" s="26"/>
      <c r="AA398" s="24"/>
      <c r="AB398" s="24"/>
      <c r="AC398" s="24"/>
      <c r="AD398" s="24"/>
      <c r="AE398" s="26"/>
      <c r="AF398" s="26"/>
      <c r="AG398" s="24"/>
      <c r="AH398" s="24"/>
      <c r="AI398" s="28"/>
      <c r="AJ398" s="28"/>
      <c r="AK398" s="28"/>
      <c r="AL398" s="28"/>
      <c r="AM398" s="28"/>
      <c r="AN398" s="28"/>
      <c r="AO398" s="28"/>
      <c r="AP398" s="28"/>
      <c r="AQ398" s="28"/>
      <c r="AR398" s="28"/>
      <c r="AS398" s="28"/>
      <c r="AT398" s="28"/>
      <c r="AU398" s="28"/>
      <c r="AV398" s="24"/>
      <c r="AW398" s="28"/>
      <c r="AX398" s="28"/>
      <c r="AY398" s="28"/>
      <c r="AZ398" s="28"/>
      <c r="BA398" s="28"/>
      <c r="BB398" s="28"/>
      <c r="BC398" s="24"/>
      <c r="BD398" s="28"/>
      <c r="BE398" s="28"/>
      <c r="BF398" s="28"/>
      <c r="BG398" s="24"/>
      <c r="BH398" s="28"/>
      <c r="BI398" s="28"/>
      <c r="BJ398" s="28"/>
    </row>
    <row r="399" spans="1:62">
      <c r="A399" s="24"/>
      <c r="B399" s="28"/>
      <c r="C399" s="25"/>
      <c r="D399" s="26"/>
      <c r="E399" s="24"/>
      <c r="F399" s="24"/>
      <c r="G399" s="26"/>
      <c r="H399" s="26"/>
      <c r="I399" s="26"/>
      <c r="J399" s="26"/>
      <c r="K399" s="26"/>
      <c r="L399" s="26"/>
      <c r="M399" s="26"/>
      <c r="N399" s="26"/>
      <c r="P399" s="26"/>
      <c r="Q399" s="26"/>
      <c r="R399" s="25"/>
      <c r="S399" s="25"/>
      <c r="T399" s="25"/>
      <c r="U399" s="25"/>
      <c r="V399" s="24"/>
      <c r="W399" s="24"/>
      <c r="X399" s="24"/>
      <c r="Y399" s="26"/>
      <c r="Z399" s="26"/>
      <c r="AA399" s="24"/>
      <c r="AB399" s="24"/>
      <c r="AC399" s="24"/>
      <c r="AD399" s="24"/>
      <c r="AE399" s="26"/>
      <c r="AF399" s="26"/>
      <c r="AG399" s="24"/>
      <c r="AH399" s="24"/>
      <c r="AI399" s="28"/>
      <c r="AJ399" s="28"/>
      <c r="AK399" s="28"/>
      <c r="AL399" s="28"/>
      <c r="AM399" s="28"/>
      <c r="AN399" s="28"/>
      <c r="AO399" s="28"/>
      <c r="AP399" s="28"/>
      <c r="AQ399" s="28"/>
      <c r="AR399" s="28"/>
      <c r="AS399" s="28"/>
      <c r="AT399" s="28"/>
      <c r="AU399" s="28"/>
      <c r="AV399" s="24"/>
      <c r="AW399" s="28"/>
      <c r="AX399" s="28"/>
      <c r="AY399" s="28"/>
      <c r="AZ399" s="28"/>
      <c r="BA399" s="28"/>
      <c r="BB399" s="28"/>
      <c r="BC399" s="24"/>
      <c r="BD399" s="28"/>
      <c r="BE399" s="28"/>
      <c r="BF399" s="28"/>
      <c r="BG399" s="24"/>
      <c r="BH399" s="28"/>
      <c r="BI399" s="28"/>
      <c r="BJ399" s="28"/>
    </row>
    <row r="400" spans="1:62">
      <c r="A400" s="24"/>
      <c r="B400" s="28"/>
      <c r="C400" s="25"/>
      <c r="D400" s="26"/>
      <c r="E400" s="24"/>
      <c r="F400" s="24"/>
      <c r="G400" s="26"/>
      <c r="H400" s="26"/>
      <c r="I400" s="26"/>
      <c r="J400" s="26"/>
      <c r="K400" s="26"/>
      <c r="L400" s="26"/>
      <c r="M400" s="26"/>
      <c r="N400" s="26"/>
      <c r="P400" s="26"/>
      <c r="Q400" s="26"/>
      <c r="R400" s="25"/>
      <c r="S400" s="25"/>
      <c r="T400" s="25"/>
      <c r="U400" s="25"/>
      <c r="V400" s="24"/>
      <c r="W400" s="24"/>
      <c r="X400" s="24"/>
      <c r="Y400" s="26"/>
      <c r="Z400" s="26"/>
      <c r="AA400" s="24"/>
      <c r="AB400" s="24"/>
      <c r="AC400" s="24"/>
      <c r="AD400" s="24"/>
      <c r="AE400" s="26"/>
      <c r="AF400" s="26"/>
      <c r="AG400" s="24"/>
      <c r="AH400" s="24"/>
      <c r="AI400" s="28"/>
      <c r="AJ400" s="28"/>
      <c r="AK400" s="28"/>
      <c r="AL400" s="28"/>
      <c r="AM400" s="28"/>
      <c r="AN400" s="28"/>
      <c r="AO400" s="28"/>
      <c r="AP400" s="28"/>
      <c r="AQ400" s="28"/>
      <c r="AR400" s="28"/>
      <c r="AS400" s="28"/>
      <c r="AT400" s="28"/>
      <c r="AU400" s="28"/>
      <c r="AV400" s="24"/>
      <c r="AW400" s="28"/>
      <c r="AX400" s="28"/>
      <c r="AY400" s="28"/>
      <c r="AZ400" s="28"/>
      <c r="BA400" s="28"/>
      <c r="BB400" s="28"/>
      <c r="BC400" s="24"/>
      <c r="BD400" s="28"/>
      <c r="BE400" s="28"/>
      <c r="BF400" s="28"/>
      <c r="BG400" s="24"/>
      <c r="BH400" s="28"/>
      <c r="BI400" s="28"/>
      <c r="BJ400" s="28"/>
    </row>
    <row r="401" spans="1:62">
      <c r="A401" s="24"/>
      <c r="B401" s="28"/>
      <c r="C401" s="25"/>
      <c r="D401" s="26"/>
      <c r="E401" s="24"/>
      <c r="F401" s="24"/>
      <c r="G401" s="26"/>
      <c r="H401" s="26"/>
      <c r="I401" s="26"/>
      <c r="J401" s="26"/>
      <c r="K401" s="26"/>
      <c r="L401" s="26"/>
      <c r="M401" s="26"/>
      <c r="N401" s="26"/>
      <c r="P401" s="26"/>
      <c r="Q401" s="26"/>
      <c r="R401" s="25"/>
      <c r="S401" s="25"/>
      <c r="T401" s="25"/>
      <c r="U401" s="25"/>
      <c r="V401" s="24"/>
      <c r="W401" s="24"/>
      <c r="X401" s="24"/>
      <c r="Y401" s="26"/>
      <c r="Z401" s="26"/>
      <c r="AA401" s="24"/>
      <c r="AB401" s="24"/>
      <c r="AC401" s="24"/>
      <c r="AD401" s="24"/>
      <c r="AE401" s="26"/>
      <c r="AF401" s="26"/>
      <c r="AG401" s="24"/>
      <c r="AH401" s="24"/>
      <c r="AI401" s="28"/>
      <c r="AJ401" s="28"/>
      <c r="AK401" s="28"/>
      <c r="AL401" s="28"/>
      <c r="AM401" s="28"/>
      <c r="AN401" s="28"/>
      <c r="AO401" s="28"/>
      <c r="AP401" s="28"/>
      <c r="AQ401" s="28"/>
      <c r="AR401" s="28"/>
      <c r="AS401" s="28"/>
      <c r="AT401" s="28"/>
      <c r="AU401" s="28"/>
      <c r="AV401" s="24"/>
      <c r="AW401" s="28"/>
      <c r="AX401" s="28"/>
      <c r="AY401" s="28"/>
      <c r="AZ401" s="28"/>
      <c r="BA401" s="28"/>
      <c r="BB401" s="28"/>
      <c r="BC401" s="24"/>
      <c r="BD401" s="28"/>
      <c r="BE401" s="28"/>
      <c r="BF401" s="28"/>
      <c r="BG401" s="24"/>
      <c r="BH401" s="28"/>
      <c r="BI401" s="28"/>
      <c r="BJ401" s="28"/>
    </row>
    <row r="402" spans="1:62">
      <c r="A402" s="24"/>
      <c r="B402" s="28"/>
      <c r="C402" s="25"/>
      <c r="D402" s="26"/>
      <c r="E402" s="24"/>
      <c r="F402" s="24"/>
      <c r="G402" s="26"/>
      <c r="H402" s="26"/>
      <c r="I402" s="26"/>
      <c r="J402" s="26"/>
      <c r="K402" s="26"/>
      <c r="L402" s="26"/>
      <c r="M402" s="26"/>
      <c r="N402" s="26"/>
      <c r="P402" s="26"/>
      <c r="Q402" s="26"/>
      <c r="R402" s="25"/>
      <c r="S402" s="25"/>
      <c r="T402" s="25"/>
      <c r="U402" s="25"/>
      <c r="V402" s="24"/>
      <c r="W402" s="24"/>
      <c r="X402" s="24"/>
      <c r="Y402" s="26"/>
      <c r="Z402" s="26"/>
      <c r="AA402" s="24"/>
      <c r="AB402" s="24"/>
      <c r="AC402" s="24"/>
      <c r="AD402" s="24"/>
      <c r="AE402" s="26"/>
      <c r="AF402" s="26"/>
      <c r="AG402" s="24"/>
      <c r="AH402" s="24"/>
      <c r="AI402" s="28"/>
      <c r="AJ402" s="28"/>
      <c r="AK402" s="28"/>
      <c r="AL402" s="28"/>
      <c r="AM402" s="28"/>
      <c r="AN402" s="28"/>
      <c r="AO402" s="28"/>
      <c r="AP402" s="28"/>
      <c r="AQ402" s="28"/>
      <c r="AR402" s="28"/>
      <c r="AS402" s="28"/>
      <c r="AT402" s="28"/>
      <c r="AU402" s="28"/>
      <c r="AV402" s="24"/>
      <c r="AW402" s="28"/>
      <c r="AX402" s="28"/>
      <c r="AY402" s="28"/>
      <c r="AZ402" s="28"/>
      <c r="BA402" s="28"/>
      <c r="BB402" s="28"/>
      <c r="BC402" s="24"/>
      <c r="BD402" s="28"/>
      <c r="BE402" s="28"/>
      <c r="BF402" s="28"/>
      <c r="BG402" s="24"/>
      <c r="BH402" s="28"/>
      <c r="BI402" s="28"/>
      <c r="BJ402" s="28"/>
    </row>
    <row r="403" spans="1:62">
      <c r="A403" s="24"/>
      <c r="B403" s="28"/>
      <c r="C403" s="25"/>
      <c r="D403" s="26"/>
      <c r="E403" s="24"/>
      <c r="F403" s="24"/>
      <c r="G403" s="26"/>
      <c r="H403" s="26"/>
      <c r="I403" s="26"/>
      <c r="J403" s="26"/>
      <c r="K403" s="26"/>
      <c r="L403" s="26"/>
      <c r="M403" s="26"/>
      <c r="N403" s="26"/>
      <c r="P403" s="26"/>
      <c r="Q403" s="26"/>
      <c r="R403" s="25"/>
      <c r="S403" s="25"/>
      <c r="T403" s="25"/>
      <c r="U403" s="25"/>
      <c r="V403" s="24"/>
      <c r="W403" s="24"/>
      <c r="X403" s="24"/>
      <c r="Y403" s="26"/>
      <c r="Z403" s="26"/>
      <c r="AA403" s="24"/>
      <c r="AB403" s="24"/>
      <c r="AC403" s="24"/>
      <c r="AD403" s="24"/>
      <c r="AE403" s="26"/>
      <c r="AF403" s="26"/>
      <c r="AG403" s="24"/>
      <c r="AH403" s="24"/>
      <c r="AI403" s="28"/>
      <c r="AJ403" s="28"/>
      <c r="AK403" s="28"/>
      <c r="AL403" s="28"/>
      <c r="AM403" s="28"/>
      <c r="AN403" s="28"/>
      <c r="AO403" s="28"/>
      <c r="AP403" s="28"/>
      <c r="AQ403" s="28"/>
      <c r="AR403" s="28"/>
      <c r="AS403" s="28"/>
      <c r="AT403" s="28"/>
      <c r="AU403" s="28"/>
      <c r="AV403" s="24"/>
      <c r="AW403" s="28"/>
      <c r="AX403" s="28"/>
      <c r="AY403" s="28"/>
      <c r="AZ403" s="28"/>
      <c r="BA403" s="28"/>
      <c r="BB403" s="28"/>
      <c r="BC403" s="24"/>
      <c r="BD403" s="28"/>
      <c r="BE403" s="28"/>
      <c r="BF403" s="28"/>
      <c r="BG403" s="24"/>
      <c r="BH403" s="28"/>
      <c r="BI403" s="28"/>
      <c r="BJ403" s="28"/>
    </row>
    <row r="404" spans="1:62">
      <c r="A404" s="24"/>
      <c r="B404" s="28"/>
      <c r="C404" s="25"/>
      <c r="D404" s="26"/>
      <c r="E404" s="24"/>
      <c r="F404" s="24"/>
      <c r="G404" s="26"/>
      <c r="H404" s="26"/>
      <c r="I404" s="26"/>
      <c r="J404" s="26"/>
      <c r="K404" s="26"/>
      <c r="L404" s="26"/>
      <c r="M404" s="26"/>
      <c r="N404" s="26"/>
      <c r="P404" s="26"/>
      <c r="Q404" s="26"/>
      <c r="R404" s="25"/>
      <c r="S404" s="25"/>
      <c r="T404" s="25"/>
      <c r="U404" s="25"/>
      <c r="V404" s="24"/>
      <c r="W404" s="24"/>
      <c r="X404" s="24"/>
      <c r="Y404" s="26"/>
      <c r="Z404" s="26"/>
      <c r="AA404" s="24"/>
      <c r="AB404" s="24"/>
      <c r="AC404" s="24"/>
      <c r="AD404" s="24"/>
      <c r="AE404" s="26"/>
      <c r="AF404" s="26"/>
      <c r="AG404" s="24"/>
      <c r="AH404" s="24"/>
      <c r="AI404" s="28"/>
      <c r="AJ404" s="28"/>
      <c r="AK404" s="28"/>
      <c r="AL404" s="28"/>
      <c r="AM404" s="28"/>
      <c r="AN404" s="28"/>
      <c r="AO404" s="28"/>
      <c r="AP404" s="28"/>
      <c r="AQ404" s="28"/>
      <c r="AR404" s="28"/>
      <c r="AS404" s="28"/>
      <c r="AT404" s="28"/>
      <c r="AU404" s="28"/>
      <c r="AV404" s="24"/>
      <c r="AW404" s="28"/>
      <c r="AX404" s="28"/>
      <c r="AY404" s="28"/>
      <c r="AZ404" s="28"/>
      <c r="BA404" s="28"/>
      <c r="BB404" s="28"/>
      <c r="BC404" s="24"/>
      <c r="BD404" s="28"/>
      <c r="BE404" s="28"/>
      <c r="BF404" s="28"/>
      <c r="BG404" s="24"/>
      <c r="BH404" s="28"/>
      <c r="BI404" s="28"/>
      <c r="BJ404" s="28"/>
    </row>
    <row r="405" spans="1:62">
      <c r="A405" s="24"/>
      <c r="B405" s="28"/>
      <c r="C405" s="25"/>
      <c r="D405" s="26"/>
      <c r="E405" s="24"/>
      <c r="F405" s="24"/>
      <c r="G405" s="26"/>
      <c r="H405" s="26"/>
      <c r="I405" s="26"/>
      <c r="J405" s="26"/>
      <c r="K405" s="26"/>
      <c r="L405" s="26"/>
      <c r="M405" s="26"/>
      <c r="N405" s="26"/>
      <c r="P405" s="26"/>
      <c r="Q405" s="26"/>
      <c r="R405" s="25"/>
      <c r="S405" s="25"/>
      <c r="T405" s="25"/>
      <c r="U405" s="25"/>
      <c r="V405" s="24"/>
      <c r="W405" s="24"/>
      <c r="X405" s="24"/>
      <c r="Y405" s="26"/>
      <c r="Z405" s="26"/>
      <c r="AA405" s="24"/>
      <c r="AB405" s="24"/>
      <c r="AC405" s="24"/>
      <c r="AD405" s="24"/>
      <c r="AE405" s="26"/>
      <c r="AF405" s="26"/>
      <c r="AG405" s="24"/>
      <c r="AH405" s="24"/>
      <c r="AI405" s="28"/>
      <c r="AJ405" s="28"/>
      <c r="AK405" s="28"/>
      <c r="AL405" s="28"/>
      <c r="AM405" s="28"/>
      <c r="AN405" s="28"/>
      <c r="AO405" s="28"/>
      <c r="AP405" s="28"/>
      <c r="AQ405" s="28"/>
      <c r="AR405" s="28"/>
      <c r="AS405" s="28"/>
      <c r="AT405" s="28"/>
      <c r="AU405" s="28"/>
      <c r="AV405" s="24"/>
      <c r="AW405" s="28"/>
      <c r="AX405" s="28"/>
      <c r="AY405" s="28"/>
      <c r="AZ405" s="28"/>
      <c r="BA405" s="28"/>
      <c r="BB405" s="28"/>
      <c r="BC405" s="24"/>
      <c r="BD405" s="28"/>
      <c r="BE405" s="28"/>
      <c r="BF405" s="28"/>
      <c r="BG405" s="24"/>
      <c r="BH405" s="28"/>
      <c r="BI405" s="28"/>
      <c r="BJ405" s="28"/>
    </row>
    <row r="406" spans="1:62">
      <c r="A406" s="24"/>
      <c r="B406" s="28"/>
      <c r="C406" s="25"/>
      <c r="D406" s="26"/>
      <c r="E406" s="24"/>
      <c r="F406" s="24"/>
      <c r="G406" s="26"/>
      <c r="H406" s="26"/>
      <c r="I406" s="26"/>
      <c r="J406" s="26"/>
      <c r="K406" s="26"/>
      <c r="L406" s="26"/>
      <c r="M406" s="26"/>
      <c r="N406" s="26"/>
      <c r="P406" s="26"/>
      <c r="Q406" s="26"/>
      <c r="R406" s="25"/>
      <c r="S406" s="25"/>
      <c r="T406" s="25"/>
      <c r="U406" s="25"/>
      <c r="V406" s="24"/>
      <c r="W406" s="24"/>
      <c r="X406" s="24"/>
      <c r="Y406" s="26"/>
      <c r="Z406" s="26"/>
      <c r="AA406" s="24"/>
      <c r="AB406" s="24"/>
      <c r="AC406" s="24"/>
      <c r="AD406" s="24"/>
      <c r="AE406" s="26"/>
      <c r="AF406" s="26"/>
      <c r="AG406" s="24"/>
      <c r="AH406" s="24"/>
      <c r="AI406" s="28"/>
      <c r="AJ406" s="28"/>
      <c r="AK406" s="28"/>
      <c r="AL406" s="28"/>
      <c r="AM406" s="28"/>
      <c r="AN406" s="28"/>
      <c r="AO406" s="28"/>
      <c r="AP406" s="28"/>
      <c r="AQ406" s="28"/>
      <c r="AR406" s="28"/>
      <c r="AS406" s="28"/>
      <c r="AT406" s="28"/>
      <c r="AU406" s="28"/>
      <c r="AV406" s="24"/>
      <c r="AW406" s="28"/>
      <c r="AX406" s="28"/>
      <c r="AY406" s="28"/>
      <c r="AZ406" s="28"/>
      <c r="BA406" s="28"/>
      <c r="BB406" s="28"/>
      <c r="BC406" s="24"/>
      <c r="BD406" s="28"/>
      <c r="BE406" s="28"/>
      <c r="BF406" s="28"/>
      <c r="BG406" s="24"/>
      <c r="BH406" s="28"/>
      <c r="BI406" s="28"/>
      <c r="BJ406" s="28"/>
    </row>
    <row r="407" spans="1:62">
      <c r="A407" s="24"/>
      <c r="B407" s="28"/>
      <c r="C407" s="25"/>
      <c r="D407" s="26"/>
      <c r="E407" s="24"/>
      <c r="F407" s="24"/>
      <c r="G407" s="26"/>
      <c r="H407" s="26"/>
      <c r="I407" s="26"/>
      <c r="J407" s="26"/>
      <c r="K407" s="26"/>
      <c r="L407" s="26"/>
      <c r="M407" s="26"/>
      <c r="N407" s="26"/>
      <c r="P407" s="26"/>
      <c r="Q407" s="26"/>
      <c r="R407" s="25"/>
      <c r="S407" s="25"/>
      <c r="T407" s="25"/>
      <c r="U407" s="25"/>
      <c r="V407" s="24"/>
      <c r="W407" s="24"/>
      <c r="X407" s="24"/>
      <c r="Y407" s="26"/>
      <c r="Z407" s="26"/>
      <c r="AA407" s="24"/>
      <c r="AB407" s="24"/>
      <c r="AC407" s="24"/>
      <c r="AD407" s="24"/>
      <c r="AE407" s="26"/>
      <c r="AF407" s="26"/>
      <c r="AG407" s="24"/>
      <c r="AH407" s="24"/>
      <c r="AI407" s="28"/>
      <c r="AJ407" s="28"/>
      <c r="AK407" s="28"/>
      <c r="AL407" s="28"/>
      <c r="AM407" s="28"/>
      <c r="AN407" s="28"/>
      <c r="AO407" s="28"/>
      <c r="AP407" s="28"/>
      <c r="AQ407" s="28"/>
      <c r="AR407" s="28"/>
      <c r="AS407" s="28"/>
      <c r="AT407" s="28"/>
      <c r="AU407" s="28"/>
      <c r="AV407" s="24"/>
      <c r="AW407" s="28"/>
      <c r="AX407" s="28"/>
      <c r="AY407" s="28"/>
      <c r="AZ407" s="28"/>
      <c r="BA407" s="28"/>
      <c r="BB407" s="28"/>
      <c r="BC407" s="24"/>
      <c r="BD407" s="28"/>
      <c r="BE407" s="28"/>
      <c r="BF407" s="28"/>
      <c r="BG407" s="24"/>
      <c r="BH407" s="28"/>
      <c r="BI407" s="28"/>
      <c r="BJ407" s="28"/>
    </row>
    <row r="408" spans="1:62">
      <c r="A408" s="24"/>
      <c r="B408" s="28"/>
      <c r="C408" s="25"/>
      <c r="D408" s="26"/>
      <c r="E408" s="24"/>
      <c r="F408" s="24"/>
      <c r="G408" s="26"/>
      <c r="H408" s="26"/>
      <c r="I408" s="26"/>
      <c r="J408" s="26"/>
      <c r="K408" s="26"/>
      <c r="L408" s="26"/>
      <c r="M408" s="26"/>
      <c r="N408" s="26"/>
      <c r="P408" s="26"/>
      <c r="Q408" s="26"/>
      <c r="R408" s="25"/>
      <c r="S408" s="25"/>
      <c r="T408" s="25"/>
      <c r="U408" s="25"/>
      <c r="V408" s="24"/>
      <c r="W408" s="24"/>
      <c r="X408" s="24"/>
      <c r="Y408" s="26"/>
      <c r="Z408" s="26"/>
      <c r="AA408" s="24"/>
      <c r="AB408" s="24"/>
      <c r="AC408" s="24"/>
      <c r="AD408" s="24"/>
      <c r="AE408" s="26"/>
      <c r="AF408" s="26"/>
      <c r="AG408" s="24"/>
      <c r="AH408" s="24"/>
      <c r="AI408" s="28"/>
      <c r="AJ408" s="28"/>
      <c r="AK408" s="28"/>
      <c r="AL408" s="28"/>
      <c r="AM408" s="28"/>
      <c r="AN408" s="28"/>
      <c r="AO408" s="28"/>
      <c r="AP408" s="28"/>
      <c r="AQ408" s="28"/>
      <c r="AR408" s="28"/>
      <c r="AS408" s="28"/>
      <c r="AT408" s="28"/>
      <c r="AU408" s="28"/>
      <c r="AV408" s="24"/>
      <c r="AW408" s="28"/>
      <c r="AX408" s="28"/>
      <c r="AY408" s="28"/>
      <c r="AZ408" s="28"/>
      <c r="BA408" s="28"/>
      <c r="BB408" s="28"/>
      <c r="BC408" s="24"/>
      <c r="BD408" s="28"/>
      <c r="BE408" s="28"/>
      <c r="BF408" s="28"/>
      <c r="BG408" s="24"/>
      <c r="BH408" s="28"/>
      <c r="BI408" s="28"/>
      <c r="BJ408" s="28"/>
    </row>
    <row r="409" spans="1:62">
      <c r="A409" s="24"/>
      <c r="B409" s="28"/>
      <c r="C409" s="25"/>
      <c r="D409" s="26"/>
      <c r="E409" s="24"/>
      <c r="F409" s="24"/>
      <c r="G409" s="26"/>
      <c r="H409" s="26"/>
      <c r="I409" s="26"/>
      <c r="J409" s="26"/>
      <c r="K409" s="26"/>
      <c r="L409" s="26"/>
      <c r="M409" s="26"/>
      <c r="N409" s="26"/>
      <c r="P409" s="26"/>
      <c r="Q409" s="26"/>
      <c r="R409" s="25"/>
      <c r="S409" s="25"/>
      <c r="T409" s="25"/>
      <c r="U409" s="25"/>
      <c r="V409" s="24"/>
      <c r="W409" s="24"/>
      <c r="X409" s="24"/>
      <c r="Y409" s="26"/>
      <c r="Z409" s="26"/>
      <c r="AA409" s="24"/>
      <c r="AB409" s="24"/>
      <c r="AC409" s="24"/>
      <c r="AD409" s="24"/>
      <c r="AE409" s="26"/>
      <c r="AF409" s="26"/>
      <c r="AG409" s="24"/>
      <c r="AH409" s="24"/>
      <c r="AI409" s="28"/>
      <c r="AJ409" s="28"/>
      <c r="AK409" s="28"/>
      <c r="AL409" s="28"/>
      <c r="AM409" s="28"/>
      <c r="AN409" s="28"/>
      <c r="AO409" s="28"/>
      <c r="AP409" s="28"/>
      <c r="AQ409" s="28"/>
      <c r="AR409" s="28"/>
      <c r="AS409" s="28"/>
      <c r="AT409" s="28"/>
      <c r="AU409" s="28"/>
      <c r="AV409" s="24"/>
      <c r="AW409" s="28"/>
      <c r="AX409" s="28"/>
      <c r="AY409" s="28"/>
      <c r="AZ409" s="28"/>
      <c r="BA409" s="28"/>
      <c r="BB409" s="28"/>
      <c r="BC409" s="24"/>
      <c r="BD409" s="28"/>
      <c r="BE409" s="28"/>
      <c r="BF409" s="28"/>
      <c r="BG409" s="24"/>
      <c r="BH409" s="28"/>
      <c r="BI409" s="28"/>
      <c r="BJ409" s="28"/>
    </row>
    <row r="410" spans="1:62">
      <c r="A410" s="24"/>
      <c r="B410" s="28"/>
      <c r="C410" s="25"/>
      <c r="D410" s="26"/>
      <c r="E410" s="24"/>
      <c r="F410" s="24"/>
      <c r="G410" s="26"/>
      <c r="H410" s="26"/>
      <c r="I410" s="26"/>
      <c r="J410" s="26"/>
      <c r="K410" s="26"/>
      <c r="L410" s="26"/>
      <c r="M410" s="26"/>
      <c r="N410" s="26"/>
      <c r="P410" s="26"/>
      <c r="Q410" s="26"/>
      <c r="R410" s="25"/>
      <c r="S410" s="25"/>
      <c r="T410" s="25"/>
      <c r="U410" s="25"/>
      <c r="V410" s="24"/>
      <c r="W410" s="24"/>
      <c r="X410" s="24"/>
      <c r="Y410" s="26"/>
      <c r="Z410" s="26"/>
      <c r="AA410" s="24"/>
      <c r="AB410" s="24"/>
      <c r="AC410" s="24"/>
      <c r="AD410" s="24"/>
      <c r="AE410" s="26"/>
      <c r="AF410" s="26"/>
      <c r="AG410" s="24"/>
      <c r="AH410" s="24"/>
      <c r="AI410" s="28"/>
      <c r="AJ410" s="28"/>
      <c r="AK410" s="28"/>
      <c r="AL410" s="28"/>
      <c r="AM410" s="28"/>
      <c r="AN410" s="28"/>
      <c r="AO410" s="28"/>
      <c r="AP410" s="28"/>
      <c r="AQ410" s="28"/>
      <c r="AR410" s="28"/>
      <c r="AS410" s="28"/>
      <c r="AT410" s="28"/>
      <c r="AU410" s="28"/>
      <c r="AV410" s="24"/>
      <c r="AW410" s="28"/>
      <c r="AX410" s="28"/>
      <c r="AY410" s="28"/>
      <c r="AZ410" s="28"/>
      <c r="BA410" s="28"/>
      <c r="BB410" s="28"/>
      <c r="BC410" s="24"/>
      <c r="BD410" s="28"/>
      <c r="BE410" s="28"/>
      <c r="BF410" s="28"/>
      <c r="BG410" s="24"/>
      <c r="BH410" s="28"/>
      <c r="BI410" s="28"/>
      <c r="BJ410" s="28"/>
    </row>
    <row r="411" spans="1:62">
      <c r="A411" s="24"/>
      <c r="B411" s="28"/>
      <c r="C411" s="25"/>
      <c r="D411" s="26"/>
      <c r="E411" s="24"/>
      <c r="F411" s="24"/>
      <c r="G411" s="26"/>
      <c r="H411" s="26"/>
      <c r="I411" s="26"/>
      <c r="J411" s="26"/>
      <c r="K411" s="26"/>
      <c r="L411" s="26"/>
      <c r="M411" s="26"/>
      <c r="N411" s="26"/>
      <c r="P411" s="26"/>
      <c r="Q411" s="26"/>
      <c r="R411" s="25"/>
      <c r="S411" s="25"/>
      <c r="T411" s="25"/>
      <c r="U411" s="25"/>
      <c r="V411" s="24"/>
      <c r="W411" s="24"/>
      <c r="X411" s="24"/>
      <c r="Y411" s="26"/>
      <c r="Z411" s="26"/>
      <c r="AA411" s="24"/>
      <c r="AB411" s="24"/>
      <c r="AC411" s="24"/>
      <c r="AD411" s="24"/>
      <c r="AE411" s="26"/>
      <c r="AF411" s="26"/>
      <c r="AG411" s="24"/>
      <c r="AH411" s="24"/>
      <c r="AI411" s="28"/>
      <c r="AJ411" s="28"/>
      <c r="AK411" s="28"/>
      <c r="AL411" s="28"/>
      <c r="AM411" s="28"/>
      <c r="AN411" s="28"/>
      <c r="AO411" s="28"/>
      <c r="AP411" s="28"/>
      <c r="AQ411" s="28"/>
      <c r="AR411" s="28"/>
      <c r="AS411" s="28"/>
      <c r="AT411" s="28"/>
      <c r="AU411" s="28"/>
      <c r="AV411" s="24"/>
      <c r="AW411" s="28"/>
      <c r="AX411" s="28"/>
      <c r="AY411" s="28"/>
      <c r="AZ411" s="28"/>
      <c r="BA411" s="28"/>
      <c r="BB411" s="28"/>
      <c r="BC411" s="24"/>
      <c r="BD411" s="28"/>
      <c r="BE411" s="28"/>
      <c r="BF411" s="28"/>
      <c r="BG411" s="24"/>
      <c r="BH411" s="28"/>
      <c r="BI411" s="28"/>
      <c r="BJ411" s="28"/>
    </row>
    <row r="412" spans="1:62">
      <c r="A412" s="24"/>
      <c r="B412" s="28"/>
      <c r="C412" s="25"/>
      <c r="D412" s="26"/>
      <c r="E412" s="24"/>
      <c r="F412" s="24"/>
      <c r="G412" s="26"/>
      <c r="H412" s="26"/>
      <c r="I412" s="26"/>
      <c r="J412" s="26"/>
      <c r="K412" s="26"/>
      <c r="L412" s="26"/>
      <c r="M412" s="26"/>
      <c r="N412" s="26"/>
      <c r="P412" s="26"/>
      <c r="Q412" s="26"/>
      <c r="R412" s="25"/>
      <c r="S412" s="25"/>
      <c r="T412" s="25"/>
      <c r="U412" s="25"/>
      <c r="V412" s="24"/>
      <c r="W412" s="24"/>
      <c r="X412" s="24"/>
      <c r="Y412" s="26"/>
      <c r="Z412" s="26"/>
      <c r="AA412" s="24"/>
      <c r="AB412" s="24"/>
      <c r="AC412" s="24"/>
      <c r="AD412" s="24"/>
      <c r="AE412" s="26"/>
      <c r="AF412" s="26"/>
      <c r="AG412" s="24"/>
      <c r="AH412" s="24"/>
      <c r="AI412" s="28"/>
      <c r="AJ412" s="28"/>
      <c r="AK412" s="28"/>
      <c r="AL412" s="28"/>
      <c r="AM412" s="28"/>
      <c r="AN412" s="28"/>
      <c r="AO412" s="28"/>
      <c r="AP412" s="28"/>
      <c r="AQ412" s="28"/>
      <c r="AR412" s="28"/>
      <c r="AS412" s="28"/>
      <c r="AT412" s="28"/>
      <c r="AU412" s="28"/>
      <c r="AV412" s="24"/>
      <c r="AW412" s="28"/>
      <c r="AX412" s="28"/>
      <c r="AY412" s="28"/>
      <c r="AZ412" s="28"/>
      <c r="BA412" s="28"/>
      <c r="BB412" s="28"/>
      <c r="BC412" s="24"/>
      <c r="BD412" s="28"/>
      <c r="BE412" s="28"/>
      <c r="BF412" s="28"/>
      <c r="BG412" s="24"/>
      <c r="BH412" s="28"/>
      <c r="BI412" s="28"/>
      <c r="BJ412" s="28"/>
    </row>
    <row r="413" spans="1:62">
      <c r="A413" s="24"/>
      <c r="B413" s="28"/>
      <c r="C413" s="25"/>
      <c r="D413" s="26"/>
      <c r="E413" s="24"/>
      <c r="F413" s="24"/>
      <c r="G413" s="26"/>
      <c r="H413" s="26"/>
      <c r="I413" s="26"/>
      <c r="J413" s="26"/>
      <c r="K413" s="26"/>
      <c r="L413" s="26"/>
      <c r="M413" s="26"/>
      <c r="N413" s="26"/>
      <c r="P413" s="26"/>
      <c r="Q413" s="26"/>
      <c r="R413" s="25"/>
      <c r="S413" s="25"/>
      <c r="T413" s="25"/>
      <c r="U413" s="25"/>
      <c r="V413" s="24"/>
      <c r="W413" s="24"/>
      <c r="X413" s="24"/>
      <c r="Y413" s="26"/>
      <c r="Z413" s="26"/>
      <c r="AA413" s="24"/>
      <c r="AB413" s="24"/>
      <c r="AC413" s="24"/>
      <c r="AD413" s="24"/>
      <c r="AE413" s="26"/>
      <c r="AF413" s="26"/>
      <c r="AG413" s="24"/>
      <c r="AH413" s="24"/>
      <c r="AI413" s="28"/>
      <c r="AJ413" s="28"/>
      <c r="AK413" s="28"/>
      <c r="AL413" s="28"/>
      <c r="AM413" s="28"/>
      <c r="AN413" s="28"/>
      <c r="AO413" s="28"/>
      <c r="AP413" s="28"/>
      <c r="AQ413" s="28"/>
      <c r="AR413" s="28"/>
      <c r="AS413" s="28"/>
      <c r="AT413" s="28"/>
      <c r="AU413" s="28"/>
      <c r="AV413" s="24"/>
      <c r="AW413" s="28"/>
      <c r="AX413" s="28"/>
      <c r="AY413" s="28"/>
      <c r="AZ413" s="28"/>
      <c r="BA413" s="28"/>
      <c r="BB413" s="28"/>
      <c r="BC413" s="24"/>
      <c r="BD413" s="28"/>
      <c r="BE413" s="28"/>
      <c r="BF413" s="28"/>
      <c r="BG413" s="24"/>
      <c r="BH413" s="28"/>
      <c r="BI413" s="28"/>
      <c r="BJ413" s="28"/>
    </row>
    <row r="414" spans="1:62">
      <c r="A414" s="24"/>
      <c r="B414" s="28"/>
      <c r="C414" s="25"/>
      <c r="D414" s="26"/>
      <c r="E414" s="24"/>
      <c r="F414" s="24"/>
      <c r="G414" s="26"/>
      <c r="H414" s="26"/>
      <c r="I414" s="26"/>
      <c r="J414" s="26"/>
      <c r="K414" s="26"/>
      <c r="L414" s="26"/>
      <c r="M414" s="26"/>
      <c r="N414" s="26"/>
      <c r="P414" s="26"/>
      <c r="Q414" s="26"/>
      <c r="R414" s="25"/>
      <c r="S414" s="25"/>
      <c r="T414" s="25"/>
      <c r="U414" s="25"/>
      <c r="V414" s="24"/>
      <c r="W414" s="24"/>
      <c r="X414" s="24"/>
      <c r="Y414" s="26"/>
      <c r="Z414" s="26"/>
      <c r="AA414" s="24"/>
      <c r="AB414" s="24"/>
      <c r="AC414" s="24"/>
      <c r="AD414" s="24"/>
      <c r="AE414" s="26"/>
      <c r="AF414" s="26"/>
      <c r="AG414" s="24"/>
      <c r="AH414" s="24"/>
      <c r="AI414" s="28"/>
      <c r="AJ414" s="28"/>
      <c r="AK414" s="28"/>
      <c r="AL414" s="28"/>
      <c r="AM414" s="28"/>
      <c r="AN414" s="28"/>
      <c r="AO414" s="28"/>
      <c r="AP414" s="28"/>
      <c r="AQ414" s="28"/>
      <c r="AR414" s="28"/>
      <c r="AS414" s="28"/>
      <c r="AT414" s="28"/>
      <c r="AU414" s="28"/>
      <c r="AV414" s="24"/>
      <c r="AW414" s="28"/>
      <c r="AX414" s="28"/>
      <c r="AY414" s="28"/>
      <c r="AZ414" s="28"/>
      <c r="BA414" s="28"/>
      <c r="BB414" s="28"/>
      <c r="BC414" s="24"/>
      <c r="BD414" s="28"/>
      <c r="BE414" s="28"/>
      <c r="BF414" s="28"/>
      <c r="BG414" s="24"/>
      <c r="BH414" s="28"/>
      <c r="BI414" s="28"/>
      <c r="BJ414" s="28"/>
    </row>
    <row r="415" spans="1:62">
      <c r="A415" s="24"/>
      <c r="B415" s="28"/>
      <c r="C415" s="25"/>
      <c r="D415" s="26"/>
      <c r="E415" s="24"/>
      <c r="F415" s="24"/>
      <c r="G415" s="26"/>
      <c r="H415" s="26"/>
      <c r="I415" s="26"/>
      <c r="J415" s="26"/>
      <c r="K415" s="26"/>
      <c r="L415" s="26"/>
      <c r="M415" s="26"/>
      <c r="N415" s="26"/>
      <c r="P415" s="26"/>
      <c r="Q415" s="26"/>
      <c r="R415" s="25"/>
      <c r="S415" s="25"/>
      <c r="T415" s="25"/>
      <c r="U415" s="25"/>
      <c r="V415" s="24"/>
      <c r="W415" s="24"/>
      <c r="X415" s="24"/>
      <c r="Y415" s="26"/>
      <c r="Z415" s="26"/>
      <c r="AA415" s="24"/>
      <c r="AB415" s="24"/>
      <c r="AC415" s="24"/>
      <c r="AD415" s="24"/>
      <c r="AE415" s="26"/>
      <c r="AF415" s="26"/>
      <c r="AG415" s="24"/>
      <c r="AH415" s="24"/>
      <c r="AI415" s="28"/>
      <c r="AJ415" s="28"/>
      <c r="AK415" s="28"/>
      <c r="AL415" s="28"/>
      <c r="AM415" s="28"/>
      <c r="AN415" s="28"/>
      <c r="AO415" s="28"/>
      <c r="AP415" s="28"/>
      <c r="AQ415" s="28"/>
      <c r="AR415" s="28"/>
      <c r="AS415" s="28"/>
      <c r="AT415" s="28"/>
      <c r="AU415" s="28"/>
      <c r="AV415" s="24"/>
      <c r="AW415" s="28"/>
      <c r="AX415" s="28"/>
      <c r="AY415" s="28"/>
      <c r="AZ415" s="28"/>
      <c r="BA415" s="28"/>
      <c r="BB415" s="28"/>
      <c r="BC415" s="24"/>
      <c r="BD415" s="28"/>
      <c r="BE415" s="28"/>
      <c r="BF415" s="28"/>
      <c r="BG415" s="24"/>
      <c r="BH415" s="28"/>
      <c r="BI415" s="28"/>
      <c r="BJ415" s="28"/>
    </row>
    <row r="416" spans="1:62">
      <c r="A416" s="24"/>
      <c r="B416" s="28"/>
      <c r="C416" s="25"/>
      <c r="D416" s="26"/>
      <c r="E416" s="24"/>
      <c r="F416" s="24"/>
      <c r="G416" s="26"/>
      <c r="H416" s="26"/>
      <c r="I416" s="26"/>
      <c r="J416" s="26"/>
      <c r="K416" s="26"/>
      <c r="L416" s="26"/>
      <c r="M416" s="26"/>
      <c r="N416" s="26"/>
      <c r="P416" s="26"/>
      <c r="Q416" s="26"/>
      <c r="R416" s="25"/>
      <c r="S416" s="25"/>
      <c r="T416" s="25"/>
      <c r="U416" s="25"/>
      <c r="V416" s="24"/>
      <c r="W416" s="24"/>
      <c r="X416" s="24"/>
      <c r="Y416" s="26"/>
      <c r="Z416" s="26"/>
      <c r="AA416" s="24"/>
      <c r="AB416" s="24"/>
      <c r="AC416" s="24"/>
      <c r="AD416" s="24"/>
      <c r="AE416" s="26"/>
      <c r="AF416" s="26"/>
      <c r="AG416" s="24"/>
      <c r="AH416" s="24"/>
      <c r="AI416" s="28"/>
      <c r="AJ416" s="28"/>
      <c r="AK416" s="28"/>
      <c r="AL416" s="28"/>
      <c r="AM416" s="28"/>
      <c r="AN416" s="28"/>
      <c r="AO416" s="28"/>
      <c r="AP416" s="28"/>
      <c r="AQ416" s="28"/>
      <c r="AR416" s="28"/>
      <c r="AS416" s="28"/>
      <c r="AT416" s="28"/>
      <c r="AU416" s="28"/>
      <c r="AV416" s="24"/>
      <c r="AW416" s="28"/>
      <c r="AX416" s="28"/>
      <c r="AY416" s="28"/>
      <c r="AZ416" s="28"/>
      <c r="BA416" s="28"/>
      <c r="BB416" s="28"/>
      <c r="BC416" s="24"/>
      <c r="BD416" s="28"/>
      <c r="BE416" s="28"/>
      <c r="BF416" s="28"/>
      <c r="BG416" s="24"/>
      <c r="BH416" s="28"/>
      <c r="BI416" s="28"/>
      <c r="BJ416" s="28"/>
    </row>
    <row r="417" spans="1:62">
      <c r="A417" s="24"/>
      <c r="B417" s="28"/>
      <c r="C417" s="25"/>
      <c r="D417" s="26"/>
      <c r="E417" s="24"/>
      <c r="F417" s="24"/>
      <c r="G417" s="26"/>
      <c r="H417" s="26"/>
      <c r="I417" s="26"/>
      <c r="J417" s="26"/>
      <c r="K417" s="26"/>
      <c r="L417" s="26"/>
      <c r="M417" s="26"/>
      <c r="N417" s="26"/>
      <c r="P417" s="26"/>
      <c r="Q417" s="26"/>
      <c r="R417" s="25"/>
      <c r="S417" s="25"/>
      <c r="T417" s="25"/>
      <c r="U417" s="25"/>
      <c r="V417" s="24"/>
      <c r="W417" s="24"/>
      <c r="X417" s="24"/>
      <c r="Y417" s="26"/>
      <c r="Z417" s="26"/>
      <c r="AA417" s="24"/>
      <c r="AB417" s="24"/>
      <c r="AC417" s="24"/>
      <c r="AD417" s="24"/>
      <c r="AE417" s="26"/>
      <c r="AF417" s="26"/>
      <c r="AG417" s="24"/>
      <c r="AH417" s="24"/>
      <c r="AI417" s="28"/>
      <c r="AJ417" s="28"/>
      <c r="AK417" s="28"/>
      <c r="AL417" s="28"/>
      <c r="AM417" s="28"/>
      <c r="AN417" s="28"/>
      <c r="AO417" s="28"/>
      <c r="AP417" s="28"/>
      <c r="AQ417" s="28"/>
      <c r="AR417" s="28"/>
      <c r="AS417" s="28"/>
      <c r="AT417" s="28"/>
      <c r="AU417" s="28"/>
      <c r="AV417" s="24"/>
      <c r="AW417" s="28"/>
      <c r="AX417" s="28"/>
      <c r="AY417" s="28"/>
      <c r="AZ417" s="28"/>
      <c r="BA417" s="28"/>
      <c r="BB417" s="28"/>
      <c r="BC417" s="24"/>
      <c r="BD417" s="28"/>
      <c r="BE417" s="28"/>
      <c r="BF417" s="28"/>
      <c r="BG417" s="24"/>
      <c r="BH417" s="28"/>
      <c r="BI417" s="28"/>
      <c r="BJ417" s="28"/>
    </row>
    <row r="418" spans="1:62">
      <c r="A418" s="24"/>
      <c r="B418" s="28"/>
      <c r="C418" s="25"/>
      <c r="D418" s="26"/>
      <c r="E418" s="24"/>
      <c r="F418" s="24"/>
      <c r="G418" s="26"/>
      <c r="H418" s="26"/>
      <c r="I418" s="26"/>
      <c r="J418" s="26"/>
      <c r="K418" s="26"/>
      <c r="L418" s="26"/>
      <c r="M418" s="26"/>
      <c r="N418" s="26"/>
      <c r="P418" s="26"/>
      <c r="Q418" s="26"/>
      <c r="R418" s="25"/>
      <c r="S418" s="25"/>
      <c r="T418" s="25"/>
      <c r="U418" s="25"/>
      <c r="V418" s="24"/>
      <c r="W418" s="24"/>
      <c r="X418" s="24"/>
      <c r="Y418" s="26"/>
      <c r="Z418" s="26"/>
      <c r="AA418" s="24"/>
      <c r="AB418" s="24"/>
      <c r="AC418" s="24"/>
      <c r="AD418" s="24"/>
      <c r="AE418" s="26"/>
      <c r="AF418" s="26"/>
      <c r="AG418" s="24"/>
      <c r="AH418" s="24"/>
      <c r="AI418" s="28"/>
      <c r="AJ418" s="28"/>
      <c r="AK418" s="28"/>
      <c r="AL418" s="28"/>
      <c r="AM418" s="28"/>
      <c r="AN418" s="28"/>
      <c r="AO418" s="28"/>
      <c r="AP418" s="28"/>
      <c r="AQ418" s="28"/>
      <c r="AR418" s="28"/>
      <c r="AS418" s="28"/>
      <c r="AT418" s="28"/>
      <c r="AU418" s="28"/>
      <c r="AV418" s="24"/>
      <c r="AW418" s="28"/>
      <c r="AX418" s="28"/>
      <c r="AY418" s="28"/>
      <c r="AZ418" s="28"/>
      <c r="BA418" s="28"/>
      <c r="BB418" s="28"/>
      <c r="BC418" s="24"/>
      <c r="BD418" s="28"/>
      <c r="BE418" s="28"/>
      <c r="BF418" s="28"/>
      <c r="BG418" s="24"/>
      <c r="BH418" s="28"/>
      <c r="BI418" s="28"/>
      <c r="BJ418" s="28"/>
    </row>
    <row r="419" spans="1:62">
      <c r="A419" s="24"/>
      <c r="B419" s="28"/>
      <c r="C419" s="25"/>
      <c r="D419" s="26"/>
      <c r="E419" s="24"/>
      <c r="F419" s="24"/>
      <c r="G419" s="26"/>
      <c r="H419" s="26"/>
      <c r="I419" s="26"/>
      <c r="J419" s="26"/>
      <c r="K419" s="26"/>
      <c r="L419" s="26"/>
      <c r="M419" s="26"/>
      <c r="N419" s="26"/>
      <c r="P419" s="26"/>
      <c r="Q419" s="26"/>
      <c r="R419" s="25"/>
      <c r="S419" s="25"/>
      <c r="T419" s="25"/>
      <c r="U419" s="25"/>
      <c r="V419" s="24"/>
      <c r="W419" s="24"/>
      <c r="X419" s="24"/>
      <c r="Y419" s="26"/>
      <c r="Z419" s="26"/>
      <c r="AA419" s="24"/>
      <c r="AB419" s="24"/>
      <c r="AC419" s="24"/>
      <c r="AD419" s="24"/>
      <c r="AE419" s="26"/>
      <c r="AF419" s="26"/>
      <c r="AG419" s="24"/>
      <c r="AH419" s="24"/>
      <c r="AI419" s="28"/>
      <c r="AJ419" s="28"/>
      <c r="AK419" s="28"/>
      <c r="AL419" s="28"/>
      <c r="AM419" s="28"/>
      <c r="AN419" s="28"/>
      <c r="AO419" s="28"/>
      <c r="AP419" s="28"/>
      <c r="AQ419" s="28"/>
      <c r="AR419" s="28"/>
      <c r="AS419" s="28"/>
      <c r="AT419" s="28"/>
      <c r="AU419" s="28"/>
      <c r="AV419" s="24"/>
      <c r="AW419" s="28"/>
      <c r="AX419" s="28"/>
      <c r="AY419" s="28"/>
      <c r="AZ419" s="28"/>
      <c r="BA419" s="28"/>
      <c r="BB419" s="28"/>
      <c r="BC419" s="24"/>
      <c r="BD419" s="28"/>
      <c r="BE419" s="28"/>
      <c r="BF419" s="28"/>
      <c r="BG419" s="24"/>
      <c r="BH419" s="28"/>
      <c r="BI419" s="28"/>
      <c r="BJ419" s="28"/>
    </row>
    <row r="420" spans="1:62">
      <c r="A420" s="24"/>
      <c r="B420" s="28"/>
      <c r="C420" s="25"/>
      <c r="D420" s="26"/>
      <c r="E420" s="24"/>
      <c r="F420" s="24"/>
      <c r="G420" s="26"/>
      <c r="H420" s="26"/>
      <c r="I420" s="26"/>
      <c r="J420" s="26"/>
      <c r="K420" s="26"/>
      <c r="L420" s="26"/>
      <c r="M420" s="26"/>
      <c r="N420" s="26"/>
      <c r="P420" s="26"/>
      <c r="Q420" s="26"/>
      <c r="R420" s="25"/>
      <c r="S420" s="25"/>
      <c r="T420" s="25"/>
      <c r="U420" s="25"/>
      <c r="V420" s="24"/>
      <c r="W420" s="24"/>
      <c r="X420" s="24"/>
      <c r="Y420" s="26"/>
      <c r="Z420" s="26"/>
      <c r="AA420" s="24"/>
      <c r="AB420" s="24"/>
      <c r="AC420" s="24"/>
      <c r="AD420" s="24"/>
      <c r="AE420" s="26"/>
      <c r="AF420" s="26"/>
      <c r="AG420" s="24"/>
      <c r="AH420" s="24"/>
      <c r="AI420" s="28"/>
      <c r="AJ420" s="28"/>
      <c r="AK420" s="28"/>
      <c r="AL420" s="28"/>
      <c r="AM420" s="28"/>
      <c r="AN420" s="28"/>
      <c r="AO420" s="28"/>
      <c r="AP420" s="28"/>
      <c r="AQ420" s="28"/>
      <c r="AR420" s="28"/>
      <c r="AS420" s="28"/>
      <c r="AT420" s="28"/>
      <c r="AU420" s="28"/>
      <c r="AV420" s="24"/>
      <c r="AW420" s="28"/>
      <c r="AX420" s="28"/>
      <c r="AY420" s="28"/>
      <c r="AZ420" s="28"/>
      <c r="BA420" s="28"/>
      <c r="BB420" s="28"/>
      <c r="BC420" s="24"/>
      <c r="BD420" s="28"/>
      <c r="BE420" s="28"/>
      <c r="BF420" s="28"/>
      <c r="BG420" s="24"/>
      <c r="BH420" s="28"/>
      <c r="BI420" s="28"/>
      <c r="BJ420" s="28"/>
    </row>
    <row r="421" spans="1:62">
      <c r="A421" s="24"/>
      <c r="B421" s="28"/>
      <c r="C421" s="25"/>
      <c r="D421" s="26"/>
      <c r="E421" s="24"/>
      <c r="F421" s="24"/>
      <c r="G421" s="26"/>
      <c r="H421" s="26"/>
      <c r="I421" s="26"/>
      <c r="J421" s="26"/>
      <c r="K421" s="26"/>
      <c r="L421" s="26"/>
      <c r="M421" s="26"/>
      <c r="N421" s="26"/>
      <c r="P421" s="26"/>
      <c r="Q421" s="26"/>
      <c r="R421" s="25"/>
      <c r="S421" s="25"/>
      <c r="T421" s="25"/>
      <c r="U421" s="25"/>
      <c r="V421" s="24"/>
      <c r="W421" s="24"/>
      <c r="X421" s="24"/>
      <c r="Y421" s="26"/>
      <c r="Z421" s="26"/>
      <c r="AA421" s="24"/>
      <c r="AB421" s="24"/>
      <c r="AC421" s="24"/>
      <c r="AD421" s="24"/>
      <c r="AE421" s="26"/>
      <c r="AF421" s="26"/>
      <c r="AG421" s="24"/>
      <c r="AH421" s="24"/>
      <c r="AI421" s="28"/>
      <c r="AJ421" s="28"/>
      <c r="AK421" s="28"/>
      <c r="AL421" s="28"/>
      <c r="AM421" s="28"/>
      <c r="AN421" s="28"/>
      <c r="AO421" s="28"/>
      <c r="AP421" s="28"/>
      <c r="AQ421" s="28"/>
      <c r="AR421" s="28"/>
      <c r="AS421" s="28"/>
      <c r="AT421" s="28"/>
      <c r="AU421" s="28"/>
      <c r="AV421" s="24"/>
      <c r="AW421" s="28"/>
      <c r="AX421" s="28"/>
      <c r="AY421" s="28"/>
      <c r="AZ421" s="28"/>
      <c r="BA421" s="28"/>
      <c r="BB421" s="28"/>
      <c r="BC421" s="24"/>
      <c r="BD421" s="28"/>
      <c r="BE421" s="28"/>
      <c r="BF421" s="28"/>
      <c r="BG421" s="24"/>
      <c r="BH421" s="28"/>
      <c r="BI421" s="28"/>
      <c r="BJ421" s="28"/>
    </row>
    <row r="422" spans="1:62">
      <c r="A422" s="24"/>
      <c r="B422" s="28"/>
      <c r="C422" s="25"/>
      <c r="D422" s="26"/>
      <c r="E422" s="24"/>
      <c r="F422" s="24"/>
      <c r="G422" s="26"/>
      <c r="H422" s="26"/>
      <c r="I422" s="26"/>
      <c r="J422" s="26"/>
      <c r="K422" s="26"/>
      <c r="L422" s="26"/>
      <c r="M422" s="26"/>
      <c r="N422" s="26"/>
      <c r="P422" s="26"/>
      <c r="Q422" s="26"/>
      <c r="R422" s="25"/>
      <c r="S422" s="25"/>
      <c r="T422" s="25"/>
      <c r="U422" s="25"/>
      <c r="V422" s="24"/>
      <c r="W422" s="24"/>
      <c r="X422" s="24"/>
      <c r="Y422" s="26"/>
      <c r="Z422" s="26"/>
      <c r="AA422" s="24"/>
      <c r="AB422" s="24"/>
      <c r="AC422" s="24"/>
      <c r="AD422" s="24"/>
      <c r="AE422" s="26"/>
      <c r="AF422" s="26"/>
      <c r="AG422" s="24"/>
      <c r="AH422" s="24"/>
      <c r="AI422" s="28"/>
      <c r="AJ422" s="28"/>
      <c r="AK422" s="28"/>
      <c r="AL422" s="28"/>
      <c r="AM422" s="28"/>
      <c r="AN422" s="28"/>
      <c r="AO422" s="28"/>
      <c r="AP422" s="28"/>
      <c r="AQ422" s="28"/>
      <c r="AR422" s="28"/>
      <c r="AS422" s="28"/>
      <c r="AT422" s="28"/>
      <c r="AU422" s="28"/>
      <c r="AV422" s="24"/>
      <c r="AW422" s="28"/>
      <c r="AX422" s="28"/>
      <c r="AY422" s="28"/>
      <c r="AZ422" s="28"/>
      <c r="BA422" s="28"/>
      <c r="BB422" s="28"/>
      <c r="BC422" s="24"/>
      <c r="BD422" s="28"/>
      <c r="BE422" s="28"/>
      <c r="BF422" s="28"/>
      <c r="BG422" s="24"/>
      <c r="BH422" s="28"/>
      <c r="BI422" s="28"/>
      <c r="BJ422" s="28"/>
    </row>
    <row r="423" spans="1:62">
      <c r="A423" s="24"/>
      <c r="B423" s="28"/>
      <c r="C423" s="25"/>
      <c r="D423" s="26"/>
      <c r="E423" s="24"/>
      <c r="F423" s="24"/>
      <c r="G423" s="26"/>
      <c r="H423" s="26"/>
      <c r="I423" s="26"/>
      <c r="J423" s="26"/>
      <c r="K423" s="26"/>
      <c r="L423" s="26"/>
      <c r="M423" s="26"/>
      <c r="N423" s="26"/>
      <c r="P423" s="26"/>
      <c r="Q423" s="26"/>
      <c r="R423" s="25"/>
      <c r="S423" s="25"/>
      <c r="T423" s="25"/>
      <c r="U423" s="25"/>
      <c r="V423" s="24"/>
      <c r="W423" s="24"/>
      <c r="X423" s="24"/>
      <c r="Y423" s="26"/>
      <c r="Z423" s="26"/>
      <c r="AA423" s="24"/>
      <c r="AB423" s="24"/>
      <c r="AC423" s="24"/>
      <c r="AD423" s="24"/>
      <c r="AE423" s="26"/>
      <c r="AF423" s="26"/>
      <c r="AG423" s="24"/>
      <c r="AH423" s="24"/>
      <c r="AI423" s="28"/>
      <c r="AJ423" s="28"/>
      <c r="AK423" s="28"/>
      <c r="AL423" s="28"/>
      <c r="AM423" s="28"/>
      <c r="AN423" s="28"/>
      <c r="AO423" s="28"/>
      <c r="AP423" s="28"/>
      <c r="AQ423" s="28"/>
      <c r="AR423" s="28"/>
      <c r="AS423" s="28"/>
      <c r="AT423" s="28"/>
      <c r="AU423" s="28"/>
      <c r="AV423" s="24"/>
      <c r="AW423" s="28"/>
      <c r="AX423" s="28"/>
      <c r="AY423" s="28"/>
      <c r="AZ423" s="28"/>
      <c r="BA423" s="28"/>
      <c r="BB423" s="28"/>
      <c r="BC423" s="24"/>
      <c r="BD423" s="28"/>
      <c r="BE423" s="28"/>
      <c r="BF423" s="28"/>
      <c r="BG423" s="24"/>
      <c r="BH423" s="28"/>
      <c r="BI423" s="28"/>
      <c r="BJ423" s="28"/>
    </row>
    <row r="424" spans="1:62">
      <c r="A424" s="24"/>
      <c r="B424" s="28"/>
      <c r="C424" s="25"/>
      <c r="D424" s="26"/>
      <c r="E424" s="24"/>
      <c r="F424" s="24"/>
      <c r="G424" s="26"/>
      <c r="H424" s="26"/>
      <c r="I424" s="26"/>
      <c r="J424" s="26"/>
      <c r="K424" s="26"/>
      <c r="L424" s="26"/>
      <c r="M424" s="26"/>
      <c r="N424" s="26"/>
      <c r="P424" s="26"/>
      <c r="Q424" s="26"/>
      <c r="R424" s="25"/>
      <c r="S424" s="25"/>
      <c r="T424" s="25"/>
      <c r="U424" s="25"/>
      <c r="V424" s="24"/>
      <c r="W424" s="24"/>
      <c r="X424" s="24"/>
      <c r="Y424" s="26"/>
      <c r="Z424" s="26"/>
      <c r="AA424" s="24"/>
      <c r="AB424" s="24"/>
      <c r="AC424" s="24"/>
      <c r="AD424" s="24"/>
      <c r="AE424" s="26"/>
      <c r="AF424" s="26"/>
      <c r="AG424" s="24"/>
      <c r="AH424" s="24"/>
      <c r="AI424" s="28"/>
      <c r="AJ424" s="28"/>
      <c r="AK424" s="28"/>
      <c r="AL424" s="28"/>
      <c r="AM424" s="28"/>
      <c r="AN424" s="28"/>
      <c r="AO424" s="28"/>
      <c r="AP424" s="28"/>
      <c r="AQ424" s="28"/>
      <c r="AR424" s="28"/>
      <c r="AS424" s="28"/>
      <c r="AT424" s="28"/>
      <c r="AU424" s="28"/>
      <c r="AV424" s="24"/>
      <c r="AW424" s="28"/>
      <c r="AX424" s="28"/>
      <c r="AY424" s="28"/>
      <c r="AZ424" s="28"/>
      <c r="BA424" s="28"/>
      <c r="BB424" s="28"/>
      <c r="BC424" s="24"/>
      <c r="BD424" s="28"/>
      <c r="BE424" s="28"/>
      <c r="BF424" s="28"/>
      <c r="BG424" s="24"/>
      <c r="BH424" s="28"/>
      <c r="BI424" s="28"/>
      <c r="BJ424" s="28"/>
    </row>
    <row r="425" spans="1:62">
      <c r="A425" s="24"/>
      <c r="B425" s="28"/>
      <c r="C425" s="25"/>
      <c r="D425" s="26"/>
      <c r="E425" s="24"/>
      <c r="F425" s="24"/>
      <c r="G425" s="26"/>
      <c r="H425" s="26"/>
      <c r="I425" s="26"/>
      <c r="J425" s="26"/>
      <c r="K425" s="26"/>
      <c r="L425" s="26"/>
      <c r="M425" s="26"/>
      <c r="N425" s="26"/>
      <c r="P425" s="26"/>
      <c r="Q425" s="26"/>
      <c r="R425" s="25"/>
      <c r="S425" s="25"/>
      <c r="T425" s="25"/>
      <c r="U425" s="25"/>
      <c r="V425" s="24"/>
      <c r="W425" s="24"/>
      <c r="X425" s="24"/>
      <c r="Y425" s="26"/>
      <c r="Z425" s="26"/>
      <c r="AA425" s="24"/>
      <c r="AB425" s="24"/>
      <c r="AC425" s="24"/>
      <c r="AD425" s="24"/>
      <c r="AE425" s="26"/>
      <c r="AF425" s="26"/>
      <c r="AG425" s="24"/>
      <c r="AH425" s="24"/>
      <c r="AI425" s="28"/>
      <c r="AJ425" s="28"/>
      <c r="AK425" s="28"/>
      <c r="AL425" s="28"/>
      <c r="AM425" s="28"/>
      <c r="AN425" s="28"/>
      <c r="AO425" s="28"/>
      <c r="AP425" s="28"/>
      <c r="AQ425" s="28"/>
      <c r="AR425" s="28"/>
      <c r="AS425" s="28"/>
      <c r="AT425" s="28"/>
      <c r="AU425" s="28"/>
      <c r="AV425" s="24"/>
      <c r="AW425" s="28"/>
      <c r="AX425" s="28"/>
      <c r="AY425" s="28"/>
      <c r="AZ425" s="28"/>
      <c r="BA425" s="28"/>
      <c r="BB425" s="28"/>
      <c r="BC425" s="24"/>
      <c r="BD425" s="28"/>
      <c r="BE425" s="28"/>
      <c r="BF425" s="28"/>
      <c r="BG425" s="24"/>
      <c r="BH425" s="28"/>
      <c r="BI425" s="28"/>
      <c r="BJ425" s="28"/>
    </row>
    <row r="426" spans="1:62">
      <c r="A426" s="24"/>
      <c r="B426" s="28"/>
      <c r="C426" s="25"/>
      <c r="D426" s="26"/>
      <c r="E426" s="24"/>
      <c r="F426" s="24"/>
      <c r="G426" s="26"/>
      <c r="H426" s="26"/>
      <c r="I426" s="26"/>
      <c r="J426" s="26"/>
      <c r="K426" s="26"/>
      <c r="L426" s="26"/>
      <c r="M426" s="26"/>
      <c r="N426" s="26"/>
      <c r="P426" s="26"/>
      <c r="Q426" s="26"/>
      <c r="R426" s="25"/>
      <c r="S426" s="25"/>
      <c r="T426" s="25"/>
      <c r="U426" s="25"/>
      <c r="V426" s="24"/>
      <c r="W426" s="24"/>
      <c r="X426" s="24"/>
      <c r="Y426" s="26"/>
      <c r="Z426" s="26"/>
      <c r="AA426" s="24"/>
      <c r="AB426" s="24"/>
      <c r="AC426" s="24"/>
      <c r="AD426" s="24"/>
      <c r="AE426" s="26"/>
      <c r="AF426" s="26"/>
      <c r="AG426" s="24"/>
      <c r="AH426" s="24"/>
      <c r="AI426" s="28"/>
      <c r="AJ426" s="28"/>
      <c r="AK426" s="28"/>
      <c r="AL426" s="28"/>
      <c r="AM426" s="28"/>
      <c r="AN426" s="28"/>
      <c r="AO426" s="28"/>
      <c r="AP426" s="28"/>
      <c r="AQ426" s="28"/>
      <c r="AR426" s="28"/>
      <c r="AS426" s="28"/>
      <c r="AT426" s="28"/>
      <c r="AU426" s="28"/>
      <c r="AV426" s="24"/>
      <c r="AW426" s="28"/>
      <c r="AX426" s="28"/>
      <c r="AY426" s="28"/>
      <c r="AZ426" s="28"/>
      <c r="BA426" s="28"/>
      <c r="BB426" s="28"/>
      <c r="BC426" s="24"/>
      <c r="BD426" s="28"/>
      <c r="BE426" s="28"/>
      <c r="BF426" s="28"/>
      <c r="BG426" s="24"/>
      <c r="BH426" s="28"/>
      <c r="BI426" s="28"/>
      <c r="BJ426" s="28"/>
    </row>
    <row r="427" spans="1:62">
      <c r="A427" s="24"/>
      <c r="B427" s="28"/>
      <c r="C427" s="25"/>
      <c r="D427" s="26"/>
      <c r="E427" s="24"/>
      <c r="F427" s="24"/>
      <c r="G427" s="26"/>
      <c r="H427" s="26"/>
      <c r="I427" s="26"/>
      <c r="J427" s="26"/>
      <c r="K427" s="26"/>
      <c r="L427" s="26"/>
      <c r="M427" s="26"/>
      <c r="N427" s="26"/>
      <c r="P427" s="26"/>
      <c r="Q427" s="26"/>
      <c r="R427" s="25"/>
      <c r="S427" s="25"/>
      <c r="T427" s="25"/>
      <c r="U427" s="25"/>
      <c r="V427" s="24"/>
      <c r="W427" s="24"/>
      <c r="X427" s="24"/>
      <c r="Y427" s="26"/>
      <c r="Z427" s="26"/>
      <c r="AA427" s="24"/>
      <c r="AB427" s="24"/>
      <c r="AC427" s="24"/>
      <c r="AD427" s="24"/>
      <c r="AE427" s="26"/>
      <c r="AF427" s="26"/>
      <c r="AG427" s="24"/>
      <c r="AH427" s="24"/>
      <c r="AI427" s="28"/>
      <c r="AJ427" s="28"/>
      <c r="AK427" s="28"/>
      <c r="AL427" s="28"/>
      <c r="AM427" s="28"/>
      <c r="AN427" s="28"/>
      <c r="AO427" s="28"/>
      <c r="AP427" s="28"/>
      <c r="AQ427" s="28"/>
      <c r="AR427" s="28"/>
      <c r="AS427" s="28"/>
      <c r="AT427" s="28"/>
      <c r="AU427" s="28"/>
      <c r="AV427" s="24"/>
      <c r="AW427" s="28"/>
      <c r="AX427" s="28"/>
      <c r="AY427" s="28"/>
      <c r="AZ427" s="28"/>
      <c r="BA427" s="28"/>
      <c r="BB427" s="28"/>
      <c r="BC427" s="24"/>
      <c r="BD427" s="28"/>
      <c r="BE427" s="28"/>
      <c r="BF427" s="28"/>
      <c r="BG427" s="24"/>
      <c r="BH427" s="28"/>
      <c r="BI427" s="28"/>
      <c r="BJ427" s="28"/>
    </row>
    <row r="428" spans="1:62">
      <c r="A428" s="24"/>
      <c r="B428" s="28"/>
      <c r="C428" s="25"/>
      <c r="D428" s="26"/>
      <c r="E428" s="24"/>
      <c r="F428" s="24"/>
      <c r="G428" s="26"/>
      <c r="H428" s="26"/>
      <c r="I428" s="26"/>
      <c r="J428" s="26"/>
      <c r="K428" s="26"/>
      <c r="L428" s="26"/>
      <c r="M428" s="26"/>
      <c r="N428" s="26"/>
      <c r="P428" s="26"/>
      <c r="Q428" s="26"/>
      <c r="R428" s="25"/>
      <c r="S428" s="25"/>
      <c r="T428" s="25"/>
      <c r="U428" s="25"/>
      <c r="V428" s="24"/>
      <c r="W428" s="24"/>
      <c r="X428" s="24"/>
      <c r="Y428" s="26"/>
      <c r="Z428" s="26"/>
      <c r="AA428" s="24"/>
      <c r="AB428" s="24"/>
      <c r="AC428" s="24"/>
      <c r="AD428" s="24"/>
      <c r="AE428" s="26"/>
      <c r="AF428" s="26"/>
      <c r="AG428" s="24"/>
      <c r="AH428" s="24"/>
      <c r="AI428" s="28"/>
      <c r="AJ428" s="28"/>
      <c r="AK428" s="28"/>
      <c r="AL428" s="28"/>
      <c r="AM428" s="28"/>
      <c r="AN428" s="28"/>
      <c r="AO428" s="28"/>
      <c r="AP428" s="28"/>
      <c r="AQ428" s="28"/>
      <c r="AR428" s="28"/>
      <c r="AS428" s="28"/>
      <c r="AT428" s="28"/>
      <c r="AU428" s="28"/>
      <c r="AV428" s="24"/>
      <c r="AW428" s="28"/>
      <c r="AX428" s="28"/>
      <c r="AY428" s="28"/>
      <c r="AZ428" s="28"/>
      <c r="BA428" s="28"/>
      <c r="BB428" s="28"/>
      <c r="BC428" s="24"/>
      <c r="BD428" s="28"/>
      <c r="BE428" s="28"/>
      <c r="BF428" s="28"/>
      <c r="BG428" s="24"/>
      <c r="BH428" s="28"/>
      <c r="BI428" s="28"/>
      <c r="BJ428" s="28"/>
    </row>
    <row r="429" spans="1:62">
      <c r="A429" s="24"/>
      <c r="B429" s="28"/>
      <c r="C429" s="25"/>
      <c r="D429" s="26"/>
      <c r="E429" s="24"/>
      <c r="F429" s="24"/>
      <c r="G429" s="26"/>
      <c r="H429" s="26"/>
      <c r="I429" s="26"/>
      <c r="J429" s="26"/>
      <c r="K429" s="26"/>
      <c r="L429" s="26"/>
      <c r="M429" s="26"/>
      <c r="N429" s="26"/>
      <c r="P429" s="26"/>
      <c r="Q429" s="26"/>
      <c r="R429" s="25"/>
      <c r="S429" s="25"/>
      <c r="T429" s="25"/>
      <c r="U429" s="25"/>
      <c r="V429" s="24"/>
      <c r="W429" s="24"/>
      <c r="X429" s="24"/>
      <c r="Y429" s="26"/>
      <c r="Z429" s="26"/>
      <c r="AA429" s="24"/>
      <c r="AB429" s="24"/>
      <c r="AC429" s="24"/>
      <c r="AD429" s="24"/>
      <c r="AE429" s="26"/>
      <c r="AF429" s="26"/>
      <c r="AG429" s="24"/>
      <c r="AH429" s="24"/>
      <c r="AI429" s="28"/>
      <c r="AJ429" s="28"/>
      <c r="AK429" s="28"/>
      <c r="AL429" s="28"/>
      <c r="AM429" s="28"/>
      <c r="AN429" s="28"/>
      <c r="AO429" s="28"/>
      <c r="AP429" s="28"/>
      <c r="AQ429" s="28"/>
      <c r="AR429" s="28"/>
      <c r="AS429" s="28"/>
      <c r="AT429" s="28"/>
      <c r="AU429" s="28"/>
      <c r="AV429" s="24"/>
      <c r="AW429" s="28"/>
      <c r="AX429" s="28"/>
      <c r="AY429" s="28"/>
      <c r="AZ429" s="28"/>
      <c r="BA429" s="28"/>
      <c r="BB429" s="28"/>
      <c r="BC429" s="24"/>
      <c r="BD429" s="28"/>
      <c r="BE429" s="28"/>
      <c r="BF429" s="28"/>
      <c r="BG429" s="24"/>
      <c r="BH429" s="28"/>
      <c r="BI429" s="28"/>
      <c r="BJ429" s="28"/>
    </row>
    <row r="430" spans="1:62">
      <c r="A430" s="24"/>
      <c r="B430" s="28"/>
      <c r="C430" s="25"/>
      <c r="D430" s="26"/>
      <c r="E430" s="24"/>
      <c r="F430" s="24"/>
      <c r="G430" s="26"/>
      <c r="H430" s="26"/>
      <c r="I430" s="26"/>
      <c r="J430" s="26"/>
      <c r="K430" s="26"/>
      <c r="L430" s="26"/>
      <c r="M430" s="26"/>
      <c r="N430" s="26"/>
      <c r="P430" s="26"/>
      <c r="Q430" s="26"/>
      <c r="R430" s="25"/>
      <c r="S430" s="25"/>
      <c r="T430" s="25"/>
      <c r="U430" s="25"/>
      <c r="V430" s="24"/>
      <c r="W430" s="24"/>
      <c r="X430" s="24"/>
      <c r="Y430" s="26"/>
      <c r="Z430" s="26"/>
      <c r="AA430" s="24"/>
      <c r="AB430" s="24"/>
      <c r="AC430" s="24"/>
      <c r="AD430" s="24"/>
      <c r="AE430" s="26"/>
      <c r="AF430" s="26"/>
      <c r="AG430" s="24"/>
      <c r="AH430" s="24"/>
      <c r="AI430" s="28"/>
      <c r="AJ430" s="28"/>
      <c r="AK430" s="28"/>
      <c r="AL430" s="28"/>
      <c r="AM430" s="28"/>
      <c r="AN430" s="28"/>
      <c r="AO430" s="28"/>
      <c r="AP430" s="28"/>
      <c r="AQ430" s="28"/>
      <c r="AR430" s="28"/>
      <c r="AS430" s="28"/>
      <c r="AT430" s="28"/>
      <c r="AU430" s="28"/>
      <c r="AV430" s="24"/>
      <c r="AW430" s="28"/>
      <c r="AX430" s="28"/>
      <c r="AY430" s="28"/>
      <c r="AZ430" s="28"/>
      <c r="BA430" s="28"/>
      <c r="BB430" s="28"/>
      <c r="BC430" s="24"/>
      <c r="BD430" s="28"/>
      <c r="BE430" s="28"/>
      <c r="BF430" s="28"/>
      <c r="BG430" s="24"/>
      <c r="BH430" s="28"/>
      <c r="BI430" s="28"/>
      <c r="BJ430" s="28"/>
    </row>
    <row r="431" spans="1:62">
      <c r="A431" s="24"/>
      <c r="B431" s="28"/>
      <c r="C431" s="25"/>
      <c r="D431" s="26"/>
      <c r="E431" s="24"/>
      <c r="F431" s="24"/>
      <c r="G431" s="26"/>
      <c r="H431" s="26"/>
      <c r="I431" s="26"/>
      <c r="J431" s="26"/>
      <c r="K431" s="26"/>
      <c r="L431" s="26"/>
      <c r="M431" s="26"/>
      <c r="N431" s="26"/>
      <c r="P431" s="26"/>
      <c r="Q431" s="26"/>
      <c r="R431" s="25"/>
      <c r="S431" s="25"/>
      <c r="T431" s="25"/>
      <c r="U431" s="25"/>
      <c r="V431" s="24"/>
      <c r="W431" s="24"/>
      <c r="X431" s="24"/>
      <c r="Y431" s="26"/>
      <c r="Z431" s="26"/>
      <c r="AA431" s="24"/>
      <c r="AB431" s="24"/>
      <c r="AC431" s="24"/>
      <c r="AD431" s="24"/>
      <c r="AE431" s="26"/>
      <c r="AF431" s="26"/>
      <c r="AG431" s="24"/>
      <c r="AH431" s="24"/>
      <c r="AI431" s="28"/>
      <c r="AJ431" s="28"/>
      <c r="AK431" s="28"/>
      <c r="AL431" s="28"/>
      <c r="AM431" s="28"/>
      <c r="AN431" s="28"/>
      <c r="AO431" s="28"/>
      <c r="AP431" s="28"/>
      <c r="AQ431" s="28"/>
      <c r="AR431" s="28"/>
      <c r="AS431" s="28"/>
      <c r="AT431" s="28"/>
      <c r="AU431" s="28"/>
      <c r="AV431" s="24"/>
      <c r="AW431" s="28"/>
      <c r="AX431" s="28"/>
      <c r="AY431" s="28"/>
      <c r="AZ431" s="28"/>
      <c r="BA431" s="28"/>
      <c r="BB431" s="28"/>
      <c r="BC431" s="24"/>
      <c r="BD431" s="28"/>
      <c r="BE431" s="28"/>
      <c r="BF431" s="28"/>
      <c r="BG431" s="24"/>
      <c r="BH431" s="28"/>
      <c r="BI431" s="28"/>
      <c r="BJ431" s="28"/>
    </row>
    <row r="432" spans="1:62">
      <c r="A432" s="24"/>
      <c r="B432" s="28"/>
      <c r="C432" s="25"/>
      <c r="D432" s="26"/>
      <c r="E432" s="24"/>
      <c r="F432" s="24"/>
      <c r="G432" s="26"/>
      <c r="H432" s="26"/>
      <c r="I432" s="26"/>
      <c r="J432" s="26"/>
      <c r="K432" s="26"/>
      <c r="L432" s="26"/>
      <c r="M432" s="26"/>
      <c r="N432" s="26"/>
      <c r="P432" s="26"/>
      <c r="Q432" s="26"/>
      <c r="R432" s="25"/>
      <c r="S432" s="25"/>
      <c r="T432" s="25"/>
      <c r="U432" s="25"/>
      <c r="V432" s="24"/>
      <c r="W432" s="24"/>
      <c r="X432" s="24"/>
      <c r="Y432" s="26"/>
      <c r="Z432" s="26"/>
      <c r="AA432" s="24"/>
      <c r="AB432" s="24"/>
      <c r="AC432" s="24"/>
      <c r="AD432" s="24"/>
      <c r="AE432" s="26"/>
      <c r="AF432" s="26"/>
      <c r="AG432" s="24"/>
      <c r="AH432" s="24"/>
      <c r="AI432" s="28"/>
      <c r="AJ432" s="28"/>
      <c r="AK432" s="28"/>
      <c r="AL432" s="28"/>
      <c r="AM432" s="28"/>
      <c r="AN432" s="28"/>
      <c r="AO432" s="28"/>
      <c r="AP432" s="28"/>
      <c r="AQ432" s="28"/>
      <c r="AR432" s="28"/>
      <c r="AS432" s="28"/>
      <c r="AT432" s="28"/>
      <c r="AU432" s="28"/>
      <c r="AV432" s="24"/>
      <c r="AW432" s="28"/>
      <c r="AX432" s="28"/>
      <c r="AY432" s="28"/>
      <c r="AZ432" s="28"/>
      <c r="BA432" s="28"/>
      <c r="BB432" s="28"/>
      <c r="BC432" s="24"/>
      <c r="BD432" s="28"/>
      <c r="BE432" s="28"/>
      <c r="BF432" s="28"/>
      <c r="BG432" s="24"/>
      <c r="BH432" s="28"/>
      <c r="BI432" s="28"/>
      <c r="BJ432" s="28"/>
    </row>
    <row r="433" spans="1:62">
      <c r="A433" s="24"/>
      <c r="B433" s="28"/>
      <c r="C433" s="25"/>
      <c r="D433" s="26"/>
      <c r="E433" s="24"/>
      <c r="F433" s="24"/>
      <c r="G433" s="26"/>
      <c r="H433" s="26"/>
      <c r="I433" s="26"/>
      <c r="J433" s="26"/>
      <c r="K433" s="26"/>
      <c r="L433" s="26"/>
      <c r="M433" s="26"/>
      <c r="N433" s="26"/>
      <c r="P433" s="26"/>
      <c r="Q433" s="26"/>
      <c r="R433" s="25"/>
      <c r="S433" s="25"/>
      <c r="T433" s="25"/>
      <c r="U433" s="25"/>
      <c r="V433" s="24"/>
      <c r="W433" s="24"/>
      <c r="X433" s="24"/>
      <c r="Y433" s="26"/>
      <c r="Z433" s="26"/>
      <c r="AA433" s="24"/>
      <c r="AB433" s="24"/>
      <c r="AC433" s="24"/>
      <c r="AD433" s="24"/>
      <c r="AE433" s="26"/>
      <c r="AF433" s="26"/>
      <c r="AG433" s="24"/>
      <c r="AH433" s="24"/>
      <c r="AI433" s="28"/>
      <c r="AJ433" s="28"/>
      <c r="AK433" s="28"/>
      <c r="AL433" s="28"/>
      <c r="AM433" s="28"/>
      <c r="AN433" s="28"/>
      <c r="AO433" s="28"/>
      <c r="AP433" s="28"/>
      <c r="AQ433" s="28"/>
      <c r="AR433" s="28"/>
      <c r="AS433" s="28"/>
      <c r="AT433" s="28"/>
      <c r="AU433" s="28"/>
      <c r="AV433" s="24"/>
      <c r="AW433" s="28"/>
      <c r="AX433" s="28"/>
      <c r="AY433" s="28"/>
      <c r="AZ433" s="28"/>
      <c r="BA433" s="28"/>
      <c r="BB433" s="28"/>
      <c r="BC433" s="24"/>
      <c r="BD433" s="28"/>
      <c r="BE433" s="28"/>
      <c r="BF433" s="28"/>
      <c r="BG433" s="24"/>
      <c r="BH433" s="28"/>
      <c r="BI433" s="28"/>
      <c r="BJ433" s="28"/>
    </row>
    <row r="434" spans="1:62">
      <c r="A434" s="24"/>
      <c r="B434" s="28"/>
      <c r="C434" s="25"/>
      <c r="D434" s="26"/>
      <c r="E434" s="24"/>
      <c r="F434" s="24"/>
      <c r="G434" s="26"/>
      <c r="H434" s="26"/>
      <c r="I434" s="26"/>
      <c r="J434" s="26"/>
      <c r="K434" s="26"/>
      <c r="L434" s="26"/>
      <c r="M434" s="26"/>
      <c r="N434" s="26"/>
      <c r="P434" s="26"/>
      <c r="Q434" s="26"/>
      <c r="R434" s="25"/>
      <c r="S434" s="25"/>
      <c r="T434" s="25"/>
      <c r="U434" s="25"/>
      <c r="V434" s="24"/>
      <c r="W434" s="24"/>
      <c r="X434" s="24"/>
      <c r="Y434" s="26"/>
      <c r="Z434" s="26"/>
      <c r="AA434" s="24"/>
      <c r="AB434" s="24"/>
      <c r="AC434" s="24"/>
      <c r="AD434" s="24"/>
      <c r="AE434" s="26"/>
      <c r="AF434" s="26"/>
      <c r="AG434" s="24"/>
      <c r="AH434" s="24"/>
      <c r="AI434" s="28"/>
      <c r="AJ434" s="28"/>
      <c r="AK434" s="28"/>
      <c r="AL434" s="28"/>
      <c r="AM434" s="28"/>
      <c r="AN434" s="28"/>
      <c r="AO434" s="28"/>
      <c r="AP434" s="28"/>
      <c r="AQ434" s="28"/>
      <c r="AR434" s="28"/>
      <c r="AS434" s="28"/>
      <c r="AT434" s="28"/>
      <c r="AU434" s="28"/>
      <c r="AV434" s="24"/>
      <c r="AW434" s="28"/>
      <c r="AX434" s="28"/>
      <c r="AY434" s="28"/>
      <c r="AZ434" s="28"/>
      <c r="BA434" s="28"/>
      <c r="BB434" s="28"/>
      <c r="BC434" s="24"/>
      <c r="BD434" s="28"/>
      <c r="BE434" s="28"/>
      <c r="BF434" s="28"/>
      <c r="BG434" s="24"/>
      <c r="BH434" s="28"/>
      <c r="BI434" s="28"/>
      <c r="BJ434" s="28"/>
    </row>
    <row r="435" spans="1:62">
      <c r="A435" s="24"/>
      <c r="B435" s="28"/>
      <c r="C435" s="25"/>
      <c r="D435" s="26"/>
      <c r="E435" s="24"/>
      <c r="F435" s="24"/>
      <c r="G435" s="26"/>
      <c r="H435" s="26"/>
      <c r="I435" s="26"/>
      <c r="J435" s="26"/>
      <c r="K435" s="26"/>
      <c r="L435" s="26"/>
      <c r="M435" s="26"/>
      <c r="N435" s="26"/>
      <c r="P435" s="26"/>
      <c r="Q435" s="26"/>
      <c r="R435" s="25"/>
      <c r="S435" s="25"/>
      <c r="T435" s="25"/>
      <c r="U435" s="25"/>
      <c r="V435" s="24"/>
      <c r="W435" s="24"/>
      <c r="X435" s="24"/>
      <c r="Y435" s="26"/>
      <c r="Z435" s="26"/>
      <c r="AA435" s="24"/>
      <c r="AB435" s="24"/>
      <c r="AC435" s="24"/>
      <c r="AD435" s="24"/>
      <c r="AE435" s="26"/>
      <c r="AF435" s="26"/>
      <c r="AG435" s="24"/>
      <c r="AH435" s="24"/>
      <c r="AI435" s="28"/>
      <c r="AJ435" s="28"/>
      <c r="AK435" s="28"/>
      <c r="AL435" s="28"/>
      <c r="AM435" s="28"/>
      <c r="AN435" s="28"/>
      <c r="AO435" s="28"/>
      <c r="AP435" s="28"/>
      <c r="AQ435" s="28"/>
      <c r="AR435" s="28"/>
      <c r="AS435" s="28"/>
      <c r="AT435" s="28"/>
      <c r="AU435" s="28"/>
      <c r="AV435" s="24"/>
      <c r="AW435" s="28"/>
      <c r="AX435" s="28"/>
      <c r="AY435" s="28"/>
      <c r="AZ435" s="28"/>
      <c r="BA435" s="28"/>
      <c r="BB435" s="28"/>
      <c r="BC435" s="24"/>
      <c r="BD435" s="28"/>
      <c r="BE435" s="28"/>
      <c r="BF435" s="28"/>
      <c r="BG435" s="24"/>
      <c r="BH435" s="28"/>
      <c r="BI435" s="28"/>
      <c r="BJ435" s="28"/>
    </row>
    <row r="436" spans="1:62">
      <c r="A436" s="24"/>
      <c r="B436" s="28"/>
      <c r="C436" s="25"/>
      <c r="D436" s="26"/>
      <c r="E436" s="24"/>
      <c r="F436" s="24"/>
      <c r="G436" s="26"/>
      <c r="H436" s="26"/>
      <c r="I436" s="26"/>
      <c r="J436" s="26"/>
      <c r="K436" s="26"/>
      <c r="L436" s="26"/>
      <c r="M436" s="26"/>
      <c r="N436" s="26"/>
      <c r="P436" s="26"/>
      <c r="Q436" s="26"/>
      <c r="R436" s="25"/>
      <c r="S436" s="25"/>
      <c r="T436" s="25"/>
      <c r="U436" s="25"/>
      <c r="V436" s="24"/>
      <c r="W436" s="24"/>
      <c r="X436" s="24"/>
      <c r="Y436" s="26"/>
      <c r="Z436" s="26"/>
      <c r="AA436" s="24"/>
      <c r="AB436" s="24"/>
      <c r="AC436" s="24"/>
      <c r="AD436" s="24"/>
      <c r="AE436" s="26"/>
      <c r="AF436" s="26"/>
      <c r="AG436" s="24"/>
      <c r="AH436" s="24"/>
      <c r="AI436" s="28"/>
      <c r="AJ436" s="28"/>
      <c r="AK436" s="28"/>
      <c r="AL436" s="28"/>
      <c r="AM436" s="28"/>
      <c r="AN436" s="28"/>
      <c r="AO436" s="28"/>
      <c r="AP436" s="28"/>
      <c r="AQ436" s="28"/>
      <c r="AR436" s="28"/>
      <c r="AS436" s="28"/>
      <c r="AT436" s="28"/>
      <c r="AU436" s="28"/>
      <c r="AV436" s="24"/>
      <c r="AW436" s="28"/>
      <c r="AX436" s="28"/>
      <c r="AY436" s="28"/>
      <c r="AZ436" s="28"/>
      <c r="BA436" s="28"/>
      <c r="BB436" s="28"/>
      <c r="BC436" s="24"/>
      <c r="BD436" s="28"/>
      <c r="BE436" s="28"/>
      <c r="BF436" s="28"/>
      <c r="BG436" s="24"/>
      <c r="BH436" s="28"/>
      <c r="BI436" s="28"/>
      <c r="BJ436" s="28"/>
    </row>
    <row r="437" spans="1:62">
      <c r="A437" s="24"/>
      <c r="B437" s="28"/>
      <c r="C437" s="25"/>
      <c r="D437" s="26"/>
      <c r="E437" s="24"/>
      <c r="F437" s="24"/>
      <c r="G437" s="26"/>
      <c r="H437" s="26"/>
      <c r="I437" s="26"/>
      <c r="J437" s="26"/>
      <c r="K437" s="26"/>
      <c r="L437" s="26"/>
      <c r="M437" s="26"/>
      <c r="N437" s="26"/>
      <c r="P437" s="26"/>
      <c r="Q437" s="26"/>
      <c r="R437" s="25"/>
      <c r="S437" s="25"/>
      <c r="T437" s="25"/>
      <c r="U437" s="25"/>
      <c r="V437" s="24"/>
      <c r="W437" s="24"/>
      <c r="X437" s="24"/>
      <c r="Y437" s="26"/>
      <c r="Z437" s="26"/>
      <c r="AA437" s="24"/>
      <c r="AB437" s="24"/>
      <c r="AC437" s="24"/>
      <c r="AD437" s="24"/>
      <c r="AE437" s="26"/>
      <c r="AF437" s="26"/>
      <c r="AG437" s="24"/>
      <c r="AH437" s="24"/>
      <c r="AI437" s="28"/>
      <c r="AJ437" s="28"/>
      <c r="AK437" s="28"/>
      <c r="AL437" s="28"/>
      <c r="AM437" s="28"/>
      <c r="AN437" s="28"/>
      <c r="AO437" s="28"/>
      <c r="AP437" s="28"/>
      <c r="AQ437" s="28"/>
      <c r="AR437" s="28"/>
      <c r="AS437" s="28"/>
      <c r="AT437" s="28"/>
      <c r="AU437" s="28"/>
      <c r="AV437" s="24"/>
      <c r="AW437" s="28"/>
      <c r="AX437" s="28"/>
      <c r="AY437" s="28"/>
      <c r="AZ437" s="28"/>
      <c r="BA437" s="28"/>
      <c r="BB437" s="28"/>
      <c r="BC437" s="24"/>
      <c r="BD437" s="28"/>
      <c r="BE437" s="28"/>
      <c r="BF437" s="28"/>
      <c r="BG437" s="24"/>
      <c r="BH437" s="28"/>
      <c r="BI437" s="28"/>
      <c r="BJ437" s="28"/>
    </row>
    <row r="438" spans="1:62">
      <c r="A438" s="24"/>
      <c r="B438" s="28"/>
      <c r="C438" s="25"/>
      <c r="D438" s="26"/>
      <c r="E438" s="24"/>
      <c r="F438" s="24"/>
      <c r="G438" s="26"/>
      <c r="H438" s="26"/>
      <c r="I438" s="26"/>
      <c r="J438" s="26"/>
      <c r="K438" s="26"/>
      <c r="L438" s="26"/>
      <c r="M438" s="26"/>
      <c r="N438" s="26"/>
      <c r="P438" s="26"/>
      <c r="Q438" s="26"/>
      <c r="R438" s="25"/>
      <c r="S438" s="25"/>
      <c r="T438" s="25"/>
      <c r="U438" s="25"/>
      <c r="V438" s="24"/>
      <c r="W438" s="24"/>
      <c r="X438" s="24"/>
      <c r="Y438" s="26"/>
      <c r="Z438" s="26"/>
      <c r="AA438" s="24"/>
      <c r="AB438" s="24"/>
      <c r="AC438" s="24"/>
      <c r="AD438" s="24"/>
      <c r="AE438" s="26"/>
      <c r="AF438" s="26"/>
      <c r="AG438" s="24"/>
      <c r="AH438" s="24"/>
      <c r="AI438" s="28"/>
      <c r="AJ438" s="28"/>
      <c r="AK438" s="28"/>
      <c r="AL438" s="28"/>
      <c r="AM438" s="28"/>
      <c r="AN438" s="28"/>
      <c r="AO438" s="28"/>
      <c r="AP438" s="28"/>
      <c r="AQ438" s="28"/>
      <c r="AR438" s="28"/>
      <c r="AS438" s="28"/>
      <c r="AT438" s="28"/>
      <c r="AU438" s="28"/>
      <c r="AV438" s="24"/>
      <c r="AW438" s="28"/>
      <c r="AX438" s="28"/>
      <c r="AY438" s="28"/>
      <c r="AZ438" s="28"/>
      <c r="BA438" s="28"/>
      <c r="BB438" s="28"/>
      <c r="BC438" s="24"/>
      <c r="BD438" s="28"/>
      <c r="BE438" s="28"/>
      <c r="BF438" s="28"/>
      <c r="BG438" s="24"/>
      <c r="BH438" s="28"/>
      <c r="BI438" s="28"/>
      <c r="BJ438" s="28"/>
    </row>
    <row r="439" spans="1:62">
      <c r="A439" s="24"/>
      <c r="B439" s="28"/>
      <c r="C439" s="25"/>
      <c r="D439" s="26"/>
      <c r="E439" s="24"/>
      <c r="F439" s="24"/>
      <c r="G439" s="26"/>
      <c r="H439" s="26"/>
      <c r="I439" s="26"/>
      <c r="J439" s="26"/>
      <c r="K439" s="26"/>
      <c r="L439" s="26"/>
      <c r="M439" s="26"/>
      <c r="N439" s="26"/>
      <c r="P439" s="26"/>
      <c r="Q439" s="26"/>
      <c r="R439" s="25"/>
      <c r="S439" s="25"/>
      <c r="T439" s="25"/>
      <c r="U439" s="25"/>
      <c r="V439" s="24"/>
      <c r="W439" s="24"/>
      <c r="X439" s="24"/>
      <c r="Y439" s="26"/>
      <c r="Z439" s="26"/>
      <c r="AA439" s="24"/>
      <c r="AB439" s="24"/>
      <c r="AC439" s="24"/>
      <c r="AD439" s="24"/>
      <c r="AE439" s="26"/>
      <c r="AF439" s="26"/>
      <c r="AG439" s="24"/>
      <c r="AH439" s="24"/>
      <c r="AI439" s="28"/>
      <c r="AJ439" s="28"/>
      <c r="AK439" s="28"/>
      <c r="AL439" s="28"/>
      <c r="AM439" s="28"/>
      <c r="AN439" s="28"/>
      <c r="AO439" s="28"/>
      <c r="AP439" s="28"/>
      <c r="AQ439" s="28"/>
      <c r="AR439" s="28"/>
      <c r="AS439" s="28"/>
      <c r="AT439" s="28"/>
      <c r="AU439" s="28"/>
      <c r="AV439" s="24"/>
      <c r="AW439" s="28"/>
      <c r="AX439" s="28"/>
      <c r="AY439" s="28"/>
      <c r="AZ439" s="28"/>
      <c r="BA439" s="28"/>
      <c r="BB439" s="28"/>
      <c r="BC439" s="24"/>
      <c r="BD439" s="28"/>
      <c r="BE439" s="28"/>
      <c r="BF439" s="28"/>
      <c r="BG439" s="24"/>
      <c r="BH439" s="28"/>
      <c r="BI439" s="28"/>
      <c r="BJ439" s="28"/>
    </row>
    <row r="440" spans="1:62">
      <c r="A440" s="24"/>
      <c r="B440" s="28"/>
      <c r="C440" s="25"/>
      <c r="D440" s="26"/>
      <c r="E440" s="24"/>
      <c r="F440" s="24"/>
      <c r="G440" s="26"/>
      <c r="H440" s="26"/>
      <c r="I440" s="26"/>
      <c r="J440" s="26"/>
      <c r="K440" s="26"/>
      <c r="L440" s="26"/>
      <c r="M440" s="26"/>
      <c r="N440" s="26"/>
      <c r="P440" s="26"/>
      <c r="Q440" s="26"/>
      <c r="R440" s="25"/>
      <c r="S440" s="25"/>
      <c r="T440" s="25"/>
      <c r="U440" s="25"/>
      <c r="V440" s="24"/>
      <c r="W440" s="24"/>
      <c r="X440" s="24"/>
      <c r="Y440" s="26"/>
      <c r="Z440" s="26"/>
      <c r="AA440" s="24"/>
      <c r="AB440" s="24"/>
      <c r="AC440" s="24"/>
      <c r="AD440" s="24"/>
      <c r="AE440" s="26"/>
      <c r="AF440" s="26"/>
      <c r="AG440" s="24"/>
      <c r="AH440" s="24"/>
      <c r="AI440" s="28"/>
      <c r="AJ440" s="28"/>
      <c r="AK440" s="28"/>
      <c r="AL440" s="28"/>
      <c r="AM440" s="28"/>
      <c r="AN440" s="28"/>
      <c r="AO440" s="28"/>
      <c r="AP440" s="28"/>
      <c r="AQ440" s="28"/>
      <c r="AR440" s="28"/>
      <c r="AS440" s="28"/>
      <c r="AT440" s="28"/>
      <c r="AU440" s="28"/>
      <c r="AV440" s="24"/>
      <c r="AW440" s="28"/>
      <c r="AX440" s="28"/>
      <c r="AY440" s="28"/>
      <c r="AZ440" s="28"/>
      <c r="BA440" s="28"/>
      <c r="BB440" s="28"/>
      <c r="BC440" s="24"/>
      <c r="BD440" s="28"/>
      <c r="BE440" s="28"/>
      <c r="BF440" s="28"/>
      <c r="BG440" s="24"/>
      <c r="BH440" s="28"/>
      <c r="BI440" s="28"/>
      <c r="BJ440" s="28"/>
    </row>
    <row r="441" spans="1:62">
      <c r="A441" s="24"/>
      <c r="B441" s="28"/>
      <c r="C441" s="25"/>
      <c r="D441" s="26"/>
      <c r="E441" s="24"/>
      <c r="F441" s="24"/>
      <c r="G441" s="26"/>
      <c r="H441" s="26"/>
      <c r="I441" s="26"/>
      <c r="J441" s="26"/>
      <c r="K441" s="26"/>
      <c r="L441" s="26"/>
      <c r="M441" s="26"/>
      <c r="N441" s="26"/>
      <c r="P441" s="26"/>
      <c r="Q441" s="26"/>
      <c r="R441" s="25"/>
      <c r="S441" s="25"/>
      <c r="T441" s="25"/>
      <c r="U441" s="25"/>
      <c r="V441" s="24"/>
      <c r="W441" s="24"/>
      <c r="X441" s="24"/>
      <c r="Y441" s="26"/>
      <c r="Z441" s="26"/>
      <c r="AA441" s="24"/>
      <c r="AB441" s="24"/>
      <c r="AC441" s="24"/>
      <c r="AD441" s="24"/>
      <c r="AE441" s="26"/>
      <c r="AF441" s="26"/>
      <c r="AG441" s="24"/>
      <c r="AH441" s="24"/>
      <c r="AI441" s="28"/>
      <c r="AJ441" s="28"/>
      <c r="AK441" s="28"/>
      <c r="AL441" s="28"/>
      <c r="AM441" s="28"/>
      <c r="AN441" s="28"/>
      <c r="AO441" s="28"/>
      <c r="AP441" s="28"/>
      <c r="AQ441" s="28"/>
      <c r="AR441" s="28"/>
      <c r="AS441" s="28"/>
      <c r="AT441" s="28"/>
      <c r="AU441" s="28"/>
      <c r="AV441" s="24"/>
      <c r="AW441" s="28"/>
      <c r="AX441" s="28"/>
      <c r="AY441" s="28"/>
      <c r="AZ441" s="28"/>
      <c r="BA441" s="28"/>
      <c r="BB441" s="28"/>
      <c r="BC441" s="24"/>
      <c r="BD441" s="28"/>
      <c r="BE441" s="28"/>
      <c r="BF441" s="28"/>
      <c r="BG441" s="24"/>
      <c r="BH441" s="28"/>
      <c r="BI441" s="28"/>
      <c r="BJ441" s="28"/>
    </row>
    <row r="442" spans="1:62">
      <c r="A442" s="24"/>
      <c r="B442" s="28"/>
      <c r="C442" s="25"/>
      <c r="D442" s="26"/>
      <c r="E442" s="24"/>
      <c r="F442" s="24"/>
      <c r="G442" s="26"/>
      <c r="H442" s="26"/>
      <c r="I442" s="26"/>
      <c r="J442" s="26"/>
      <c r="K442" s="26"/>
      <c r="L442" s="26"/>
      <c r="M442" s="26"/>
      <c r="N442" s="26"/>
      <c r="P442" s="26"/>
      <c r="Q442" s="26"/>
      <c r="R442" s="25"/>
      <c r="S442" s="25"/>
      <c r="T442" s="25"/>
      <c r="U442" s="25"/>
      <c r="V442" s="24"/>
      <c r="W442" s="24"/>
      <c r="X442" s="24"/>
      <c r="Y442" s="26"/>
      <c r="Z442" s="26"/>
      <c r="AA442" s="24"/>
      <c r="AB442" s="24"/>
      <c r="AC442" s="24"/>
      <c r="AD442" s="24"/>
      <c r="AE442" s="26"/>
      <c r="AF442" s="26"/>
      <c r="AG442" s="24"/>
      <c r="AH442" s="24"/>
      <c r="AI442" s="28"/>
      <c r="AJ442" s="28"/>
      <c r="AK442" s="28"/>
      <c r="AL442" s="28"/>
      <c r="AM442" s="28"/>
      <c r="AN442" s="28"/>
      <c r="AO442" s="28"/>
      <c r="AP442" s="28"/>
      <c r="AQ442" s="28"/>
      <c r="AR442" s="28"/>
      <c r="AS442" s="28"/>
      <c r="AT442" s="28"/>
      <c r="AU442" s="28"/>
      <c r="AV442" s="24"/>
      <c r="AW442" s="28"/>
      <c r="AX442" s="28"/>
      <c r="AY442" s="28"/>
      <c r="AZ442" s="28"/>
      <c r="BA442" s="28"/>
      <c r="BB442" s="28"/>
      <c r="BC442" s="24"/>
      <c r="BD442" s="28"/>
      <c r="BE442" s="28"/>
      <c r="BF442" s="28"/>
      <c r="BG442" s="24"/>
      <c r="BH442" s="28"/>
      <c r="BI442" s="28"/>
      <c r="BJ442" s="28"/>
    </row>
    <row r="443" spans="1:62">
      <c r="A443" s="24"/>
      <c r="B443" s="28"/>
      <c r="C443" s="25"/>
      <c r="D443" s="26"/>
      <c r="E443" s="24"/>
      <c r="F443" s="24"/>
      <c r="G443" s="26"/>
      <c r="H443" s="26"/>
      <c r="I443" s="26"/>
      <c r="J443" s="26"/>
      <c r="K443" s="26"/>
      <c r="L443" s="26"/>
      <c r="M443" s="26"/>
      <c r="N443" s="26"/>
      <c r="P443" s="26"/>
      <c r="Q443" s="26"/>
      <c r="R443" s="25"/>
      <c r="S443" s="25"/>
      <c r="T443" s="25"/>
      <c r="U443" s="25"/>
      <c r="V443" s="24"/>
      <c r="W443" s="24"/>
      <c r="X443" s="24"/>
      <c r="Y443" s="26"/>
      <c r="Z443" s="26"/>
      <c r="AA443" s="24"/>
      <c r="AB443" s="24"/>
      <c r="AC443" s="24"/>
      <c r="AD443" s="24"/>
      <c r="AE443" s="26"/>
      <c r="AF443" s="26"/>
      <c r="AG443" s="24"/>
      <c r="AH443" s="24"/>
      <c r="AI443" s="28"/>
      <c r="AJ443" s="28"/>
      <c r="AK443" s="28"/>
      <c r="AL443" s="28"/>
      <c r="AM443" s="28"/>
      <c r="AN443" s="28"/>
      <c r="AO443" s="28"/>
      <c r="AP443" s="28"/>
      <c r="AQ443" s="28"/>
      <c r="AR443" s="28"/>
      <c r="AS443" s="28"/>
      <c r="AT443" s="28"/>
      <c r="AU443" s="28"/>
      <c r="AV443" s="24"/>
      <c r="AW443" s="28"/>
      <c r="AX443" s="28"/>
      <c r="AY443" s="28"/>
      <c r="AZ443" s="28"/>
      <c r="BA443" s="28"/>
      <c r="BB443" s="28"/>
      <c r="BC443" s="24"/>
      <c r="BD443" s="28"/>
      <c r="BE443" s="28"/>
      <c r="BF443" s="28"/>
      <c r="BG443" s="24"/>
      <c r="BH443" s="28"/>
      <c r="BI443" s="28"/>
      <c r="BJ443" s="28"/>
    </row>
    <row r="444" spans="1:62">
      <c r="A444" s="24"/>
      <c r="B444" s="28"/>
      <c r="C444" s="25"/>
      <c r="D444" s="26"/>
      <c r="E444" s="24"/>
      <c r="F444" s="24"/>
      <c r="G444" s="26"/>
      <c r="H444" s="26"/>
      <c r="I444" s="26"/>
      <c r="J444" s="26"/>
      <c r="K444" s="26"/>
      <c r="L444" s="26"/>
      <c r="M444" s="26"/>
      <c r="N444" s="26"/>
      <c r="P444" s="26"/>
      <c r="Q444" s="26"/>
      <c r="R444" s="25"/>
      <c r="S444" s="25"/>
      <c r="T444" s="25"/>
      <c r="U444" s="25"/>
      <c r="V444" s="24"/>
      <c r="W444" s="24"/>
      <c r="X444" s="24"/>
      <c r="Y444" s="26"/>
      <c r="Z444" s="26"/>
      <c r="AA444" s="24"/>
      <c r="AB444" s="24"/>
      <c r="AC444" s="24"/>
      <c r="AD444" s="24"/>
      <c r="AE444" s="26"/>
      <c r="AF444" s="26"/>
      <c r="AG444" s="24"/>
      <c r="AH444" s="24"/>
      <c r="AI444" s="28"/>
      <c r="AJ444" s="28"/>
      <c r="AK444" s="28"/>
      <c r="AL444" s="28"/>
      <c r="AM444" s="28"/>
      <c r="AN444" s="28"/>
      <c r="AO444" s="28"/>
      <c r="AP444" s="28"/>
      <c r="AQ444" s="28"/>
      <c r="AR444" s="28"/>
      <c r="AS444" s="28"/>
      <c r="AT444" s="28"/>
      <c r="AU444" s="28"/>
      <c r="AV444" s="24"/>
      <c r="AW444" s="28"/>
      <c r="AX444" s="28"/>
      <c r="AY444" s="28"/>
      <c r="AZ444" s="28"/>
      <c r="BA444" s="28"/>
      <c r="BB444" s="28"/>
      <c r="BC444" s="24"/>
      <c r="BD444" s="28"/>
      <c r="BE444" s="28"/>
      <c r="BF444" s="28"/>
      <c r="BG444" s="24"/>
      <c r="BH444" s="28"/>
      <c r="BI444" s="28"/>
      <c r="BJ444" s="28"/>
    </row>
    <row r="445" spans="1:62">
      <c r="A445" s="24"/>
      <c r="B445" s="28"/>
      <c r="C445" s="25"/>
      <c r="D445" s="26"/>
      <c r="E445" s="24"/>
      <c r="F445" s="24"/>
      <c r="G445" s="26"/>
      <c r="H445" s="26"/>
      <c r="I445" s="26"/>
      <c r="J445" s="26"/>
      <c r="K445" s="26"/>
      <c r="L445" s="26"/>
      <c r="M445" s="26"/>
      <c r="N445" s="26"/>
      <c r="P445" s="26"/>
      <c r="Q445" s="26"/>
      <c r="R445" s="25"/>
      <c r="S445" s="25"/>
      <c r="T445" s="25"/>
      <c r="U445" s="25"/>
      <c r="V445" s="24"/>
      <c r="W445" s="24"/>
      <c r="X445" s="24"/>
      <c r="Y445" s="26"/>
      <c r="Z445" s="26"/>
      <c r="AA445" s="24"/>
      <c r="AB445" s="24"/>
      <c r="AC445" s="24"/>
      <c r="AD445" s="24"/>
      <c r="AE445" s="26"/>
      <c r="AF445" s="26"/>
      <c r="AG445" s="24"/>
      <c r="AH445" s="24"/>
      <c r="AI445" s="28"/>
      <c r="AJ445" s="28"/>
      <c r="AK445" s="28"/>
      <c r="AL445" s="28"/>
      <c r="AM445" s="28"/>
      <c r="AN445" s="28"/>
      <c r="AO445" s="28"/>
      <c r="AP445" s="28"/>
      <c r="AQ445" s="28"/>
      <c r="AR445" s="28"/>
      <c r="AS445" s="28"/>
      <c r="AT445" s="28"/>
      <c r="AU445" s="28"/>
      <c r="AV445" s="24"/>
      <c r="AW445" s="28"/>
      <c r="AX445" s="28"/>
      <c r="AY445" s="28"/>
      <c r="AZ445" s="28"/>
      <c r="BA445" s="28"/>
      <c r="BB445" s="28"/>
      <c r="BC445" s="24"/>
      <c r="BD445" s="28"/>
      <c r="BE445" s="28"/>
      <c r="BF445" s="28"/>
      <c r="BG445" s="24"/>
      <c r="BH445" s="28"/>
      <c r="BI445" s="28"/>
      <c r="BJ445" s="28"/>
    </row>
    <row r="446" spans="1:62">
      <c r="A446" s="24"/>
      <c r="B446" s="28"/>
      <c r="C446" s="25"/>
      <c r="D446" s="26"/>
      <c r="E446" s="24"/>
      <c r="F446" s="24"/>
      <c r="G446" s="26"/>
      <c r="H446" s="26"/>
      <c r="I446" s="26"/>
      <c r="J446" s="26"/>
      <c r="K446" s="26"/>
      <c r="L446" s="26"/>
      <c r="M446" s="26"/>
      <c r="N446" s="26"/>
      <c r="P446" s="26"/>
      <c r="Q446" s="26"/>
      <c r="R446" s="25"/>
      <c r="S446" s="25"/>
      <c r="T446" s="25"/>
      <c r="U446" s="25"/>
      <c r="V446" s="24"/>
      <c r="W446" s="24"/>
      <c r="X446" s="24"/>
      <c r="Y446" s="26"/>
      <c r="Z446" s="26"/>
      <c r="AA446" s="24"/>
      <c r="AB446" s="24"/>
      <c r="AC446" s="24"/>
      <c r="AD446" s="24"/>
      <c r="AE446" s="26"/>
      <c r="AF446" s="26"/>
      <c r="AG446" s="24"/>
      <c r="AH446" s="24"/>
      <c r="AI446" s="28"/>
      <c r="AJ446" s="28"/>
      <c r="AK446" s="28"/>
      <c r="AL446" s="28"/>
      <c r="AM446" s="28"/>
      <c r="AN446" s="28"/>
      <c r="AO446" s="28"/>
      <c r="AP446" s="28"/>
      <c r="AQ446" s="28"/>
      <c r="AR446" s="28"/>
      <c r="AS446" s="28"/>
      <c r="AT446" s="28"/>
      <c r="AU446" s="28"/>
      <c r="AV446" s="24"/>
      <c r="AW446" s="28"/>
      <c r="AX446" s="28"/>
      <c r="AY446" s="28"/>
      <c r="AZ446" s="28"/>
      <c r="BA446" s="28"/>
      <c r="BB446" s="28"/>
      <c r="BC446" s="24"/>
      <c r="BD446" s="28"/>
      <c r="BE446" s="28"/>
      <c r="BF446" s="28"/>
      <c r="BG446" s="24"/>
      <c r="BH446" s="28"/>
      <c r="BI446" s="28"/>
      <c r="BJ446" s="28"/>
    </row>
    <row r="447" spans="1:62">
      <c r="A447" s="24"/>
      <c r="B447" s="28"/>
      <c r="C447" s="25"/>
      <c r="D447" s="26"/>
      <c r="E447" s="24"/>
      <c r="F447" s="24"/>
      <c r="G447" s="26"/>
      <c r="H447" s="26"/>
      <c r="I447" s="26"/>
      <c r="J447" s="26"/>
      <c r="K447" s="26"/>
      <c r="L447" s="26"/>
      <c r="M447" s="26"/>
      <c r="N447" s="26"/>
      <c r="P447" s="26"/>
      <c r="Q447" s="26"/>
      <c r="R447" s="25"/>
      <c r="S447" s="25"/>
      <c r="T447" s="25"/>
      <c r="U447" s="25"/>
      <c r="V447" s="24"/>
      <c r="W447" s="24"/>
      <c r="X447" s="24"/>
      <c r="Y447" s="26"/>
      <c r="Z447" s="26"/>
      <c r="AA447" s="24"/>
      <c r="AB447" s="24"/>
      <c r="AC447" s="24"/>
      <c r="AD447" s="24"/>
      <c r="AE447" s="26"/>
      <c r="AF447" s="26"/>
      <c r="AG447" s="24"/>
      <c r="AH447" s="24"/>
      <c r="AI447" s="28"/>
      <c r="AJ447" s="28"/>
      <c r="AK447" s="28"/>
      <c r="AL447" s="28"/>
      <c r="AM447" s="28"/>
      <c r="AN447" s="28"/>
      <c r="AO447" s="28"/>
      <c r="AP447" s="28"/>
      <c r="AQ447" s="28"/>
      <c r="AR447" s="28"/>
      <c r="AS447" s="28"/>
      <c r="AT447" s="28"/>
      <c r="AU447" s="28"/>
      <c r="AV447" s="24"/>
      <c r="AW447" s="28"/>
      <c r="AX447" s="28"/>
      <c r="AY447" s="28"/>
      <c r="AZ447" s="28"/>
      <c r="BA447" s="28"/>
      <c r="BB447" s="28"/>
      <c r="BC447" s="24"/>
      <c r="BD447" s="28"/>
      <c r="BE447" s="28"/>
      <c r="BF447" s="28"/>
      <c r="BG447" s="24"/>
      <c r="BH447" s="28"/>
      <c r="BI447" s="28"/>
      <c r="BJ447" s="28"/>
    </row>
    <row r="448" spans="1:62">
      <c r="A448" s="24"/>
      <c r="B448" s="28"/>
      <c r="C448" s="25"/>
      <c r="D448" s="26"/>
      <c r="E448" s="24"/>
      <c r="F448" s="24"/>
      <c r="G448" s="26"/>
      <c r="H448" s="26"/>
      <c r="I448" s="26"/>
      <c r="J448" s="26"/>
      <c r="K448" s="26"/>
      <c r="L448" s="26"/>
      <c r="M448" s="26"/>
      <c r="N448" s="26"/>
      <c r="P448" s="26"/>
      <c r="Q448" s="26"/>
      <c r="R448" s="25"/>
      <c r="S448" s="25"/>
      <c r="T448" s="25"/>
      <c r="U448" s="25"/>
      <c r="V448" s="24"/>
      <c r="W448" s="24"/>
      <c r="X448" s="24"/>
      <c r="Y448" s="26"/>
      <c r="Z448" s="26"/>
      <c r="AA448" s="24"/>
      <c r="AB448" s="24"/>
      <c r="AC448" s="24"/>
      <c r="AD448" s="24"/>
      <c r="AE448" s="26"/>
      <c r="AF448" s="26"/>
      <c r="AG448" s="24"/>
      <c r="AH448" s="24"/>
      <c r="AI448" s="28"/>
      <c r="AJ448" s="28"/>
      <c r="AK448" s="28"/>
      <c r="AL448" s="28"/>
      <c r="AM448" s="28"/>
      <c r="AN448" s="28"/>
      <c r="AO448" s="28"/>
      <c r="AP448" s="28"/>
      <c r="AQ448" s="28"/>
      <c r="AR448" s="28"/>
      <c r="AS448" s="28"/>
      <c r="AT448" s="28"/>
      <c r="AU448" s="28"/>
      <c r="AV448" s="24"/>
      <c r="AW448" s="28"/>
      <c r="AX448" s="28"/>
      <c r="AY448" s="28"/>
      <c r="AZ448" s="28"/>
      <c r="BA448" s="28"/>
      <c r="BB448" s="28"/>
      <c r="BC448" s="24"/>
      <c r="BD448" s="28"/>
      <c r="BE448" s="28"/>
      <c r="BF448" s="28"/>
      <c r="BG448" s="24"/>
      <c r="BH448" s="28"/>
      <c r="BI448" s="28"/>
      <c r="BJ448" s="28"/>
    </row>
    <row r="449" spans="1:62">
      <c r="A449" s="24"/>
      <c r="B449" s="28"/>
      <c r="C449" s="25"/>
      <c r="D449" s="26"/>
      <c r="E449" s="24"/>
      <c r="F449" s="24"/>
      <c r="G449" s="26"/>
      <c r="H449" s="26"/>
      <c r="I449" s="26"/>
      <c r="J449" s="26"/>
      <c r="K449" s="26"/>
      <c r="L449" s="26"/>
      <c r="M449" s="26"/>
      <c r="N449" s="26"/>
      <c r="P449" s="26"/>
      <c r="Q449" s="26"/>
      <c r="R449" s="25"/>
      <c r="S449" s="25"/>
      <c r="T449" s="25"/>
      <c r="U449" s="25"/>
      <c r="V449" s="24"/>
      <c r="W449" s="24"/>
      <c r="X449" s="24"/>
      <c r="Y449" s="26"/>
      <c r="Z449" s="26"/>
      <c r="AA449" s="24"/>
      <c r="AB449" s="24"/>
      <c r="AC449" s="24"/>
      <c r="AD449" s="24"/>
      <c r="AE449" s="26"/>
      <c r="AF449" s="26"/>
      <c r="AG449" s="24"/>
      <c r="AH449" s="24"/>
      <c r="AI449" s="28"/>
      <c r="AJ449" s="28"/>
      <c r="AK449" s="28"/>
      <c r="AL449" s="28"/>
      <c r="AM449" s="28"/>
      <c r="AN449" s="28"/>
      <c r="AO449" s="28"/>
      <c r="AP449" s="28"/>
      <c r="AQ449" s="28"/>
      <c r="AR449" s="28"/>
      <c r="AS449" s="28"/>
      <c r="AT449" s="28"/>
      <c r="AU449" s="28"/>
      <c r="AV449" s="24"/>
      <c r="AW449" s="28"/>
      <c r="AX449" s="28"/>
      <c r="AY449" s="28"/>
      <c r="AZ449" s="28"/>
      <c r="BA449" s="28"/>
      <c r="BB449" s="28"/>
      <c r="BC449" s="24"/>
      <c r="BD449" s="28"/>
      <c r="BE449" s="28"/>
      <c r="BF449" s="28"/>
      <c r="BG449" s="24"/>
      <c r="BH449" s="28"/>
      <c r="BI449" s="28"/>
      <c r="BJ449" s="28"/>
    </row>
    <row r="450" spans="1:62">
      <c r="Z450" s="26"/>
      <c r="AF450" s="26"/>
      <c r="AG450" s="24"/>
      <c r="AH450" s="24"/>
      <c r="AI450" s="28"/>
      <c r="AJ450" s="28"/>
      <c r="AK450" s="28"/>
      <c r="AL450" s="28"/>
      <c r="AM450" s="28"/>
      <c r="AN450" s="28"/>
      <c r="AO450" s="28"/>
      <c r="AP450" s="28"/>
      <c r="AQ450" s="28"/>
      <c r="AR450" s="28"/>
      <c r="AS450" s="28"/>
      <c r="AT450" s="28"/>
      <c r="AU450" s="28"/>
      <c r="AV450" s="24"/>
      <c r="AW450" s="28"/>
      <c r="AX450" s="28"/>
      <c r="AY450" s="28"/>
      <c r="AZ450" s="28"/>
      <c r="BA450" s="28"/>
      <c r="BB450" s="28"/>
      <c r="BC450" s="24"/>
      <c r="BD450" s="28"/>
      <c r="BE450" s="28"/>
      <c r="BF450" s="28"/>
      <c r="BG450" s="24"/>
      <c r="BH450" s="28"/>
      <c r="BI450" s="28"/>
      <c r="BJ450" s="28"/>
    </row>
    <row r="451" spans="1:62">
      <c r="Z451" s="26"/>
      <c r="AF451" s="26"/>
      <c r="AG451" s="24"/>
      <c r="AH451" s="24"/>
      <c r="AI451" s="28"/>
      <c r="AJ451" s="28"/>
      <c r="AK451" s="28"/>
      <c r="AL451" s="28"/>
      <c r="AM451" s="28"/>
      <c r="AN451" s="28"/>
      <c r="AO451" s="28"/>
      <c r="AP451" s="28"/>
      <c r="AQ451" s="28"/>
      <c r="AR451" s="28"/>
      <c r="AS451" s="28"/>
      <c r="AT451" s="28"/>
      <c r="AU451" s="28"/>
      <c r="AV451" s="24"/>
      <c r="AW451" s="28"/>
      <c r="AX451" s="28"/>
      <c r="AY451" s="28"/>
      <c r="AZ451" s="28"/>
      <c r="BA451" s="28"/>
      <c r="BB451" s="28"/>
      <c r="BC451" s="24"/>
      <c r="BD451" s="28"/>
      <c r="BE451" s="28"/>
      <c r="BF451" s="28"/>
      <c r="BG451" s="24"/>
      <c r="BH451" s="28"/>
      <c r="BI451" s="28"/>
      <c r="BJ451" s="28"/>
    </row>
    <row r="452" spans="1:62">
      <c r="Z452" s="26"/>
      <c r="AF452" s="26"/>
      <c r="AG452" s="24"/>
      <c r="AH452" s="24"/>
      <c r="AI452" s="28"/>
      <c r="AJ452" s="28"/>
      <c r="AK452" s="28"/>
      <c r="AL452" s="28"/>
      <c r="AM452" s="28"/>
      <c r="AN452" s="28"/>
      <c r="AO452" s="28"/>
      <c r="AP452" s="28"/>
      <c r="AQ452" s="28"/>
      <c r="AR452" s="28"/>
      <c r="AS452" s="28"/>
      <c r="AT452" s="28"/>
      <c r="AU452" s="28"/>
      <c r="AV452" s="24"/>
      <c r="AW452" s="28"/>
      <c r="AX452" s="28"/>
      <c r="AY452" s="28"/>
      <c r="AZ452" s="28"/>
      <c r="BA452" s="28"/>
      <c r="BB452" s="28"/>
      <c r="BC452" s="24"/>
      <c r="BD452" s="28"/>
      <c r="BE452" s="28"/>
      <c r="BF452" s="28"/>
      <c r="BG452" s="24"/>
      <c r="BH452" s="28"/>
      <c r="BI452" s="28"/>
      <c r="BJ452" s="28"/>
    </row>
    <row r="453" spans="1:62">
      <c r="Z453" s="26"/>
      <c r="AF453" s="26"/>
      <c r="AG453" s="24"/>
      <c r="AH453" s="24"/>
      <c r="AI453" s="28"/>
      <c r="AJ453" s="28"/>
      <c r="AK453" s="28"/>
      <c r="AL453" s="28"/>
      <c r="AM453" s="28"/>
      <c r="AN453" s="28"/>
      <c r="AO453" s="28"/>
      <c r="AP453" s="28"/>
      <c r="AQ453" s="28"/>
      <c r="AR453" s="28"/>
      <c r="AS453" s="28"/>
      <c r="AT453" s="28"/>
      <c r="AU453" s="28"/>
      <c r="AV453" s="24"/>
      <c r="AW453" s="28"/>
      <c r="AX453" s="28"/>
      <c r="AY453" s="28"/>
      <c r="AZ453" s="28"/>
      <c r="BA453" s="28"/>
      <c r="BB453" s="28"/>
      <c r="BC453" s="24"/>
      <c r="BD453" s="28"/>
      <c r="BE453" s="28"/>
      <c r="BF453" s="28"/>
      <c r="BG453" s="24"/>
      <c r="BH453" s="28"/>
      <c r="BI453" s="28"/>
      <c r="BJ453" s="28"/>
    </row>
    <row r="454" spans="1:62">
      <c r="Z454" s="26"/>
      <c r="AF454" s="26"/>
      <c r="AG454" s="24"/>
      <c r="AH454" s="24"/>
      <c r="AI454" s="28"/>
      <c r="AJ454" s="28"/>
      <c r="AK454" s="28"/>
      <c r="AL454" s="28"/>
      <c r="AM454" s="28"/>
      <c r="AN454" s="28"/>
      <c r="AO454" s="28"/>
      <c r="AP454" s="28"/>
      <c r="AQ454" s="28"/>
      <c r="AR454" s="28"/>
      <c r="AS454" s="28"/>
      <c r="AT454" s="28"/>
      <c r="AU454" s="28"/>
      <c r="AV454" s="24"/>
      <c r="AW454" s="28"/>
      <c r="AX454" s="28"/>
      <c r="AY454" s="28"/>
      <c r="AZ454" s="28"/>
      <c r="BA454" s="28"/>
      <c r="BB454" s="28"/>
      <c r="BC454" s="24"/>
      <c r="BD454" s="28"/>
      <c r="BE454" s="28"/>
      <c r="BF454" s="28"/>
      <c r="BG454" s="24"/>
      <c r="BH454" s="28"/>
      <c r="BI454" s="28"/>
      <c r="BJ454" s="28"/>
    </row>
    <row r="455" spans="1:62">
      <c r="Z455" s="26"/>
      <c r="AF455" s="26"/>
      <c r="AG455" s="24"/>
      <c r="AH455" s="24"/>
      <c r="AI455" s="28"/>
      <c r="AJ455" s="28"/>
      <c r="AK455" s="28"/>
      <c r="AL455" s="28"/>
      <c r="AM455" s="28"/>
      <c r="AN455" s="28"/>
      <c r="AO455" s="28"/>
      <c r="AP455" s="28"/>
      <c r="AQ455" s="28"/>
      <c r="AR455" s="28"/>
      <c r="AS455" s="28"/>
      <c r="AT455" s="28"/>
      <c r="AU455" s="28"/>
      <c r="AV455" s="24"/>
      <c r="AW455" s="28"/>
      <c r="AX455" s="28"/>
      <c r="AY455" s="28"/>
      <c r="AZ455" s="28"/>
      <c r="BA455" s="28"/>
      <c r="BB455" s="28"/>
      <c r="BC455" s="24"/>
      <c r="BD455" s="28"/>
      <c r="BE455" s="28"/>
      <c r="BF455" s="28"/>
      <c r="BG455" s="24"/>
      <c r="BH455" s="28"/>
      <c r="BI455" s="28"/>
      <c r="BJ455" s="28"/>
    </row>
    <row r="456" spans="1:62">
      <c r="Z456" s="26"/>
      <c r="AF456" s="26"/>
      <c r="AG456" s="24"/>
      <c r="AH456" s="24"/>
      <c r="AI456" s="28"/>
      <c r="AJ456" s="28"/>
      <c r="AK456" s="28"/>
      <c r="AL456" s="28"/>
      <c r="AM456" s="28"/>
      <c r="AN456" s="28"/>
      <c r="AO456" s="28"/>
      <c r="AP456" s="28"/>
      <c r="AQ456" s="28"/>
      <c r="AR456" s="28"/>
      <c r="AS456" s="28"/>
      <c r="AT456" s="28"/>
      <c r="AU456" s="28"/>
      <c r="AV456" s="24"/>
      <c r="AW456" s="28"/>
      <c r="AX456" s="28"/>
      <c r="AY456" s="28"/>
      <c r="AZ456" s="28"/>
      <c r="BA456" s="28"/>
      <c r="BB456" s="28"/>
      <c r="BC456" s="24"/>
      <c r="BD456" s="28"/>
      <c r="BE456" s="28"/>
      <c r="BF456" s="28"/>
      <c r="BG456" s="24"/>
      <c r="BH456" s="28"/>
      <c r="BI456" s="28"/>
      <c r="BJ456" s="28"/>
    </row>
    <row r="457" spans="1:62">
      <c r="Z457" s="26"/>
      <c r="AF457" s="26"/>
      <c r="AG457" s="24"/>
      <c r="AH457" s="24"/>
      <c r="AI457" s="28"/>
      <c r="AJ457" s="28"/>
      <c r="AK457" s="28"/>
      <c r="AL457" s="28"/>
      <c r="AM457" s="28"/>
      <c r="AN457" s="28"/>
      <c r="AO457" s="28"/>
      <c r="AP457" s="28"/>
      <c r="AQ457" s="28"/>
      <c r="AR457" s="28"/>
      <c r="AS457" s="28"/>
      <c r="AT457" s="28"/>
      <c r="AU457" s="28"/>
      <c r="AV457" s="24"/>
      <c r="AW457" s="28"/>
      <c r="AX457" s="28"/>
      <c r="AY457" s="28"/>
      <c r="AZ457" s="28"/>
      <c r="BA457" s="28"/>
      <c r="BB457" s="28"/>
      <c r="BC457" s="24"/>
      <c r="BD457" s="28"/>
      <c r="BE457" s="28"/>
      <c r="BF457" s="28"/>
      <c r="BG457" s="24"/>
      <c r="BH457" s="28"/>
      <c r="BI457" s="28"/>
      <c r="BJ457" s="28"/>
    </row>
  </sheetData>
  <protectedRanges>
    <protectedRange sqref="E7:N15 E19:N27 E31:N39 E43:N51 E55:N63 E67:N75 E79:N87 E91:N99" name="DDR2Data_1L"/>
  </protectedRanges>
  <mergeCells count="2">
    <mergeCell ref="A1:D1"/>
    <mergeCell ref="E1:F1"/>
  </mergeCells>
  <phoneticPr fontId="25" type="noConversion"/>
  <conditionalFormatting sqref="AG55:AR63 AG67:AR75 AG79:AR87 AG7:AR15 AG19:AR27 AG31:AR39 AG43:AR51 AG91:AR99">
    <cfRule type="cellIs" dxfId="6" priority="1" stopIfTrue="1" operator="equal">
      <formula>"Pass"</formula>
    </cfRule>
    <cfRule type="cellIs" dxfId="5" priority="2" stopIfTrue="1" operator="notEqual">
      <formula>"Pass"</formula>
    </cfRule>
  </conditionalFormatting>
  <conditionalFormatting sqref="AE43:AF51 AE55:AF63 AE79:AF87 AE7:AF15 AE91:AF99 AE19:AF27 AE67:AF75 Y7:Z15 Y55:Z63 Y43:Z51 Y19:Z27 Y31:Z39 Y79:Z87 Y67:Z75 Y91:Z99 AE31:AF39">
    <cfRule type="cellIs" priority="3" stopIfTrue="1" operator="equal">
      <formula>"Pass"</formula>
    </cfRule>
    <cfRule type="cellIs" dxfId="4" priority="4" stopIfTrue="1" operator="notEqual">
      <formula>"Pass"</formula>
    </cfRule>
  </conditionalFormatting>
  <conditionalFormatting sqref="S31:T39 S91:T99 S7:T15 S67:T75 S19:T27 S79:T87 S55:T63 S43:T51">
    <cfRule type="cellIs" dxfId="3" priority="5" stopIfTrue="1" operator="greaterThan">
      <formula>4000</formula>
    </cfRule>
    <cfRule type="cellIs" dxfId="2" priority="6" stopIfTrue="1" operator="lessThan">
      <formula>4000</formula>
    </cfRule>
  </conditionalFormatting>
  <conditionalFormatting sqref="A1:AS1">
    <cfRule type="expression" dxfId="1" priority="7" stopIfTrue="1">
      <formula>$E$1 = "Fail"</formula>
    </cfRule>
    <cfRule type="expression" dxfId="0" priority="8"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28675" r:id="rId4">
          <objectPr defaultSize="0" autoPict="0" r:id="rId5">
            <anchor moveWithCells="1">
              <from>
                <xdr:col>4</xdr:col>
                <xdr:colOff>0</xdr:colOff>
                <xdr:row>102</xdr:row>
                <xdr:rowOff>0</xdr:rowOff>
              </from>
              <to>
                <xdr:col>13</xdr:col>
                <xdr:colOff>723900</xdr:colOff>
                <xdr:row>113</xdr:row>
                <xdr:rowOff>38100</xdr:rowOff>
              </to>
            </anchor>
          </objectPr>
        </oleObject>
      </mc:Choice>
      <mc:Fallback>
        <oleObject progId="Visio.Drawing.11" shapeId="28675" r:id="rId4"/>
      </mc:Fallback>
    </mc:AlternateContent>
  </oleObjec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65"/>
  <sheetViews>
    <sheetView workbookViewId="0">
      <selection activeCell="AS27" sqref="AS27"/>
    </sheetView>
  </sheetViews>
  <sheetFormatPr defaultColWidth="9.140625" defaultRowHeight="12.75"/>
  <cols>
    <col min="1" max="1" width="35.140625" style="3" bestFit="1" customWidth="1"/>
    <col min="2" max="2" width="8.85546875" style="90" bestFit="1" customWidth="1"/>
    <col min="3" max="3" width="7.85546875" style="90" bestFit="1" customWidth="1"/>
    <col min="4" max="4" width="28" style="3" bestFit="1" customWidth="1"/>
    <col min="5" max="6" width="7.140625" style="3" bestFit="1" customWidth="1"/>
    <col min="7" max="16384" width="9.140625" style="3"/>
  </cols>
  <sheetData>
    <row r="1" spans="1:6">
      <c r="A1" s="86" t="s">
        <v>235</v>
      </c>
      <c r="B1" s="87" t="s">
        <v>11</v>
      </c>
      <c r="C1" s="87" t="s">
        <v>12</v>
      </c>
      <c r="D1" s="86" t="s">
        <v>236</v>
      </c>
      <c r="E1" s="87" t="s">
        <v>11</v>
      </c>
      <c r="F1" s="87" t="s">
        <v>12</v>
      </c>
    </row>
    <row r="2" spans="1:6">
      <c r="A2" s="92" t="s">
        <v>524</v>
      </c>
      <c r="B2" s="88">
        <v>-500</v>
      </c>
      <c r="C2" s="384">
        <v>500</v>
      </c>
      <c r="D2" s="92" t="s">
        <v>523</v>
      </c>
      <c r="E2" s="88">
        <v>-500</v>
      </c>
      <c r="F2" s="384">
        <v>1500</v>
      </c>
    </row>
    <row r="3" spans="1:6">
      <c r="A3" s="92" t="s">
        <v>194</v>
      </c>
      <c r="B3" s="89">
        <v>-210</v>
      </c>
      <c r="C3" s="89">
        <v>-190</v>
      </c>
      <c r="D3" s="92" t="s">
        <v>194</v>
      </c>
      <c r="E3" s="89">
        <v>-210</v>
      </c>
      <c r="F3" s="89">
        <v>-190</v>
      </c>
    </row>
    <row r="5" spans="1:6">
      <c r="A5" s="86" t="s">
        <v>235</v>
      </c>
      <c r="B5" s="87" t="s">
        <v>11</v>
      </c>
      <c r="C5" s="87" t="s">
        <v>12</v>
      </c>
      <c r="D5" s="86" t="s">
        <v>236</v>
      </c>
      <c r="E5" s="87" t="s">
        <v>11</v>
      </c>
      <c r="F5" s="87" t="s">
        <v>12</v>
      </c>
    </row>
    <row r="6" spans="1:6">
      <c r="A6" s="92" t="s">
        <v>205</v>
      </c>
      <c r="B6" s="89">
        <v>-1000</v>
      </c>
      <c r="C6" s="89">
        <v>0</v>
      </c>
      <c r="D6" s="92" t="s">
        <v>521</v>
      </c>
      <c r="E6" s="89">
        <v>0</v>
      </c>
      <c r="F6" s="89">
        <v>2000</v>
      </c>
    </row>
    <row r="7" spans="1:6">
      <c r="E7" s="90"/>
      <c r="F7" s="90"/>
    </row>
    <row r="8" spans="1:6">
      <c r="A8" s="86" t="s">
        <v>235</v>
      </c>
      <c r="B8" s="87" t="s">
        <v>11</v>
      </c>
      <c r="C8" s="87" t="s">
        <v>12</v>
      </c>
      <c r="D8" s="86" t="s">
        <v>236</v>
      </c>
      <c r="E8" s="87" t="s">
        <v>11</v>
      </c>
      <c r="F8" s="87" t="s">
        <v>12</v>
      </c>
    </row>
    <row r="9" spans="1:6">
      <c r="A9" s="92" t="s">
        <v>195</v>
      </c>
      <c r="B9" s="89">
        <v>-1000</v>
      </c>
      <c r="C9" s="89">
        <v>1000</v>
      </c>
      <c r="D9" s="92" t="s">
        <v>522</v>
      </c>
      <c r="E9" s="89">
        <v>0</v>
      </c>
      <c r="F9" s="89">
        <v>2000</v>
      </c>
    </row>
    <row r="11" spans="1:6">
      <c r="A11" s="3" t="s">
        <v>192</v>
      </c>
    </row>
    <row r="12" spans="1:6">
      <c r="A12" s="3" t="s">
        <v>9</v>
      </c>
    </row>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sheetData>
  <phoneticPr fontId="4"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8" tint="0.59999389629810485"/>
  </sheetPr>
  <dimension ref="A1:L162"/>
  <sheetViews>
    <sheetView topLeftCell="A29" workbookViewId="0">
      <selection activeCell="H34" sqref="H34"/>
    </sheetView>
  </sheetViews>
  <sheetFormatPr defaultColWidth="10.28515625" defaultRowHeight="16.5"/>
  <cols>
    <col min="1" max="1" width="28.140625" style="697" customWidth="1"/>
    <col min="2" max="2" width="44.5703125" style="697" customWidth="1"/>
    <col min="3" max="3" width="26.42578125" style="697" customWidth="1"/>
    <col min="4" max="4" width="23.7109375" style="697" customWidth="1"/>
    <col min="5" max="5" width="26.7109375" style="697" customWidth="1"/>
    <col min="6" max="6" width="29.85546875" style="697" customWidth="1"/>
    <col min="7" max="7" width="31.7109375" style="697" customWidth="1"/>
    <col min="8" max="8" width="19.85546875" style="697" customWidth="1"/>
    <col min="9" max="9" width="28.85546875" style="697" customWidth="1"/>
    <col min="10" max="10" width="17.7109375" style="697" customWidth="1"/>
    <col min="11" max="11" width="21.7109375" style="697" customWidth="1"/>
    <col min="12" max="12" width="20.85546875" style="698" customWidth="1"/>
    <col min="13" max="16384" width="10.28515625" style="697"/>
  </cols>
  <sheetData>
    <row r="1" spans="1:12" ht="31.5" thickBot="1">
      <c r="A1" s="736" t="s">
        <v>616</v>
      </c>
      <c r="B1" s="706"/>
      <c r="C1" s="689"/>
      <c r="D1" s="698"/>
      <c r="E1" s="698"/>
      <c r="F1" s="698"/>
    </row>
    <row r="2" spans="1:12" ht="34.5" thickTop="1" thickBot="1">
      <c r="A2" s="723" t="s">
        <v>617</v>
      </c>
      <c r="B2" s="724" t="s">
        <v>727</v>
      </c>
      <c r="C2" s="699" t="s">
        <v>618</v>
      </c>
      <c r="D2" s="702" t="s">
        <v>883</v>
      </c>
      <c r="E2" s="696" t="s">
        <v>884</v>
      </c>
      <c r="F2" s="696" t="s">
        <v>3</v>
      </c>
      <c r="G2" s="727" t="s">
        <v>619</v>
      </c>
      <c r="H2" s="725" t="s">
        <v>620</v>
      </c>
      <c r="I2" s="725" t="s">
        <v>621</v>
      </c>
      <c r="J2" s="701" t="s">
        <v>622</v>
      </c>
      <c r="K2" s="699" t="s">
        <v>623</v>
      </c>
      <c r="L2" s="767" t="s">
        <v>661</v>
      </c>
    </row>
    <row r="3" spans="1:12" ht="17.25" customHeight="1" thickTop="1" thickBot="1">
      <c r="A3" s="737" t="s">
        <v>624</v>
      </c>
      <c r="B3" s="798" t="s">
        <v>719</v>
      </c>
      <c r="C3" s="738">
        <v>6500</v>
      </c>
      <c r="D3" s="1021">
        <v>1211.47</v>
      </c>
      <c r="E3" s="732">
        <f t="shared" ref="E3:E10" si="0">C3-D3</f>
        <v>5288.53</v>
      </c>
      <c r="F3" s="825"/>
      <c r="G3" s="709" t="s">
        <v>625</v>
      </c>
      <c r="H3" s="788"/>
      <c r="I3" s="1213" t="s">
        <v>663</v>
      </c>
      <c r="J3" s="1218">
        <v>2</v>
      </c>
      <c r="K3" s="1240" t="s">
        <v>715</v>
      </c>
      <c r="L3" s="1236">
        <v>15</v>
      </c>
    </row>
    <row r="4" spans="1:12" ht="18" thickTop="1" thickBot="1">
      <c r="A4" s="739" t="s">
        <v>626</v>
      </c>
      <c r="B4" s="799" t="s">
        <v>664</v>
      </c>
      <c r="C4" s="740">
        <v>6500</v>
      </c>
      <c r="D4" s="1022">
        <v>1212.8599999999999</v>
      </c>
      <c r="E4" s="735">
        <f t="shared" si="0"/>
        <v>5287.14</v>
      </c>
      <c r="F4" s="899"/>
      <c r="G4" s="708">
        <f>F3-F4</f>
        <v>0</v>
      </c>
      <c r="H4" s="789"/>
      <c r="I4" s="1214"/>
      <c r="J4" s="1219"/>
      <c r="K4" s="1241"/>
      <c r="L4" s="1236"/>
    </row>
    <row r="5" spans="1:12" ht="18" thickTop="1" thickBot="1">
      <c r="A5" s="737" t="s">
        <v>627</v>
      </c>
      <c r="B5" s="798" t="s">
        <v>665</v>
      </c>
      <c r="C5" s="738">
        <v>6500</v>
      </c>
      <c r="D5" s="1023">
        <v>1213.1400000000001</v>
      </c>
      <c r="E5" s="830">
        <f t="shared" si="0"/>
        <v>5286.86</v>
      </c>
      <c r="F5" s="825"/>
      <c r="G5" s="952">
        <f>F3-F5</f>
        <v>0</v>
      </c>
      <c r="H5" s="790"/>
      <c r="I5" s="1214"/>
      <c r="J5" s="1219"/>
      <c r="K5" s="1241"/>
      <c r="L5" s="1236"/>
    </row>
    <row r="6" spans="1:12" ht="18" thickTop="1" thickBot="1">
      <c r="A6" s="739" t="s">
        <v>628</v>
      </c>
      <c r="B6" s="799" t="s">
        <v>666</v>
      </c>
      <c r="C6" s="740">
        <v>6500</v>
      </c>
      <c r="D6" s="1024">
        <v>1212.3699999999999</v>
      </c>
      <c r="E6" s="831">
        <f t="shared" si="0"/>
        <v>5287.63</v>
      </c>
      <c r="F6" s="899"/>
      <c r="G6" s="953">
        <f>F5-F6</f>
        <v>0</v>
      </c>
      <c r="H6" s="791"/>
      <c r="I6" s="1214"/>
      <c r="J6" s="1219"/>
      <c r="K6" s="1241"/>
      <c r="L6" s="1236"/>
    </row>
    <row r="7" spans="1:12" ht="18" thickTop="1" thickBot="1">
      <c r="A7" s="737" t="s">
        <v>629</v>
      </c>
      <c r="B7" s="798" t="s">
        <v>667</v>
      </c>
      <c r="C7" s="738">
        <v>6500</v>
      </c>
      <c r="D7" s="1021">
        <v>1211.71</v>
      </c>
      <c r="E7" s="830">
        <f t="shared" si="0"/>
        <v>5288.29</v>
      </c>
      <c r="F7" s="825"/>
      <c r="G7" s="949">
        <f>F3-F7</f>
        <v>0</v>
      </c>
      <c r="H7" s="788"/>
      <c r="I7" s="1214"/>
      <c r="J7" s="1219"/>
      <c r="K7" s="1241"/>
      <c r="L7" s="1236"/>
    </row>
    <row r="8" spans="1:12" ht="18" thickTop="1" thickBot="1">
      <c r="A8" s="739" t="s">
        <v>630</v>
      </c>
      <c r="B8" s="799" t="s">
        <v>668</v>
      </c>
      <c r="C8" s="740">
        <v>6500</v>
      </c>
      <c r="D8" s="1022">
        <v>1212.23</v>
      </c>
      <c r="E8" s="831">
        <f t="shared" si="0"/>
        <v>5287.77</v>
      </c>
      <c r="F8" s="899"/>
      <c r="G8" s="953">
        <f>F7-F8</f>
        <v>0</v>
      </c>
      <c r="H8" s="789"/>
      <c r="I8" s="1214"/>
      <c r="J8" s="1219"/>
      <c r="K8" s="1241"/>
      <c r="L8" s="1236"/>
    </row>
    <row r="9" spans="1:12" ht="18" thickTop="1" thickBot="1">
      <c r="A9" s="737" t="s">
        <v>631</v>
      </c>
      <c r="B9" s="798" t="s">
        <v>669</v>
      </c>
      <c r="C9" s="738">
        <v>6500</v>
      </c>
      <c r="D9" s="1021">
        <v>1211.47</v>
      </c>
      <c r="E9" s="830">
        <f t="shared" si="0"/>
        <v>5288.53</v>
      </c>
      <c r="F9" s="825"/>
      <c r="G9" s="837">
        <f>F5-F9</f>
        <v>0</v>
      </c>
      <c r="H9" s="788"/>
      <c r="I9" s="1214"/>
      <c r="J9" s="1219"/>
      <c r="K9" s="1241"/>
      <c r="L9" s="1236"/>
    </row>
    <row r="10" spans="1:12" ht="18" thickTop="1" thickBot="1">
      <c r="A10" s="739" t="s">
        <v>632</v>
      </c>
      <c r="B10" s="799" t="s">
        <v>670</v>
      </c>
      <c r="C10" s="740">
        <v>6500</v>
      </c>
      <c r="D10" s="1022">
        <v>1211.4000000000001</v>
      </c>
      <c r="E10" s="831">
        <f t="shared" si="0"/>
        <v>5288.6</v>
      </c>
      <c r="F10" s="899"/>
      <c r="G10" s="838">
        <f>F9-F10</f>
        <v>0</v>
      </c>
      <c r="H10" s="789"/>
      <c r="I10" s="1214"/>
      <c r="J10" s="1219"/>
      <c r="K10" s="1241"/>
      <c r="L10" s="1236"/>
    </row>
    <row r="11" spans="1:12" ht="18" thickTop="1" thickBot="1">
      <c r="A11" s="737" t="s">
        <v>633</v>
      </c>
      <c r="B11" s="800" t="s">
        <v>671</v>
      </c>
      <c r="C11" s="780"/>
      <c r="D11" s="1021"/>
      <c r="E11" s="732"/>
      <c r="F11" s="825"/>
      <c r="G11" s="837">
        <f>F7-F11</f>
        <v>0</v>
      </c>
      <c r="H11" s="788"/>
      <c r="I11" s="1214"/>
      <c r="J11" s="1219"/>
      <c r="K11" s="1241"/>
      <c r="L11" s="1236"/>
    </row>
    <row r="12" spans="1:12" ht="18" thickTop="1" thickBot="1">
      <c r="A12" s="739" t="s">
        <v>634</v>
      </c>
      <c r="B12" s="801" t="s">
        <v>671</v>
      </c>
      <c r="C12" s="781"/>
      <c r="D12" s="1024"/>
      <c r="E12" s="735"/>
      <c r="F12" s="899"/>
      <c r="G12" s="839">
        <f>F11-F12</f>
        <v>0</v>
      </c>
      <c r="H12" s="791"/>
      <c r="I12" s="1214"/>
      <c r="J12" s="1219"/>
      <c r="K12" s="1241"/>
      <c r="L12" s="1236"/>
    </row>
    <row r="13" spans="1:12" ht="18" thickTop="1" thickBot="1">
      <c r="A13" s="737" t="s">
        <v>635</v>
      </c>
      <c r="B13" s="800" t="s">
        <v>671</v>
      </c>
      <c r="C13" s="780"/>
      <c r="D13" s="1021"/>
      <c r="E13" s="732"/>
      <c r="F13" s="825"/>
      <c r="G13" s="837">
        <v>0</v>
      </c>
      <c r="H13" s="788"/>
      <c r="I13" s="1214"/>
      <c r="J13" s="1219"/>
      <c r="K13" s="1241"/>
      <c r="L13" s="1236"/>
    </row>
    <row r="14" spans="1:12" ht="18" thickTop="1" thickBot="1">
      <c r="A14" s="739" t="s">
        <v>636</v>
      </c>
      <c r="B14" s="802" t="s">
        <v>671</v>
      </c>
      <c r="C14" s="781"/>
      <c r="D14" s="1022"/>
      <c r="E14" s="735"/>
      <c r="F14" s="899"/>
      <c r="G14" s="838">
        <v>0</v>
      </c>
      <c r="H14" s="789"/>
      <c r="I14" s="1214"/>
      <c r="J14" s="1219"/>
      <c r="K14" s="1241"/>
      <c r="L14" s="1236"/>
    </row>
    <row r="15" spans="1:12" ht="18" thickTop="1" thickBot="1">
      <c r="A15" s="737" t="s">
        <v>637</v>
      </c>
      <c r="B15" s="800" t="s">
        <v>671</v>
      </c>
      <c r="C15" s="780"/>
      <c r="D15" s="1021"/>
      <c r="E15" s="732"/>
      <c r="F15" s="825"/>
      <c r="G15" s="837">
        <v>0</v>
      </c>
      <c r="H15" s="788"/>
      <c r="I15" s="1214"/>
      <c r="J15" s="1219"/>
      <c r="K15" s="1241"/>
      <c r="L15" s="1236"/>
    </row>
    <row r="16" spans="1:12" ht="18" thickTop="1" thickBot="1">
      <c r="A16" s="739" t="s">
        <v>638</v>
      </c>
      <c r="B16" s="802" t="s">
        <v>671</v>
      </c>
      <c r="C16" s="781"/>
      <c r="D16" s="1022"/>
      <c r="E16" s="735"/>
      <c r="F16" s="899"/>
      <c r="G16" s="838">
        <v>0</v>
      </c>
      <c r="H16" s="789"/>
      <c r="I16" s="1215"/>
      <c r="J16" s="1220"/>
      <c r="K16" s="1242"/>
      <c r="L16" s="1236"/>
    </row>
    <row r="17" spans="1:12" s="705" customFormat="1" ht="30.75" customHeight="1" thickTop="1" thickBot="1">
      <c r="A17" s="743" t="s">
        <v>639</v>
      </c>
      <c r="B17" s="800" t="s">
        <v>718</v>
      </c>
      <c r="C17" s="738">
        <v>10000</v>
      </c>
      <c r="D17" s="1021">
        <v>3006.05</v>
      </c>
      <c r="E17" s="732">
        <f>C17-D17</f>
        <v>6993.95</v>
      </c>
      <c r="F17" s="825"/>
      <c r="G17" s="709" t="s">
        <v>6</v>
      </c>
      <c r="H17" s="788"/>
      <c r="I17" s="1216" t="s">
        <v>714</v>
      </c>
      <c r="J17" s="1222">
        <v>2</v>
      </c>
      <c r="K17" s="1233" t="s">
        <v>613</v>
      </c>
      <c r="L17" s="1236">
        <v>15</v>
      </c>
    </row>
    <row r="18" spans="1:12" s="705" customFormat="1" ht="27.75" customHeight="1" thickTop="1" thickBot="1">
      <c r="A18" s="739" t="s">
        <v>640</v>
      </c>
      <c r="B18" s="802" t="s">
        <v>674</v>
      </c>
      <c r="C18" s="740">
        <v>10000</v>
      </c>
      <c r="D18" s="1022">
        <v>3006.99</v>
      </c>
      <c r="E18" s="735">
        <f>C18-D18</f>
        <v>6993.01</v>
      </c>
      <c r="F18" s="899"/>
      <c r="G18" s="708">
        <f>F17-F18</f>
        <v>0</v>
      </c>
      <c r="H18" s="789"/>
      <c r="I18" s="1217"/>
      <c r="J18" s="1223"/>
      <c r="K18" s="1235"/>
      <c r="L18" s="1236"/>
    </row>
    <row r="19" spans="1:12" s="705" customFormat="1" ht="38.25" customHeight="1" thickTop="1" thickBot="1">
      <c r="A19" s="743" t="s">
        <v>639</v>
      </c>
      <c r="B19" s="800" t="s">
        <v>676</v>
      </c>
      <c r="C19" s="782">
        <v>13000</v>
      </c>
      <c r="D19" s="1025">
        <v>2941.79</v>
      </c>
      <c r="E19" s="830">
        <f>C19-D19</f>
        <v>10058.209999999999</v>
      </c>
      <c r="F19" s="825"/>
      <c r="G19" s="745" t="s">
        <v>6</v>
      </c>
      <c r="H19" s="783"/>
      <c r="I19" s="1216" t="s">
        <v>4</v>
      </c>
      <c r="J19" s="1224">
        <v>2</v>
      </c>
      <c r="K19" s="1233" t="s">
        <v>715</v>
      </c>
      <c r="L19" s="1236">
        <v>15</v>
      </c>
    </row>
    <row r="20" spans="1:12" s="705" customFormat="1" ht="32.25" customHeight="1" thickTop="1" thickBot="1">
      <c r="A20" s="739" t="s">
        <v>640</v>
      </c>
      <c r="B20" s="802" t="s">
        <v>675</v>
      </c>
      <c r="C20" s="740">
        <v>13000</v>
      </c>
      <c r="D20" s="1026">
        <v>2942.83</v>
      </c>
      <c r="E20" s="831">
        <f>C20-D20</f>
        <v>10057.17</v>
      </c>
      <c r="F20" s="1029"/>
      <c r="G20" s="746">
        <f>F19-F20</f>
        <v>0</v>
      </c>
      <c r="H20" s="785"/>
      <c r="I20" s="1221"/>
      <c r="J20" s="1225"/>
      <c r="K20" s="1234"/>
      <c r="L20" s="1236"/>
    </row>
    <row r="21" spans="1:12" ht="18" thickTop="1" thickBot="1">
      <c r="L21" s="715"/>
    </row>
    <row r="22" spans="1:12" ht="34.5" thickTop="1" thickBot="1">
      <c r="A22" s="723" t="s">
        <v>603</v>
      </c>
      <c r="B22" s="724" t="s">
        <v>726</v>
      </c>
      <c r="C22" s="699" t="s">
        <v>604</v>
      </c>
      <c r="D22" s="829" t="s">
        <v>883</v>
      </c>
      <c r="E22" s="828" t="s">
        <v>884</v>
      </c>
      <c r="F22" s="696" t="s">
        <v>3</v>
      </c>
      <c r="G22" s="727" t="s">
        <v>607</v>
      </c>
      <c r="H22" s="725" t="s">
        <v>606</v>
      </c>
      <c r="I22" s="725" t="s">
        <v>608</v>
      </c>
      <c r="J22" s="701" t="s">
        <v>614</v>
      </c>
      <c r="K22" s="699" t="s">
        <v>615</v>
      </c>
      <c r="L22" s="769" t="s">
        <v>661</v>
      </c>
    </row>
    <row r="23" spans="1:12" ht="18" customHeight="1" thickTop="1" thickBot="1">
      <c r="A23" s="737" t="s">
        <v>641</v>
      </c>
      <c r="B23" s="804" t="s">
        <v>720</v>
      </c>
      <c r="C23" s="738">
        <v>6500</v>
      </c>
      <c r="D23" s="1021">
        <v>897.78</v>
      </c>
      <c r="E23" s="830">
        <f t="shared" ref="E23:E34" si="1">C23-D23</f>
        <v>5602.22</v>
      </c>
      <c r="F23" s="825"/>
      <c r="G23" s="709" t="s">
        <v>6</v>
      </c>
      <c r="H23" s="788"/>
      <c r="I23" s="1213" t="s">
        <v>662</v>
      </c>
      <c r="J23" s="1218">
        <v>2</v>
      </c>
      <c r="K23" s="1237" t="s">
        <v>715</v>
      </c>
      <c r="L23" s="1230">
        <v>15</v>
      </c>
    </row>
    <row r="24" spans="1:12" ht="18" thickTop="1" thickBot="1">
      <c r="A24" s="739" t="s">
        <v>642</v>
      </c>
      <c r="B24" s="804" t="s">
        <v>677</v>
      </c>
      <c r="C24" s="740">
        <v>6500</v>
      </c>
      <c r="D24" s="1022">
        <v>898.14</v>
      </c>
      <c r="E24" s="831">
        <f t="shared" si="1"/>
        <v>5601.86</v>
      </c>
      <c r="F24" s="899"/>
      <c r="G24" s="708">
        <f>F23-F24</f>
        <v>0</v>
      </c>
      <c r="H24" s="789"/>
      <c r="I24" s="1214"/>
      <c r="J24" s="1219"/>
      <c r="K24" s="1238"/>
      <c r="L24" s="1231"/>
    </row>
    <row r="25" spans="1:12" ht="17.25" thickTop="1">
      <c r="A25" s="737" t="s">
        <v>643</v>
      </c>
      <c r="B25" s="803" t="s">
        <v>679</v>
      </c>
      <c r="C25" s="738">
        <v>6500</v>
      </c>
      <c r="D25" s="1023">
        <v>898.05</v>
      </c>
      <c r="E25" s="830">
        <f t="shared" si="1"/>
        <v>5601.95</v>
      </c>
      <c r="F25" s="825"/>
      <c r="G25" s="741">
        <f>F23-F25</f>
        <v>0</v>
      </c>
      <c r="H25" s="790"/>
      <c r="I25" s="1214"/>
      <c r="J25" s="1219"/>
      <c r="K25" s="1238"/>
      <c r="L25" s="1231"/>
    </row>
    <row r="26" spans="1:12" ht="17.25" thickBot="1">
      <c r="A26" s="739" t="s">
        <v>644</v>
      </c>
      <c r="B26" s="804" t="s">
        <v>678</v>
      </c>
      <c r="C26" s="740">
        <v>6500</v>
      </c>
      <c r="D26" s="1024">
        <v>898.37</v>
      </c>
      <c r="E26" s="831">
        <f t="shared" si="1"/>
        <v>5601.63</v>
      </c>
      <c r="F26" s="899"/>
      <c r="G26" s="742">
        <f>F25-F26</f>
        <v>0</v>
      </c>
      <c r="H26" s="791"/>
      <c r="I26" s="1214"/>
      <c r="J26" s="1219"/>
      <c r="K26" s="1238"/>
      <c r="L26" s="1231"/>
    </row>
    <row r="27" spans="1:12" ht="17.25" thickTop="1">
      <c r="A27" s="737" t="s">
        <v>645</v>
      </c>
      <c r="B27" s="803" t="s">
        <v>681</v>
      </c>
      <c r="C27" s="738">
        <v>6500</v>
      </c>
      <c r="D27" s="1021">
        <v>899</v>
      </c>
      <c r="E27" s="830">
        <f t="shared" si="1"/>
        <v>5601</v>
      </c>
      <c r="F27" s="825"/>
      <c r="G27" s="709">
        <f>F23-F27</f>
        <v>0</v>
      </c>
      <c r="H27" s="788"/>
      <c r="I27" s="1214"/>
      <c r="J27" s="1219"/>
      <c r="K27" s="1238"/>
      <c r="L27" s="1231"/>
    </row>
    <row r="28" spans="1:12" ht="17.25" thickBot="1">
      <c r="A28" s="739" t="s">
        <v>646</v>
      </c>
      <c r="B28" s="804" t="s">
        <v>680</v>
      </c>
      <c r="C28" s="740">
        <v>6500</v>
      </c>
      <c r="D28" s="1022">
        <v>899</v>
      </c>
      <c r="E28" s="831">
        <f t="shared" si="1"/>
        <v>5601</v>
      </c>
      <c r="F28" s="899"/>
      <c r="G28" s="708">
        <f>F27-F28</f>
        <v>0</v>
      </c>
      <c r="H28" s="789"/>
      <c r="I28" s="1214"/>
      <c r="J28" s="1219"/>
      <c r="K28" s="1238"/>
      <c r="L28" s="1231"/>
    </row>
    <row r="29" spans="1:12" ht="17.25" thickTop="1">
      <c r="A29" s="737" t="s">
        <v>647</v>
      </c>
      <c r="B29" s="803" t="s">
        <v>683</v>
      </c>
      <c r="C29" s="738">
        <v>6500</v>
      </c>
      <c r="D29" s="1023">
        <v>898.57</v>
      </c>
      <c r="E29" s="830">
        <f t="shared" si="1"/>
        <v>5601.43</v>
      </c>
      <c r="F29" s="825"/>
      <c r="G29" s="741">
        <f>F23-F29</f>
        <v>0</v>
      </c>
      <c r="H29" s="790"/>
      <c r="I29" s="1214"/>
      <c r="J29" s="1219"/>
      <c r="K29" s="1238"/>
      <c r="L29" s="1231"/>
    </row>
    <row r="30" spans="1:12" ht="17.25" thickBot="1">
      <c r="A30" s="739" t="s">
        <v>648</v>
      </c>
      <c r="B30" s="804" t="s">
        <v>682</v>
      </c>
      <c r="C30" s="740">
        <v>6500</v>
      </c>
      <c r="D30" s="1024">
        <v>899.38</v>
      </c>
      <c r="E30" s="831">
        <f t="shared" si="1"/>
        <v>5600.62</v>
      </c>
      <c r="F30" s="899"/>
      <c r="G30" s="742">
        <f>F29-F30</f>
        <v>0</v>
      </c>
      <c r="H30" s="791"/>
      <c r="I30" s="1215"/>
      <c r="J30" s="1220"/>
      <c r="K30" s="1239"/>
      <c r="L30" s="1232"/>
    </row>
    <row r="31" spans="1:12" ht="30" customHeight="1" thickTop="1" thickBot="1">
      <c r="A31" s="728" t="s">
        <v>649</v>
      </c>
      <c r="B31" s="803" t="s">
        <v>721</v>
      </c>
      <c r="C31" s="738">
        <v>10000</v>
      </c>
      <c r="D31" s="1021">
        <v>3356.6</v>
      </c>
      <c r="E31" s="830">
        <f t="shared" si="1"/>
        <v>6643.4</v>
      </c>
      <c r="F31" s="825"/>
      <c r="G31" s="709" t="s">
        <v>6</v>
      </c>
      <c r="H31" s="788"/>
      <c r="I31" s="1216" t="s">
        <v>714</v>
      </c>
      <c r="J31" s="1224">
        <v>2</v>
      </c>
      <c r="K31" s="1233" t="s">
        <v>613</v>
      </c>
      <c r="L31" s="1236">
        <v>15</v>
      </c>
    </row>
    <row r="32" spans="1:12" ht="29.25" customHeight="1" thickTop="1" thickBot="1">
      <c r="A32" s="729" t="s">
        <v>650</v>
      </c>
      <c r="B32" s="804" t="s">
        <v>684</v>
      </c>
      <c r="C32" s="740">
        <v>10000</v>
      </c>
      <c r="D32" s="1022">
        <v>3443.35</v>
      </c>
      <c r="E32" s="831">
        <f t="shared" si="1"/>
        <v>6556.65</v>
      </c>
      <c r="F32" s="899"/>
      <c r="G32" s="708">
        <f>F31-F32</f>
        <v>0</v>
      </c>
      <c r="H32" s="789"/>
      <c r="I32" s="1217"/>
      <c r="J32" s="1225"/>
      <c r="K32" s="1235"/>
      <c r="L32" s="1236"/>
    </row>
    <row r="33" spans="1:12" ht="36.75" customHeight="1" thickTop="1" thickBot="1">
      <c r="A33" s="737" t="s">
        <v>649</v>
      </c>
      <c r="B33" s="798" t="s">
        <v>722</v>
      </c>
      <c r="C33" s="782">
        <v>13000</v>
      </c>
      <c r="D33" s="1025">
        <v>2736.66</v>
      </c>
      <c r="E33" s="830">
        <f t="shared" si="1"/>
        <v>10263.34</v>
      </c>
      <c r="F33" s="1031"/>
      <c r="G33" s="745" t="s">
        <v>6</v>
      </c>
      <c r="H33" s="783"/>
      <c r="I33" s="1216" t="s">
        <v>717</v>
      </c>
      <c r="J33" s="1224">
        <v>2</v>
      </c>
      <c r="K33" s="1233" t="s">
        <v>715</v>
      </c>
      <c r="L33" s="1236">
        <v>15</v>
      </c>
    </row>
    <row r="34" spans="1:12" ht="38.25" customHeight="1" thickTop="1" thickBot="1">
      <c r="A34" s="739" t="s">
        <v>650</v>
      </c>
      <c r="B34" s="799" t="s">
        <v>685</v>
      </c>
      <c r="C34" s="740">
        <v>13000</v>
      </c>
      <c r="D34" s="1026">
        <v>2737.44</v>
      </c>
      <c r="E34" s="831">
        <f t="shared" si="1"/>
        <v>10262.56</v>
      </c>
      <c r="F34" s="1029"/>
      <c r="G34" s="746">
        <f>F33-F34</f>
        <v>0</v>
      </c>
      <c r="H34" s="785"/>
      <c r="I34" s="1221"/>
      <c r="J34" s="1225"/>
      <c r="K34" s="1234"/>
      <c r="L34" s="1236"/>
    </row>
    <row r="35" spans="1:12" ht="18" thickTop="1" thickBot="1"/>
    <row r="36" spans="1:12" ht="34.5" thickTop="1" thickBot="1">
      <c r="A36" s="723" t="s">
        <v>603</v>
      </c>
      <c r="B36" s="724" t="s">
        <v>726</v>
      </c>
      <c r="C36" s="699" t="s">
        <v>604</v>
      </c>
      <c r="D36" s="829" t="s">
        <v>883</v>
      </c>
      <c r="E36" s="828" t="s">
        <v>884</v>
      </c>
      <c r="F36" s="696" t="s">
        <v>3</v>
      </c>
      <c r="G36" s="727" t="s">
        <v>607</v>
      </c>
      <c r="H36" s="725" t="s">
        <v>606</v>
      </c>
      <c r="I36" s="725" t="s">
        <v>608</v>
      </c>
      <c r="J36" s="701" t="s">
        <v>614</v>
      </c>
      <c r="K36" s="699" t="s">
        <v>615</v>
      </c>
      <c r="L36" s="769" t="s">
        <v>661</v>
      </c>
    </row>
    <row r="37" spans="1:12" ht="17.25" customHeight="1" thickTop="1">
      <c r="A37" s="737" t="s">
        <v>651</v>
      </c>
      <c r="B37" s="803" t="s">
        <v>723</v>
      </c>
      <c r="C37" s="738">
        <v>6500</v>
      </c>
      <c r="D37" s="1021">
        <v>2615.9499999999998</v>
      </c>
      <c r="E37" s="830">
        <f t="shared" ref="E37:E48" si="2">C37-D37</f>
        <v>3884.05</v>
      </c>
      <c r="F37" s="825"/>
      <c r="G37" s="709" t="s">
        <v>6</v>
      </c>
      <c r="H37" s="788"/>
      <c r="I37" s="1213" t="s">
        <v>716</v>
      </c>
      <c r="J37" s="1228">
        <v>2</v>
      </c>
      <c r="K37" s="1237" t="s">
        <v>715</v>
      </c>
      <c r="L37" s="1230">
        <v>15</v>
      </c>
    </row>
    <row r="38" spans="1:12" ht="17.25" thickBot="1">
      <c r="A38" s="739" t="s">
        <v>652</v>
      </c>
      <c r="B38" s="804" t="s">
        <v>686</v>
      </c>
      <c r="C38" s="740">
        <v>6500</v>
      </c>
      <c r="D38" s="1022">
        <v>2615.5700000000002</v>
      </c>
      <c r="E38" s="831">
        <f t="shared" si="2"/>
        <v>3884.43</v>
      </c>
      <c r="F38" s="899"/>
      <c r="G38" s="708">
        <f>F37-F38</f>
        <v>0</v>
      </c>
      <c r="H38" s="789"/>
      <c r="I38" s="1214"/>
      <c r="J38" s="1229"/>
      <c r="K38" s="1238"/>
      <c r="L38" s="1231"/>
    </row>
    <row r="39" spans="1:12" ht="17.25" thickTop="1">
      <c r="A39" s="737" t="s">
        <v>653</v>
      </c>
      <c r="B39" s="803" t="s">
        <v>688</v>
      </c>
      <c r="C39" s="738">
        <v>6500</v>
      </c>
      <c r="D39" s="1023">
        <v>2615.96</v>
      </c>
      <c r="E39" s="830">
        <f t="shared" si="2"/>
        <v>3884.04</v>
      </c>
      <c r="F39" s="825"/>
      <c r="G39" s="741">
        <f>F37-F39</f>
        <v>0</v>
      </c>
      <c r="H39" s="790"/>
      <c r="I39" s="1214"/>
      <c r="J39" s="1229"/>
      <c r="K39" s="1238"/>
      <c r="L39" s="1231"/>
    </row>
    <row r="40" spans="1:12" ht="17.25" thickBot="1">
      <c r="A40" s="739" t="s">
        <v>654</v>
      </c>
      <c r="B40" s="804" t="s">
        <v>687</v>
      </c>
      <c r="C40" s="740">
        <v>6500</v>
      </c>
      <c r="D40" s="1024">
        <v>2615.37</v>
      </c>
      <c r="E40" s="831">
        <f t="shared" si="2"/>
        <v>3884.63</v>
      </c>
      <c r="F40" s="899"/>
      <c r="G40" s="742">
        <f>F39-F40</f>
        <v>0</v>
      </c>
      <c r="H40" s="791"/>
      <c r="I40" s="1214"/>
      <c r="J40" s="1229"/>
      <c r="K40" s="1238"/>
      <c r="L40" s="1231"/>
    </row>
    <row r="41" spans="1:12" ht="17.25" thickTop="1">
      <c r="A41" s="737" t="s">
        <v>655</v>
      </c>
      <c r="B41" s="803" t="s">
        <v>690</v>
      </c>
      <c r="C41" s="738">
        <v>6500</v>
      </c>
      <c r="D41" s="1021">
        <v>2617.0700000000002</v>
      </c>
      <c r="E41" s="830">
        <f t="shared" si="2"/>
        <v>3882.93</v>
      </c>
      <c r="F41" s="825"/>
      <c r="G41" s="709">
        <f>F37-F41</f>
        <v>0</v>
      </c>
      <c r="H41" s="788"/>
      <c r="I41" s="1214"/>
      <c r="J41" s="1229"/>
      <c r="K41" s="1238"/>
      <c r="L41" s="1231"/>
    </row>
    <row r="42" spans="1:12" ht="17.25" thickBot="1">
      <c r="A42" s="739" t="s">
        <v>656</v>
      </c>
      <c r="B42" s="804" t="s">
        <v>689</v>
      </c>
      <c r="C42" s="740">
        <v>6500</v>
      </c>
      <c r="D42" s="1022">
        <v>2616.54</v>
      </c>
      <c r="E42" s="831">
        <f t="shared" si="2"/>
        <v>3883.46</v>
      </c>
      <c r="F42" s="899"/>
      <c r="G42" s="708">
        <f>F41-F42</f>
        <v>0</v>
      </c>
      <c r="H42" s="789"/>
      <c r="I42" s="1214"/>
      <c r="J42" s="1229"/>
      <c r="K42" s="1238"/>
      <c r="L42" s="1231"/>
    </row>
    <row r="43" spans="1:12" ht="17.25" thickTop="1">
      <c r="A43" s="737" t="s">
        <v>657</v>
      </c>
      <c r="B43" s="803" t="s">
        <v>692</v>
      </c>
      <c r="C43" s="738">
        <v>6500</v>
      </c>
      <c r="D43" s="1023">
        <v>2617.2600000000002</v>
      </c>
      <c r="E43" s="830">
        <f t="shared" si="2"/>
        <v>3882.74</v>
      </c>
      <c r="F43" s="825"/>
      <c r="G43" s="741">
        <f>F37-F43</f>
        <v>0</v>
      </c>
      <c r="H43" s="790"/>
      <c r="I43" s="1214"/>
      <c r="J43" s="1229"/>
      <c r="K43" s="1238"/>
      <c r="L43" s="1231"/>
    </row>
    <row r="44" spans="1:12" ht="17.25" thickBot="1">
      <c r="A44" s="739" t="s">
        <v>658</v>
      </c>
      <c r="B44" s="804" t="s">
        <v>691</v>
      </c>
      <c r="C44" s="740">
        <v>6500</v>
      </c>
      <c r="D44" s="1024">
        <v>2617.0300000000002</v>
      </c>
      <c r="E44" s="831">
        <f t="shared" si="2"/>
        <v>3882.97</v>
      </c>
      <c r="F44" s="899"/>
      <c r="G44" s="742">
        <f>F43-F44</f>
        <v>0</v>
      </c>
      <c r="H44" s="791"/>
      <c r="I44" s="1215"/>
      <c r="J44" s="1229"/>
      <c r="K44" s="1239"/>
      <c r="L44" s="1232"/>
    </row>
    <row r="45" spans="1:12" ht="27.75" customHeight="1" thickTop="1" thickBot="1">
      <c r="A45" s="751" t="s">
        <v>659</v>
      </c>
      <c r="B45" s="803" t="s">
        <v>694</v>
      </c>
      <c r="C45" s="747">
        <v>10000</v>
      </c>
      <c r="D45" s="1021">
        <v>3273.17</v>
      </c>
      <c r="E45" s="830">
        <f t="shared" si="2"/>
        <v>6726.83</v>
      </c>
      <c r="F45" s="825"/>
      <c r="G45" s="709" t="s">
        <v>6</v>
      </c>
      <c r="H45" s="788"/>
      <c r="I45" s="1216" t="s">
        <v>714</v>
      </c>
      <c r="J45" s="1226">
        <v>2</v>
      </c>
      <c r="K45" s="1233" t="s">
        <v>613</v>
      </c>
      <c r="L45" s="1236">
        <v>15</v>
      </c>
    </row>
    <row r="46" spans="1:12" ht="27.75" customHeight="1" thickTop="1" thickBot="1">
      <c r="A46" s="752" t="s">
        <v>660</v>
      </c>
      <c r="B46" s="804" t="s">
        <v>693</v>
      </c>
      <c r="C46" s="748">
        <v>10000</v>
      </c>
      <c r="D46" s="1022">
        <v>3273.87</v>
      </c>
      <c r="E46" s="831">
        <f t="shared" si="2"/>
        <v>6726.13</v>
      </c>
      <c r="F46" s="899"/>
      <c r="G46" s="708">
        <f>F45-F46</f>
        <v>0</v>
      </c>
      <c r="H46" s="789"/>
      <c r="I46" s="1217"/>
      <c r="J46" s="1227"/>
      <c r="K46" s="1235"/>
      <c r="L46" s="1236"/>
    </row>
    <row r="47" spans="1:12" ht="42" customHeight="1" thickTop="1" thickBot="1">
      <c r="A47" s="753" t="s">
        <v>659</v>
      </c>
      <c r="B47" s="798" t="s">
        <v>724</v>
      </c>
      <c r="C47" s="749">
        <v>13000</v>
      </c>
      <c r="D47" s="1025">
        <v>4057.81</v>
      </c>
      <c r="E47" s="830">
        <f t="shared" si="2"/>
        <v>8942.19</v>
      </c>
      <c r="F47" s="825"/>
      <c r="G47" s="745" t="s">
        <v>6</v>
      </c>
      <c r="H47" s="788"/>
      <c r="I47" s="1216" t="s">
        <v>4</v>
      </c>
      <c r="J47" s="1226">
        <v>2</v>
      </c>
      <c r="K47" s="1233" t="s">
        <v>715</v>
      </c>
      <c r="L47" s="1236">
        <v>15</v>
      </c>
    </row>
    <row r="48" spans="1:12" ht="37.5" customHeight="1" thickTop="1" thickBot="1">
      <c r="A48" s="754" t="s">
        <v>660</v>
      </c>
      <c r="B48" s="799" t="s">
        <v>695</v>
      </c>
      <c r="C48" s="750">
        <v>13000</v>
      </c>
      <c r="D48" s="1026">
        <v>4058.38</v>
      </c>
      <c r="E48" s="831">
        <f t="shared" si="2"/>
        <v>8941.619999999999</v>
      </c>
      <c r="F48" s="899"/>
      <c r="G48" s="746">
        <f>F47-F48</f>
        <v>0</v>
      </c>
      <c r="H48" s="789"/>
      <c r="I48" s="1221"/>
      <c r="J48" s="1227"/>
      <c r="K48" s="1234"/>
      <c r="L48" s="1236"/>
    </row>
    <row r="49" spans="1:12" ht="17.25" thickTop="1">
      <c r="A49" s="755"/>
      <c r="B49" s="716"/>
      <c r="C49" s="756"/>
      <c r="D49" s="757"/>
      <c r="E49" s="718"/>
      <c r="F49" s="717"/>
      <c r="G49" s="758"/>
      <c r="H49" s="759"/>
      <c r="I49" s="759"/>
      <c r="J49" s="759"/>
      <c r="K49" s="758"/>
    </row>
    <row r="50" spans="1:12" ht="17.25" customHeight="1">
      <c r="L50" s="697"/>
    </row>
    <row r="51" spans="1:12">
      <c r="L51" s="697"/>
    </row>
    <row r="52" spans="1:12" ht="18" customHeight="1">
      <c r="L52" s="697"/>
    </row>
    <row r="53" spans="1:12">
      <c r="L53" s="697"/>
    </row>
    <row r="54" spans="1:12">
      <c r="L54" s="697"/>
    </row>
    <row r="55" spans="1:12">
      <c r="L55" s="697"/>
    </row>
    <row r="56" spans="1:12" ht="35.25" customHeight="1">
      <c r="L56" s="697"/>
    </row>
    <row r="57" spans="1:12" ht="30" customHeight="1">
      <c r="L57" s="697"/>
    </row>
    <row r="58" spans="1:12">
      <c r="I58" s="814"/>
      <c r="L58" s="813"/>
    </row>
    <row r="59" spans="1:12">
      <c r="L59" s="813"/>
    </row>
    <row r="60" spans="1:12">
      <c r="L60" s="813"/>
    </row>
    <row r="61" spans="1:12">
      <c r="L61" s="813"/>
    </row>
    <row r="62" spans="1:12">
      <c r="L62" s="813"/>
    </row>
    <row r="63" spans="1:12">
      <c r="L63" s="813"/>
    </row>
    <row r="64" spans="1:12">
      <c r="L64" s="813"/>
    </row>
    <row r="65" spans="12:12">
      <c r="L65" s="813"/>
    </row>
    <row r="66" spans="12:12">
      <c r="L66" s="813"/>
    </row>
    <row r="67" spans="12:12">
      <c r="L67" s="813"/>
    </row>
    <row r="68" spans="12:12">
      <c r="L68" s="813"/>
    </row>
    <row r="69" spans="12:12">
      <c r="L69" s="813"/>
    </row>
    <row r="70" spans="12:12">
      <c r="L70" s="813"/>
    </row>
    <row r="71" spans="12:12">
      <c r="L71" s="813"/>
    </row>
    <row r="72" spans="12:12">
      <c r="L72" s="813"/>
    </row>
    <row r="73" spans="12:12">
      <c r="L73" s="813"/>
    </row>
    <row r="74" spans="12:12">
      <c r="L74" s="813"/>
    </row>
    <row r="75" spans="12:12">
      <c r="L75" s="813"/>
    </row>
    <row r="76" spans="12:12">
      <c r="L76" s="813"/>
    </row>
    <row r="77" spans="12:12">
      <c r="L77" s="813"/>
    </row>
    <row r="78" spans="12:12">
      <c r="L78" s="813"/>
    </row>
    <row r="79" spans="12:12">
      <c r="L79" s="813"/>
    </row>
    <row r="80" spans="12:12">
      <c r="L80" s="813"/>
    </row>
    <row r="81" spans="12:12">
      <c r="L81" s="813"/>
    </row>
    <row r="82" spans="12:12">
      <c r="L82" s="813"/>
    </row>
    <row r="83" spans="12:12">
      <c r="L83" s="813"/>
    </row>
    <row r="84" spans="12:12">
      <c r="L84" s="813"/>
    </row>
    <row r="85" spans="12:12">
      <c r="L85" s="813"/>
    </row>
    <row r="86" spans="12:12">
      <c r="L86" s="813"/>
    </row>
    <row r="87" spans="12:12">
      <c r="L87" s="813"/>
    </row>
    <row r="88" spans="12:12">
      <c r="L88" s="813"/>
    </row>
    <row r="89" spans="12:12">
      <c r="L89" s="813"/>
    </row>
    <row r="90" spans="12:12">
      <c r="L90" s="813"/>
    </row>
    <row r="91" spans="12:12">
      <c r="L91" s="813"/>
    </row>
    <row r="92" spans="12:12">
      <c r="L92" s="813"/>
    </row>
    <row r="93" spans="12:12">
      <c r="L93" s="813"/>
    </row>
    <row r="94" spans="12:12">
      <c r="L94" s="813"/>
    </row>
    <row r="95" spans="12:12">
      <c r="L95" s="813"/>
    </row>
    <row r="96" spans="12:12">
      <c r="L96" s="813"/>
    </row>
    <row r="97" spans="12:12">
      <c r="L97" s="813"/>
    </row>
    <row r="98" spans="12:12">
      <c r="L98" s="813"/>
    </row>
    <row r="99" spans="12:12">
      <c r="L99" s="813"/>
    </row>
    <row r="100" spans="12:12">
      <c r="L100" s="813"/>
    </row>
    <row r="101" spans="12:12">
      <c r="L101" s="813"/>
    </row>
    <row r="102" spans="12:12">
      <c r="L102" s="813"/>
    </row>
    <row r="103" spans="12:12">
      <c r="L103" s="813"/>
    </row>
    <row r="104" spans="12:12">
      <c r="L104" s="813"/>
    </row>
    <row r="105" spans="12:12">
      <c r="L105" s="813"/>
    </row>
    <row r="106" spans="12:12">
      <c r="L106" s="813"/>
    </row>
    <row r="107" spans="12:12">
      <c r="L107" s="813"/>
    </row>
    <row r="108" spans="12:12">
      <c r="L108" s="813"/>
    </row>
    <row r="109" spans="12:12">
      <c r="L109" s="813"/>
    </row>
    <row r="110" spans="12:12">
      <c r="L110" s="813"/>
    </row>
    <row r="111" spans="12:12">
      <c r="L111" s="813"/>
    </row>
    <row r="112" spans="12:12">
      <c r="L112" s="813"/>
    </row>
    <row r="113" spans="12:12">
      <c r="L113" s="813"/>
    </row>
    <row r="114" spans="12:12">
      <c r="L114" s="813"/>
    </row>
    <row r="115" spans="12:12">
      <c r="L115" s="813"/>
    </row>
    <row r="116" spans="12:12">
      <c r="L116" s="813"/>
    </row>
    <row r="117" spans="12:12">
      <c r="L117" s="813"/>
    </row>
    <row r="118" spans="12:12">
      <c r="L118" s="813"/>
    </row>
    <row r="119" spans="12:12">
      <c r="L119" s="813"/>
    </row>
    <row r="120" spans="12:12">
      <c r="L120" s="813"/>
    </row>
    <row r="121" spans="12:12">
      <c r="L121" s="813"/>
    </row>
    <row r="122" spans="12:12">
      <c r="L122" s="813"/>
    </row>
    <row r="123" spans="12:12">
      <c r="L123" s="813"/>
    </row>
    <row r="124" spans="12:12">
      <c r="L124" s="813"/>
    </row>
    <row r="125" spans="12:12">
      <c r="L125" s="813"/>
    </row>
    <row r="126" spans="12:12">
      <c r="L126" s="813"/>
    </row>
    <row r="127" spans="12:12">
      <c r="L127" s="813"/>
    </row>
    <row r="128" spans="12:12">
      <c r="L128" s="813"/>
    </row>
    <row r="129" spans="12:12">
      <c r="L129" s="813"/>
    </row>
    <row r="130" spans="12:12">
      <c r="L130" s="813"/>
    </row>
    <row r="131" spans="12:12">
      <c r="L131" s="813"/>
    </row>
    <row r="132" spans="12:12">
      <c r="L132" s="813"/>
    </row>
    <row r="133" spans="12:12">
      <c r="L133" s="813"/>
    </row>
    <row r="134" spans="12:12">
      <c r="L134" s="813"/>
    </row>
    <row r="135" spans="12:12">
      <c r="L135" s="813"/>
    </row>
    <row r="136" spans="12:12">
      <c r="L136" s="813"/>
    </row>
    <row r="137" spans="12:12">
      <c r="L137" s="813"/>
    </row>
    <row r="138" spans="12:12">
      <c r="L138" s="813"/>
    </row>
    <row r="139" spans="12:12">
      <c r="L139" s="813"/>
    </row>
    <row r="140" spans="12:12">
      <c r="L140" s="813"/>
    </row>
    <row r="141" spans="12:12">
      <c r="L141" s="813"/>
    </row>
    <row r="142" spans="12:12">
      <c r="L142" s="813"/>
    </row>
    <row r="143" spans="12:12">
      <c r="L143" s="813"/>
    </row>
    <row r="144" spans="12:12">
      <c r="L144" s="813"/>
    </row>
    <row r="145" spans="12:12">
      <c r="L145" s="813"/>
    </row>
    <row r="146" spans="12:12">
      <c r="L146" s="813"/>
    </row>
    <row r="147" spans="12:12">
      <c r="L147" s="813"/>
    </row>
    <row r="148" spans="12:12">
      <c r="L148" s="813"/>
    </row>
    <row r="149" spans="12:12">
      <c r="L149" s="813"/>
    </row>
    <row r="150" spans="12:12">
      <c r="L150" s="813"/>
    </row>
    <row r="151" spans="12:12">
      <c r="L151" s="813"/>
    </row>
    <row r="152" spans="12:12">
      <c r="L152" s="813"/>
    </row>
    <row r="153" spans="12:12">
      <c r="L153" s="813"/>
    </row>
    <row r="154" spans="12:12">
      <c r="L154" s="813"/>
    </row>
    <row r="155" spans="12:12">
      <c r="L155" s="813"/>
    </row>
    <row r="156" spans="12:12">
      <c r="L156" s="813"/>
    </row>
    <row r="157" spans="12:12">
      <c r="L157" s="813"/>
    </row>
    <row r="158" spans="12:12">
      <c r="L158" s="813"/>
    </row>
    <row r="159" spans="12:12">
      <c r="L159" s="813"/>
    </row>
    <row r="160" spans="12:12">
      <c r="L160" s="813"/>
    </row>
    <row r="161" spans="12:12">
      <c r="L161" s="813"/>
    </row>
    <row r="162" spans="12:12">
      <c r="L162" s="813"/>
    </row>
  </sheetData>
  <sheetProtection password="AAE5" sheet="1" objects="1" scenarios="1" selectLockedCells="1"/>
  <mergeCells count="36">
    <mergeCell ref="L17:L18"/>
    <mergeCell ref="L23:L30"/>
    <mergeCell ref="L3:L16"/>
    <mergeCell ref="L19:L20"/>
    <mergeCell ref="K37:K44"/>
    <mergeCell ref="L33:L34"/>
    <mergeCell ref="K3:K16"/>
    <mergeCell ref="K31:K32"/>
    <mergeCell ref="K33:K34"/>
    <mergeCell ref="K23:K30"/>
    <mergeCell ref="K17:K18"/>
    <mergeCell ref="K19:K20"/>
    <mergeCell ref="L31:L32"/>
    <mergeCell ref="L37:L44"/>
    <mergeCell ref="K47:K48"/>
    <mergeCell ref="K45:K46"/>
    <mergeCell ref="L47:L48"/>
    <mergeCell ref="L45:L46"/>
    <mergeCell ref="I31:I32"/>
    <mergeCell ref="J31:J32"/>
    <mergeCell ref="I47:I48"/>
    <mergeCell ref="J45:J46"/>
    <mergeCell ref="J47:J48"/>
    <mergeCell ref="I33:I34"/>
    <mergeCell ref="J33:J34"/>
    <mergeCell ref="I45:I46"/>
    <mergeCell ref="I37:I44"/>
    <mergeCell ref="J37:J44"/>
    <mergeCell ref="I3:I16"/>
    <mergeCell ref="I17:I18"/>
    <mergeCell ref="J3:J16"/>
    <mergeCell ref="I23:I30"/>
    <mergeCell ref="I19:I20"/>
    <mergeCell ref="J17:J18"/>
    <mergeCell ref="J19:J20"/>
    <mergeCell ref="J23:J30"/>
  </mergeCells>
  <phoneticPr fontId="49" type="noConversion"/>
  <conditionalFormatting sqref="G39 G41 G43 G25 G27 G29 G5 G9 G13 G15 G11">
    <cfRule type="cellIs" dxfId="364" priority="20" stopIfTrue="1" operator="notBetween">
      <formula>5</formula>
      <formula>-5</formula>
    </cfRule>
  </conditionalFormatting>
  <conditionalFormatting sqref="G38 G40 G42 G44 G24 G26 G28 G30 G6 G14 G16 G10 G12">
    <cfRule type="cellIs" dxfId="363" priority="21" stopIfTrue="1" operator="notBetween">
      <formula>2</formula>
      <formula>-2</formula>
    </cfRule>
  </conditionalFormatting>
  <conditionalFormatting sqref="G48 G34 G20">
    <cfRule type="cellIs" dxfId="362" priority="24" stopIfTrue="1" operator="notBetween">
      <formula>-2</formula>
      <formula>2</formula>
    </cfRule>
  </conditionalFormatting>
  <conditionalFormatting sqref="G46 G32 G18">
    <cfRule type="cellIs" dxfId="361" priority="25" stopIfTrue="1" operator="notBetween">
      <formula>-500</formula>
      <formula>0</formula>
    </cfRule>
  </conditionalFormatting>
  <conditionalFormatting sqref="E49">
    <cfRule type="cellIs" dxfId="360" priority="14" stopIfTrue="1" operator="notBetween">
      <formula>-1000</formula>
      <formula>0</formula>
    </cfRule>
  </conditionalFormatting>
  <conditionalFormatting sqref="F49">
    <cfRule type="cellIs" dxfId="359" priority="11" stopIfTrue="1" operator="greaterThan">
      <formula>11000</formula>
    </cfRule>
  </conditionalFormatting>
  <conditionalFormatting sqref="G4">
    <cfRule type="cellIs" dxfId="358" priority="12" stopIfTrue="1" operator="notBetween">
      <formula>2</formula>
      <formula>-2</formula>
    </cfRule>
  </conditionalFormatting>
  <conditionalFormatting sqref="D11">
    <cfRule type="cellIs" dxfId="357" priority="42" stopIfTrue="1" operator="greaterThan">
      <formula>$E$11</formula>
    </cfRule>
  </conditionalFormatting>
  <conditionalFormatting sqref="D12">
    <cfRule type="cellIs" dxfId="356" priority="43" stopIfTrue="1" operator="greaterThan">
      <formula>$E$12</formula>
    </cfRule>
  </conditionalFormatting>
  <conditionalFormatting sqref="D13">
    <cfRule type="cellIs" dxfId="355" priority="44" stopIfTrue="1" operator="greaterThan">
      <formula>$E$13</formula>
    </cfRule>
  </conditionalFormatting>
  <conditionalFormatting sqref="D14">
    <cfRule type="cellIs" dxfId="354" priority="45" stopIfTrue="1" operator="greaterThan">
      <formula>$E$14</formula>
    </cfRule>
  </conditionalFormatting>
  <conditionalFormatting sqref="D15">
    <cfRule type="cellIs" dxfId="353" priority="46" stopIfTrue="1" operator="greaterThan">
      <formula>$E$15</formula>
    </cfRule>
  </conditionalFormatting>
  <conditionalFormatting sqref="D16">
    <cfRule type="cellIs" dxfId="352" priority="47" stopIfTrue="1" operator="greaterThan">
      <formula>$E$16</formula>
    </cfRule>
  </conditionalFormatting>
  <conditionalFormatting sqref="D17">
    <cfRule type="cellIs" dxfId="351" priority="48" stopIfTrue="1" operator="greaterThan">
      <formula>$E$17</formula>
    </cfRule>
  </conditionalFormatting>
  <conditionalFormatting sqref="D18">
    <cfRule type="cellIs" dxfId="350" priority="49" stopIfTrue="1" operator="greaterThan">
      <formula>$E$18</formula>
    </cfRule>
  </conditionalFormatting>
  <conditionalFormatting sqref="D19">
    <cfRule type="cellIs" dxfId="349" priority="50" stopIfTrue="1" operator="greaterThan">
      <formula>$E$19</formula>
    </cfRule>
  </conditionalFormatting>
  <conditionalFormatting sqref="D20">
    <cfRule type="cellIs" dxfId="348" priority="51" stopIfTrue="1" operator="greaterThan">
      <formula>$E$20</formula>
    </cfRule>
  </conditionalFormatting>
  <conditionalFormatting sqref="D23">
    <cfRule type="cellIs" dxfId="347" priority="53" stopIfTrue="1" operator="greaterThan">
      <formula>$E$23</formula>
    </cfRule>
  </conditionalFormatting>
  <conditionalFormatting sqref="D24">
    <cfRule type="cellIs" dxfId="346" priority="54" stopIfTrue="1" operator="greaterThan">
      <formula>$E$24</formula>
    </cfRule>
  </conditionalFormatting>
  <conditionalFormatting sqref="D25">
    <cfRule type="cellIs" dxfId="345" priority="55" stopIfTrue="1" operator="greaterThan">
      <formula>$E$25</formula>
    </cfRule>
  </conditionalFormatting>
  <conditionalFormatting sqref="D26">
    <cfRule type="cellIs" dxfId="344" priority="56" stopIfTrue="1" operator="greaterThan">
      <formula>$E$26</formula>
    </cfRule>
  </conditionalFormatting>
  <conditionalFormatting sqref="D27">
    <cfRule type="cellIs" dxfId="343" priority="57" stopIfTrue="1" operator="greaterThan">
      <formula>$E$27</formula>
    </cfRule>
  </conditionalFormatting>
  <conditionalFormatting sqref="D28">
    <cfRule type="cellIs" dxfId="342" priority="58" stopIfTrue="1" operator="greaterThan">
      <formula>$E$28</formula>
    </cfRule>
  </conditionalFormatting>
  <conditionalFormatting sqref="D29">
    <cfRule type="cellIs" dxfId="341" priority="59" stopIfTrue="1" operator="greaterThan">
      <formula>$E$29</formula>
    </cfRule>
  </conditionalFormatting>
  <conditionalFormatting sqref="D30">
    <cfRule type="cellIs" dxfId="340" priority="60" stopIfTrue="1" operator="greaterThan">
      <formula>$E$30</formula>
    </cfRule>
  </conditionalFormatting>
  <conditionalFormatting sqref="D31">
    <cfRule type="cellIs" dxfId="339" priority="61" stopIfTrue="1" operator="greaterThan">
      <formula>$E$31</formula>
    </cfRule>
  </conditionalFormatting>
  <conditionalFormatting sqref="D32">
    <cfRule type="cellIs" dxfId="338" priority="62" stopIfTrue="1" operator="greaterThan">
      <formula>$E$32</formula>
    </cfRule>
  </conditionalFormatting>
  <conditionalFormatting sqref="D33">
    <cfRule type="cellIs" dxfId="337" priority="63" stopIfTrue="1" operator="greaterThan">
      <formula>$E$33</formula>
    </cfRule>
  </conditionalFormatting>
  <conditionalFormatting sqref="D34">
    <cfRule type="cellIs" dxfId="336" priority="64" stopIfTrue="1" operator="greaterThan">
      <formula>$E$34</formula>
    </cfRule>
  </conditionalFormatting>
  <conditionalFormatting sqref="D37">
    <cfRule type="cellIs" dxfId="335" priority="65" stopIfTrue="1" operator="greaterThan">
      <formula>$E$37</formula>
    </cfRule>
  </conditionalFormatting>
  <conditionalFormatting sqref="D38">
    <cfRule type="cellIs" dxfId="334" priority="66" stopIfTrue="1" operator="greaterThan">
      <formula>$E$38</formula>
    </cfRule>
  </conditionalFormatting>
  <conditionalFormatting sqref="D39">
    <cfRule type="cellIs" dxfId="333" priority="67" stopIfTrue="1" operator="greaterThan">
      <formula>$E$39</formula>
    </cfRule>
  </conditionalFormatting>
  <conditionalFormatting sqref="D40">
    <cfRule type="cellIs" dxfId="332" priority="68" stopIfTrue="1" operator="greaterThan">
      <formula>$E$40</formula>
    </cfRule>
  </conditionalFormatting>
  <conditionalFormatting sqref="D41">
    <cfRule type="cellIs" dxfId="331" priority="69" stopIfTrue="1" operator="greaterThan">
      <formula>$E$41</formula>
    </cfRule>
  </conditionalFormatting>
  <conditionalFormatting sqref="D42">
    <cfRule type="cellIs" dxfId="330" priority="70" stopIfTrue="1" operator="greaterThan">
      <formula>$E$42</formula>
    </cfRule>
  </conditionalFormatting>
  <conditionalFormatting sqref="D43">
    <cfRule type="cellIs" dxfId="329" priority="71" stopIfTrue="1" operator="greaterThan">
      <formula>$E$43</formula>
    </cfRule>
  </conditionalFormatting>
  <conditionalFormatting sqref="D44">
    <cfRule type="cellIs" dxfId="328" priority="72" stopIfTrue="1" operator="greaterThan">
      <formula>$E$44</formula>
    </cfRule>
  </conditionalFormatting>
  <conditionalFormatting sqref="D45">
    <cfRule type="cellIs" dxfId="327" priority="73" stopIfTrue="1" operator="greaterThan">
      <formula>$E$45</formula>
    </cfRule>
  </conditionalFormatting>
  <conditionalFormatting sqref="D46">
    <cfRule type="cellIs" dxfId="326" priority="74" stopIfTrue="1" operator="greaterThan">
      <formula>$E$46</formula>
    </cfRule>
  </conditionalFormatting>
  <conditionalFormatting sqref="D47">
    <cfRule type="cellIs" dxfId="325" priority="75" stopIfTrue="1" operator="greaterThan">
      <formula>$E$47</formula>
    </cfRule>
  </conditionalFormatting>
  <conditionalFormatting sqref="D48">
    <cfRule type="cellIs" dxfId="324" priority="76" stopIfTrue="1" operator="greaterThan">
      <formula>$E$48</formula>
    </cfRule>
  </conditionalFormatting>
  <conditionalFormatting sqref="D3:D10">
    <cfRule type="cellIs" dxfId="323" priority="9" operator="greaterThan">
      <formula>$E$3</formula>
    </cfRule>
  </conditionalFormatting>
  <conditionalFormatting sqref="H17:H20">
    <cfRule type="cellIs" dxfId="322" priority="8" operator="greaterThan">
      <formula>$J$17</formula>
    </cfRule>
  </conditionalFormatting>
  <conditionalFormatting sqref="H31:H34">
    <cfRule type="cellIs" dxfId="321" priority="7" operator="greaterThan">
      <formula>$J$31</formula>
    </cfRule>
  </conditionalFormatting>
  <conditionalFormatting sqref="H45:H48">
    <cfRule type="cellIs" dxfId="320" priority="6" operator="greaterThan">
      <formula>$J$45</formula>
    </cfRule>
  </conditionalFormatting>
  <conditionalFormatting sqref="H37:H44">
    <cfRule type="cellIs" dxfId="319" priority="5" operator="greaterThan">
      <formula>$J$37</formula>
    </cfRule>
  </conditionalFormatting>
  <conditionalFormatting sqref="H23:H30">
    <cfRule type="cellIs" dxfId="318" priority="4" operator="greaterThan">
      <formula>$J$23</formula>
    </cfRule>
  </conditionalFormatting>
  <conditionalFormatting sqref="G7">
    <cfRule type="cellIs" dxfId="317" priority="2" stopIfTrue="1" operator="notBetween">
      <formula>5</formula>
      <formula>-5</formula>
    </cfRule>
  </conditionalFormatting>
  <conditionalFormatting sqref="G8">
    <cfRule type="cellIs" dxfId="316" priority="3" stopIfTrue="1" operator="notBetween">
      <formula>2</formula>
      <formula>-2</formula>
    </cfRule>
  </conditionalFormatting>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59999389629810485"/>
  </sheetPr>
  <dimension ref="A1:L13"/>
  <sheetViews>
    <sheetView workbookViewId="0">
      <selection activeCell="H9" sqref="H9"/>
    </sheetView>
  </sheetViews>
  <sheetFormatPr defaultColWidth="10.28515625" defaultRowHeight="16.5"/>
  <cols>
    <col min="1" max="1" width="27.7109375" style="704" customWidth="1"/>
    <col min="2" max="2" width="34.28515625" style="704" customWidth="1"/>
    <col min="3" max="3" width="23.7109375" style="704" customWidth="1"/>
    <col min="4" max="4" width="28" style="861" customWidth="1"/>
    <col min="5" max="5" width="28" style="704" customWidth="1"/>
    <col min="6" max="6" width="19.140625" style="704" customWidth="1"/>
    <col min="7" max="7" width="18.7109375" style="704" customWidth="1"/>
    <col min="8" max="8" width="17.28515625" style="704" customWidth="1"/>
    <col min="9" max="9" width="30.140625" style="704" customWidth="1"/>
    <col min="10" max="10" width="12.7109375" style="704" customWidth="1"/>
    <col min="11" max="11" width="20" style="704" customWidth="1"/>
    <col min="12" max="12" width="20.85546875" style="775" customWidth="1"/>
    <col min="13" max="16384" width="10.28515625" style="704"/>
  </cols>
  <sheetData>
    <row r="1" spans="1:12" ht="28.5" thickBot="1">
      <c r="A1" s="774" t="s">
        <v>611</v>
      </c>
      <c r="B1" s="775"/>
      <c r="C1" s="768"/>
      <c r="D1" s="834"/>
      <c r="E1" s="775"/>
      <c r="F1" s="775"/>
    </row>
    <row r="2" spans="1:12" ht="34.5" thickTop="1" thickBot="1">
      <c r="A2" s="723" t="s">
        <v>603</v>
      </c>
      <c r="B2" s="724" t="s">
        <v>727</v>
      </c>
      <c r="C2" s="699" t="s">
        <v>604</v>
      </c>
      <c r="D2" s="853" t="s">
        <v>885</v>
      </c>
      <c r="E2" s="696" t="s">
        <v>886</v>
      </c>
      <c r="F2" s="702" t="s">
        <v>605</v>
      </c>
      <c r="G2" s="727" t="s">
        <v>607</v>
      </c>
      <c r="H2" s="725" t="s">
        <v>606</v>
      </c>
      <c r="I2" s="725" t="s">
        <v>608</v>
      </c>
      <c r="J2" s="699" t="s">
        <v>609</v>
      </c>
      <c r="K2" s="699" t="s">
        <v>612</v>
      </c>
      <c r="L2" s="833" t="s">
        <v>661</v>
      </c>
    </row>
    <row r="3" spans="1:12" ht="58.5" customHeight="1" thickTop="1">
      <c r="A3" s="770" t="s">
        <v>413</v>
      </c>
      <c r="B3" s="805" t="s">
        <v>725</v>
      </c>
      <c r="C3" s="731">
        <v>10000</v>
      </c>
      <c r="D3" s="832">
        <v>4883</v>
      </c>
      <c r="E3" s="744">
        <f t="shared" ref="E3:E12" si="0">C3-D3</f>
        <v>5117</v>
      </c>
      <c r="F3" s="783"/>
      <c r="G3" s="721" t="s">
        <v>419</v>
      </c>
      <c r="H3" s="786"/>
      <c r="I3" s="1218" t="s">
        <v>728</v>
      </c>
      <c r="J3" s="1218">
        <v>2</v>
      </c>
      <c r="K3" s="1218" t="s">
        <v>715</v>
      </c>
      <c r="L3" s="1218">
        <v>15</v>
      </c>
    </row>
    <row r="4" spans="1:12" ht="59.25" customHeight="1" thickBot="1">
      <c r="A4" s="771" t="s">
        <v>414</v>
      </c>
      <c r="B4" s="806" t="s">
        <v>696</v>
      </c>
      <c r="C4" s="733">
        <v>10000</v>
      </c>
      <c r="D4" s="835">
        <v>4881</v>
      </c>
      <c r="E4" s="776">
        <f t="shared" si="0"/>
        <v>5119</v>
      </c>
      <c r="F4" s="784"/>
      <c r="G4" s="722">
        <f>F3-F4</f>
        <v>0</v>
      </c>
      <c r="H4" s="784"/>
      <c r="I4" s="1219"/>
      <c r="J4" s="1219"/>
      <c r="K4" s="1219"/>
      <c r="L4" s="1219"/>
    </row>
    <row r="5" spans="1:12" ht="60" customHeight="1" thickTop="1">
      <c r="A5" s="770" t="s">
        <v>411</v>
      </c>
      <c r="B5" s="805" t="s">
        <v>697</v>
      </c>
      <c r="C5" s="731">
        <v>10000</v>
      </c>
      <c r="D5" s="832">
        <v>4966</v>
      </c>
      <c r="E5" s="832">
        <f t="shared" si="0"/>
        <v>5034</v>
      </c>
      <c r="F5" s="783"/>
      <c r="G5" s="719">
        <f>F3-F5</f>
        <v>0</v>
      </c>
      <c r="H5" s="783"/>
      <c r="I5" s="1219"/>
      <c r="J5" s="1219"/>
      <c r="K5" s="1219"/>
      <c r="L5" s="1219"/>
    </row>
    <row r="6" spans="1:12" ht="60" customHeight="1" thickBot="1">
      <c r="A6" s="771" t="s">
        <v>412</v>
      </c>
      <c r="B6" s="806" t="s">
        <v>698</v>
      </c>
      <c r="C6" s="733">
        <v>10000</v>
      </c>
      <c r="D6" s="835">
        <v>4966</v>
      </c>
      <c r="E6" s="835">
        <f t="shared" si="0"/>
        <v>5034</v>
      </c>
      <c r="F6" s="785"/>
      <c r="G6" s="720">
        <f>F5-F6</f>
        <v>0</v>
      </c>
      <c r="H6" s="785"/>
      <c r="I6" s="1219"/>
      <c r="J6" s="1219"/>
      <c r="K6" s="1219"/>
      <c r="L6" s="1219"/>
    </row>
    <row r="7" spans="1:12" ht="40.5" customHeight="1" thickTop="1">
      <c r="A7" s="770" t="s">
        <v>409</v>
      </c>
      <c r="B7" s="805" t="s">
        <v>699</v>
      </c>
      <c r="C7" s="731">
        <v>10000</v>
      </c>
      <c r="D7" s="832">
        <v>4877</v>
      </c>
      <c r="E7" s="832">
        <f t="shared" si="0"/>
        <v>5123</v>
      </c>
      <c r="F7" s="783"/>
      <c r="G7" s="719">
        <f>F3-F7</f>
        <v>0</v>
      </c>
      <c r="H7" s="783"/>
      <c r="I7" s="1219"/>
      <c r="J7" s="1219"/>
      <c r="K7" s="1219"/>
      <c r="L7" s="1219"/>
    </row>
    <row r="8" spans="1:12" ht="39" customHeight="1" thickBot="1">
      <c r="A8" s="771" t="s">
        <v>410</v>
      </c>
      <c r="B8" s="806" t="s">
        <v>700</v>
      </c>
      <c r="C8" s="733">
        <v>10000</v>
      </c>
      <c r="D8" s="835">
        <v>4875</v>
      </c>
      <c r="E8" s="835">
        <f t="shared" si="0"/>
        <v>5125</v>
      </c>
      <c r="F8" s="785"/>
      <c r="G8" s="720">
        <f>F7-F8</f>
        <v>0</v>
      </c>
      <c r="H8" s="785"/>
      <c r="I8" s="1219"/>
      <c r="J8" s="1219"/>
      <c r="K8" s="1219"/>
      <c r="L8" s="1219"/>
    </row>
    <row r="9" spans="1:12" ht="36.75" customHeight="1" thickTop="1">
      <c r="A9" s="772" t="s">
        <v>415</v>
      </c>
      <c r="B9" s="807" t="s">
        <v>701</v>
      </c>
      <c r="C9" s="731">
        <v>10000</v>
      </c>
      <c r="D9" s="832">
        <v>4836</v>
      </c>
      <c r="E9" s="832">
        <f t="shared" si="0"/>
        <v>5164</v>
      </c>
      <c r="F9" s="786"/>
      <c r="G9" s="721">
        <f>F3-F9</f>
        <v>0</v>
      </c>
      <c r="H9" s="786"/>
      <c r="I9" s="1219"/>
      <c r="J9" s="1219"/>
      <c r="K9" s="1219"/>
      <c r="L9" s="1219"/>
    </row>
    <row r="10" spans="1:12" ht="40.5" customHeight="1" thickBot="1">
      <c r="A10" s="773" t="s">
        <v>416</v>
      </c>
      <c r="B10" s="808" t="s">
        <v>702</v>
      </c>
      <c r="C10" s="733">
        <v>10000</v>
      </c>
      <c r="D10" s="835">
        <v>4837</v>
      </c>
      <c r="E10" s="835">
        <f t="shared" si="0"/>
        <v>5163</v>
      </c>
      <c r="F10" s="784"/>
      <c r="G10" s="722">
        <f>F9-F10</f>
        <v>0</v>
      </c>
      <c r="H10" s="784"/>
      <c r="I10" s="1220"/>
      <c r="J10" s="1219"/>
      <c r="K10" s="1219"/>
      <c r="L10" s="1219"/>
    </row>
    <row r="11" spans="1:12" ht="39" customHeight="1" thickTop="1">
      <c r="A11" s="772" t="s">
        <v>417</v>
      </c>
      <c r="B11" s="805" t="s">
        <v>703</v>
      </c>
      <c r="C11" s="731">
        <v>10000</v>
      </c>
      <c r="D11" s="832">
        <v>4015</v>
      </c>
      <c r="E11" s="832">
        <f t="shared" si="0"/>
        <v>5985</v>
      </c>
      <c r="F11" s="783"/>
      <c r="G11" s="719" t="s">
        <v>599</v>
      </c>
      <c r="H11" s="783"/>
      <c r="I11" s="1243" t="s">
        <v>672</v>
      </c>
      <c r="J11" s="1219"/>
      <c r="K11" s="1219"/>
      <c r="L11" s="1219"/>
    </row>
    <row r="12" spans="1:12" ht="39" customHeight="1" thickBot="1">
      <c r="A12" s="773" t="s">
        <v>418</v>
      </c>
      <c r="B12" s="809" t="s">
        <v>704</v>
      </c>
      <c r="C12" s="734">
        <v>10000</v>
      </c>
      <c r="D12" s="907">
        <v>4017</v>
      </c>
      <c r="E12" s="907">
        <f t="shared" si="0"/>
        <v>5983</v>
      </c>
      <c r="F12" s="787"/>
      <c r="G12" s="720">
        <f>F11-F12</f>
        <v>0</v>
      </c>
      <c r="H12" s="785"/>
      <c r="I12" s="1244"/>
      <c r="J12" s="1220"/>
      <c r="K12" s="1220"/>
      <c r="L12" s="1220"/>
    </row>
    <row r="13" spans="1:12" ht="17.25" thickTop="1">
      <c r="D13" s="836"/>
      <c r="E13" s="777"/>
      <c r="F13" s="778"/>
      <c r="H13" s="779"/>
    </row>
  </sheetData>
  <sheetProtection password="AAE5" sheet="1" objects="1" scenarios="1" selectLockedCells="1"/>
  <mergeCells count="5">
    <mergeCell ref="L3:L12"/>
    <mergeCell ref="K3:K12"/>
    <mergeCell ref="I11:I12"/>
    <mergeCell ref="I3:I10"/>
    <mergeCell ref="J3:J12"/>
  </mergeCells>
  <phoneticPr fontId="49" type="noConversion"/>
  <conditionalFormatting sqref="G12 G10 G8 G4 G6">
    <cfRule type="cellIs" dxfId="315" priority="14" stopIfTrue="1" operator="notBetween">
      <formula>2</formula>
      <formula>-2</formula>
    </cfRule>
  </conditionalFormatting>
  <conditionalFormatting sqref="F11">
    <cfRule type="cellIs" dxfId="314" priority="15" stopIfTrue="1" operator="greaterThan">
      <formula>$E$11</formula>
    </cfRule>
  </conditionalFormatting>
  <conditionalFormatting sqref="F12">
    <cfRule type="cellIs" dxfId="313" priority="16" stopIfTrue="1" operator="greaterThan">
      <formula>$E$12</formula>
    </cfRule>
  </conditionalFormatting>
  <conditionalFormatting sqref="F9">
    <cfRule type="cellIs" dxfId="312" priority="17" stopIfTrue="1" operator="greaterThan">
      <formula>$E$9</formula>
    </cfRule>
  </conditionalFormatting>
  <conditionalFormatting sqref="F10">
    <cfRule type="cellIs" dxfId="311" priority="18" stopIfTrue="1" operator="greaterThan">
      <formula>$E$10</formula>
    </cfRule>
  </conditionalFormatting>
  <conditionalFormatting sqref="H3:H12">
    <cfRule type="cellIs" dxfId="310" priority="19" stopIfTrue="1" operator="greaterThan">
      <formula>$J$3</formula>
    </cfRule>
  </conditionalFormatting>
  <conditionalFormatting sqref="F7">
    <cfRule type="cellIs" dxfId="309" priority="20" stopIfTrue="1" operator="greaterThan">
      <formula>$E$7</formula>
    </cfRule>
  </conditionalFormatting>
  <conditionalFormatting sqref="F8">
    <cfRule type="cellIs" dxfId="308" priority="21" stopIfTrue="1" operator="greaterThan">
      <formula>$E$8</formula>
    </cfRule>
  </conditionalFormatting>
  <conditionalFormatting sqref="F5">
    <cfRule type="cellIs" dxfId="307" priority="22" stopIfTrue="1" operator="greaterThan">
      <formula>$E$5</formula>
    </cfRule>
  </conditionalFormatting>
  <conditionalFormatting sqref="F4">
    <cfRule type="cellIs" dxfId="306" priority="23" stopIfTrue="1" operator="greaterThan">
      <formula>$E$4</formula>
    </cfRule>
  </conditionalFormatting>
  <conditionalFormatting sqref="G5 G7 G9">
    <cfRule type="cellIs" dxfId="305" priority="24" stopIfTrue="1" operator="notBetween">
      <formula>100</formula>
      <formula>-100</formula>
    </cfRule>
  </conditionalFormatting>
  <conditionalFormatting sqref="F3">
    <cfRule type="cellIs" dxfId="304" priority="25" stopIfTrue="1" operator="greaterThan">
      <formula>$E$3</formula>
    </cfRule>
  </conditionalFormatting>
  <conditionalFormatting sqref="F6">
    <cfRule type="cellIs" dxfId="303" priority="13" operator="greaterThan">
      <formula>$E$6</formula>
    </cfRule>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L29"/>
  <sheetViews>
    <sheetView workbookViewId="0">
      <selection activeCell="F8" sqref="F8"/>
    </sheetView>
  </sheetViews>
  <sheetFormatPr defaultColWidth="10.28515625" defaultRowHeight="16.5"/>
  <cols>
    <col min="1" max="1" width="27.7109375" style="854" customWidth="1"/>
    <col min="2" max="2" width="31.85546875" style="854" customWidth="1"/>
    <col min="3" max="3" width="23.7109375" style="854" customWidth="1"/>
    <col min="4" max="4" width="23.28515625" style="854" customWidth="1"/>
    <col min="5" max="5" width="28" style="854" customWidth="1"/>
    <col min="6" max="6" width="19.140625" style="854" customWidth="1"/>
    <col min="7" max="7" width="18.7109375" style="854" customWidth="1"/>
    <col min="8" max="8" width="17.28515625" style="854" customWidth="1"/>
    <col min="9" max="9" width="27.42578125" style="854" customWidth="1"/>
    <col min="10" max="10" width="12.7109375" style="854" customWidth="1"/>
    <col min="11" max="11" width="20" style="854" customWidth="1"/>
    <col min="12" max="12" width="18" style="854" customWidth="1"/>
    <col min="13" max="16384" width="10.28515625" style="854"/>
  </cols>
  <sheetData>
    <row r="1" spans="1:12" ht="28.5" thickBot="1">
      <c r="A1" s="863" t="s">
        <v>887</v>
      </c>
      <c r="B1" s="862"/>
      <c r="C1" s="845"/>
      <c r="D1" s="855"/>
      <c r="E1" s="855"/>
      <c r="F1" s="855"/>
    </row>
    <row r="2" spans="1:12" ht="34.5" thickTop="1" thickBot="1">
      <c r="A2" s="879" t="s">
        <v>888</v>
      </c>
      <c r="B2" s="888" t="s">
        <v>726</v>
      </c>
      <c r="C2" s="856" t="s">
        <v>889</v>
      </c>
      <c r="D2" s="853" t="s">
        <v>882</v>
      </c>
      <c r="E2" s="853" t="s">
        <v>890</v>
      </c>
      <c r="F2" s="858" t="s">
        <v>891</v>
      </c>
      <c r="G2" s="886" t="s">
        <v>892</v>
      </c>
      <c r="H2" s="884" t="s">
        <v>893</v>
      </c>
      <c r="I2" s="884" t="s">
        <v>894</v>
      </c>
      <c r="J2" s="856" t="s">
        <v>895</v>
      </c>
      <c r="K2" s="856" t="s">
        <v>896</v>
      </c>
      <c r="L2" s="900" t="s">
        <v>897</v>
      </c>
    </row>
    <row r="3" spans="1:12" ht="33.75" thickTop="1">
      <c r="A3" s="936" t="s">
        <v>898</v>
      </c>
      <c r="B3" s="991" t="s">
        <v>899</v>
      </c>
      <c r="C3" s="896">
        <v>7000</v>
      </c>
      <c r="D3" s="1037">
        <v>2155</v>
      </c>
      <c r="E3" s="908">
        <f>C3-D3</f>
        <v>4845</v>
      </c>
      <c r="F3" s="901"/>
      <c r="G3" s="880" t="s">
        <v>900</v>
      </c>
      <c r="H3" s="841"/>
      <c r="I3" s="1201" t="s">
        <v>901</v>
      </c>
      <c r="J3" s="1204">
        <v>2</v>
      </c>
      <c r="K3" s="1204" t="s">
        <v>902</v>
      </c>
      <c r="L3" s="1245">
        <v>20</v>
      </c>
    </row>
    <row r="4" spans="1:12" ht="33.75" thickBot="1">
      <c r="A4" s="937" t="s">
        <v>903</v>
      </c>
      <c r="B4" s="992" t="s">
        <v>904</v>
      </c>
      <c r="C4" s="897">
        <v>7000</v>
      </c>
      <c r="D4" s="1036">
        <v>2154</v>
      </c>
      <c r="E4" s="910">
        <f>C4-D4</f>
        <v>4846</v>
      </c>
      <c r="F4" s="902"/>
      <c r="G4" s="881">
        <f>F3-F4</f>
        <v>0</v>
      </c>
      <c r="H4" s="851"/>
      <c r="I4" s="1202"/>
      <c r="J4" s="1205"/>
      <c r="K4" s="1205"/>
      <c r="L4" s="1246"/>
    </row>
    <row r="5" spans="1:12" ht="33.75" thickTop="1">
      <c r="A5" s="936" t="s">
        <v>905</v>
      </c>
      <c r="B5" s="991" t="s">
        <v>906</v>
      </c>
      <c r="C5" s="896">
        <v>7000</v>
      </c>
      <c r="D5" s="1037">
        <v>2150</v>
      </c>
      <c r="E5" s="908">
        <f t="shared" ref="E5:E24" si="0">C5-D5</f>
        <v>4850</v>
      </c>
      <c r="F5" s="901"/>
      <c r="G5" s="880">
        <f>F3-F5</f>
        <v>0</v>
      </c>
      <c r="H5" s="841"/>
      <c r="I5" s="1202"/>
      <c r="J5" s="1205"/>
      <c r="K5" s="1205"/>
      <c r="L5" s="1246"/>
    </row>
    <row r="6" spans="1:12" ht="33.75" thickBot="1">
      <c r="A6" s="937" t="s">
        <v>907</v>
      </c>
      <c r="B6" s="993" t="s">
        <v>908</v>
      </c>
      <c r="C6" s="897">
        <v>7000</v>
      </c>
      <c r="D6" s="1035">
        <v>2152</v>
      </c>
      <c r="E6" s="910">
        <f t="shared" si="0"/>
        <v>4848</v>
      </c>
      <c r="F6" s="903"/>
      <c r="G6" s="882">
        <f>F5-F6</f>
        <v>0</v>
      </c>
      <c r="H6" s="848"/>
      <c r="I6" s="1202"/>
      <c r="J6" s="1205"/>
      <c r="K6" s="1205"/>
      <c r="L6" s="1246"/>
    </row>
    <row r="7" spans="1:12" ht="33.75" thickTop="1">
      <c r="A7" s="936" t="s">
        <v>909</v>
      </c>
      <c r="B7" s="1004" t="s">
        <v>910</v>
      </c>
      <c r="C7" s="896">
        <v>7000</v>
      </c>
      <c r="D7" s="1028">
        <v>2150</v>
      </c>
      <c r="E7" s="908">
        <f t="shared" si="0"/>
        <v>4850</v>
      </c>
      <c r="F7" s="904"/>
      <c r="G7" s="883">
        <f>F3-F7</f>
        <v>0</v>
      </c>
      <c r="H7" s="850"/>
      <c r="I7" s="1202"/>
      <c r="J7" s="1205"/>
      <c r="K7" s="1205"/>
      <c r="L7" s="1246"/>
    </row>
    <row r="8" spans="1:12" ht="33.75" thickBot="1">
      <c r="A8" s="937" t="s">
        <v>911</v>
      </c>
      <c r="B8" s="992" t="s">
        <v>912</v>
      </c>
      <c r="C8" s="897">
        <v>7000</v>
      </c>
      <c r="D8" s="1036">
        <v>2149</v>
      </c>
      <c r="E8" s="910">
        <f t="shared" si="0"/>
        <v>4851</v>
      </c>
      <c r="F8" s="902"/>
      <c r="G8" s="881">
        <f>F7-F8</f>
        <v>0</v>
      </c>
      <c r="H8" s="851"/>
      <c r="I8" s="1202"/>
      <c r="J8" s="1205"/>
      <c r="K8" s="1205"/>
      <c r="L8" s="1246"/>
    </row>
    <row r="9" spans="1:12" ht="17.25" thickTop="1">
      <c r="A9" s="936" t="s">
        <v>913</v>
      </c>
      <c r="B9" s="991" t="s">
        <v>914</v>
      </c>
      <c r="C9" s="896">
        <v>7000</v>
      </c>
      <c r="D9" s="1037">
        <v>2150</v>
      </c>
      <c r="E9" s="908">
        <f t="shared" si="0"/>
        <v>4850</v>
      </c>
      <c r="F9" s="901"/>
      <c r="G9" s="880">
        <f>F3-F9</f>
        <v>0</v>
      </c>
      <c r="H9" s="841"/>
      <c r="I9" s="1202"/>
      <c r="J9" s="1205"/>
      <c r="K9" s="1205"/>
      <c r="L9" s="1246"/>
    </row>
    <row r="10" spans="1:12" ht="17.25" thickBot="1">
      <c r="A10" s="937" t="s">
        <v>915</v>
      </c>
      <c r="B10" s="993" t="s">
        <v>916</v>
      </c>
      <c r="C10" s="897">
        <v>7000</v>
      </c>
      <c r="D10" s="1035">
        <v>2150</v>
      </c>
      <c r="E10" s="910">
        <f t="shared" si="0"/>
        <v>4850</v>
      </c>
      <c r="F10" s="903"/>
      <c r="G10" s="882">
        <f>F9-F10</f>
        <v>0</v>
      </c>
      <c r="H10" s="848"/>
      <c r="I10" s="1202"/>
      <c r="J10" s="1205"/>
      <c r="K10" s="1205"/>
      <c r="L10" s="1246"/>
    </row>
    <row r="11" spans="1:12" ht="33.75" thickTop="1">
      <c r="A11" s="938" t="s">
        <v>917</v>
      </c>
      <c r="B11" s="991" t="s">
        <v>918</v>
      </c>
      <c r="C11" s="896">
        <v>7000</v>
      </c>
      <c r="D11" s="1028">
        <v>2151</v>
      </c>
      <c r="E11" s="908">
        <f t="shared" si="0"/>
        <v>4849</v>
      </c>
      <c r="F11" s="904"/>
      <c r="G11" s="883">
        <f>F3-F11</f>
        <v>0</v>
      </c>
      <c r="H11" s="850"/>
      <c r="I11" s="1202"/>
      <c r="J11" s="1205"/>
      <c r="K11" s="1205"/>
      <c r="L11" s="1246"/>
    </row>
    <row r="12" spans="1:12" ht="33.75" thickBot="1">
      <c r="A12" s="939" t="s">
        <v>919</v>
      </c>
      <c r="B12" s="993" t="s">
        <v>920</v>
      </c>
      <c r="C12" s="897">
        <v>7000</v>
      </c>
      <c r="D12" s="1036">
        <v>2150</v>
      </c>
      <c r="E12" s="910">
        <f t="shared" si="0"/>
        <v>4850</v>
      </c>
      <c r="F12" s="902"/>
      <c r="G12" s="881">
        <f>F11-F12</f>
        <v>0</v>
      </c>
      <c r="H12" s="851"/>
      <c r="I12" s="1202"/>
      <c r="J12" s="1205"/>
      <c r="K12" s="1205"/>
      <c r="L12" s="1246"/>
    </row>
    <row r="13" spans="1:12" ht="17.25" thickTop="1">
      <c r="A13" s="936" t="s">
        <v>921</v>
      </c>
      <c r="B13" s="991" t="s">
        <v>922</v>
      </c>
      <c r="C13" s="896">
        <v>7000</v>
      </c>
      <c r="D13" s="1037">
        <v>2153</v>
      </c>
      <c r="E13" s="908">
        <f t="shared" si="0"/>
        <v>4847</v>
      </c>
      <c r="F13" s="901"/>
      <c r="G13" s="880">
        <f>F3-F13</f>
        <v>0</v>
      </c>
      <c r="H13" s="841"/>
      <c r="I13" s="1202"/>
      <c r="J13" s="1205"/>
      <c r="K13" s="1205"/>
      <c r="L13" s="1246"/>
    </row>
    <row r="14" spans="1:12" ht="17.25" thickBot="1">
      <c r="A14" s="937" t="s">
        <v>923</v>
      </c>
      <c r="B14" s="992" t="s">
        <v>924</v>
      </c>
      <c r="C14" s="897">
        <v>7000</v>
      </c>
      <c r="D14" s="1035">
        <v>2152</v>
      </c>
      <c r="E14" s="910">
        <f t="shared" si="0"/>
        <v>4848</v>
      </c>
      <c r="F14" s="903"/>
      <c r="G14" s="882">
        <f>F13-F14</f>
        <v>0</v>
      </c>
      <c r="H14" s="848"/>
      <c r="I14" s="1202"/>
      <c r="J14" s="1205"/>
      <c r="K14" s="1205"/>
      <c r="L14" s="1246"/>
    </row>
    <row r="15" spans="1:12" ht="17.25" thickTop="1">
      <c r="A15" s="936" t="s">
        <v>925</v>
      </c>
      <c r="B15" s="991" t="s">
        <v>926</v>
      </c>
      <c r="C15" s="896">
        <v>7000</v>
      </c>
      <c r="D15" s="1037">
        <v>2153</v>
      </c>
      <c r="E15" s="908">
        <f t="shared" si="0"/>
        <v>4847</v>
      </c>
      <c r="F15" s="901"/>
      <c r="G15" s="880">
        <f>F3-F15</f>
        <v>0</v>
      </c>
      <c r="H15" s="841"/>
      <c r="I15" s="1202"/>
      <c r="J15" s="1205"/>
      <c r="K15" s="1205"/>
      <c r="L15" s="1246"/>
    </row>
    <row r="16" spans="1:12" ht="17.25" thickBot="1">
      <c r="A16" s="937" t="s">
        <v>927</v>
      </c>
      <c r="B16" s="992" t="s">
        <v>928</v>
      </c>
      <c r="C16" s="897">
        <v>7000</v>
      </c>
      <c r="D16" s="1035">
        <v>2152</v>
      </c>
      <c r="E16" s="910">
        <f t="shared" si="0"/>
        <v>4848</v>
      </c>
      <c r="F16" s="903"/>
      <c r="G16" s="882">
        <f>F15-F16</f>
        <v>0</v>
      </c>
      <c r="H16" s="848"/>
      <c r="I16" s="1202"/>
      <c r="J16" s="1205"/>
      <c r="K16" s="1205"/>
      <c r="L16" s="1246"/>
    </row>
    <row r="17" spans="1:12" ht="17.25" thickTop="1">
      <c r="A17" s="936" t="s">
        <v>929</v>
      </c>
      <c r="B17" s="991" t="s">
        <v>930</v>
      </c>
      <c r="C17" s="896">
        <v>7000</v>
      </c>
      <c r="D17" s="1028">
        <v>2150</v>
      </c>
      <c r="E17" s="908">
        <f t="shared" si="0"/>
        <v>4850</v>
      </c>
      <c r="F17" s="904"/>
      <c r="G17" s="883">
        <f>F3-F17</f>
        <v>0</v>
      </c>
      <c r="H17" s="850"/>
      <c r="I17" s="1202"/>
      <c r="J17" s="1205"/>
      <c r="K17" s="1205"/>
      <c r="L17" s="1246"/>
    </row>
    <row r="18" spans="1:12" ht="17.25" thickBot="1">
      <c r="A18" s="937" t="s">
        <v>931</v>
      </c>
      <c r="B18" s="992" t="s">
        <v>932</v>
      </c>
      <c r="C18" s="897">
        <v>7000</v>
      </c>
      <c r="D18" s="1036">
        <v>2152</v>
      </c>
      <c r="E18" s="910">
        <f t="shared" si="0"/>
        <v>4848</v>
      </c>
      <c r="F18" s="902"/>
      <c r="G18" s="881">
        <f>F17-F18</f>
        <v>0</v>
      </c>
      <c r="H18" s="851"/>
      <c r="I18" s="1202"/>
      <c r="J18" s="1205"/>
      <c r="K18" s="1205"/>
      <c r="L18" s="1246"/>
    </row>
    <row r="19" spans="1:12" ht="17.25" thickTop="1">
      <c r="A19" s="936" t="s">
        <v>933</v>
      </c>
      <c r="B19" s="991" t="s">
        <v>934</v>
      </c>
      <c r="C19" s="896">
        <v>7000</v>
      </c>
      <c r="D19" s="1037">
        <v>2150</v>
      </c>
      <c r="E19" s="908">
        <f t="shared" si="0"/>
        <v>4850</v>
      </c>
      <c r="F19" s="901"/>
      <c r="G19" s="880">
        <f>F3-F19</f>
        <v>0</v>
      </c>
      <c r="H19" s="841"/>
      <c r="I19" s="1202"/>
      <c r="J19" s="1205"/>
      <c r="K19" s="1205"/>
      <c r="L19" s="1246"/>
    </row>
    <row r="20" spans="1:12" ht="17.25" thickBot="1">
      <c r="A20" s="937" t="s">
        <v>935</v>
      </c>
      <c r="B20" s="992" t="s">
        <v>936</v>
      </c>
      <c r="C20" s="897">
        <v>7000</v>
      </c>
      <c r="D20" s="1035">
        <v>2152</v>
      </c>
      <c r="E20" s="910">
        <f t="shared" si="0"/>
        <v>4848</v>
      </c>
      <c r="F20" s="903"/>
      <c r="G20" s="882">
        <f>F19-F20</f>
        <v>0</v>
      </c>
      <c r="H20" s="848"/>
      <c r="I20" s="1202"/>
      <c r="J20" s="1205"/>
      <c r="K20" s="1205"/>
      <c r="L20" s="1246"/>
    </row>
    <row r="21" spans="1:12" ht="17.25" thickTop="1">
      <c r="A21" s="938" t="s">
        <v>937</v>
      </c>
      <c r="B21" s="1000" t="s">
        <v>938</v>
      </c>
      <c r="C21" s="896">
        <v>7000</v>
      </c>
      <c r="D21" s="1037">
        <v>2150</v>
      </c>
      <c r="E21" s="908">
        <f t="shared" si="0"/>
        <v>4850</v>
      </c>
      <c r="F21" s="901"/>
      <c r="G21" s="880">
        <f>F3-F21</f>
        <v>0</v>
      </c>
      <c r="H21" s="841"/>
      <c r="I21" s="1202"/>
      <c r="J21" s="1205"/>
      <c r="K21" s="1205"/>
      <c r="L21" s="1246"/>
    </row>
    <row r="22" spans="1:12" ht="17.25" thickBot="1">
      <c r="A22" s="939" t="s">
        <v>939</v>
      </c>
      <c r="B22" s="1001" t="s">
        <v>940</v>
      </c>
      <c r="C22" s="897">
        <v>7000</v>
      </c>
      <c r="D22" s="1036">
        <v>2149</v>
      </c>
      <c r="E22" s="910">
        <f t="shared" si="0"/>
        <v>4851</v>
      </c>
      <c r="F22" s="902"/>
      <c r="G22" s="881">
        <f>F21-F22</f>
        <v>0</v>
      </c>
      <c r="H22" s="851"/>
      <c r="I22" s="1203"/>
      <c r="J22" s="1206"/>
      <c r="K22" s="1206"/>
      <c r="L22" s="1247"/>
    </row>
    <row r="23" spans="1:12" ht="33.75" thickTop="1">
      <c r="A23" s="938" t="s">
        <v>941</v>
      </c>
      <c r="B23" s="991" t="s">
        <v>942</v>
      </c>
      <c r="C23" s="896">
        <v>7000</v>
      </c>
      <c r="D23" s="1037">
        <v>4028</v>
      </c>
      <c r="E23" s="908">
        <f t="shared" si="0"/>
        <v>2972</v>
      </c>
      <c r="F23" s="901"/>
      <c r="G23" s="880" t="s">
        <v>943</v>
      </c>
      <c r="H23" s="841"/>
      <c r="I23" s="1248" t="s">
        <v>944</v>
      </c>
      <c r="J23" s="1250">
        <v>4</v>
      </c>
      <c r="K23" s="1250" t="s">
        <v>945</v>
      </c>
      <c r="L23" s="1252">
        <v>30</v>
      </c>
    </row>
    <row r="24" spans="1:12" ht="33.75" thickBot="1">
      <c r="A24" s="939" t="s">
        <v>946</v>
      </c>
      <c r="B24" s="1018" t="s">
        <v>947</v>
      </c>
      <c r="C24" s="898">
        <v>7000</v>
      </c>
      <c r="D24" s="1039">
        <v>4029</v>
      </c>
      <c r="E24" s="909">
        <f t="shared" si="0"/>
        <v>2971</v>
      </c>
      <c r="F24" s="899"/>
      <c r="G24" s="882">
        <f>F23-F24</f>
        <v>0</v>
      </c>
      <c r="H24" s="848"/>
      <c r="I24" s="1249"/>
      <c r="J24" s="1251"/>
      <c r="K24" s="1251"/>
      <c r="L24" s="1253"/>
    </row>
    <row r="25" spans="1:12" ht="17.25" thickTop="1">
      <c r="E25" s="869"/>
      <c r="F25" s="870"/>
      <c r="H25" s="871"/>
    </row>
    <row r="26" spans="1:12">
      <c r="F26" s="870"/>
    </row>
    <row r="27" spans="1:12">
      <c r="F27" s="870"/>
    </row>
    <row r="28" spans="1:12">
      <c r="F28" s="870"/>
    </row>
    <row r="29" spans="1:12">
      <c r="F29" s="870"/>
    </row>
  </sheetData>
  <sheetProtection password="AAE5" sheet="1" objects="1" scenarios="1" selectLockedCells="1"/>
  <mergeCells count="8">
    <mergeCell ref="I3:I22"/>
    <mergeCell ref="J3:J22"/>
    <mergeCell ref="K3:K22"/>
    <mergeCell ref="L3:L22"/>
    <mergeCell ref="I23:I24"/>
    <mergeCell ref="J23:J24"/>
    <mergeCell ref="K23:K24"/>
    <mergeCell ref="L23:L24"/>
  </mergeCells>
  <phoneticPr fontId="49" type="noConversion"/>
  <conditionalFormatting sqref="H3:H22">
    <cfRule type="cellIs" dxfId="302" priority="1" stopIfTrue="1" operator="greaterThan">
      <formula>2</formula>
    </cfRule>
  </conditionalFormatting>
  <conditionalFormatting sqref="G5 G7 G9 G11 G13 G15 G17 G19 G21">
    <cfRule type="cellIs" dxfId="301" priority="4" stopIfTrue="1" operator="notBetween">
      <formula>10</formula>
      <formula>-10</formula>
    </cfRule>
  </conditionalFormatting>
  <conditionalFormatting sqref="G4 G6 G8 G10 G12 G14 G16 G18 G20 G22">
    <cfRule type="cellIs" dxfId="300" priority="5" stopIfTrue="1" operator="notBetween">
      <formula>2</formula>
      <formula>-2</formula>
    </cfRule>
  </conditionalFormatting>
  <conditionalFormatting sqref="G24">
    <cfRule type="cellIs" dxfId="299" priority="6" stopIfTrue="1" operator="notBetween">
      <formula>250</formula>
      <formula>-250</formula>
    </cfRule>
  </conditionalFormatting>
  <conditionalFormatting sqref="D24">
    <cfRule type="cellIs" dxfId="298" priority="2" stopIfTrue="1" operator="greaterThan">
      <formula>6000</formula>
    </cfRule>
  </conditionalFormatting>
  <conditionalFormatting sqref="H23:H24">
    <cfRule type="cellIs" dxfId="297" priority="3" stopIfTrue="1" operator="greaterThan">
      <formula>4</formula>
    </cfRule>
  </conditionalFormatting>
  <conditionalFormatting sqref="F3">
    <cfRule type="cellIs" dxfId="296" priority="7" stopIfTrue="1" operator="greaterThan">
      <formula>$E$3</formula>
    </cfRule>
  </conditionalFormatting>
  <conditionalFormatting sqref="F4">
    <cfRule type="cellIs" dxfId="295" priority="8" stopIfTrue="1" operator="greaterThan">
      <formula>$E$4</formula>
    </cfRule>
  </conditionalFormatting>
  <conditionalFormatting sqref="F5">
    <cfRule type="cellIs" dxfId="294" priority="9" stopIfTrue="1" operator="greaterThan">
      <formula>$E$5</formula>
    </cfRule>
  </conditionalFormatting>
  <conditionalFormatting sqref="F6">
    <cfRule type="cellIs" dxfId="293" priority="10" stopIfTrue="1" operator="greaterThan">
      <formula>$E$6</formula>
    </cfRule>
  </conditionalFormatting>
  <conditionalFormatting sqref="F7">
    <cfRule type="cellIs" dxfId="292" priority="11" stopIfTrue="1" operator="greaterThan">
      <formula>$E$7</formula>
    </cfRule>
  </conditionalFormatting>
  <conditionalFormatting sqref="F8">
    <cfRule type="cellIs" dxfId="291" priority="12" stopIfTrue="1" operator="greaterThan">
      <formula>$E$8</formula>
    </cfRule>
  </conditionalFormatting>
  <conditionalFormatting sqref="F9">
    <cfRule type="cellIs" dxfId="290" priority="13" stopIfTrue="1" operator="greaterThan">
      <formula>$E$9</formula>
    </cfRule>
  </conditionalFormatting>
  <conditionalFormatting sqref="F10">
    <cfRule type="cellIs" dxfId="289" priority="14" stopIfTrue="1" operator="greaterThan">
      <formula>$E$10</formula>
    </cfRule>
  </conditionalFormatting>
  <conditionalFormatting sqref="F11">
    <cfRule type="cellIs" dxfId="288" priority="15" stopIfTrue="1" operator="greaterThan">
      <formula>$E$11</formula>
    </cfRule>
  </conditionalFormatting>
  <conditionalFormatting sqref="F12">
    <cfRule type="cellIs" dxfId="287" priority="16" stopIfTrue="1" operator="greaterThan">
      <formula>$E$12</formula>
    </cfRule>
  </conditionalFormatting>
  <conditionalFormatting sqref="F13">
    <cfRule type="cellIs" dxfId="286" priority="17" stopIfTrue="1" operator="greaterThan">
      <formula>$E$13</formula>
    </cfRule>
  </conditionalFormatting>
  <conditionalFormatting sqref="F14">
    <cfRule type="cellIs" dxfId="285" priority="18" stopIfTrue="1" operator="greaterThan">
      <formula>$E$14</formula>
    </cfRule>
  </conditionalFormatting>
  <conditionalFormatting sqref="F15">
    <cfRule type="cellIs" dxfId="284" priority="19" stopIfTrue="1" operator="greaterThan">
      <formula>$E$15</formula>
    </cfRule>
  </conditionalFormatting>
  <conditionalFormatting sqref="F16">
    <cfRule type="cellIs" dxfId="283" priority="20" stopIfTrue="1" operator="greaterThan">
      <formula>$E$16</formula>
    </cfRule>
  </conditionalFormatting>
  <conditionalFormatting sqref="F17">
    <cfRule type="cellIs" dxfId="282" priority="21" stopIfTrue="1" operator="greaterThan">
      <formula>$E$17</formula>
    </cfRule>
  </conditionalFormatting>
  <conditionalFormatting sqref="F18">
    <cfRule type="cellIs" dxfId="281" priority="22" stopIfTrue="1" operator="greaterThan">
      <formula>$E$18</formula>
    </cfRule>
  </conditionalFormatting>
  <conditionalFormatting sqref="F19">
    <cfRule type="cellIs" dxfId="280" priority="23" stopIfTrue="1" operator="greaterThan">
      <formula>$E$19</formula>
    </cfRule>
  </conditionalFormatting>
  <conditionalFormatting sqref="F20">
    <cfRule type="cellIs" dxfId="279" priority="24" stopIfTrue="1" operator="greaterThan">
      <formula>$E$20</formula>
    </cfRule>
  </conditionalFormatting>
  <conditionalFormatting sqref="F21">
    <cfRule type="cellIs" dxfId="278" priority="25" stopIfTrue="1" operator="greaterThan">
      <formula>$E$21</formula>
    </cfRule>
  </conditionalFormatting>
  <conditionalFormatting sqref="F22">
    <cfRule type="cellIs" dxfId="277" priority="26" stopIfTrue="1" operator="greaterThan">
      <formula>$E$22</formula>
    </cfRule>
  </conditionalFormatting>
  <conditionalFormatting sqref="F23">
    <cfRule type="cellIs" dxfId="276" priority="27" stopIfTrue="1" operator="greaterThan">
      <formula>$E$23</formula>
    </cfRule>
  </conditionalFormatting>
  <conditionalFormatting sqref="F24">
    <cfRule type="cellIs" dxfId="275" priority="28" stopIfTrue="1" operator="greaterThan">
      <formula>$E$24</formula>
    </cfRule>
  </conditionalFormatting>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L12"/>
  <sheetViews>
    <sheetView zoomScale="90" zoomScaleNormal="90" workbookViewId="0">
      <selection activeCell="H9" sqref="H9"/>
    </sheetView>
  </sheetViews>
  <sheetFormatPr defaultRowHeight="12.75"/>
  <cols>
    <col min="1" max="1" width="26.140625" style="840" customWidth="1"/>
    <col min="2" max="2" width="23.85546875" style="840" customWidth="1"/>
    <col min="3" max="3" width="23.5703125" style="840" customWidth="1"/>
    <col min="4" max="4" width="17.5703125" style="840" customWidth="1"/>
    <col min="5" max="5" width="29" style="840" customWidth="1"/>
    <col min="6" max="6" width="22.42578125" style="840" customWidth="1"/>
    <col min="7" max="7" width="11.140625" style="840" bestFit="1" customWidth="1"/>
    <col min="8" max="8" width="10.140625" style="840" customWidth="1"/>
    <col min="9" max="9" width="20" style="840" customWidth="1"/>
    <col min="10" max="10" width="14" style="840" customWidth="1"/>
    <col min="11" max="11" width="13.5703125" style="840" customWidth="1"/>
    <col min="12" max="12" width="26.28515625" style="840" customWidth="1"/>
    <col min="13" max="16384" width="9.140625" style="840"/>
  </cols>
  <sheetData>
    <row r="1" spans="1:12" ht="28.5" thickBot="1">
      <c r="A1" s="863" t="s">
        <v>948</v>
      </c>
      <c r="B1" s="864"/>
      <c r="C1" s="862"/>
      <c r="D1" s="845"/>
      <c r="E1" s="855"/>
      <c r="F1" s="855"/>
      <c r="G1" s="855"/>
      <c r="H1" s="865"/>
      <c r="I1" s="855"/>
    </row>
    <row r="2" spans="1:12" ht="34.5" thickTop="1" thickBot="1">
      <c r="A2" s="857" t="s">
        <v>739</v>
      </c>
      <c r="B2" s="906" t="s">
        <v>726</v>
      </c>
      <c r="C2" s="856" t="s">
        <v>740</v>
      </c>
      <c r="D2" s="853" t="s">
        <v>882</v>
      </c>
      <c r="E2" s="856" t="s">
        <v>949</v>
      </c>
      <c r="F2" s="858" t="s">
        <v>742</v>
      </c>
      <c r="G2" s="859" t="s">
        <v>743</v>
      </c>
      <c r="H2" s="856" t="s">
        <v>744</v>
      </c>
      <c r="I2" s="856" t="s">
        <v>745</v>
      </c>
      <c r="J2" s="856" t="s">
        <v>746</v>
      </c>
      <c r="K2" s="856" t="s">
        <v>747</v>
      </c>
      <c r="L2" s="900" t="s">
        <v>950</v>
      </c>
    </row>
    <row r="3" spans="1:12" ht="18" thickTop="1" thickBot="1">
      <c r="A3" s="921" t="s">
        <v>951</v>
      </c>
      <c r="B3" s="1009" t="s">
        <v>952</v>
      </c>
      <c r="C3" s="922">
        <v>6000</v>
      </c>
      <c r="D3" s="1021">
        <v>2245</v>
      </c>
      <c r="E3" s="1006">
        <f>C3-D3</f>
        <v>3755</v>
      </c>
      <c r="F3" s="841"/>
      <c r="G3" s="867" t="s">
        <v>751</v>
      </c>
      <c r="H3" s="852"/>
      <c r="I3" s="1259" t="s">
        <v>967</v>
      </c>
      <c r="J3" s="1259">
        <v>4</v>
      </c>
      <c r="K3" s="1204" t="s">
        <v>953</v>
      </c>
      <c r="L3" s="1261">
        <v>30</v>
      </c>
    </row>
    <row r="4" spans="1:12" ht="18" thickTop="1" thickBot="1">
      <c r="A4" s="893" t="s">
        <v>954</v>
      </c>
      <c r="B4" s="1010" t="s">
        <v>955</v>
      </c>
      <c r="C4" s="922">
        <v>6000</v>
      </c>
      <c r="D4" s="826">
        <v>2196</v>
      </c>
      <c r="E4" s="1008">
        <f t="shared" ref="E4:E9" si="0">C4-D4</f>
        <v>3804</v>
      </c>
      <c r="F4" s="843"/>
      <c r="G4" s="847">
        <f>F3-F4</f>
        <v>0</v>
      </c>
      <c r="H4" s="911"/>
      <c r="I4" s="1260"/>
      <c r="J4" s="1260"/>
      <c r="K4" s="1260"/>
      <c r="L4" s="1262"/>
    </row>
    <row r="5" spans="1:12" ht="17.25" thickTop="1">
      <c r="A5" s="893" t="s">
        <v>956</v>
      </c>
      <c r="B5" s="1010" t="s">
        <v>957</v>
      </c>
      <c r="C5" s="922">
        <v>6000</v>
      </c>
      <c r="D5" s="826">
        <v>2199</v>
      </c>
      <c r="E5" s="1008">
        <f t="shared" si="0"/>
        <v>3801</v>
      </c>
      <c r="F5" s="843"/>
      <c r="G5" s="847">
        <f>F3-F5</f>
        <v>0</v>
      </c>
      <c r="H5" s="911"/>
      <c r="I5" s="1260"/>
      <c r="J5" s="1260"/>
      <c r="K5" s="1260"/>
      <c r="L5" s="1262"/>
    </row>
    <row r="6" spans="1:12" ht="16.5">
      <c r="A6" s="893" t="s">
        <v>958</v>
      </c>
      <c r="B6" s="1010" t="s">
        <v>959</v>
      </c>
      <c r="C6" s="891">
        <v>7000</v>
      </c>
      <c r="D6" s="826">
        <v>2212</v>
      </c>
      <c r="E6" s="1008">
        <f t="shared" si="0"/>
        <v>4788</v>
      </c>
      <c r="F6" s="843"/>
      <c r="G6" s="847" t="s">
        <v>943</v>
      </c>
      <c r="H6" s="911"/>
      <c r="I6" s="1263" t="s">
        <v>960</v>
      </c>
      <c r="J6" s="1263">
        <v>4</v>
      </c>
      <c r="K6" s="1265" t="s">
        <v>945</v>
      </c>
      <c r="L6" s="1266">
        <v>20</v>
      </c>
    </row>
    <row r="7" spans="1:12" ht="16.5">
      <c r="A7" s="893" t="s">
        <v>961</v>
      </c>
      <c r="B7" s="1010" t="s">
        <v>962</v>
      </c>
      <c r="C7" s="891">
        <v>7000</v>
      </c>
      <c r="D7" s="826">
        <v>2239</v>
      </c>
      <c r="E7" s="1008">
        <f t="shared" si="0"/>
        <v>4761</v>
      </c>
      <c r="F7" s="843"/>
      <c r="G7" s="847">
        <f>F6-F7</f>
        <v>0</v>
      </c>
      <c r="H7" s="911"/>
      <c r="I7" s="1264"/>
      <c r="J7" s="1264"/>
      <c r="K7" s="1264"/>
      <c r="L7" s="1267"/>
    </row>
    <row r="8" spans="1:12" ht="16.5">
      <c r="A8" s="893" t="s">
        <v>963</v>
      </c>
      <c r="B8" s="1010" t="s">
        <v>705</v>
      </c>
      <c r="C8" s="891">
        <v>7000</v>
      </c>
      <c r="D8" s="826">
        <v>2421</v>
      </c>
      <c r="E8" s="1008">
        <f t="shared" si="0"/>
        <v>4579</v>
      </c>
      <c r="F8" s="843"/>
      <c r="G8" s="847" t="s">
        <v>943</v>
      </c>
      <c r="H8" s="911"/>
      <c r="I8" s="1254" t="s">
        <v>966</v>
      </c>
      <c r="J8" s="1254">
        <v>4</v>
      </c>
      <c r="K8" s="1256" t="s">
        <v>945</v>
      </c>
      <c r="L8" s="1257">
        <v>20</v>
      </c>
    </row>
    <row r="9" spans="1:12" ht="17.25" thickBot="1">
      <c r="A9" s="894" t="s">
        <v>964</v>
      </c>
      <c r="B9" s="1011" t="s">
        <v>965</v>
      </c>
      <c r="C9" s="892">
        <v>7000</v>
      </c>
      <c r="D9" s="1022">
        <v>2375</v>
      </c>
      <c r="E9" s="1007">
        <f t="shared" si="0"/>
        <v>4625</v>
      </c>
      <c r="F9" s="848"/>
      <c r="G9" s="866">
        <f>F8-F9</f>
        <v>0</v>
      </c>
      <c r="H9" s="849"/>
      <c r="I9" s="1255"/>
      <c r="J9" s="1255"/>
      <c r="K9" s="1255"/>
      <c r="L9" s="1258"/>
    </row>
    <row r="10" spans="1:12" ht="13.5" thickTop="1"/>
    <row r="12" spans="1:12">
      <c r="F12" s="895"/>
    </row>
  </sheetData>
  <sheetProtection password="AAE5" sheet="1" objects="1" scenarios="1" selectLockedCells="1"/>
  <mergeCells count="12">
    <mergeCell ref="I8:I9"/>
    <mergeCell ref="J8:J9"/>
    <mergeCell ref="K8:K9"/>
    <mergeCell ref="L8:L9"/>
    <mergeCell ref="I3:I5"/>
    <mergeCell ref="J3:J5"/>
    <mergeCell ref="K3:K5"/>
    <mergeCell ref="L3:L5"/>
    <mergeCell ref="I6:I7"/>
    <mergeCell ref="J6:J7"/>
    <mergeCell ref="K6:K7"/>
    <mergeCell ref="L6:L7"/>
  </mergeCells>
  <phoneticPr fontId="49" type="noConversion"/>
  <conditionalFormatting sqref="G4:G5 G7 G9">
    <cfRule type="cellIs" dxfId="274" priority="1" stopIfTrue="1" operator="notBetween">
      <formula>500</formula>
      <formula>-500</formula>
    </cfRule>
  </conditionalFormatting>
  <conditionalFormatting sqref="F3">
    <cfRule type="cellIs" dxfId="273" priority="2" stopIfTrue="1" operator="greaterThan">
      <formula>$E$3</formula>
    </cfRule>
  </conditionalFormatting>
  <conditionalFormatting sqref="F4">
    <cfRule type="cellIs" dxfId="272" priority="3" stopIfTrue="1" operator="greaterThan">
      <formula>$E$4</formula>
    </cfRule>
  </conditionalFormatting>
  <conditionalFormatting sqref="F5">
    <cfRule type="cellIs" dxfId="271" priority="4" stopIfTrue="1" operator="greaterThan">
      <formula>$E$5</formula>
    </cfRule>
  </conditionalFormatting>
  <conditionalFormatting sqref="F6">
    <cfRule type="cellIs" dxfId="270" priority="5" stopIfTrue="1" operator="greaterThan">
      <formula>$E$6</formula>
    </cfRule>
  </conditionalFormatting>
  <conditionalFormatting sqref="F7">
    <cfRule type="cellIs" dxfId="269" priority="6" stopIfTrue="1" operator="greaterThan">
      <formula>$E$7</formula>
    </cfRule>
  </conditionalFormatting>
  <conditionalFormatting sqref="F8">
    <cfRule type="cellIs" dxfId="268" priority="7" stopIfTrue="1" operator="greaterThan">
      <formula>$E$8</formula>
    </cfRule>
  </conditionalFormatting>
  <conditionalFormatting sqref="F9">
    <cfRule type="cellIs" dxfId="267" priority="8" stopIfTrue="1" operator="greaterThan">
      <formula>$E$9</formula>
    </cfRule>
  </conditionalFormatting>
  <conditionalFormatting sqref="H3:H9">
    <cfRule type="cellIs" dxfId="266" priority="9" stopIfTrue="1" operator="greaterThan">
      <formula>4</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O19"/>
  <sheetViews>
    <sheetView workbookViewId="0">
      <selection activeCell="F10" sqref="F10"/>
    </sheetView>
  </sheetViews>
  <sheetFormatPr defaultColWidth="10.28515625" defaultRowHeight="16.5"/>
  <cols>
    <col min="1" max="1" width="26.28515625" style="855" customWidth="1"/>
    <col min="2" max="2" width="16.7109375" style="846" customWidth="1"/>
    <col min="3" max="3" width="26.28515625" style="878" customWidth="1"/>
    <col min="4" max="4" width="18.28515625" style="874" customWidth="1"/>
    <col min="5" max="5" width="27.5703125" style="846" customWidth="1"/>
    <col min="6" max="6" width="20.85546875" style="846" customWidth="1"/>
    <col min="7" max="7" width="13.42578125" style="845" customWidth="1"/>
    <col min="8" max="8" width="16.28515625" style="845" customWidth="1"/>
    <col min="9" max="9" width="16.42578125" style="855" customWidth="1"/>
    <col min="10" max="10" width="15.42578125" style="855" customWidth="1"/>
    <col min="11" max="11" width="18.5703125" style="855" customWidth="1"/>
    <col min="12" max="12" width="23" style="855" customWidth="1"/>
    <col min="13" max="16384" width="10.28515625" style="855"/>
  </cols>
  <sheetData>
    <row r="1" spans="1:15" ht="28.5" thickBot="1">
      <c r="A1" s="863" t="s">
        <v>968</v>
      </c>
      <c r="B1" s="872"/>
      <c r="C1" s="873"/>
    </row>
    <row r="2" spans="1:15" s="875" customFormat="1" ht="34.5" thickTop="1" thickBot="1">
      <c r="A2" s="879" t="s">
        <v>739</v>
      </c>
      <c r="B2" s="888" t="s">
        <v>726</v>
      </c>
      <c r="C2" s="888" t="s">
        <v>740</v>
      </c>
      <c r="D2" s="888" t="s">
        <v>882</v>
      </c>
      <c r="E2" s="888" t="s">
        <v>949</v>
      </c>
      <c r="F2" s="885" t="s">
        <v>742</v>
      </c>
      <c r="G2" s="886" t="s">
        <v>743</v>
      </c>
      <c r="H2" s="884" t="s">
        <v>744</v>
      </c>
      <c r="I2" s="884" t="s">
        <v>745</v>
      </c>
      <c r="J2" s="860" t="s">
        <v>746</v>
      </c>
      <c r="K2" s="860" t="s">
        <v>747</v>
      </c>
      <c r="L2" s="929" t="s">
        <v>950</v>
      </c>
    </row>
    <row r="3" spans="1:15" s="875" customFormat="1" ht="17.25" thickTop="1">
      <c r="A3" s="889" t="s">
        <v>969</v>
      </c>
      <c r="B3" s="1012" t="s">
        <v>969</v>
      </c>
      <c r="C3" s="923">
        <v>7000</v>
      </c>
      <c r="D3" s="1019">
        <v>2416.41</v>
      </c>
      <c r="E3" s="924">
        <f t="shared" ref="E3:E18" si="0">C3-D3</f>
        <v>4583.59</v>
      </c>
      <c r="F3" s="841"/>
      <c r="G3" s="867" t="s">
        <v>970</v>
      </c>
      <c r="H3" s="852"/>
      <c r="I3" s="1270" t="s">
        <v>971</v>
      </c>
      <c r="J3" s="1204">
        <v>2</v>
      </c>
      <c r="K3" s="1204" t="s">
        <v>972</v>
      </c>
      <c r="L3" s="1271">
        <v>20</v>
      </c>
    </row>
    <row r="4" spans="1:15" s="875" customFormat="1">
      <c r="A4" s="905" t="s">
        <v>973</v>
      </c>
      <c r="B4" s="1014" t="s">
        <v>974</v>
      </c>
      <c r="C4" s="925">
        <v>7000</v>
      </c>
      <c r="D4" s="1038">
        <v>2417.21</v>
      </c>
      <c r="E4" s="926">
        <f t="shared" si="0"/>
        <v>4582.79</v>
      </c>
      <c r="F4" s="843"/>
      <c r="G4" s="868">
        <f>F3-F4</f>
        <v>0</v>
      </c>
      <c r="H4" s="911"/>
      <c r="I4" s="1268"/>
      <c r="J4" s="1205"/>
      <c r="K4" s="1205"/>
      <c r="L4" s="1272"/>
      <c r="O4" s="876"/>
    </row>
    <row r="5" spans="1:15" s="875" customFormat="1">
      <c r="A5" s="905" t="s">
        <v>975</v>
      </c>
      <c r="B5" s="1014" t="s">
        <v>976</v>
      </c>
      <c r="C5" s="925">
        <v>7000</v>
      </c>
      <c r="D5" s="1038">
        <v>2264.4</v>
      </c>
      <c r="E5" s="926">
        <f t="shared" si="0"/>
        <v>4735.6000000000004</v>
      </c>
      <c r="F5" s="843"/>
      <c r="G5" s="847" t="s">
        <v>970</v>
      </c>
      <c r="H5" s="911"/>
      <c r="I5" s="1268" t="s">
        <v>971</v>
      </c>
      <c r="J5" s="1205"/>
      <c r="K5" s="1205"/>
      <c r="L5" s="1272"/>
    </row>
    <row r="6" spans="1:15" s="875" customFormat="1" ht="17.25" thickBot="1">
      <c r="A6" s="890" t="s">
        <v>977</v>
      </c>
      <c r="B6" s="1013" t="s">
        <v>978</v>
      </c>
      <c r="C6" s="927">
        <v>7000</v>
      </c>
      <c r="D6" s="1020">
        <v>2265.77</v>
      </c>
      <c r="E6" s="928">
        <f t="shared" si="0"/>
        <v>4734.2299999999996</v>
      </c>
      <c r="F6" s="848"/>
      <c r="G6" s="866">
        <f>F5-F6</f>
        <v>0</v>
      </c>
      <c r="H6" s="849"/>
      <c r="I6" s="1269"/>
      <c r="J6" s="1205"/>
      <c r="K6" s="1205"/>
      <c r="L6" s="1272"/>
      <c r="N6" s="877"/>
    </row>
    <row r="7" spans="1:15" s="875" customFormat="1" ht="17.25" thickTop="1">
      <c r="A7" s="889" t="s">
        <v>979</v>
      </c>
      <c r="B7" s="1012" t="s">
        <v>980</v>
      </c>
      <c r="C7" s="923">
        <v>7000</v>
      </c>
      <c r="D7" s="1019">
        <v>2779.5</v>
      </c>
      <c r="E7" s="924">
        <f t="shared" si="0"/>
        <v>4220.5</v>
      </c>
      <c r="F7" s="841"/>
      <c r="G7" s="867" t="s">
        <v>970</v>
      </c>
      <c r="H7" s="852"/>
      <c r="I7" s="1270" t="s">
        <v>971</v>
      </c>
      <c r="J7" s="1205"/>
      <c r="K7" s="1205"/>
      <c r="L7" s="1272"/>
    </row>
    <row r="8" spans="1:15" s="875" customFormat="1">
      <c r="A8" s="905" t="s">
        <v>981</v>
      </c>
      <c r="B8" s="1014" t="s">
        <v>982</v>
      </c>
      <c r="C8" s="925">
        <v>7000</v>
      </c>
      <c r="D8" s="1038">
        <v>2781.37</v>
      </c>
      <c r="E8" s="926">
        <f t="shared" si="0"/>
        <v>4218.63</v>
      </c>
      <c r="F8" s="843"/>
      <c r="G8" s="868">
        <f>F7-F8</f>
        <v>0</v>
      </c>
      <c r="H8" s="911"/>
      <c r="I8" s="1268"/>
      <c r="J8" s="1205"/>
      <c r="K8" s="1205"/>
      <c r="L8" s="1272"/>
      <c r="O8" s="876"/>
    </row>
    <row r="9" spans="1:15" s="875" customFormat="1">
      <c r="A9" s="905" t="s">
        <v>983</v>
      </c>
      <c r="B9" s="1014" t="s">
        <v>984</v>
      </c>
      <c r="C9" s="925">
        <v>7000</v>
      </c>
      <c r="D9" s="1038">
        <v>2015.03</v>
      </c>
      <c r="E9" s="926">
        <f t="shared" si="0"/>
        <v>4984.97</v>
      </c>
      <c r="F9" s="843"/>
      <c r="G9" s="847" t="s">
        <v>970</v>
      </c>
      <c r="H9" s="911"/>
      <c r="I9" s="1268" t="s">
        <v>971</v>
      </c>
      <c r="J9" s="1205"/>
      <c r="K9" s="1205"/>
      <c r="L9" s="1272"/>
    </row>
    <row r="10" spans="1:15" s="875" customFormat="1" ht="17.25" thickBot="1">
      <c r="A10" s="890" t="s">
        <v>985</v>
      </c>
      <c r="B10" s="1013" t="s">
        <v>986</v>
      </c>
      <c r="C10" s="927">
        <v>7000</v>
      </c>
      <c r="D10" s="1020">
        <v>2014.99</v>
      </c>
      <c r="E10" s="928">
        <f t="shared" si="0"/>
        <v>4985.01</v>
      </c>
      <c r="F10" s="848"/>
      <c r="G10" s="866">
        <f>F9-F10</f>
        <v>0</v>
      </c>
      <c r="H10" s="849"/>
      <c r="I10" s="1269"/>
      <c r="J10" s="1205"/>
      <c r="K10" s="1205"/>
      <c r="L10" s="1272"/>
      <c r="N10" s="877"/>
    </row>
    <row r="11" spans="1:15" s="875" customFormat="1" ht="17.25" thickTop="1">
      <c r="A11" s="889" t="s">
        <v>987</v>
      </c>
      <c r="B11" s="1012" t="s">
        <v>988</v>
      </c>
      <c r="C11" s="923">
        <v>7000</v>
      </c>
      <c r="D11" s="1019">
        <v>2752.25</v>
      </c>
      <c r="E11" s="924">
        <f t="shared" si="0"/>
        <v>4247.75</v>
      </c>
      <c r="F11" s="1136"/>
      <c r="G11" s="867" t="s">
        <v>970</v>
      </c>
      <c r="H11" s="852"/>
      <c r="I11" s="1270" t="s">
        <v>971</v>
      </c>
      <c r="J11" s="1205"/>
      <c r="K11" s="1205"/>
      <c r="L11" s="1272"/>
    </row>
    <row r="12" spans="1:15" s="875" customFormat="1">
      <c r="A12" s="905" t="s">
        <v>989</v>
      </c>
      <c r="B12" s="1014" t="s">
        <v>990</v>
      </c>
      <c r="C12" s="925">
        <v>7000</v>
      </c>
      <c r="D12" s="1038">
        <v>2750.99</v>
      </c>
      <c r="E12" s="926">
        <f t="shared" si="0"/>
        <v>4249.01</v>
      </c>
      <c r="F12" s="843"/>
      <c r="G12" s="868">
        <f>F11-F12</f>
        <v>0</v>
      </c>
      <c r="H12" s="911"/>
      <c r="I12" s="1268"/>
      <c r="J12" s="1205"/>
      <c r="K12" s="1205"/>
      <c r="L12" s="1272"/>
      <c r="O12" s="876"/>
    </row>
    <row r="13" spans="1:15" s="875" customFormat="1">
      <c r="A13" s="905" t="s">
        <v>991</v>
      </c>
      <c r="B13" s="1014" t="s">
        <v>992</v>
      </c>
      <c r="C13" s="925">
        <v>7000</v>
      </c>
      <c r="D13" s="1038">
        <v>2461.69</v>
      </c>
      <c r="E13" s="926">
        <f t="shared" si="0"/>
        <v>4538.3099999999995</v>
      </c>
      <c r="F13" s="843"/>
      <c r="G13" s="847" t="s">
        <v>970</v>
      </c>
      <c r="H13" s="911"/>
      <c r="I13" s="1268" t="s">
        <v>971</v>
      </c>
      <c r="J13" s="1205"/>
      <c r="K13" s="1205"/>
      <c r="L13" s="1272"/>
    </row>
    <row r="14" spans="1:15" s="875" customFormat="1" ht="17.25" thickBot="1">
      <c r="A14" s="890" t="s">
        <v>993</v>
      </c>
      <c r="B14" s="1013" t="s">
        <v>994</v>
      </c>
      <c r="C14" s="927">
        <v>7000</v>
      </c>
      <c r="D14" s="1020">
        <v>2461.16</v>
      </c>
      <c r="E14" s="928">
        <f t="shared" si="0"/>
        <v>4538.84</v>
      </c>
      <c r="F14" s="848"/>
      <c r="G14" s="866">
        <f>F13-F14</f>
        <v>0</v>
      </c>
      <c r="H14" s="849"/>
      <c r="I14" s="1269"/>
      <c r="J14" s="1205"/>
      <c r="K14" s="1205"/>
      <c r="L14" s="1272"/>
      <c r="N14" s="877"/>
    </row>
    <row r="15" spans="1:15" s="875" customFormat="1" ht="17.25" thickTop="1">
      <c r="A15" s="889" t="s">
        <v>995</v>
      </c>
      <c r="B15" s="1012" t="s">
        <v>996</v>
      </c>
      <c r="C15" s="923">
        <v>7000</v>
      </c>
      <c r="D15" s="1019">
        <v>3439.97</v>
      </c>
      <c r="E15" s="924">
        <f t="shared" si="0"/>
        <v>3560.03</v>
      </c>
      <c r="F15" s="841"/>
      <c r="G15" s="867" t="s">
        <v>970</v>
      </c>
      <c r="H15" s="852"/>
      <c r="I15" s="1270" t="s">
        <v>971</v>
      </c>
      <c r="J15" s="1205"/>
      <c r="K15" s="1205"/>
      <c r="L15" s="1272"/>
    </row>
    <row r="16" spans="1:15" s="875" customFormat="1">
      <c r="A16" s="905" t="s">
        <v>997</v>
      </c>
      <c r="B16" s="1014" t="s">
        <v>998</v>
      </c>
      <c r="C16" s="925">
        <v>7000</v>
      </c>
      <c r="D16" s="1038">
        <v>3441.58</v>
      </c>
      <c r="E16" s="926">
        <f t="shared" si="0"/>
        <v>3558.42</v>
      </c>
      <c r="F16" s="843"/>
      <c r="G16" s="868">
        <f>F15-F16</f>
        <v>0</v>
      </c>
      <c r="H16" s="911"/>
      <c r="I16" s="1268"/>
      <c r="J16" s="1205"/>
      <c r="K16" s="1205"/>
      <c r="L16" s="1272"/>
      <c r="O16" s="876"/>
    </row>
    <row r="17" spans="1:14" s="875" customFormat="1">
      <c r="A17" s="905" t="s">
        <v>999</v>
      </c>
      <c r="B17" s="1014" t="s">
        <v>1000</v>
      </c>
      <c r="C17" s="925">
        <v>7000</v>
      </c>
      <c r="D17" s="1038">
        <v>3043.23</v>
      </c>
      <c r="E17" s="926">
        <f t="shared" si="0"/>
        <v>3956.77</v>
      </c>
      <c r="F17" s="843"/>
      <c r="G17" s="847" t="s">
        <v>970</v>
      </c>
      <c r="H17" s="911"/>
      <c r="I17" s="1268" t="s">
        <v>971</v>
      </c>
      <c r="J17" s="1205"/>
      <c r="K17" s="1205"/>
      <c r="L17" s="1272"/>
    </row>
    <row r="18" spans="1:14" s="875" customFormat="1" ht="17.25" thickBot="1">
      <c r="A18" s="890" t="s">
        <v>1001</v>
      </c>
      <c r="B18" s="1013" t="s">
        <v>1002</v>
      </c>
      <c r="C18" s="927">
        <v>7000</v>
      </c>
      <c r="D18" s="1020">
        <v>3043.33</v>
      </c>
      <c r="E18" s="928">
        <f t="shared" si="0"/>
        <v>3956.67</v>
      </c>
      <c r="F18" s="848"/>
      <c r="G18" s="866">
        <f>F17-F18</f>
        <v>0</v>
      </c>
      <c r="H18" s="849"/>
      <c r="I18" s="1269"/>
      <c r="J18" s="1206"/>
      <c r="K18" s="1206"/>
      <c r="L18" s="1273"/>
      <c r="N18" s="877"/>
    </row>
    <row r="19" spans="1:14" ht="17.25" thickTop="1"/>
  </sheetData>
  <sheetProtection password="AAE5" sheet="1" objects="1" scenarios="1" selectLockedCells="1"/>
  <mergeCells count="11">
    <mergeCell ref="I17:I18"/>
    <mergeCell ref="I3:I4"/>
    <mergeCell ref="J3:J18"/>
    <mergeCell ref="K3:K18"/>
    <mergeCell ref="L3:L18"/>
    <mergeCell ref="I5:I6"/>
    <mergeCell ref="I7:I8"/>
    <mergeCell ref="I9:I10"/>
    <mergeCell ref="I11:I12"/>
    <mergeCell ref="I13:I14"/>
    <mergeCell ref="I15:I16"/>
  </mergeCells>
  <phoneticPr fontId="49" type="noConversion"/>
  <conditionalFormatting sqref="H3:H18">
    <cfRule type="cellIs" dxfId="265" priority="1" stopIfTrue="1" operator="greaterThan">
      <formula>2</formula>
    </cfRule>
  </conditionalFormatting>
  <conditionalFormatting sqref="G4 G6 G8 G10 G12 G14 G16 G18">
    <cfRule type="cellIs" dxfId="264" priority="2" stopIfTrue="1" operator="notBetween">
      <formula>-2</formula>
      <formula>2</formula>
    </cfRule>
  </conditionalFormatting>
  <conditionalFormatting sqref="F3">
    <cfRule type="cellIs" dxfId="263" priority="3" stopIfTrue="1" operator="greaterThan">
      <formula>$E$3</formula>
    </cfRule>
  </conditionalFormatting>
  <conditionalFormatting sqref="F4">
    <cfRule type="cellIs" dxfId="262" priority="4" stopIfTrue="1" operator="greaterThan">
      <formula>$E$4</formula>
    </cfRule>
  </conditionalFormatting>
  <conditionalFormatting sqref="F5">
    <cfRule type="cellIs" dxfId="261" priority="5" stopIfTrue="1" operator="greaterThan">
      <formula>$E$5</formula>
    </cfRule>
  </conditionalFormatting>
  <conditionalFormatting sqref="F6">
    <cfRule type="cellIs" dxfId="260" priority="6" stopIfTrue="1" operator="greaterThan">
      <formula>$E$6</formula>
    </cfRule>
  </conditionalFormatting>
  <conditionalFormatting sqref="F7">
    <cfRule type="cellIs" dxfId="259" priority="7" stopIfTrue="1" operator="greaterThan">
      <formula>$E$7</formula>
    </cfRule>
  </conditionalFormatting>
  <conditionalFormatting sqref="F8">
    <cfRule type="cellIs" dxfId="258" priority="8" stopIfTrue="1" operator="greaterThan">
      <formula>$E$8</formula>
    </cfRule>
  </conditionalFormatting>
  <conditionalFormatting sqref="F9">
    <cfRule type="cellIs" dxfId="257" priority="9" stopIfTrue="1" operator="greaterThan">
      <formula>$E$9</formula>
    </cfRule>
  </conditionalFormatting>
  <conditionalFormatting sqref="F10">
    <cfRule type="cellIs" dxfId="256" priority="10" stopIfTrue="1" operator="greaterThan">
      <formula>$E$10</formula>
    </cfRule>
  </conditionalFormatting>
  <conditionalFormatting sqref="F11">
    <cfRule type="cellIs" dxfId="255" priority="11" stopIfTrue="1" operator="greaterThan">
      <formula>$E$11</formula>
    </cfRule>
  </conditionalFormatting>
  <conditionalFormatting sqref="F12">
    <cfRule type="cellIs" dxfId="254" priority="12" stopIfTrue="1" operator="greaterThan">
      <formula>$E$12</formula>
    </cfRule>
  </conditionalFormatting>
  <conditionalFormatting sqref="F13">
    <cfRule type="cellIs" dxfId="253" priority="13" stopIfTrue="1" operator="greaterThan">
      <formula>$E$13</formula>
    </cfRule>
  </conditionalFormatting>
  <conditionalFormatting sqref="F14">
    <cfRule type="cellIs" dxfId="252" priority="14" stopIfTrue="1" operator="greaterThan">
      <formula>$E$14</formula>
    </cfRule>
  </conditionalFormatting>
  <conditionalFormatting sqref="F15">
    <cfRule type="cellIs" dxfId="251" priority="15" stopIfTrue="1" operator="greaterThan">
      <formula>$E$15</formula>
    </cfRule>
  </conditionalFormatting>
  <conditionalFormatting sqref="F16">
    <cfRule type="cellIs" dxfId="250" priority="16" stopIfTrue="1" operator="greaterThan">
      <formula>$E$16</formula>
    </cfRule>
  </conditionalFormatting>
  <conditionalFormatting sqref="F17">
    <cfRule type="cellIs" dxfId="249" priority="17" stopIfTrue="1" operator="greaterThan">
      <formula>$E$17</formula>
    </cfRule>
  </conditionalFormatting>
  <conditionalFormatting sqref="F18">
    <cfRule type="cellIs" dxfId="248" priority="18" stopIfTrue="1" operator="greaterThan">
      <formula>$E$18</formula>
    </cfRule>
  </conditionalFormatting>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O35"/>
  <sheetViews>
    <sheetView workbookViewId="0">
      <selection activeCell="F19" sqref="F19"/>
    </sheetView>
  </sheetViews>
  <sheetFormatPr defaultColWidth="10.28515625" defaultRowHeight="16.5"/>
  <cols>
    <col min="1" max="1" width="28.28515625" style="1045" customWidth="1"/>
    <col min="2" max="2" width="19.28515625" style="1041" customWidth="1"/>
    <col min="3" max="3" width="24.42578125" style="1059" customWidth="1"/>
    <col min="4" max="4" width="24" style="1054" customWidth="1"/>
    <col min="5" max="5" width="27" style="1041" customWidth="1"/>
    <col min="6" max="6" width="19.7109375" style="1041" customWidth="1"/>
    <col min="7" max="7" width="16.5703125" style="1055" customWidth="1"/>
    <col min="8" max="8" width="9.140625" style="1040" customWidth="1"/>
    <col min="9" max="9" width="16.85546875" style="1045" customWidth="1"/>
    <col min="10" max="10" width="15" style="1045" customWidth="1"/>
    <col min="11" max="11" width="17.7109375" style="1045" customWidth="1"/>
    <col min="12" max="12" width="22.42578125" style="1045" customWidth="1"/>
    <col min="13" max="16384" width="10.28515625" style="1045"/>
  </cols>
  <sheetData>
    <row r="1" spans="1:15" ht="28.5" thickBot="1">
      <c r="A1" s="1049" t="s">
        <v>1003</v>
      </c>
      <c r="B1" s="1052"/>
      <c r="C1" s="1053"/>
    </row>
    <row r="2" spans="1:15" s="1056" customFormat="1" ht="34.5" thickTop="1" thickBot="1">
      <c r="A2" s="1060" t="s">
        <v>739</v>
      </c>
      <c r="B2" s="1061" t="s">
        <v>726</v>
      </c>
      <c r="C2" s="1046" t="s">
        <v>740</v>
      </c>
      <c r="D2" s="1046" t="s">
        <v>882</v>
      </c>
      <c r="E2" s="1046" t="s">
        <v>949</v>
      </c>
      <c r="F2" s="1047" t="s">
        <v>742</v>
      </c>
      <c r="G2" s="1063" t="s">
        <v>743</v>
      </c>
      <c r="H2" s="1062" t="s">
        <v>744</v>
      </c>
      <c r="I2" s="1062" t="s">
        <v>745</v>
      </c>
      <c r="J2" s="1046" t="s">
        <v>746</v>
      </c>
      <c r="K2" s="1048" t="s">
        <v>747</v>
      </c>
      <c r="L2" s="1071" t="s">
        <v>950</v>
      </c>
    </row>
    <row r="3" spans="1:15" s="1056" customFormat="1" ht="17.25" thickTop="1">
      <c r="A3" s="1067" t="s">
        <v>1004</v>
      </c>
      <c r="B3" s="994" t="s">
        <v>1005</v>
      </c>
      <c r="C3" s="1064">
        <v>8000</v>
      </c>
      <c r="D3" s="1019">
        <v>3124.24</v>
      </c>
      <c r="E3" s="1072">
        <f>C3-D3</f>
        <v>4875.76</v>
      </c>
      <c r="F3" s="1136"/>
      <c r="G3" s="1051" t="s">
        <v>970</v>
      </c>
      <c r="H3" s="1044"/>
      <c r="I3" s="1270" t="s">
        <v>971</v>
      </c>
      <c r="J3" s="1270">
        <v>4</v>
      </c>
      <c r="K3" s="1204" t="s">
        <v>972</v>
      </c>
      <c r="L3" s="1271">
        <v>15</v>
      </c>
    </row>
    <row r="4" spans="1:15" s="1056" customFormat="1">
      <c r="A4" s="1069" t="s">
        <v>1006</v>
      </c>
      <c r="B4" s="985" t="s">
        <v>1007</v>
      </c>
      <c r="C4" s="1073">
        <v>8000</v>
      </c>
      <c r="D4" s="1038">
        <v>3123.9</v>
      </c>
      <c r="E4" s="1074">
        <f>C4-D4</f>
        <v>4876.1000000000004</v>
      </c>
      <c r="F4" s="1137"/>
      <c r="G4" s="1066">
        <f>F3-F4</f>
        <v>0</v>
      </c>
      <c r="H4" s="1070"/>
      <c r="I4" s="1274"/>
      <c r="J4" s="1274"/>
      <c r="K4" s="1205"/>
      <c r="L4" s="1272"/>
      <c r="O4" s="1057"/>
    </row>
    <row r="5" spans="1:15" s="1056" customFormat="1">
      <c r="A5" s="1069" t="s">
        <v>1008</v>
      </c>
      <c r="B5" s="985" t="s">
        <v>1009</v>
      </c>
      <c r="C5" s="1075">
        <v>8000</v>
      </c>
      <c r="D5" s="1038">
        <v>2732</v>
      </c>
      <c r="E5" s="1076">
        <f>C5-D5</f>
        <v>5268</v>
      </c>
      <c r="F5" s="1137"/>
      <c r="G5" s="1042" t="s">
        <v>970</v>
      </c>
      <c r="H5" s="1070"/>
      <c r="I5" s="1268" t="s">
        <v>971</v>
      </c>
      <c r="J5" s="1268">
        <v>2</v>
      </c>
      <c r="K5" s="1205"/>
      <c r="L5" s="1272"/>
    </row>
    <row r="6" spans="1:15" s="1056" customFormat="1" ht="17.25" thickBot="1">
      <c r="A6" s="1068" t="s">
        <v>1010</v>
      </c>
      <c r="B6" s="986" t="s">
        <v>1011</v>
      </c>
      <c r="C6" s="1065">
        <v>8000</v>
      </c>
      <c r="D6" s="1020">
        <v>2732.75</v>
      </c>
      <c r="E6" s="1077">
        <f>C6-D6</f>
        <v>5267.25</v>
      </c>
      <c r="F6" s="1142"/>
      <c r="G6" s="1050">
        <f>F5-F6</f>
        <v>0</v>
      </c>
      <c r="H6" s="1043"/>
      <c r="I6" s="1269"/>
      <c r="J6" s="1269"/>
      <c r="K6" s="1205"/>
      <c r="L6" s="1272"/>
      <c r="N6" s="1058"/>
    </row>
    <row r="7" spans="1:15" s="1056" customFormat="1" ht="17.25" thickTop="1">
      <c r="A7" s="1067" t="s">
        <v>1012</v>
      </c>
      <c r="B7" s="994" t="s">
        <v>1013</v>
      </c>
      <c r="C7" s="1064">
        <v>8000</v>
      </c>
      <c r="D7" s="1019">
        <v>3017.94</v>
      </c>
      <c r="E7" s="1072">
        <f t="shared" ref="E7:E34" si="0">C7-D7</f>
        <v>4982.0599999999995</v>
      </c>
      <c r="F7" s="1136"/>
      <c r="G7" s="1051" t="s">
        <v>970</v>
      </c>
      <c r="H7" s="1044"/>
      <c r="I7" s="1270" t="s">
        <v>971</v>
      </c>
      <c r="J7" s="1270">
        <v>4</v>
      </c>
      <c r="K7" s="1205"/>
      <c r="L7" s="1272"/>
    </row>
    <row r="8" spans="1:15" s="1056" customFormat="1">
      <c r="A8" s="1069" t="s">
        <v>1014</v>
      </c>
      <c r="B8" s="985" t="s">
        <v>1015</v>
      </c>
      <c r="C8" s="1073">
        <v>8000</v>
      </c>
      <c r="D8" s="1038">
        <v>3018.92</v>
      </c>
      <c r="E8" s="1074">
        <f t="shared" si="0"/>
        <v>4981.08</v>
      </c>
      <c r="F8" s="1137"/>
      <c r="G8" s="1066">
        <f>F7-F8</f>
        <v>0</v>
      </c>
      <c r="H8" s="1070"/>
      <c r="I8" s="1268"/>
      <c r="J8" s="1274"/>
      <c r="K8" s="1205"/>
      <c r="L8" s="1272"/>
      <c r="O8" s="1057"/>
    </row>
    <row r="9" spans="1:15" s="1056" customFormat="1">
      <c r="A9" s="1069" t="s">
        <v>1016</v>
      </c>
      <c r="B9" s="985" t="s">
        <v>1017</v>
      </c>
      <c r="C9" s="1075">
        <v>8000</v>
      </c>
      <c r="D9" s="1038">
        <v>2803.87</v>
      </c>
      <c r="E9" s="1076">
        <f t="shared" si="0"/>
        <v>5196.13</v>
      </c>
      <c r="F9" s="1137"/>
      <c r="G9" s="1042" t="s">
        <v>970</v>
      </c>
      <c r="H9" s="1070"/>
      <c r="I9" s="1268" t="s">
        <v>971</v>
      </c>
      <c r="J9" s="1268">
        <v>2</v>
      </c>
      <c r="K9" s="1205"/>
      <c r="L9" s="1272"/>
    </row>
    <row r="10" spans="1:15" s="1056" customFormat="1" ht="17.25" thickBot="1">
      <c r="A10" s="1068" t="s">
        <v>1018</v>
      </c>
      <c r="B10" s="986" t="s">
        <v>1019</v>
      </c>
      <c r="C10" s="1065">
        <v>8000</v>
      </c>
      <c r="D10" s="1020">
        <v>2804.38</v>
      </c>
      <c r="E10" s="1077">
        <f t="shared" si="0"/>
        <v>5195.62</v>
      </c>
      <c r="F10" s="1142"/>
      <c r="G10" s="1050">
        <f>F9-F10</f>
        <v>0</v>
      </c>
      <c r="H10" s="1043"/>
      <c r="I10" s="1269"/>
      <c r="J10" s="1269"/>
      <c r="K10" s="1205"/>
      <c r="L10" s="1272"/>
      <c r="N10" s="1058"/>
    </row>
    <row r="11" spans="1:15" s="1056" customFormat="1" ht="17.25" thickTop="1">
      <c r="A11" s="1067" t="s">
        <v>1020</v>
      </c>
      <c r="B11" s="994" t="s">
        <v>1021</v>
      </c>
      <c r="C11" s="1064">
        <v>8000</v>
      </c>
      <c r="D11" s="1019">
        <v>2697.12</v>
      </c>
      <c r="E11" s="1072">
        <f t="shared" si="0"/>
        <v>5302.88</v>
      </c>
      <c r="F11" s="1136"/>
      <c r="G11" s="1051" t="s">
        <v>970</v>
      </c>
      <c r="H11" s="1044"/>
      <c r="I11" s="1270" t="s">
        <v>971</v>
      </c>
      <c r="J11" s="1270">
        <v>4</v>
      </c>
      <c r="K11" s="1205"/>
      <c r="L11" s="1272"/>
    </row>
    <row r="12" spans="1:15" s="1056" customFormat="1">
      <c r="A12" s="1069" t="s">
        <v>1022</v>
      </c>
      <c r="B12" s="985" t="s">
        <v>1023</v>
      </c>
      <c r="C12" s="1073">
        <v>8000</v>
      </c>
      <c r="D12" s="1038">
        <v>2696.11</v>
      </c>
      <c r="E12" s="1074">
        <f t="shared" si="0"/>
        <v>5303.8899999999994</v>
      </c>
      <c r="F12" s="1137"/>
      <c r="G12" s="1066">
        <f>F11-F12</f>
        <v>0</v>
      </c>
      <c r="H12" s="1070"/>
      <c r="I12" s="1268"/>
      <c r="J12" s="1274"/>
      <c r="K12" s="1205"/>
      <c r="L12" s="1272"/>
      <c r="O12" s="1057"/>
    </row>
    <row r="13" spans="1:15" s="1056" customFormat="1">
      <c r="A13" s="1069" t="s">
        <v>1024</v>
      </c>
      <c r="B13" s="985" t="s">
        <v>1025</v>
      </c>
      <c r="C13" s="1075">
        <v>8000</v>
      </c>
      <c r="D13" s="1038">
        <v>2613.6799999999998</v>
      </c>
      <c r="E13" s="1076">
        <f t="shared" si="0"/>
        <v>5386.32</v>
      </c>
      <c r="F13" s="1137"/>
      <c r="G13" s="1042" t="s">
        <v>970</v>
      </c>
      <c r="H13" s="1070"/>
      <c r="I13" s="1268" t="s">
        <v>971</v>
      </c>
      <c r="J13" s="1268">
        <v>2</v>
      </c>
      <c r="K13" s="1205"/>
      <c r="L13" s="1272"/>
    </row>
    <row r="14" spans="1:15" s="1056" customFormat="1" ht="17.25" thickBot="1">
      <c r="A14" s="1068" t="s">
        <v>1026</v>
      </c>
      <c r="B14" s="986" t="s">
        <v>1027</v>
      </c>
      <c r="C14" s="1065">
        <v>8000</v>
      </c>
      <c r="D14" s="1020">
        <v>2614.0700000000002</v>
      </c>
      <c r="E14" s="1077">
        <f t="shared" si="0"/>
        <v>5385.93</v>
      </c>
      <c r="F14" s="1142"/>
      <c r="G14" s="1050">
        <f>F13-F14</f>
        <v>0</v>
      </c>
      <c r="H14" s="1043"/>
      <c r="I14" s="1269"/>
      <c r="J14" s="1269"/>
      <c r="K14" s="1205"/>
      <c r="L14" s="1272"/>
      <c r="N14" s="1058"/>
    </row>
    <row r="15" spans="1:15" s="1056" customFormat="1" ht="17.25" thickTop="1">
      <c r="A15" s="1067" t="s">
        <v>1028</v>
      </c>
      <c r="B15" s="994" t="s">
        <v>1029</v>
      </c>
      <c r="C15" s="1064">
        <v>8000</v>
      </c>
      <c r="D15" s="1019">
        <v>2459.56</v>
      </c>
      <c r="E15" s="1072">
        <f t="shared" si="0"/>
        <v>5540.4400000000005</v>
      </c>
      <c r="F15" s="1136"/>
      <c r="G15" s="1051" t="s">
        <v>970</v>
      </c>
      <c r="H15" s="1044"/>
      <c r="I15" s="1270" t="s">
        <v>971</v>
      </c>
      <c r="J15" s="1270">
        <v>4</v>
      </c>
      <c r="K15" s="1205"/>
      <c r="L15" s="1272"/>
    </row>
    <row r="16" spans="1:15" s="1056" customFormat="1">
      <c r="A16" s="1069" t="s">
        <v>1030</v>
      </c>
      <c r="B16" s="985" t="s">
        <v>1031</v>
      </c>
      <c r="C16" s="1073">
        <v>8000</v>
      </c>
      <c r="D16" s="1038">
        <v>2458.4499999999998</v>
      </c>
      <c r="E16" s="1074">
        <f t="shared" si="0"/>
        <v>5541.55</v>
      </c>
      <c r="F16" s="1137"/>
      <c r="G16" s="1066">
        <f>F15-F16</f>
        <v>0</v>
      </c>
      <c r="H16" s="1070"/>
      <c r="I16" s="1268"/>
      <c r="J16" s="1274"/>
      <c r="K16" s="1205"/>
      <c r="L16" s="1272"/>
      <c r="O16" s="1057"/>
    </row>
    <row r="17" spans="1:15" s="1056" customFormat="1">
      <c r="A17" s="1069" t="s">
        <v>1032</v>
      </c>
      <c r="B17" s="985" t="s">
        <v>1033</v>
      </c>
      <c r="C17" s="1075">
        <v>8000</v>
      </c>
      <c r="D17" s="1038">
        <v>2698.18</v>
      </c>
      <c r="E17" s="1076">
        <f t="shared" si="0"/>
        <v>5301.82</v>
      </c>
      <c r="F17" s="1137"/>
      <c r="G17" s="1042" t="s">
        <v>970</v>
      </c>
      <c r="H17" s="1070"/>
      <c r="I17" s="1268" t="s">
        <v>971</v>
      </c>
      <c r="J17" s="1268">
        <v>2</v>
      </c>
      <c r="K17" s="1205"/>
      <c r="L17" s="1272"/>
    </row>
    <row r="18" spans="1:15" s="1056" customFormat="1" ht="17.25" thickBot="1">
      <c r="A18" s="1068" t="s">
        <v>1034</v>
      </c>
      <c r="B18" s="986" t="s">
        <v>1035</v>
      </c>
      <c r="C18" s="1065">
        <v>8000</v>
      </c>
      <c r="D18" s="1020">
        <v>2697.16</v>
      </c>
      <c r="E18" s="1077">
        <f t="shared" si="0"/>
        <v>5302.84</v>
      </c>
      <c r="F18" s="1142"/>
      <c r="G18" s="1050">
        <f>F17-F18</f>
        <v>0</v>
      </c>
      <c r="H18" s="1043"/>
      <c r="I18" s="1269"/>
      <c r="J18" s="1269"/>
      <c r="K18" s="1205"/>
      <c r="L18" s="1272"/>
      <c r="N18" s="1058"/>
    </row>
    <row r="19" spans="1:15" s="1056" customFormat="1" ht="17.25" thickTop="1">
      <c r="A19" s="1067" t="s">
        <v>1036</v>
      </c>
      <c r="B19" s="994" t="s">
        <v>1037</v>
      </c>
      <c r="C19" s="1064">
        <v>8000</v>
      </c>
      <c r="D19" s="1019">
        <v>2657.95</v>
      </c>
      <c r="E19" s="1072">
        <f t="shared" si="0"/>
        <v>5342.05</v>
      </c>
      <c r="F19" s="1136"/>
      <c r="G19" s="1051" t="s">
        <v>970</v>
      </c>
      <c r="H19" s="1044"/>
      <c r="I19" s="1270" t="s">
        <v>971</v>
      </c>
      <c r="J19" s="1270">
        <v>4</v>
      </c>
      <c r="K19" s="1205"/>
      <c r="L19" s="1272"/>
    </row>
    <row r="20" spans="1:15" s="1056" customFormat="1">
      <c r="A20" s="1069" t="s">
        <v>1038</v>
      </c>
      <c r="B20" s="985" t="s">
        <v>1039</v>
      </c>
      <c r="C20" s="1073">
        <v>8000</v>
      </c>
      <c r="D20" s="1038">
        <v>2658.96</v>
      </c>
      <c r="E20" s="1074">
        <f t="shared" si="0"/>
        <v>5341.04</v>
      </c>
      <c r="F20" s="1137"/>
      <c r="G20" s="1066">
        <f>F19-F20</f>
        <v>0</v>
      </c>
      <c r="H20" s="1070"/>
      <c r="I20" s="1268"/>
      <c r="J20" s="1274"/>
      <c r="K20" s="1205"/>
      <c r="L20" s="1272"/>
      <c r="O20" s="1057"/>
    </row>
    <row r="21" spans="1:15" s="1056" customFormat="1">
      <c r="A21" s="1069" t="s">
        <v>1040</v>
      </c>
      <c r="B21" s="985" t="s">
        <v>1041</v>
      </c>
      <c r="C21" s="1075">
        <v>8000</v>
      </c>
      <c r="D21" s="1038">
        <v>2929.34</v>
      </c>
      <c r="E21" s="1076">
        <f t="shared" si="0"/>
        <v>5070.66</v>
      </c>
      <c r="F21" s="1137"/>
      <c r="G21" s="1042" t="s">
        <v>970</v>
      </c>
      <c r="H21" s="1070"/>
      <c r="I21" s="1268" t="s">
        <v>971</v>
      </c>
      <c r="J21" s="1268">
        <v>2</v>
      </c>
      <c r="K21" s="1205"/>
      <c r="L21" s="1272"/>
    </row>
    <row r="22" spans="1:15" s="1056" customFormat="1" ht="17.25" thickBot="1">
      <c r="A22" s="1068" t="s">
        <v>1042</v>
      </c>
      <c r="B22" s="986" t="s">
        <v>1043</v>
      </c>
      <c r="C22" s="1065">
        <v>8000</v>
      </c>
      <c r="D22" s="1020">
        <v>2928.5</v>
      </c>
      <c r="E22" s="1077">
        <f t="shared" si="0"/>
        <v>5071.5</v>
      </c>
      <c r="F22" s="1142"/>
      <c r="G22" s="1050">
        <f>F21-F22</f>
        <v>0</v>
      </c>
      <c r="H22" s="1043"/>
      <c r="I22" s="1269"/>
      <c r="J22" s="1269"/>
      <c r="K22" s="1205"/>
      <c r="L22" s="1272"/>
      <c r="N22" s="1058"/>
    </row>
    <row r="23" spans="1:15" s="1056" customFormat="1" ht="17.25" thickTop="1">
      <c r="A23" s="1067" t="s">
        <v>1044</v>
      </c>
      <c r="B23" s="994" t="s">
        <v>1045</v>
      </c>
      <c r="C23" s="1064">
        <v>8000</v>
      </c>
      <c r="D23" s="1019">
        <v>2676.13</v>
      </c>
      <c r="E23" s="1072">
        <f t="shared" si="0"/>
        <v>5323.87</v>
      </c>
      <c r="F23" s="1136"/>
      <c r="G23" s="1051" t="s">
        <v>970</v>
      </c>
      <c r="H23" s="1044"/>
      <c r="I23" s="1270" t="s">
        <v>971</v>
      </c>
      <c r="J23" s="1270">
        <v>4</v>
      </c>
      <c r="K23" s="1205"/>
      <c r="L23" s="1272"/>
    </row>
    <row r="24" spans="1:15" s="1056" customFormat="1">
      <c r="A24" s="1069" t="s">
        <v>1046</v>
      </c>
      <c r="B24" s="985" t="s">
        <v>1047</v>
      </c>
      <c r="C24" s="1073">
        <v>8000</v>
      </c>
      <c r="D24" s="1038">
        <v>2675</v>
      </c>
      <c r="E24" s="1074">
        <f t="shared" si="0"/>
        <v>5325</v>
      </c>
      <c r="F24" s="1137"/>
      <c r="G24" s="1066">
        <f>F23-F24</f>
        <v>0</v>
      </c>
      <c r="H24" s="1070"/>
      <c r="I24" s="1268"/>
      <c r="J24" s="1274"/>
      <c r="K24" s="1205"/>
      <c r="L24" s="1272"/>
      <c r="O24" s="1057"/>
    </row>
    <row r="25" spans="1:15" s="1056" customFormat="1">
      <c r="A25" s="1069" t="s">
        <v>1048</v>
      </c>
      <c r="B25" s="985" t="s">
        <v>1049</v>
      </c>
      <c r="C25" s="1075">
        <v>8000</v>
      </c>
      <c r="D25" s="1038">
        <v>2916.56</v>
      </c>
      <c r="E25" s="1076">
        <f t="shared" si="0"/>
        <v>5083.4400000000005</v>
      </c>
      <c r="F25" s="1137"/>
      <c r="G25" s="1042" t="s">
        <v>970</v>
      </c>
      <c r="H25" s="1070"/>
      <c r="I25" s="1268" t="s">
        <v>971</v>
      </c>
      <c r="J25" s="1268">
        <v>2</v>
      </c>
      <c r="K25" s="1205"/>
      <c r="L25" s="1272"/>
    </row>
    <row r="26" spans="1:15" s="1056" customFormat="1" ht="17.25" thickBot="1">
      <c r="A26" s="1068" t="s">
        <v>1050</v>
      </c>
      <c r="B26" s="986" t="s">
        <v>1051</v>
      </c>
      <c r="C26" s="1065">
        <v>8000</v>
      </c>
      <c r="D26" s="1020">
        <v>2914.67</v>
      </c>
      <c r="E26" s="1077">
        <f t="shared" si="0"/>
        <v>5085.33</v>
      </c>
      <c r="F26" s="1142"/>
      <c r="G26" s="1050">
        <f>F25-F26</f>
        <v>0</v>
      </c>
      <c r="H26" s="1043"/>
      <c r="I26" s="1269"/>
      <c r="J26" s="1269"/>
      <c r="K26" s="1205"/>
      <c r="L26" s="1272"/>
      <c r="N26" s="1058"/>
    </row>
    <row r="27" spans="1:15" s="1056" customFormat="1" ht="17.25" thickTop="1">
      <c r="A27" s="1067" t="s">
        <v>1052</v>
      </c>
      <c r="B27" s="994" t="s">
        <v>1053</v>
      </c>
      <c r="C27" s="1064">
        <v>8000</v>
      </c>
      <c r="D27" s="1019">
        <v>2253.38</v>
      </c>
      <c r="E27" s="1072">
        <f t="shared" si="0"/>
        <v>5746.62</v>
      </c>
      <c r="F27" s="1136"/>
      <c r="G27" s="1051" t="s">
        <v>970</v>
      </c>
      <c r="H27" s="1044"/>
      <c r="I27" s="1270" t="s">
        <v>971</v>
      </c>
      <c r="J27" s="1270">
        <v>4</v>
      </c>
      <c r="K27" s="1205"/>
      <c r="L27" s="1272"/>
    </row>
    <row r="28" spans="1:15" s="1056" customFormat="1">
      <c r="A28" s="1069" t="s">
        <v>1054</v>
      </c>
      <c r="B28" s="985" t="s">
        <v>1055</v>
      </c>
      <c r="C28" s="1073">
        <v>8000</v>
      </c>
      <c r="D28" s="1038">
        <v>2251.88</v>
      </c>
      <c r="E28" s="1074">
        <f t="shared" si="0"/>
        <v>5748.12</v>
      </c>
      <c r="F28" s="1137"/>
      <c r="G28" s="1066">
        <f>F27-F28</f>
        <v>0</v>
      </c>
      <c r="H28" s="1070"/>
      <c r="I28" s="1268"/>
      <c r="J28" s="1274"/>
      <c r="K28" s="1205"/>
      <c r="L28" s="1272"/>
      <c r="O28" s="1057"/>
    </row>
    <row r="29" spans="1:15" s="1056" customFormat="1">
      <c r="A29" s="1069" t="s">
        <v>1056</v>
      </c>
      <c r="B29" s="985" t="s">
        <v>1057</v>
      </c>
      <c r="C29" s="1075">
        <v>8000</v>
      </c>
      <c r="D29" s="1038">
        <v>2033.83</v>
      </c>
      <c r="E29" s="1076">
        <f t="shared" si="0"/>
        <v>5966.17</v>
      </c>
      <c r="F29" s="1137"/>
      <c r="G29" s="1042" t="s">
        <v>970</v>
      </c>
      <c r="H29" s="1070"/>
      <c r="I29" s="1268" t="s">
        <v>971</v>
      </c>
      <c r="J29" s="1268">
        <v>2</v>
      </c>
      <c r="K29" s="1205"/>
      <c r="L29" s="1272"/>
    </row>
    <row r="30" spans="1:15" s="1056" customFormat="1" ht="17.25" thickBot="1">
      <c r="A30" s="1068" t="s">
        <v>1058</v>
      </c>
      <c r="B30" s="986" t="s">
        <v>1059</v>
      </c>
      <c r="C30" s="1065">
        <v>8000</v>
      </c>
      <c r="D30" s="1020">
        <v>2033.41</v>
      </c>
      <c r="E30" s="1077">
        <f t="shared" si="0"/>
        <v>5966.59</v>
      </c>
      <c r="F30" s="1142"/>
      <c r="G30" s="1050">
        <f>F29-F30</f>
        <v>0</v>
      </c>
      <c r="H30" s="1043"/>
      <c r="I30" s="1269"/>
      <c r="J30" s="1269"/>
      <c r="K30" s="1205"/>
      <c r="L30" s="1272"/>
      <c r="N30" s="1058"/>
    </row>
    <row r="31" spans="1:15" s="1056" customFormat="1" ht="17.25" thickTop="1">
      <c r="A31" s="1067" t="s">
        <v>1060</v>
      </c>
      <c r="B31" s="994" t="s">
        <v>1061</v>
      </c>
      <c r="C31" s="1064">
        <v>8000</v>
      </c>
      <c r="D31" s="1019">
        <v>2638.11</v>
      </c>
      <c r="E31" s="1072">
        <f t="shared" si="0"/>
        <v>5361.8899999999994</v>
      </c>
      <c r="F31" s="1136"/>
      <c r="G31" s="1051" t="s">
        <v>970</v>
      </c>
      <c r="H31" s="1044"/>
      <c r="I31" s="1270" t="s">
        <v>971</v>
      </c>
      <c r="J31" s="1270">
        <v>4</v>
      </c>
      <c r="K31" s="1205"/>
      <c r="L31" s="1272"/>
    </row>
    <row r="32" spans="1:15" s="1056" customFormat="1">
      <c r="A32" s="1069" t="s">
        <v>1062</v>
      </c>
      <c r="B32" s="985" t="s">
        <v>1063</v>
      </c>
      <c r="C32" s="1073">
        <v>8000</v>
      </c>
      <c r="D32" s="1038">
        <v>2639.86</v>
      </c>
      <c r="E32" s="1074">
        <f t="shared" si="0"/>
        <v>5360.1399999999994</v>
      </c>
      <c r="F32" s="1137"/>
      <c r="G32" s="1066">
        <f>F31-F32</f>
        <v>0</v>
      </c>
      <c r="H32" s="1070"/>
      <c r="I32" s="1268"/>
      <c r="J32" s="1274"/>
      <c r="K32" s="1205"/>
      <c r="L32" s="1272"/>
      <c r="O32" s="1057"/>
    </row>
    <row r="33" spans="1:14" s="1056" customFormat="1">
      <c r="A33" s="1069" t="s">
        <v>1064</v>
      </c>
      <c r="B33" s="985" t="s">
        <v>1065</v>
      </c>
      <c r="C33" s="1075">
        <v>8000</v>
      </c>
      <c r="D33" s="1038">
        <v>2174.25</v>
      </c>
      <c r="E33" s="1076">
        <f t="shared" si="0"/>
        <v>5825.75</v>
      </c>
      <c r="F33" s="1137"/>
      <c r="G33" s="1042" t="s">
        <v>970</v>
      </c>
      <c r="H33" s="1070"/>
      <c r="I33" s="1268" t="s">
        <v>971</v>
      </c>
      <c r="J33" s="1268">
        <v>2</v>
      </c>
      <c r="K33" s="1205"/>
      <c r="L33" s="1272"/>
    </row>
    <row r="34" spans="1:14" s="1056" customFormat="1" ht="17.25" thickBot="1">
      <c r="A34" s="1068" t="s">
        <v>1066</v>
      </c>
      <c r="B34" s="986" t="s">
        <v>1067</v>
      </c>
      <c r="C34" s="1065">
        <v>8000</v>
      </c>
      <c r="D34" s="1020">
        <v>2174.5300000000002</v>
      </c>
      <c r="E34" s="1077">
        <f t="shared" si="0"/>
        <v>5825.4699999999993</v>
      </c>
      <c r="F34" s="1142"/>
      <c r="G34" s="1050">
        <f>F33-F34</f>
        <v>0</v>
      </c>
      <c r="H34" s="1043"/>
      <c r="I34" s="1269"/>
      <c r="J34" s="1269"/>
      <c r="K34" s="1206"/>
      <c r="L34" s="1273"/>
      <c r="N34" s="1058"/>
    </row>
    <row r="35" spans="1:14" ht="17.25" thickTop="1"/>
  </sheetData>
  <sheetProtection password="AAE5" sheet="1" objects="1" scenarios="1" selectLockedCells="1"/>
  <mergeCells count="34">
    <mergeCell ref="I3:I4"/>
    <mergeCell ref="J3:J4"/>
    <mergeCell ref="K3:K34"/>
    <mergeCell ref="L3:L34"/>
    <mergeCell ref="I5:I6"/>
    <mergeCell ref="J5:J6"/>
    <mergeCell ref="I7:I8"/>
    <mergeCell ref="J7:J8"/>
    <mergeCell ref="I9:I10"/>
    <mergeCell ref="J9:J10"/>
    <mergeCell ref="I11:I12"/>
    <mergeCell ref="J11:J12"/>
    <mergeCell ref="I13:I14"/>
    <mergeCell ref="J13:J14"/>
    <mergeCell ref="I15:I16"/>
    <mergeCell ref="J15:J16"/>
    <mergeCell ref="I17:I18"/>
    <mergeCell ref="J17:J18"/>
    <mergeCell ref="I19:I20"/>
    <mergeCell ref="J19:J20"/>
    <mergeCell ref="I21:I22"/>
    <mergeCell ref="J21:J22"/>
    <mergeCell ref="I23:I24"/>
    <mergeCell ref="J23:J24"/>
    <mergeCell ref="I25:I26"/>
    <mergeCell ref="J25:J26"/>
    <mergeCell ref="I27:I28"/>
    <mergeCell ref="J27:J28"/>
    <mergeCell ref="I29:I30"/>
    <mergeCell ref="J29:J30"/>
    <mergeCell ref="I31:I32"/>
    <mergeCell ref="J31:J32"/>
    <mergeCell ref="I33:I34"/>
    <mergeCell ref="J33:J34"/>
  </mergeCells>
  <phoneticPr fontId="49" type="noConversion"/>
  <conditionalFormatting sqref="H3:H34">
    <cfRule type="cellIs" dxfId="247" priority="1" stopIfTrue="1" operator="greaterThan">
      <formula>4</formula>
    </cfRule>
  </conditionalFormatting>
  <conditionalFormatting sqref="G4 G6 G8 G10 G12 G14 G16 G18 G20 G22 G24 G26 G28 G30 G32 G34">
    <cfRule type="cellIs" dxfId="246" priority="2" stopIfTrue="1" operator="notBetween">
      <formula>-2</formula>
      <formula>2</formula>
    </cfRule>
  </conditionalFormatting>
  <conditionalFormatting sqref="F3">
    <cfRule type="cellIs" dxfId="245" priority="3" stopIfTrue="1" operator="greaterThan">
      <formula>$E$3</formula>
    </cfRule>
  </conditionalFormatting>
  <conditionalFormatting sqref="F4">
    <cfRule type="cellIs" dxfId="244" priority="4" stopIfTrue="1" operator="greaterThan">
      <formula>$E$4</formula>
    </cfRule>
  </conditionalFormatting>
  <conditionalFormatting sqref="F5">
    <cfRule type="cellIs" dxfId="243" priority="5" stopIfTrue="1" operator="greaterThan">
      <formula>$E$5</formula>
    </cfRule>
  </conditionalFormatting>
  <conditionalFormatting sqref="F6">
    <cfRule type="cellIs" dxfId="242" priority="6" stopIfTrue="1" operator="greaterThan">
      <formula>$E$6</formula>
    </cfRule>
  </conditionalFormatting>
  <conditionalFormatting sqref="F7">
    <cfRule type="cellIs" dxfId="241" priority="7" stopIfTrue="1" operator="greaterThan">
      <formula>$E$7</formula>
    </cfRule>
  </conditionalFormatting>
  <conditionalFormatting sqref="F8">
    <cfRule type="cellIs" dxfId="240" priority="8" stopIfTrue="1" operator="greaterThan">
      <formula>$E$8</formula>
    </cfRule>
  </conditionalFormatting>
  <conditionalFormatting sqref="F9">
    <cfRule type="cellIs" dxfId="239" priority="9" stopIfTrue="1" operator="greaterThan">
      <formula>$E$9</formula>
    </cfRule>
  </conditionalFormatting>
  <conditionalFormatting sqref="F10">
    <cfRule type="cellIs" dxfId="238" priority="10" stopIfTrue="1" operator="greaterThan">
      <formula>$E$10</formula>
    </cfRule>
  </conditionalFormatting>
  <conditionalFormatting sqref="F11">
    <cfRule type="cellIs" dxfId="237" priority="11" stopIfTrue="1" operator="greaterThan">
      <formula>$E$11</formula>
    </cfRule>
  </conditionalFormatting>
  <conditionalFormatting sqref="F12">
    <cfRule type="cellIs" dxfId="236" priority="12" stopIfTrue="1" operator="greaterThan">
      <formula>$E$12</formula>
    </cfRule>
  </conditionalFormatting>
  <conditionalFormatting sqref="F13">
    <cfRule type="cellIs" dxfId="235" priority="13" stopIfTrue="1" operator="greaterThan">
      <formula>$E$13</formula>
    </cfRule>
  </conditionalFormatting>
  <conditionalFormatting sqref="F14">
    <cfRule type="cellIs" dxfId="234" priority="14" stopIfTrue="1" operator="greaterThan">
      <formula>$E$14</formula>
    </cfRule>
  </conditionalFormatting>
  <conditionalFormatting sqref="F15">
    <cfRule type="cellIs" dxfId="233" priority="15" stopIfTrue="1" operator="greaterThan">
      <formula>$E$15</formula>
    </cfRule>
  </conditionalFormatting>
  <conditionalFormatting sqref="F16">
    <cfRule type="cellIs" dxfId="232" priority="16" stopIfTrue="1" operator="greaterThan">
      <formula>$E$16</formula>
    </cfRule>
  </conditionalFormatting>
  <conditionalFormatting sqref="F17">
    <cfRule type="cellIs" dxfId="231" priority="17" stopIfTrue="1" operator="greaterThan">
      <formula>$E$17</formula>
    </cfRule>
  </conditionalFormatting>
  <conditionalFormatting sqref="F18">
    <cfRule type="cellIs" dxfId="230" priority="18" stopIfTrue="1" operator="greaterThan">
      <formula>$E$18</formula>
    </cfRule>
  </conditionalFormatting>
  <conditionalFormatting sqref="F19">
    <cfRule type="cellIs" dxfId="229" priority="19" stopIfTrue="1" operator="greaterThan">
      <formula>$E$19</formula>
    </cfRule>
  </conditionalFormatting>
  <conditionalFormatting sqref="F20">
    <cfRule type="cellIs" dxfId="228" priority="20" stopIfTrue="1" operator="greaterThan">
      <formula>$E$20</formula>
    </cfRule>
  </conditionalFormatting>
  <conditionalFormatting sqref="F21">
    <cfRule type="cellIs" dxfId="227" priority="21" stopIfTrue="1" operator="greaterThan">
      <formula>$E$21</formula>
    </cfRule>
  </conditionalFormatting>
  <conditionalFormatting sqref="F22">
    <cfRule type="cellIs" dxfId="226" priority="22" stopIfTrue="1" operator="greaterThan">
      <formula>$E$22</formula>
    </cfRule>
  </conditionalFormatting>
  <conditionalFormatting sqref="F23">
    <cfRule type="cellIs" dxfId="225" priority="23" stopIfTrue="1" operator="greaterThan">
      <formula>$E$23</formula>
    </cfRule>
  </conditionalFormatting>
  <conditionalFormatting sqref="F24">
    <cfRule type="cellIs" dxfId="224" priority="24" stopIfTrue="1" operator="greaterThan">
      <formula>$E$24</formula>
    </cfRule>
  </conditionalFormatting>
  <conditionalFormatting sqref="F25">
    <cfRule type="cellIs" dxfId="223" priority="25" stopIfTrue="1" operator="greaterThan">
      <formula>$E$25</formula>
    </cfRule>
  </conditionalFormatting>
  <conditionalFormatting sqref="F26">
    <cfRule type="cellIs" dxfId="222" priority="26" stopIfTrue="1" operator="greaterThan">
      <formula>$E$26</formula>
    </cfRule>
  </conditionalFormatting>
  <conditionalFormatting sqref="F27">
    <cfRule type="cellIs" dxfId="221" priority="27" stopIfTrue="1" operator="greaterThan">
      <formula>$E$27</formula>
    </cfRule>
  </conditionalFormatting>
  <conditionalFormatting sqref="F28">
    <cfRule type="cellIs" dxfId="220" priority="28" stopIfTrue="1" operator="greaterThan">
      <formula>$E$28</formula>
    </cfRule>
  </conditionalFormatting>
  <conditionalFormatting sqref="F29">
    <cfRule type="cellIs" dxfId="219" priority="29" stopIfTrue="1" operator="greaterThan">
      <formula>$E$29</formula>
    </cfRule>
  </conditionalFormatting>
  <conditionalFormatting sqref="F30">
    <cfRule type="cellIs" dxfId="218" priority="30" stopIfTrue="1" operator="greaterThan">
      <formula>$E$30</formula>
    </cfRule>
  </conditionalFormatting>
  <conditionalFormatting sqref="F31">
    <cfRule type="cellIs" dxfId="217" priority="31" stopIfTrue="1" operator="greaterThan">
      <formula>$E$31</formula>
    </cfRule>
  </conditionalFormatting>
  <conditionalFormatting sqref="F32">
    <cfRule type="cellIs" dxfId="216" priority="32" stopIfTrue="1" operator="greaterThan">
      <formula>$E$32</formula>
    </cfRule>
  </conditionalFormatting>
  <conditionalFormatting sqref="F33">
    <cfRule type="cellIs" dxfId="215" priority="33" stopIfTrue="1" operator="greaterThan">
      <formula>$E$33</formula>
    </cfRule>
  </conditionalFormatting>
  <conditionalFormatting sqref="F34">
    <cfRule type="cellIs" dxfId="214" priority="34" stopIfTrue="1" operator="greaterThan">
      <formula>$E$34</formula>
    </cfRule>
  </conditionalFormatting>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35</vt:i4>
      </vt:variant>
      <vt:variant>
        <vt:lpstr>已命名的範圍</vt:lpstr>
      </vt:variant>
      <vt:variant>
        <vt:i4>13</vt:i4>
      </vt:variant>
    </vt:vector>
  </HeadingPairs>
  <TitlesOfParts>
    <vt:vector size="48" baseType="lpstr">
      <vt:lpstr>Revision History</vt:lpstr>
      <vt:lpstr>Impedance</vt:lpstr>
      <vt:lpstr>PCIeX16</vt:lpstr>
      <vt:lpstr>DDI </vt:lpstr>
      <vt:lpstr>eDP</vt:lpstr>
      <vt:lpstr>LVDS</vt:lpstr>
      <vt:lpstr>VGA</vt:lpstr>
      <vt:lpstr>SATA</vt:lpstr>
      <vt:lpstr>PCIe</vt:lpstr>
      <vt:lpstr>USB</vt:lpstr>
      <vt:lpstr>LAN</vt:lpstr>
      <vt:lpstr>HD_Audio</vt:lpstr>
      <vt:lpstr>LPC</vt:lpstr>
      <vt:lpstr>SPI</vt:lpstr>
      <vt:lpstr>SMB</vt:lpstr>
      <vt:lpstr>SD Card</vt:lpstr>
      <vt:lpstr>DDR2 Clocks - 2L</vt:lpstr>
      <vt:lpstr>DDR2 Clocks - 4L</vt:lpstr>
      <vt:lpstr>DDR2 Command - 4L</vt:lpstr>
      <vt:lpstr>DDR2 Command - 8LTB</vt:lpstr>
      <vt:lpstr>DDR2 Command - 8LSS</vt:lpstr>
      <vt:lpstr>DDR2 Control - 4L</vt:lpstr>
      <vt:lpstr>DDR2 Strobes - 2x16_1R SODIMM</vt:lpstr>
      <vt:lpstr>DDR2 Data - 2x16_1R SODIMM</vt:lpstr>
      <vt:lpstr>DDR2 Command - 8LTB RS</vt:lpstr>
      <vt:lpstr>DDR2 Control - 4L RS</vt:lpstr>
      <vt:lpstr>DDR2 Control - 8LTB</vt:lpstr>
      <vt:lpstr>DDR2 Control - 8LSS</vt:lpstr>
      <vt:lpstr>DDR2 Strobes - 1x16</vt:lpstr>
      <vt:lpstr>DDR2 Strobes - 2x16</vt:lpstr>
      <vt:lpstr>DDR2 Strobes - 1x8</vt:lpstr>
      <vt:lpstr>DDR2 Data - 1x16</vt:lpstr>
      <vt:lpstr>DDR2 Data - 2x16</vt:lpstr>
      <vt:lpstr>DDR2 Data - 1x8</vt:lpstr>
      <vt:lpstr>DDR2Specs</vt:lpstr>
      <vt:lpstr>CtlMDU1Clk</vt:lpstr>
      <vt:lpstr>CtlMDU1Clkn</vt:lpstr>
      <vt:lpstr>CtlMDU2Clk</vt:lpstr>
      <vt:lpstr>CtlMDU2Clkn</vt:lpstr>
      <vt:lpstr>CtlMDU3Clk</vt:lpstr>
      <vt:lpstr>CtlMDU3Clkn</vt:lpstr>
      <vt:lpstr>CtlMDU4Clk</vt:lpstr>
      <vt:lpstr>CtlMDU4Clkn</vt:lpstr>
      <vt:lpstr>CtlPassFail</vt:lpstr>
      <vt:lpstr>CtlSODIMMClk</vt:lpstr>
      <vt:lpstr>CtlSODIMMClkn</vt:lpstr>
      <vt:lpstr>SDRAMDQSLen</vt:lpstr>
      <vt:lpstr>StrbTitle</vt:lpstr>
    </vt:vector>
  </TitlesOfParts>
  <Company>Intel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Puff Zhang</dc:creator>
  <cp:lastModifiedBy>Steve Jen (任聿信)</cp:lastModifiedBy>
  <cp:lastPrinted>2018-11-16T07:22:37Z</cp:lastPrinted>
  <dcterms:created xsi:type="dcterms:W3CDTF">2003-10-03T22:17:45Z</dcterms:created>
  <dcterms:modified xsi:type="dcterms:W3CDTF">2019-07-12T08:52:21Z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